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HP\Downloads\"/>
    </mc:Choice>
  </mc:AlternateContent>
  <bookViews>
    <workbookView xWindow="0" yWindow="0" windowWidth="15530" windowHeight="6350" tabRatio="871" firstSheet="32" activeTab="57"/>
  </bookViews>
  <sheets>
    <sheet name="Index" sheetId="57" r:id="rId1"/>
    <sheet name="Tariff Comparison Ext.vsProp" sheetId="160" state="hidden" r:id="rId2"/>
    <sheet name="Gap Determination" sheetId="163" state="hidden" r:id="rId3"/>
    <sheet name="Carrying Cost" sheetId="162" state="hidden" r:id="rId4"/>
    <sheet name="Tariff recovery-Wire and Retail" sheetId="172" state="hidden" r:id="rId5"/>
    <sheet name="wheeling" sheetId="130" state="hidden" r:id="rId6"/>
    <sheet name="ARR-Summary" sheetId="58" r:id="rId7"/>
    <sheet name="Snapshot for True-up years" sheetId="156" state="hidden" r:id="rId8"/>
    <sheet name="Sales growth assum" sheetId="166" state="hidden" r:id="rId9"/>
    <sheet name="F1" sheetId="88" r:id="rId10"/>
    <sheet name="F1.1" sheetId="111" r:id="rId11"/>
    <sheet name="F1.2" sheetId="121" r:id="rId12"/>
    <sheet name="F1.3" sheetId="90" r:id="rId13"/>
    <sheet name="F1.4" sheetId="122" r:id="rId14"/>
    <sheet name="F1.5" sheetId="110" r:id="rId15"/>
    <sheet name="Manikaran rate" sheetId="171" state="hidden" r:id="rId16"/>
    <sheet name="F2" sheetId="82" r:id="rId17"/>
    <sheet name="F2.1" sheetId="117" r:id="rId18"/>
    <sheet name="F2.2" sheetId="107" r:id="rId19"/>
    <sheet name="OnM esc rate" sheetId="132" state="hidden" r:id="rId20"/>
    <sheet name="F3" sheetId="65" r:id="rId21"/>
    <sheet name="F3.1" sheetId="66" r:id="rId22"/>
    <sheet name="F3.2" sheetId="67" r:id="rId23"/>
    <sheet name="F3.3" sheetId="68" r:id="rId24"/>
    <sheet name="F3.4" sheetId="69" r:id="rId25"/>
    <sheet name="F4" sheetId="120" r:id="rId26"/>
    <sheet name="F4.1" sheetId="123" r:id="rId27"/>
    <sheet name="F4.2" sheetId="124" r:id="rId28"/>
    <sheet name="F4.3" sheetId="125" r:id="rId29"/>
    <sheet name="F5" sheetId="70" r:id="rId30"/>
    <sheet name="F5.1" sheetId="115" r:id="rId31"/>
    <sheet name="F5.2" sheetId="116" r:id="rId32"/>
    <sheet name="F 5.3" sheetId="152" r:id="rId33"/>
    <sheet name="Grant" sheetId="153" state="hidden" r:id="rId34"/>
    <sheet name="F6" sheetId="54" r:id="rId35"/>
    <sheet name="NoWcRates" sheetId="155" state="hidden" r:id="rId36"/>
    <sheet name="F7" sheetId="61" r:id="rId37"/>
    <sheet name="Add ROE" sheetId="158" state="hidden" r:id="rId38"/>
    <sheet name="Assumptions" sheetId="161" state="hidden" r:id="rId39"/>
    <sheet name="F8" sheetId="55" r:id="rId40"/>
    <sheet name="F9" sheetId="75" r:id="rId41"/>
    <sheet name="F10" sheetId="96" r:id="rId42"/>
    <sheet name="F11" sheetId="114" r:id="rId43"/>
    <sheet name="F12" sheetId="76" r:id="rId44"/>
    <sheet name="Sales Forecast" sheetId="159" state="hidden" r:id="rId45"/>
    <sheet name="F13" sheetId="72" r:id="rId46"/>
    <sheet name="F13.1" sheetId="73" r:id="rId47"/>
    <sheet name="F13.2" sheetId="101" r:id="rId48"/>
    <sheet name="F13.3" sheetId="99" r:id="rId49"/>
    <sheet name="F14.1" sheetId="102" r:id="rId50"/>
    <sheet name="F14.2" sheetId="103" r:id="rId51"/>
    <sheet name="F15" sheetId="106" r:id="rId52"/>
    <sheet name="F16" sheetId="113" r:id="rId53"/>
    <sheet name="F17" sheetId="98" r:id="rId54"/>
    <sheet name="F18" sheetId="154" r:id="rId55"/>
    <sheet name="F19" sheetId="109" r:id="rId56"/>
    <sheet name="F20" sheetId="150" r:id="rId57"/>
    <sheet name="F21" sheetId="174" r:id="rId58"/>
    <sheet name="F22" sheetId="134" r:id="rId59"/>
    <sheet name="F23" sheetId="135" r:id="rId60"/>
    <sheet name="F24" sheetId="136" r:id="rId61"/>
    <sheet name="Sheet1" sheetId="157"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a" localSheetId="32">#REF!</definedName>
    <definedName name="\a" localSheetId="11">#REF!</definedName>
    <definedName name="\a" localSheetId="13">#REF!</definedName>
    <definedName name="\a" localSheetId="17">#REF!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25">#REF!</definedName>
    <definedName name="\a" localSheetId="30">#REF!</definedName>
    <definedName name="\a" localSheetId="31">#REF!</definedName>
    <definedName name="\a" localSheetId="2">#REF!</definedName>
    <definedName name="\a" localSheetId="15">#REF!</definedName>
    <definedName name="\a" localSheetId="35">#REF!</definedName>
    <definedName name="\a" localSheetId="19">#REF!</definedName>
    <definedName name="\a" localSheetId="5">#REF!</definedName>
    <definedName name="\a">#REF!</definedName>
    <definedName name="\b" localSheetId="32">#REF!</definedName>
    <definedName name="\b" localSheetId="11">#REF!</definedName>
    <definedName name="\b" localSheetId="13">#REF!</definedName>
    <definedName name="\b" localSheetId="17">#REF!</definedName>
    <definedName name="\b" localSheetId="56">#REF!</definedName>
    <definedName name="\b" localSheetId="57">#REF!</definedName>
    <definedName name="\b" localSheetId="58">#REF!</definedName>
    <definedName name="\b" localSheetId="59">#REF!</definedName>
    <definedName name="\b" localSheetId="60">#REF!</definedName>
    <definedName name="\b" localSheetId="25">#REF!</definedName>
    <definedName name="\b" localSheetId="30">#REF!</definedName>
    <definedName name="\b" localSheetId="31">#REF!</definedName>
    <definedName name="\b" localSheetId="2">#REF!</definedName>
    <definedName name="\b" localSheetId="15">#REF!</definedName>
    <definedName name="\b" localSheetId="35">#REF!</definedName>
    <definedName name="\b" localSheetId="19">#REF!</definedName>
    <definedName name="\b" localSheetId="5">#REF!</definedName>
    <definedName name="\b">#REF!</definedName>
    <definedName name="\c" localSheetId="32">#REF!</definedName>
    <definedName name="\c" localSheetId="11">#REF!</definedName>
    <definedName name="\c" localSheetId="13">#REF!</definedName>
    <definedName name="\c" localSheetId="17">#REF!</definedName>
    <definedName name="\c" localSheetId="56">#REF!</definedName>
    <definedName name="\c" localSheetId="57">#REF!</definedName>
    <definedName name="\c" localSheetId="58">#REF!</definedName>
    <definedName name="\c" localSheetId="59">#REF!</definedName>
    <definedName name="\c" localSheetId="60">#REF!</definedName>
    <definedName name="\c" localSheetId="25">#REF!</definedName>
    <definedName name="\c" localSheetId="30">#REF!</definedName>
    <definedName name="\c" localSheetId="31">#REF!</definedName>
    <definedName name="\c" localSheetId="2">#REF!</definedName>
    <definedName name="\c" localSheetId="15">#REF!</definedName>
    <definedName name="\c" localSheetId="35">#REF!</definedName>
    <definedName name="\c" localSheetId="19">#REF!</definedName>
    <definedName name="\c" localSheetId="5">#REF!</definedName>
    <definedName name="\c">#REF!</definedName>
    <definedName name="\d" localSheetId="32">#REF!</definedName>
    <definedName name="\d" localSheetId="11">#REF!</definedName>
    <definedName name="\d" localSheetId="13">#REF!</definedName>
    <definedName name="\d" localSheetId="17">#REF!</definedName>
    <definedName name="\d" localSheetId="56">#REF!</definedName>
    <definedName name="\d" localSheetId="57">#REF!</definedName>
    <definedName name="\d" localSheetId="58">#REF!</definedName>
    <definedName name="\d" localSheetId="59">#REF!</definedName>
    <definedName name="\d" localSheetId="60">#REF!</definedName>
    <definedName name="\d" localSheetId="25">#REF!</definedName>
    <definedName name="\d" localSheetId="30">#REF!</definedName>
    <definedName name="\d" localSheetId="31">#REF!</definedName>
    <definedName name="\d" localSheetId="2">#REF!</definedName>
    <definedName name="\d" localSheetId="15">#REF!</definedName>
    <definedName name="\d" localSheetId="35">#REF!</definedName>
    <definedName name="\d" localSheetId="19">#REF!</definedName>
    <definedName name="\d" localSheetId="5">#REF!</definedName>
    <definedName name="\d">#REF!</definedName>
    <definedName name="\e" localSheetId="32">#REF!</definedName>
    <definedName name="\e" localSheetId="11">#REF!</definedName>
    <definedName name="\e" localSheetId="13">#REF!</definedName>
    <definedName name="\e" localSheetId="17">#REF!</definedName>
    <definedName name="\e" localSheetId="56">#REF!</definedName>
    <definedName name="\e" localSheetId="57">#REF!</definedName>
    <definedName name="\e" localSheetId="58">#REF!</definedName>
    <definedName name="\e" localSheetId="59">#REF!</definedName>
    <definedName name="\e" localSheetId="60">#REF!</definedName>
    <definedName name="\e" localSheetId="25">#REF!</definedName>
    <definedName name="\e" localSheetId="30">#REF!</definedName>
    <definedName name="\e" localSheetId="31">#REF!</definedName>
    <definedName name="\e" localSheetId="2">#REF!</definedName>
    <definedName name="\e" localSheetId="15">#REF!</definedName>
    <definedName name="\e" localSheetId="35">#REF!</definedName>
    <definedName name="\e" localSheetId="19">#REF!</definedName>
    <definedName name="\e" localSheetId="5">#REF!</definedName>
    <definedName name="\e">#REF!</definedName>
    <definedName name="\f" localSheetId="32">#REF!</definedName>
    <definedName name="\f" localSheetId="11">#REF!</definedName>
    <definedName name="\f" localSheetId="13">#REF!</definedName>
    <definedName name="\f" localSheetId="17">#REF!</definedName>
    <definedName name="\f" localSheetId="56">#REF!</definedName>
    <definedName name="\f" localSheetId="57">#REF!</definedName>
    <definedName name="\f" localSheetId="58">#REF!</definedName>
    <definedName name="\f" localSheetId="59">#REF!</definedName>
    <definedName name="\f" localSheetId="60">#REF!</definedName>
    <definedName name="\f" localSheetId="25">#REF!</definedName>
    <definedName name="\f" localSheetId="30">#REF!</definedName>
    <definedName name="\f" localSheetId="31">#REF!</definedName>
    <definedName name="\f" localSheetId="2">#REF!</definedName>
    <definedName name="\f" localSheetId="15">#REF!</definedName>
    <definedName name="\f" localSheetId="35">#REF!</definedName>
    <definedName name="\f" localSheetId="19">#REF!</definedName>
    <definedName name="\f" localSheetId="5">#REF!</definedName>
    <definedName name="\f">#REF!</definedName>
    <definedName name="\g" localSheetId="32">#REF!</definedName>
    <definedName name="\g" localSheetId="11">#REF!</definedName>
    <definedName name="\g" localSheetId="13">#REF!</definedName>
    <definedName name="\g" localSheetId="17">#REF!</definedName>
    <definedName name="\g" localSheetId="56">#REF!</definedName>
    <definedName name="\g" localSheetId="57">#REF!</definedName>
    <definedName name="\g" localSheetId="58">#REF!</definedName>
    <definedName name="\g" localSheetId="59">#REF!</definedName>
    <definedName name="\g" localSheetId="60">#REF!</definedName>
    <definedName name="\g" localSheetId="25">#REF!</definedName>
    <definedName name="\g" localSheetId="30">#REF!</definedName>
    <definedName name="\g" localSheetId="31">#REF!</definedName>
    <definedName name="\g" localSheetId="2">#REF!</definedName>
    <definedName name="\g" localSheetId="15">#REF!</definedName>
    <definedName name="\g" localSheetId="35">#REF!</definedName>
    <definedName name="\g" localSheetId="19">#REF!</definedName>
    <definedName name="\g" localSheetId="5">#REF!</definedName>
    <definedName name="\g">#REF!</definedName>
    <definedName name="\j" localSheetId="32">#REF!</definedName>
    <definedName name="\j" localSheetId="11">#REF!</definedName>
    <definedName name="\j" localSheetId="13">#REF!</definedName>
    <definedName name="\j" localSheetId="17">#REF!</definedName>
    <definedName name="\j" localSheetId="56">#REF!</definedName>
    <definedName name="\j" localSheetId="57">#REF!</definedName>
    <definedName name="\j" localSheetId="58">#REF!</definedName>
    <definedName name="\j" localSheetId="59">#REF!</definedName>
    <definedName name="\j" localSheetId="60">#REF!</definedName>
    <definedName name="\j" localSheetId="25">#REF!</definedName>
    <definedName name="\j" localSheetId="30">#REF!</definedName>
    <definedName name="\j" localSheetId="31">#REF!</definedName>
    <definedName name="\j" localSheetId="2">#REF!</definedName>
    <definedName name="\j" localSheetId="15">#REF!</definedName>
    <definedName name="\j" localSheetId="35">#REF!</definedName>
    <definedName name="\j" localSheetId="19">#REF!</definedName>
    <definedName name="\j" localSheetId="5">#REF!</definedName>
    <definedName name="\j">#REF!</definedName>
    <definedName name="\k" localSheetId="32">#REF!</definedName>
    <definedName name="\k" localSheetId="11">#REF!</definedName>
    <definedName name="\k" localSheetId="13">#REF!</definedName>
    <definedName name="\k" localSheetId="17">#REF!</definedName>
    <definedName name="\k" localSheetId="56">#REF!</definedName>
    <definedName name="\k" localSheetId="57">#REF!</definedName>
    <definedName name="\k" localSheetId="58">#REF!</definedName>
    <definedName name="\k" localSheetId="59">#REF!</definedName>
    <definedName name="\k" localSheetId="60">#REF!</definedName>
    <definedName name="\k" localSheetId="25">#REF!</definedName>
    <definedName name="\k" localSheetId="30">#REF!</definedName>
    <definedName name="\k" localSheetId="31">#REF!</definedName>
    <definedName name="\k" localSheetId="2">#REF!</definedName>
    <definedName name="\k" localSheetId="15">#REF!</definedName>
    <definedName name="\k" localSheetId="35">#REF!</definedName>
    <definedName name="\k" localSheetId="19">#REF!</definedName>
    <definedName name="\k" localSheetId="5">#REF!</definedName>
    <definedName name="\k">#REF!</definedName>
    <definedName name="\m" localSheetId="32">#REF!</definedName>
    <definedName name="\m" localSheetId="11">#REF!</definedName>
    <definedName name="\m" localSheetId="13">#REF!</definedName>
    <definedName name="\m" localSheetId="17">#REF!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25">#REF!</definedName>
    <definedName name="\m" localSheetId="30">#REF!</definedName>
    <definedName name="\m" localSheetId="31">#REF!</definedName>
    <definedName name="\m" localSheetId="2">#REF!</definedName>
    <definedName name="\m" localSheetId="15">#REF!</definedName>
    <definedName name="\m" localSheetId="35">#REF!</definedName>
    <definedName name="\m" localSheetId="19">#REF!</definedName>
    <definedName name="\m" localSheetId="5">#REF!</definedName>
    <definedName name="\m">#REF!</definedName>
    <definedName name="\n" localSheetId="32">#REF!</definedName>
    <definedName name="\n" localSheetId="11">#REF!</definedName>
    <definedName name="\n" localSheetId="13">#REF!</definedName>
    <definedName name="\n" localSheetId="17">#REF!</definedName>
    <definedName name="\n" localSheetId="56">#REF!</definedName>
    <definedName name="\n" localSheetId="57">#REF!</definedName>
    <definedName name="\n" localSheetId="58">#REF!</definedName>
    <definedName name="\n" localSheetId="59">#REF!</definedName>
    <definedName name="\n" localSheetId="60">#REF!</definedName>
    <definedName name="\n" localSheetId="25">#REF!</definedName>
    <definedName name="\n" localSheetId="30">#REF!</definedName>
    <definedName name="\n" localSheetId="31">#REF!</definedName>
    <definedName name="\n" localSheetId="2">#REF!</definedName>
    <definedName name="\n" localSheetId="15">#REF!</definedName>
    <definedName name="\n" localSheetId="35">#REF!</definedName>
    <definedName name="\n" localSheetId="19">#REF!</definedName>
    <definedName name="\n" localSheetId="5">#REF!</definedName>
    <definedName name="\n">#REF!</definedName>
    <definedName name="\o" localSheetId="32">#REF!</definedName>
    <definedName name="\o" localSheetId="11">#REF!</definedName>
    <definedName name="\o" localSheetId="13">#REF!</definedName>
    <definedName name="\o" localSheetId="17">#REF!</definedName>
    <definedName name="\o" localSheetId="56">#REF!</definedName>
    <definedName name="\o" localSheetId="57">#REF!</definedName>
    <definedName name="\o" localSheetId="58">#REF!</definedName>
    <definedName name="\o" localSheetId="59">#REF!</definedName>
    <definedName name="\o" localSheetId="60">#REF!</definedName>
    <definedName name="\o" localSheetId="25">#REF!</definedName>
    <definedName name="\o" localSheetId="30">#REF!</definedName>
    <definedName name="\o" localSheetId="31">#REF!</definedName>
    <definedName name="\o" localSheetId="2">#REF!</definedName>
    <definedName name="\o" localSheetId="15">#REF!</definedName>
    <definedName name="\o" localSheetId="35">#REF!</definedName>
    <definedName name="\o" localSheetId="19">#REF!</definedName>
    <definedName name="\o" localSheetId="5">#REF!</definedName>
    <definedName name="\o">#REF!</definedName>
    <definedName name="\p" localSheetId="32">#REF!</definedName>
    <definedName name="\p" localSheetId="11">#REF!</definedName>
    <definedName name="\p" localSheetId="13">#REF!</definedName>
    <definedName name="\p" localSheetId="17">#REF!</definedName>
    <definedName name="\p" localSheetId="56">#REF!</definedName>
    <definedName name="\p" localSheetId="57">#REF!</definedName>
    <definedName name="\p" localSheetId="58">#REF!</definedName>
    <definedName name="\p" localSheetId="59">#REF!</definedName>
    <definedName name="\p" localSheetId="60">#REF!</definedName>
    <definedName name="\p" localSheetId="25">#REF!</definedName>
    <definedName name="\p" localSheetId="30">#REF!</definedName>
    <definedName name="\p" localSheetId="31">#REF!</definedName>
    <definedName name="\p" localSheetId="2">#REF!</definedName>
    <definedName name="\p" localSheetId="15">#REF!</definedName>
    <definedName name="\p" localSheetId="35">#REF!</definedName>
    <definedName name="\p" localSheetId="19">#REF!</definedName>
    <definedName name="\p" localSheetId="5">#REF!</definedName>
    <definedName name="\p">#REF!</definedName>
    <definedName name="\q" localSheetId="57">#REF!</definedName>
    <definedName name="\q" localSheetId="15">#REF!</definedName>
    <definedName name="\q">#REF!</definedName>
    <definedName name="\s" localSheetId="32">#REF!</definedName>
    <definedName name="\s" localSheetId="11">#REF!</definedName>
    <definedName name="\s" localSheetId="13">#REF!</definedName>
    <definedName name="\s" localSheetId="17">#REF!</definedName>
    <definedName name="\s" localSheetId="56">#REF!</definedName>
    <definedName name="\s" localSheetId="57">#REF!</definedName>
    <definedName name="\s" localSheetId="58">#REF!</definedName>
    <definedName name="\s" localSheetId="59">#REF!</definedName>
    <definedName name="\s" localSheetId="60">#REF!</definedName>
    <definedName name="\s" localSheetId="25">#REF!</definedName>
    <definedName name="\s" localSheetId="30">#REF!</definedName>
    <definedName name="\s" localSheetId="31">#REF!</definedName>
    <definedName name="\s" localSheetId="2">#REF!</definedName>
    <definedName name="\s" localSheetId="15">#REF!</definedName>
    <definedName name="\s" localSheetId="35">#REF!</definedName>
    <definedName name="\s" localSheetId="19">#REF!</definedName>
    <definedName name="\s" localSheetId="5">#REF!</definedName>
    <definedName name="\s">#REF!</definedName>
    <definedName name="\t" localSheetId="32">#REF!</definedName>
    <definedName name="\t" localSheetId="11">#REF!</definedName>
    <definedName name="\t" localSheetId="13">#REF!</definedName>
    <definedName name="\t" localSheetId="17">#REF!</definedName>
    <definedName name="\t" localSheetId="56">#REF!</definedName>
    <definedName name="\t" localSheetId="57">#REF!</definedName>
    <definedName name="\t" localSheetId="58">#REF!</definedName>
    <definedName name="\t" localSheetId="59">#REF!</definedName>
    <definedName name="\t" localSheetId="60">#REF!</definedName>
    <definedName name="\t" localSheetId="25">#REF!</definedName>
    <definedName name="\t" localSheetId="30">#REF!</definedName>
    <definedName name="\t" localSheetId="31">#REF!</definedName>
    <definedName name="\t" localSheetId="2">#REF!</definedName>
    <definedName name="\t" localSheetId="15">#REF!</definedName>
    <definedName name="\t" localSheetId="35">#REF!</definedName>
    <definedName name="\t" localSheetId="19">#REF!</definedName>
    <definedName name="\t" localSheetId="5">#REF!</definedName>
    <definedName name="\t">#REF!</definedName>
    <definedName name="\w" localSheetId="32">#REF!</definedName>
    <definedName name="\w" localSheetId="11">#REF!</definedName>
    <definedName name="\w" localSheetId="13">#REF!</definedName>
    <definedName name="\w" localSheetId="17">#REF!</definedName>
    <definedName name="\w" localSheetId="56">#REF!</definedName>
    <definedName name="\w" localSheetId="57">#REF!</definedName>
    <definedName name="\w" localSheetId="58">#REF!</definedName>
    <definedName name="\w" localSheetId="59">#REF!</definedName>
    <definedName name="\w" localSheetId="60">#REF!</definedName>
    <definedName name="\w" localSheetId="25">#REF!</definedName>
    <definedName name="\w" localSheetId="30">#REF!</definedName>
    <definedName name="\w" localSheetId="31">#REF!</definedName>
    <definedName name="\w" localSheetId="2">#REF!</definedName>
    <definedName name="\w" localSheetId="15">#REF!</definedName>
    <definedName name="\w" localSheetId="35">#REF!</definedName>
    <definedName name="\w" localSheetId="19">#REF!</definedName>
    <definedName name="\w" localSheetId="5">#REF!</definedName>
    <definedName name="\w">#REF!</definedName>
    <definedName name="\x" localSheetId="32">#REF!</definedName>
    <definedName name="\x" localSheetId="11">#REF!</definedName>
    <definedName name="\x" localSheetId="13">#REF!</definedName>
    <definedName name="\x" localSheetId="17">#REF!</definedName>
    <definedName name="\x" localSheetId="56">#REF!</definedName>
    <definedName name="\x" localSheetId="57">#REF!</definedName>
    <definedName name="\x" localSheetId="58">#REF!</definedName>
    <definedName name="\x" localSheetId="59">#REF!</definedName>
    <definedName name="\x" localSheetId="60">#REF!</definedName>
    <definedName name="\x" localSheetId="25">#REF!</definedName>
    <definedName name="\x" localSheetId="30">#REF!</definedName>
    <definedName name="\x" localSheetId="31">#REF!</definedName>
    <definedName name="\x" localSheetId="2">#REF!</definedName>
    <definedName name="\x" localSheetId="15">#REF!</definedName>
    <definedName name="\x" localSheetId="35">#REF!</definedName>
    <definedName name="\x" localSheetId="19">#REF!</definedName>
    <definedName name="\x" localSheetId="5">#REF!</definedName>
    <definedName name="\x">#REF!</definedName>
    <definedName name="\y" localSheetId="57">#REF!</definedName>
    <definedName name="\y" localSheetId="15">#REF!</definedName>
    <definedName name="\y">#REF!</definedName>
    <definedName name="\z" localSheetId="32">#REF!</definedName>
    <definedName name="\z" localSheetId="11">#REF!</definedName>
    <definedName name="\z" localSheetId="13">#REF!</definedName>
    <definedName name="\z" localSheetId="17">#REF!</definedName>
    <definedName name="\z" localSheetId="56">#REF!</definedName>
    <definedName name="\z" localSheetId="57">#REF!</definedName>
    <definedName name="\z" localSheetId="58">#REF!</definedName>
    <definedName name="\z" localSheetId="59">#REF!</definedName>
    <definedName name="\z" localSheetId="60">#REF!</definedName>
    <definedName name="\z" localSheetId="25">#REF!</definedName>
    <definedName name="\z" localSheetId="30">#REF!</definedName>
    <definedName name="\z" localSheetId="31">#REF!</definedName>
    <definedName name="\z" localSheetId="2">#REF!</definedName>
    <definedName name="\z" localSheetId="15">#REF!</definedName>
    <definedName name="\z" localSheetId="35">#REF!</definedName>
    <definedName name="\z" localSheetId="19">#REF!</definedName>
    <definedName name="\z" localSheetId="5">#REF!</definedName>
    <definedName name="\z">#REF!</definedName>
    <definedName name="_" localSheetId="32">#REF!</definedName>
    <definedName name="_" localSheetId="11">#REF!</definedName>
    <definedName name="_" localSheetId="13">#REF!</definedName>
    <definedName name="_" localSheetId="17">#REF!</definedName>
    <definedName name="_" localSheetId="56">#REF!</definedName>
    <definedName name="_" localSheetId="57">#REF!</definedName>
    <definedName name="_" localSheetId="58">#REF!</definedName>
    <definedName name="_" localSheetId="59">#REF!</definedName>
    <definedName name="_" localSheetId="60">#REF!</definedName>
    <definedName name="_" localSheetId="25">#REF!</definedName>
    <definedName name="_" localSheetId="30">#REF!</definedName>
    <definedName name="_" localSheetId="31">#REF!</definedName>
    <definedName name="_" localSheetId="2">#REF!</definedName>
    <definedName name="_" localSheetId="15">#REF!</definedName>
    <definedName name="_" localSheetId="35">#REF!</definedName>
    <definedName name="_" localSheetId="19">#REF!</definedName>
    <definedName name="_" localSheetId="5">#REF!</definedName>
    <definedName name="_">#REF!</definedName>
    <definedName name="_.._D__D__D__D_" localSheetId="32">#REF!</definedName>
    <definedName name="_.._D__D__D__D_" localSheetId="11">#REF!</definedName>
    <definedName name="_.._D__D__D__D_" localSheetId="13">#REF!</definedName>
    <definedName name="_.._D__D__D__D_" localSheetId="17">#REF!</definedName>
    <definedName name="_.._D__D__D__D_" localSheetId="56">#REF!</definedName>
    <definedName name="_.._D__D__D__D_" localSheetId="57">#REF!</definedName>
    <definedName name="_.._D__D__D__D_" localSheetId="58">#REF!</definedName>
    <definedName name="_.._D__D__D__D_" localSheetId="59">#REF!</definedName>
    <definedName name="_.._D__D__D__D_" localSheetId="60">#REF!</definedName>
    <definedName name="_.._D__D__D__D_" localSheetId="25">#REF!</definedName>
    <definedName name="_.._D__D__D__D_" localSheetId="30">#REF!</definedName>
    <definedName name="_.._D__D__D__D_" localSheetId="31">#REF!</definedName>
    <definedName name="_.._D__D__D__D_" localSheetId="2">#REF!</definedName>
    <definedName name="_.._D__D__D__D_" localSheetId="15">#REF!</definedName>
    <definedName name="_.._D__D__D__D_" localSheetId="35">#REF!</definedName>
    <definedName name="_.._D__D__D__D_" localSheetId="19">#REF!</definedName>
    <definedName name="_.._D__D__D__D_" localSheetId="5">#REF!</definedName>
    <definedName name="_.._D__D__D__D_">#REF!</definedName>
    <definedName name="_____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SCH6" localSheetId="57">'[1]04REL'!#REF!</definedName>
    <definedName name="______________________SCH6" localSheetId="15">'[1]04REL'!#REF!</definedName>
    <definedName name="______________________SCH6">'[1]04REL'!#REF!</definedName>
    <definedName name="_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SCH6" localSheetId="57">'[1]04REL'!#REF!</definedName>
    <definedName name="____________________SCH6" localSheetId="15">'[1]04REL'!#REF!</definedName>
    <definedName name="____________________SCH6">'[1]04REL'!#REF!</definedName>
    <definedName name="_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SCH6" localSheetId="57">'[1]04REL'!#REF!</definedName>
    <definedName name="__________________SCH6" localSheetId="15">'[1]04REL'!#REF!</definedName>
    <definedName name="__________________SCH6">'[1]04REL'!#REF!</definedName>
    <definedName name="_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SCH6" localSheetId="57">'[1]04REL'!#REF!</definedName>
    <definedName name="________________SCH6" localSheetId="15">'[1]04REL'!#REF!</definedName>
    <definedName name="________________SCH6">'[1]04REL'!#REF!</definedName>
    <definedName name="_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SCH6" localSheetId="57">'[1]04REL'!#REF!</definedName>
    <definedName name="______________SCH6" localSheetId="15">'[1]04REL'!#REF!</definedName>
    <definedName name="______________SCH6">'[1]04REL'!#REF!</definedName>
    <definedName name="_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SCH6" localSheetId="57">'[1]04REL'!#REF!</definedName>
    <definedName name="_____________SCH6" localSheetId="15">'[1]04REL'!#REF!</definedName>
    <definedName name="_____________SCH6">'[1]04REL'!#REF!</definedName>
    <definedName name="_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SCH6" localSheetId="57">'[1]04REL'!#REF!</definedName>
    <definedName name="___________SCH6" localSheetId="15">'[1]04REL'!#REF!</definedName>
    <definedName name="___________SCH6">'[1]04REL'!#REF!</definedName>
    <definedName name="_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SCH6" localSheetId="57">'[1]04REL'!#REF!</definedName>
    <definedName name="__________SCH6" localSheetId="15">'[1]04REL'!#REF!</definedName>
    <definedName name="__________SCH6">'[1]04REL'!#REF!</definedName>
    <definedName name="_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XL__ENTER_UNIT" localSheetId="32">#REF!</definedName>
    <definedName name="_________XL__ENTER_UNIT" localSheetId="11">#REF!</definedName>
    <definedName name="_________XL__ENTER_UNIT" localSheetId="13">#REF!</definedName>
    <definedName name="_________XL__ENTER_UNIT" localSheetId="17">#REF!</definedName>
    <definedName name="_________XL__ENTER_UNIT" localSheetId="56">#REF!</definedName>
    <definedName name="_________XL__ENTER_UNIT" localSheetId="57">#REF!</definedName>
    <definedName name="_________XL__ENTER_UNIT" localSheetId="58">#REF!</definedName>
    <definedName name="_________XL__ENTER_UNIT" localSheetId="59">#REF!</definedName>
    <definedName name="_________XL__ENTER_UNIT" localSheetId="60">#REF!</definedName>
    <definedName name="_________XL__ENTER_UNIT" localSheetId="25">#REF!</definedName>
    <definedName name="_________XL__ENTER_UNIT" localSheetId="30">#REF!</definedName>
    <definedName name="_________XL__ENTER_UNIT" localSheetId="31">#REF!</definedName>
    <definedName name="_________XL__ENTER_UNIT" localSheetId="2">#REF!</definedName>
    <definedName name="_________XL__ENTER_UNIT" localSheetId="15">#REF!</definedName>
    <definedName name="_________XL__ENTER_UNIT" localSheetId="35">#REF!</definedName>
    <definedName name="_________XL__ENTER_UNIT" localSheetId="19">#REF!</definedName>
    <definedName name="_________XL__ENTER_UNIT" localSheetId="5">#REF!</definedName>
    <definedName name="_________XL__ENTER_UNIT">#REF!</definedName>
    <definedName name="__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XL__ENTER_UNIT" localSheetId="57">#REF!</definedName>
    <definedName name="________XL__ENTER_UNIT" localSheetId="15">#REF!</definedName>
    <definedName name="________XL__ENTER_UNIT">#REF!</definedName>
    <definedName name="_______SCH6" localSheetId="32">'[2]04REL'!#REF!</definedName>
    <definedName name="_______SCH6" localSheetId="10">'[2]04REL'!#REF!</definedName>
    <definedName name="_______SCH6" localSheetId="11">'[2]04REL'!#REF!</definedName>
    <definedName name="_______SCH6" localSheetId="13">'[2]04REL'!#REF!</definedName>
    <definedName name="_______SCH6" localSheetId="14">'[2]04REL'!#REF!</definedName>
    <definedName name="_______SCH6" localSheetId="52">'[2]04REL'!#REF!</definedName>
    <definedName name="_______SCH6" localSheetId="54">'[2]04REL'!#REF!</definedName>
    <definedName name="_______SCH6" localSheetId="55">'[2]04REL'!#REF!</definedName>
    <definedName name="_______SCH6" localSheetId="17">'[2]04REL'!#REF!</definedName>
    <definedName name="_______SCH6" localSheetId="18">'[2]04REL'!#REF!</definedName>
    <definedName name="_______SCH6" localSheetId="56">'[2]04REL'!#REF!</definedName>
    <definedName name="_______SCH6" localSheetId="57">'[2]04REL'!#REF!</definedName>
    <definedName name="_______SCH6" localSheetId="58">'[2]04REL'!#REF!</definedName>
    <definedName name="_______SCH6" localSheetId="59">'[2]04REL'!#REF!</definedName>
    <definedName name="_______SCH6" localSheetId="60">'[2]04REL'!#REF!</definedName>
    <definedName name="_______SCH6" localSheetId="25">'[2]04REL'!#REF!</definedName>
    <definedName name="_______SCH6" localSheetId="30">'[2]04REL'!#REF!</definedName>
    <definedName name="_______SCH6" localSheetId="31">'[2]04REL'!#REF!</definedName>
    <definedName name="_______SCH6" localSheetId="2">'[3]04REL'!#REF!</definedName>
    <definedName name="_______SCH6" localSheetId="15">'[2]04REL'!#REF!</definedName>
    <definedName name="_______SCH6" localSheetId="35">'[4]04REL'!#REF!</definedName>
    <definedName name="_______SCH6" localSheetId="19">'[2]04REL'!#REF!</definedName>
    <definedName name="_______SCH6" localSheetId="5">'[2]04REL'!#REF!</definedName>
    <definedName name="_______SCH6">'[2]04REL'!#REF!</definedName>
    <definedName name="_______XL__ENTER_UNIT" localSheetId="32">#REF!</definedName>
    <definedName name="_______XL__ENTER_UNIT" localSheetId="11">#REF!</definedName>
    <definedName name="_______XL__ENTER_UNIT" localSheetId="13">#REF!</definedName>
    <definedName name="_______XL__ENTER_UNIT" localSheetId="17">#REF!</definedName>
    <definedName name="_______XL__ENTER_UNIT" localSheetId="56">#REF!</definedName>
    <definedName name="_______XL__ENTER_UNIT" localSheetId="57">#REF!</definedName>
    <definedName name="_______XL__ENTER_UNIT" localSheetId="58">#REF!</definedName>
    <definedName name="_______XL__ENTER_UNIT" localSheetId="59">#REF!</definedName>
    <definedName name="_______XL__ENTER_UNIT" localSheetId="60">#REF!</definedName>
    <definedName name="_______XL__ENTER_UNIT" localSheetId="25">#REF!</definedName>
    <definedName name="_______XL__ENTER_UNIT" localSheetId="30">#REF!</definedName>
    <definedName name="_______XL__ENTER_UNIT" localSheetId="31">#REF!</definedName>
    <definedName name="_______XL__ENTER_UNIT" localSheetId="2">#REF!</definedName>
    <definedName name="_______XL__ENTER_UNIT" localSheetId="15">#REF!</definedName>
    <definedName name="_______XL__ENTER_UNIT" localSheetId="35">#REF!</definedName>
    <definedName name="_______XL__ENTER_UNIT" localSheetId="19">#REF!</definedName>
    <definedName name="_______XL__ENTER_UNIT" localSheetId="5">#REF!</definedName>
    <definedName name="_______XL__ENTER_UNIT">#REF!</definedName>
    <definedName name="______SCH6" localSheetId="32">'[2]04REL'!#REF!</definedName>
    <definedName name="______SCH6" localSheetId="10">'[2]04REL'!#REF!</definedName>
    <definedName name="______SCH6" localSheetId="11">'[2]04REL'!#REF!</definedName>
    <definedName name="______SCH6" localSheetId="13">'[2]04REL'!#REF!</definedName>
    <definedName name="______SCH6" localSheetId="14">'[2]04REL'!#REF!</definedName>
    <definedName name="______SCH6" localSheetId="47">'[2]04REL'!#REF!</definedName>
    <definedName name="______SCH6" localSheetId="48">'[2]04REL'!#REF!</definedName>
    <definedName name="______SCH6" localSheetId="49">'[2]04REL'!#REF!</definedName>
    <definedName name="______SCH6" localSheetId="50">'[2]04REL'!#REF!</definedName>
    <definedName name="______SCH6" localSheetId="52">'[2]04REL'!#REF!</definedName>
    <definedName name="______SCH6" localSheetId="54">'[2]04REL'!#REF!</definedName>
    <definedName name="______SCH6" localSheetId="55">'[2]04REL'!#REF!</definedName>
    <definedName name="______SCH6" localSheetId="17">'[2]04REL'!#REF!</definedName>
    <definedName name="______SCH6" localSheetId="18">'[2]04REL'!#REF!</definedName>
    <definedName name="______SCH6" localSheetId="56">'[2]04REL'!#REF!</definedName>
    <definedName name="______SCH6" localSheetId="57">'[2]04REL'!#REF!</definedName>
    <definedName name="______SCH6" localSheetId="58">'[2]04REL'!#REF!</definedName>
    <definedName name="______SCH6" localSheetId="59">'[2]04REL'!#REF!</definedName>
    <definedName name="______SCH6" localSheetId="60">'[2]04REL'!#REF!</definedName>
    <definedName name="______SCH6" localSheetId="25">'[2]04REL'!#REF!</definedName>
    <definedName name="______SCH6" localSheetId="30">'[2]04REL'!#REF!</definedName>
    <definedName name="______SCH6" localSheetId="31">'[2]04REL'!#REF!</definedName>
    <definedName name="______SCH6" localSheetId="2">'[3]04REL'!#REF!</definedName>
    <definedName name="______SCH6" localSheetId="15">'[2]04REL'!#REF!</definedName>
    <definedName name="______SCH6" localSheetId="35">'[4]04REL'!#REF!</definedName>
    <definedName name="______SCH6" localSheetId="19">'[2]04REL'!#REF!</definedName>
    <definedName name="______SCH6" localSheetId="5">'[2]04REL'!#REF!</definedName>
    <definedName name="______SCH6">'[2]04REL'!#REF!</definedName>
    <definedName name="__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XL__ENTER_UNIT" localSheetId="32">#REF!</definedName>
    <definedName name="______XL__ENTER_UNIT" localSheetId="11">#REF!</definedName>
    <definedName name="______XL__ENTER_UNIT" localSheetId="13">#REF!</definedName>
    <definedName name="______XL__ENTER_UNIT" localSheetId="17">#REF!</definedName>
    <definedName name="______XL__ENTER_UNIT" localSheetId="56">#REF!</definedName>
    <definedName name="______XL__ENTER_UNIT" localSheetId="57">#REF!</definedName>
    <definedName name="______XL__ENTER_UNIT" localSheetId="58">#REF!</definedName>
    <definedName name="______XL__ENTER_UNIT" localSheetId="59">#REF!</definedName>
    <definedName name="______XL__ENTER_UNIT" localSheetId="60">#REF!</definedName>
    <definedName name="______XL__ENTER_UNIT" localSheetId="25">#REF!</definedName>
    <definedName name="______XL__ENTER_UNIT" localSheetId="30">#REF!</definedName>
    <definedName name="______XL__ENTER_UNIT" localSheetId="31">#REF!</definedName>
    <definedName name="______XL__ENTER_UNIT" localSheetId="2">#REF!</definedName>
    <definedName name="______XL__ENTER_UNIT" localSheetId="15">#REF!</definedName>
    <definedName name="______XL__ENTER_UNIT" localSheetId="35">#REF!</definedName>
    <definedName name="______XL__ENTER_UNIT" localSheetId="19">#REF!</definedName>
    <definedName name="______XL__ENTER_UNIT" localSheetId="5">#REF!</definedName>
    <definedName name="______XL__ENTER_UNIT">#REF!</definedName>
    <definedName name="_____SCH6" localSheetId="32">'[2]04REL'!#REF!</definedName>
    <definedName name="_____SCH6" localSheetId="10">'[2]04REL'!#REF!</definedName>
    <definedName name="_____SCH6" localSheetId="11">'[2]04REL'!#REF!</definedName>
    <definedName name="_____SCH6" localSheetId="13">'[2]04REL'!#REF!</definedName>
    <definedName name="_____SCH6" localSheetId="14">'[2]04REL'!#REF!</definedName>
    <definedName name="_____SCH6" localSheetId="47">'[2]04REL'!#REF!</definedName>
    <definedName name="_____SCH6" localSheetId="48">'[2]04REL'!#REF!</definedName>
    <definedName name="_____SCH6" localSheetId="49">'[2]04REL'!#REF!</definedName>
    <definedName name="_____SCH6" localSheetId="50">'[2]04REL'!#REF!</definedName>
    <definedName name="_____SCH6" localSheetId="52">'[2]04REL'!#REF!</definedName>
    <definedName name="_____SCH6" localSheetId="54">'[2]04REL'!#REF!</definedName>
    <definedName name="_____SCH6" localSheetId="55">'[2]04REL'!#REF!</definedName>
    <definedName name="_____SCH6" localSheetId="17">'[2]04REL'!#REF!</definedName>
    <definedName name="_____SCH6" localSheetId="18">'[2]04REL'!#REF!</definedName>
    <definedName name="_____SCH6" localSheetId="56">'[2]04REL'!#REF!</definedName>
    <definedName name="_____SCH6" localSheetId="57">'[2]04REL'!#REF!</definedName>
    <definedName name="_____SCH6" localSheetId="58">'[2]04REL'!#REF!</definedName>
    <definedName name="_____SCH6" localSheetId="59">'[2]04REL'!#REF!</definedName>
    <definedName name="_____SCH6" localSheetId="60">'[2]04REL'!#REF!</definedName>
    <definedName name="_____SCH6" localSheetId="25">'[2]04REL'!#REF!</definedName>
    <definedName name="_____SCH6" localSheetId="30">'[2]04REL'!#REF!</definedName>
    <definedName name="_____SCH6" localSheetId="31">'[2]04REL'!#REF!</definedName>
    <definedName name="_____SCH6" localSheetId="2">'[3]04REL'!#REF!</definedName>
    <definedName name="_____SCH6" localSheetId="15">'[2]04REL'!#REF!</definedName>
    <definedName name="_____SCH6" localSheetId="35">'[4]04REL'!#REF!</definedName>
    <definedName name="_____SCH6" localSheetId="19">'[2]04REL'!#REF!</definedName>
    <definedName name="_____SCH6" localSheetId="5">'[2]04REL'!#REF!</definedName>
    <definedName name="_____SCH6">'[2]04REL'!#REF!</definedName>
    <definedName name="_____tp1">#REF!</definedName>
    <definedName name="_____XL__ENTER_UNIT" localSheetId="57">#REF!</definedName>
    <definedName name="_____XL__ENTER_UNIT" localSheetId="15">#REF!</definedName>
    <definedName name="_____XL__ENTER_UNIT">#REF!</definedName>
    <definedName name="____SCH6" localSheetId="32">'[2]04REL'!#REF!</definedName>
    <definedName name="____SCH6" localSheetId="10">'[2]04REL'!#REF!</definedName>
    <definedName name="____SCH6" localSheetId="11">'[2]04REL'!#REF!</definedName>
    <definedName name="____SCH6" localSheetId="13">'[2]04REL'!#REF!</definedName>
    <definedName name="____SCH6" localSheetId="14">'[2]04REL'!#REF!</definedName>
    <definedName name="____SCH6" localSheetId="47">'[2]04REL'!#REF!</definedName>
    <definedName name="____SCH6" localSheetId="48">'[2]04REL'!#REF!</definedName>
    <definedName name="____SCH6" localSheetId="49">'[2]04REL'!#REF!</definedName>
    <definedName name="____SCH6" localSheetId="50">'[2]04REL'!#REF!</definedName>
    <definedName name="____SCH6" localSheetId="52">'[2]04REL'!#REF!</definedName>
    <definedName name="____SCH6" localSheetId="54">'[2]04REL'!#REF!</definedName>
    <definedName name="____SCH6" localSheetId="55">'[2]04REL'!#REF!</definedName>
    <definedName name="____SCH6" localSheetId="17">'[2]04REL'!#REF!</definedName>
    <definedName name="____SCH6" localSheetId="18">'[2]04REL'!#REF!</definedName>
    <definedName name="____SCH6" localSheetId="56">'[2]04REL'!#REF!</definedName>
    <definedName name="____SCH6" localSheetId="57">'[2]04REL'!#REF!</definedName>
    <definedName name="____SCH6" localSheetId="58">'[2]04REL'!#REF!</definedName>
    <definedName name="____SCH6" localSheetId="59">'[2]04REL'!#REF!</definedName>
    <definedName name="____SCH6" localSheetId="60">'[2]04REL'!#REF!</definedName>
    <definedName name="____SCH6" localSheetId="25">'[2]04REL'!#REF!</definedName>
    <definedName name="____SCH6" localSheetId="30">'[2]04REL'!#REF!</definedName>
    <definedName name="____SCH6" localSheetId="31">'[2]04REL'!#REF!</definedName>
    <definedName name="____SCH6" localSheetId="2">'[3]04REL'!#REF!</definedName>
    <definedName name="____SCH6" localSheetId="15">'[2]04REL'!#REF!</definedName>
    <definedName name="____SCH6" localSheetId="35">'[4]04REL'!#REF!</definedName>
    <definedName name="____SCH6" localSheetId="19">'[2]04REL'!#REF!</definedName>
    <definedName name="____SCH6" localSheetId="5">'[2]04REL'!#REF!</definedName>
    <definedName name="____SCH6">'[2]04REL'!#REF!</definedName>
    <definedName name="____tp1">#REF!</definedName>
    <definedName name="_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XL__ENTER_UNIT" localSheetId="32">#REF!</definedName>
    <definedName name="____XL__ENTER_UNIT" localSheetId="11">#REF!</definedName>
    <definedName name="____XL__ENTER_UNIT" localSheetId="13">#REF!</definedName>
    <definedName name="____XL__ENTER_UNIT" localSheetId="17">#REF!</definedName>
    <definedName name="____XL__ENTER_UNIT" localSheetId="56">#REF!</definedName>
    <definedName name="____XL__ENTER_UNIT" localSheetId="57">#REF!</definedName>
    <definedName name="____XL__ENTER_UNIT" localSheetId="58">#REF!</definedName>
    <definedName name="____XL__ENTER_UNIT" localSheetId="59">#REF!</definedName>
    <definedName name="____XL__ENTER_UNIT" localSheetId="60">#REF!</definedName>
    <definedName name="____XL__ENTER_UNIT" localSheetId="25">#REF!</definedName>
    <definedName name="____XL__ENTER_UNIT" localSheetId="30">#REF!</definedName>
    <definedName name="____XL__ENTER_UNIT" localSheetId="31">#REF!</definedName>
    <definedName name="____XL__ENTER_UNIT" localSheetId="2">#REF!</definedName>
    <definedName name="____XL__ENTER_UNIT" localSheetId="15">#REF!</definedName>
    <definedName name="____XL__ENTER_UNIT" localSheetId="35">#REF!</definedName>
    <definedName name="____XL__ENTER_UNIT" localSheetId="19">#REF!</definedName>
    <definedName name="____XL__ENTER_UNIT" localSheetId="5">#REF!</definedName>
    <definedName name="____XL__ENTER_UNIT">#REF!</definedName>
    <definedName name="___INDEX_SHEET___ASAP_Utilities" localSheetId="32">#REF!</definedName>
    <definedName name="___INDEX_SHEET___ASAP_Utilities" localSheetId="11">#REF!</definedName>
    <definedName name="___INDEX_SHEET___ASAP_Utilities" localSheetId="13">#REF!</definedName>
    <definedName name="___INDEX_SHEET___ASAP_Utilities" localSheetId="17">#REF!</definedName>
    <definedName name="___INDEX_SHEET___ASAP_Utilities" localSheetId="56">#REF!</definedName>
    <definedName name="___INDEX_SHEET___ASAP_Utilities" localSheetId="57">#REF!</definedName>
    <definedName name="___INDEX_SHEET___ASAP_Utilities" localSheetId="58">#REF!</definedName>
    <definedName name="___INDEX_SHEET___ASAP_Utilities" localSheetId="59">#REF!</definedName>
    <definedName name="___INDEX_SHEET___ASAP_Utilities" localSheetId="60">#REF!</definedName>
    <definedName name="___INDEX_SHEET___ASAP_Utilities" localSheetId="25">#REF!</definedName>
    <definedName name="___INDEX_SHEET___ASAP_Utilities" localSheetId="30">#REF!</definedName>
    <definedName name="___INDEX_SHEET___ASAP_Utilities" localSheetId="31">#REF!</definedName>
    <definedName name="___INDEX_SHEET___ASAP_Utilities" localSheetId="2">#REF!</definedName>
    <definedName name="___INDEX_SHEET___ASAP_Utilities" localSheetId="15">#REF!</definedName>
    <definedName name="___INDEX_SHEET___ASAP_Utilities" localSheetId="35">#REF!</definedName>
    <definedName name="___INDEX_SHEET___ASAP_Utilities" localSheetId="19">#REF!</definedName>
    <definedName name="___INDEX_SHEET___ASAP_Utilities" localSheetId="5">#REF!</definedName>
    <definedName name="___INDEX_SHEET___ASAP_Utilities">#REF!</definedName>
    <definedName name="___SCH6" localSheetId="32">'[2]04REL'!#REF!</definedName>
    <definedName name="___SCH6" localSheetId="10">'[2]04REL'!#REF!</definedName>
    <definedName name="___SCH6" localSheetId="11">'[2]04REL'!#REF!</definedName>
    <definedName name="___SCH6" localSheetId="13">'[2]04REL'!#REF!</definedName>
    <definedName name="___SCH6" localSheetId="14">'[2]04REL'!#REF!</definedName>
    <definedName name="___SCH6" localSheetId="47">'[2]04REL'!#REF!</definedName>
    <definedName name="___SCH6" localSheetId="48">'[2]04REL'!#REF!</definedName>
    <definedName name="___SCH6" localSheetId="49">'[2]04REL'!#REF!</definedName>
    <definedName name="___SCH6" localSheetId="50">'[2]04REL'!#REF!</definedName>
    <definedName name="___SCH6" localSheetId="52">'[2]04REL'!#REF!</definedName>
    <definedName name="___SCH6" localSheetId="54">'[2]04REL'!#REF!</definedName>
    <definedName name="___SCH6" localSheetId="55">'[2]04REL'!#REF!</definedName>
    <definedName name="___SCH6" localSheetId="17">'[2]04REL'!#REF!</definedName>
    <definedName name="___SCH6" localSheetId="18">'[2]04REL'!#REF!</definedName>
    <definedName name="___SCH6" localSheetId="56">'[2]04REL'!#REF!</definedName>
    <definedName name="___SCH6" localSheetId="57">'[2]04REL'!#REF!</definedName>
    <definedName name="___SCH6" localSheetId="58">'[2]04REL'!#REF!</definedName>
    <definedName name="___SCH6" localSheetId="59">'[2]04REL'!#REF!</definedName>
    <definedName name="___SCH6" localSheetId="60">'[2]04REL'!#REF!</definedName>
    <definedName name="___SCH6" localSheetId="25">'[2]04REL'!#REF!</definedName>
    <definedName name="___SCH6" localSheetId="30">'[2]04REL'!#REF!</definedName>
    <definedName name="___SCH6" localSheetId="31">'[2]04REL'!#REF!</definedName>
    <definedName name="___SCH6" localSheetId="2">'[3]04REL'!#REF!</definedName>
    <definedName name="___SCH6" localSheetId="15">'[2]04REL'!#REF!</definedName>
    <definedName name="___SCH6" localSheetId="35">'[4]04REL'!#REF!</definedName>
    <definedName name="___SCH6" localSheetId="19">'[2]04REL'!#REF!</definedName>
    <definedName name="___SCH6" localSheetId="5">'[2]04REL'!#REF!</definedName>
    <definedName name="___SCH6">'[2]04REL'!#REF!</definedName>
    <definedName name="_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XL__ENTER_UNIT" localSheetId="32">#REF!</definedName>
    <definedName name="___XL__ENTER_UNIT" localSheetId="11">#REF!</definedName>
    <definedName name="___XL__ENTER_UNIT" localSheetId="13">#REF!</definedName>
    <definedName name="___XL__ENTER_UNIT" localSheetId="17">#REF!</definedName>
    <definedName name="___XL__ENTER_UNIT" localSheetId="56">#REF!</definedName>
    <definedName name="___XL__ENTER_UNIT" localSheetId="57">#REF!</definedName>
    <definedName name="___XL__ENTER_UNIT" localSheetId="58">#REF!</definedName>
    <definedName name="___XL__ENTER_UNIT" localSheetId="59">#REF!</definedName>
    <definedName name="___XL__ENTER_UNIT" localSheetId="60">#REF!</definedName>
    <definedName name="___XL__ENTER_UNIT" localSheetId="25">#REF!</definedName>
    <definedName name="___XL__ENTER_UNIT" localSheetId="30">#REF!</definedName>
    <definedName name="___XL__ENTER_UNIT" localSheetId="31">#REF!</definedName>
    <definedName name="___XL__ENTER_UNIT" localSheetId="2">#REF!</definedName>
    <definedName name="___XL__ENTER_UNIT" localSheetId="15">#REF!</definedName>
    <definedName name="___XL__ENTER_UNIT" localSheetId="35">#REF!</definedName>
    <definedName name="___XL__ENTER_UNIT" localSheetId="19">#REF!</definedName>
    <definedName name="___XL__ENTER_UNIT" localSheetId="5">#REF!</definedName>
    <definedName name="___XL__ENTER_UNIT">#REF!</definedName>
    <definedName name="__123Graph_A" localSheetId="32" hidden="1">[5]CE!#REF!</definedName>
    <definedName name="__123Graph_A" localSheetId="11" hidden="1">[5]CE!#REF!</definedName>
    <definedName name="__123Graph_A" localSheetId="13" hidden="1">[5]CE!#REF!</definedName>
    <definedName name="__123Graph_A" localSheetId="17" hidden="1">[5]CE!#REF!</definedName>
    <definedName name="__123Graph_A" localSheetId="56" hidden="1">[5]CE!#REF!</definedName>
    <definedName name="__123Graph_A" localSheetId="57" hidden="1">[5]CE!#REF!</definedName>
    <definedName name="__123Graph_A" localSheetId="58" hidden="1">[5]CE!#REF!</definedName>
    <definedName name="__123Graph_A" localSheetId="59" hidden="1">[5]CE!#REF!</definedName>
    <definedName name="__123Graph_A" localSheetId="60" hidden="1">[5]CE!#REF!</definedName>
    <definedName name="__123Graph_A" localSheetId="25" hidden="1">[5]CE!#REF!</definedName>
    <definedName name="__123Graph_A" localSheetId="30" hidden="1">[5]CE!#REF!</definedName>
    <definedName name="__123Graph_A" localSheetId="31" hidden="1">[5]CE!#REF!</definedName>
    <definedName name="__123Graph_A" localSheetId="2" hidden="1">[3]CE!#REF!</definedName>
    <definedName name="__123Graph_A" localSheetId="15" hidden="1">[5]CE!#REF!</definedName>
    <definedName name="__123Graph_A" localSheetId="35" hidden="1">[6]CE!#REF!</definedName>
    <definedName name="__123Graph_A" localSheetId="19" hidden="1">[5]CE!#REF!</definedName>
    <definedName name="__123Graph_A" localSheetId="5" hidden="1">[5]CE!#REF!</definedName>
    <definedName name="__123Graph_A" hidden="1">[5]CE!#REF!</definedName>
    <definedName name="__123Graph_AGraph4" localSheetId="57" hidden="1">'[7]01.11.2004'!#REF!</definedName>
    <definedName name="__123Graph_AGraph4" localSheetId="15" hidden="1">'[7]01.11.2004'!#REF!</definedName>
    <definedName name="__123Graph_AGraph4" hidden="1">'[7]01.11.2004'!#REF!</definedName>
    <definedName name="__123Graph_ASTNPLF" localSheetId="32" hidden="1">[5]CE!#REF!</definedName>
    <definedName name="__123Graph_ASTNPLF" localSheetId="11" hidden="1">[5]CE!#REF!</definedName>
    <definedName name="__123Graph_ASTNPLF" localSheetId="13" hidden="1">[5]CE!#REF!</definedName>
    <definedName name="__123Graph_ASTNPLF" localSheetId="17" hidden="1">[5]CE!#REF!</definedName>
    <definedName name="__123Graph_ASTNPLF" localSheetId="56" hidden="1">[5]CE!#REF!</definedName>
    <definedName name="__123Graph_ASTNPLF" localSheetId="57" hidden="1">[5]CE!#REF!</definedName>
    <definedName name="__123Graph_ASTNPLF" localSheetId="58" hidden="1">[5]CE!#REF!</definedName>
    <definedName name="__123Graph_ASTNPLF" localSheetId="59" hidden="1">[5]CE!#REF!</definedName>
    <definedName name="__123Graph_ASTNPLF" localSheetId="60" hidden="1">[5]CE!#REF!</definedName>
    <definedName name="__123Graph_ASTNPLF" localSheetId="25" hidden="1">[5]CE!#REF!</definedName>
    <definedName name="__123Graph_ASTNPLF" localSheetId="30" hidden="1">[5]CE!#REF!</definedName>
    <definedName name="__123Graph_ASTNPLF" localSheetId="31" hidden="1">[5]CE!#REF!</definedName>
    <definedName name="__123Graph_ASTNPLF" localSheetId="2" hidden="1">[3]CE!#REF!</definedName>
    <definedName name="__123Graph_ASTNPLF" localSheetId="15" hidden="1">[5]CE!#REF!</definedName>
    <definedName name="__123Graph_ASTNPLF" localSheetId="35" hidden="1">[6]CE!#REF!</definedName>
    <definedName name="__123Graph_ASTNPLF" localSheetId="19" hidden="1">[5]CE!#REF!</definedName>
    <definedName name="__123Graph_ASTNPLF" localSheetId="5" hidden="1">[5]CE!#REF!</definedName>
    <definedName name="__123Graph_ASTNPLF" hidden="1">[5]CE!#REF!</definedName>
    <definedName name="__123Graph_B" localSheetId="32" hidden="1">[5]CE!#REF!</definedName>
    <definedName name="__123Graph_B" localSheetId="11" hidden="1">[5]CE!#REF!</definedName>
    <definedName name="__123Graph_B" localSheetId="13" hidden="1">[5]CE!#REF!</definedName>
    <definedName name="__123Graph_B" localSheetId="17" hidden="1">[5]CE!#REF!</definedName>
    <definedName name="__123Graph_B" localSheetId="56" hidden="1">[5]CE!#REF!</definedName>
    <definedName name="__123Graph_B" localSheetId="57" hidden="1">[5]CE!#REF!</definedName>
    <definedName name="__123Graph_B" localSheetId="58" hidden="1">[5]CE!#REF!</definedName>
    <definedName name="__123Graph_B" localSheetId="59" hidden="1">[5]CE!#REF!</definedName>
    <definedName name="__123Graph_B" localSheetId="60" hidden="1">[5]CE!#REF!</definedName>
    <definedName name="__123Graph_B" localSheetId="25" hidden="1">[5]CE!#REF!</definedName>
    <definedName name="__123Graph_B" localSheetId="30" hidden="1">[5]CE!#REF!</definedName>
    <definedName name="__123Graph_B" localSheetId="31" hidden="1">[5]CE!#REF!</definedName>
    <definedName name="__123Graph_B" localSheetId="2" hidden="1">[3]CE!#REF!</definedName>
    <definedName name="__123Graph_B" localSheetId="15" hidden="1">[5]CE!#REF!</definedName>
    <definedName name="__123Graph_B" localSheetId="35" hidden="1">[6]CE!#REF!</definedName>
    <definedName name="__123Graph_B" localSheetId="19" hidden="1">[5]CE!#REF!</definedName>
    <definedName name="__123Graph_B" localSheetId="5" hidden="1">[5]CE!#REF!</definedName>
    <definedName name="__123Graph_B" hidden="1">[5]CE!#REF!</definedName>
    <definedName name="__123Graph_BGraph4" localSheetId="57" hidden="1">'[7]01.11.2004'!#REF!</definedName>
    <definedName name="__123Graph_BGraph4" localSheetId="15" hidden="1">'[7]01.11.2004'!#REF!</definedName>
    <definedName name="__123Graph_BGraph4" hidden="1">'[7]01.11.2004'!#REF!</definedName>
    <definedName name="__123Graph_BSTNPLF" localSheetId="32" hidden="1">[5]CE!#REF!</definedName>
    <definedName name="__123Graph_BSTNPLF" localSheetId="11" hidden="1">[5]CE!#REF!</definedName>
    <definedName name="__123Graph_BSTNPLF" localSheetId="13" hidden="1">[5]CE!#REF!</definedName>
    <definedName name="__123Graph_BSTNPLF" localSheetId="17" hidden="1">[5]CE!#REF!</definedName>
    <definedName name="__123Graph_BSTNPLF" localSheetId="56" hidden="1">[5]CE!#REF!</definedName>
    <definedName name="__123Graph_BSTNPLF" localSheetId="57" hidden="1">[5]CE!#REF!</definedName>
    <definedName name="__123Graph_BSTNPLF" localSheetId="58" hidden="1">[5]CE!#REF!</definedName>
    <definedName name="__123Graph_BSTNPLF" localSheetId="59" hidden="1">[5]CE!#REF!</definedName>
    <definedName name="__123Graph_BSTNPLF" localSheetId="60" hidden="1">[5]CE!#REF!</definedName>
    <definedName name="__123Graph_BSTNPLF" localSheetId="25" hidden="1">[5]CE!#REF!</definedName>
    <definedName name="__123Graph_BSTNPLF" localSheetId="30" hidden="1">[5]CE!#REF!</definedName>
    <definedName name="__123Graph_BSTNPLF" localSheetId="31" hidden="1">[5]CE!#REF!</definedName>
    <definedName name="__123Graph_BSTNPLF" localSheetId="2" hidden="1">[3]CE!#REF!</definedName>
    <definedName name="__123Graph_BSTNPLF" localSheetId="15" hidden="1">[5]CE!#REF!</definedName>
    <definedName name="__123Graph_BSTNPLF" localSheetId="35" hidden="1">[6]CE!#REF!</definedName>
    <definedName name="__123Graph_BSTNPLF" localSheetId="19" hidden="1">[5]CE!#REF!</definedName>
    <definedName name="__123Graph_BSTNPLF" localSheetId="5" hidden="1">[5]CE!#REF!</definedName>
    <definedName name="__123Graph_BSTNPLF" hidden="1">[5]CE!#REF!</definedName>
    <definedName name="__123Graph_C" localSheetId="32" hidden="1">[5]CE!#REF!</definedName>
    <definedName name="__123Graph_C" localSheetId="11" hidden="1">[5]CE!#REF!</definedName>
    <definedName name="__123Graph_C" localSheetId="13" hidden="1">[5]CE!#REF!</definedName>
    <definedName name="__123Graph_C" localSheetId="17" hidden="1">[5]CE!#REF!</definedName>
    <definedName name="__123Graph_C" localSheetId="56" hidden="1">[5]CE!#REF!</definedName>
    <definedName name="__123Graph_C" localSheetId="57" hidden="1">[5]CE!#REF!</definedName>
    <definedName name="__123Graph_C" localSheetId="58" hidden="1">[5]CE!#REF!</definedName>
    <definedName name="__123Graph_C" localSheetId="59" hidden="1">[5]CE!#REF!</definedName>
    <definedName name="__123Graph_C" localSheetId="60" hidden="1">[5]CE!#REF!</definedName>
    <definedName name="__123Graph_C" localSheetId="25" hidden="1">[5]CE!#REF!</definedName>
    <definedName name="__123Graph_C" localSheetId="30" hidden="1">[5]CE!#REF!</definedName>
    <definedName name="__123Graph_C" localSheetId="31" hidden="1">[5]CE!#REF!</definedName>
    <definedName name="__123Graph_C" localSheetId="2" hidden="1">[3]CE!#REF!</definedName>
    <definedName name="__123Graph_C" localSheetId="15" hidden="1">[5]CE!#REF!</definedName>
    <definedName name="__123Graph_C" localSheetId="35" hidden="1">[6]CE!#REF!</definedName>
    <definedName name="__123Graph_C" localSheetId="19" hidden="1">[5]CE!#REF!</definedName>
    <definedName name="__123Graph_C" localSheetId="5" hidden="1">[5]CE!#REF!</definedName>
    <definedName name="__123Graph_C" hidden="1">[5]CE!#REF!</definedName>
    <definedName name="__123Graph_CGraph4" localSheetId="57" hidden="1">'[7]01.11.2004'!#REF!</definedName>
    <definedName name="__123Graph_CGraph4" localSheetId="15" hidden="1">'[7]01.11.2004'!#REF!</definedName>
    <definedName name="__123Graph_CGraph4" hidden="1">'[7]01.11.2004'!#REF!</definedName>
    <definedName name="__123Graph_CSTNPLF" localSheetId="32" hidden="1">[5]CE!#REF!</definedName>
    <definedName name="__123Graph_CSTNPLF" localSheetId="11" hidden="1">[5]CE!#REF!</definedName>
    <definedName name="__123Graph_CSTNPLF" localSheetId="13" hidden="1">[5]CE!#REF!</definedName>
    <definedName name="__123Graph_CSTNPLF" localSheetId="17" hidden="1">[5]CE!#REF!</definedName>
    <definedName name="__123Graph_CSTNPLF" localSheetId="56" hidden="1">[5]CE!#REF!</definedName>
    <definedName name="__123Graph_CSTNPLF" localSheetId="57" hidden="1">[5]CE!#REF!</definedName>
    <definedName name="__123Graph_CSTNPLF" localSheetId="58" hidden="1">[5]CE!#REF!</definedName>
    <definedName name="__123Graph_CSTNPLF" localSheetId="59" hidden="1">[5]CE!#REF!</definedName>
    <definedName name="__123Graph_CSTNPLF" localSheetId="60" hidden="1">[5]CE!#REF!</definedName>
    <definedName name="__123Graph_CSTNPLF" localSheetId="25" hidden="1">[5]CE!#REF!</definedName>
    <definedName name="__123Graph_CSTNPLF" localSheetId="30" hidden="1">[5]CE!#REF!</definedName>
    <definedName name="__123Graph_CSTNPLF" localSheetId="31" hidden="1">[5]CE!#REF!</definedName>
    <definedName name="__123Graph_CSTNPLF" localSheetId="2" hidden="1">[3]CE!#REF!</definedName>
    <definedName name="__123Graph_CSTNPLF" localSheetId="15" hidden="1">[5]CE!#REF!</definedName>
    <definedName name="__123Graph_CSTNPLF" localSheetId="35" hidden="1">[6]CE!#REF!</definedName>
    <definedName name="__123Graph_CSTNPLF" localSheetId="19" hidden="1">[5]CE!#REF!</definedName>
    <definedName name="__123Graph_CSTNPLF" localSheetId="5" hidden="1">[5]CE!#REF!</definedName>
    <definedName name="__123Graph_CSTNPLF" hidden="1">[5]CE!#REF!</definedName>
    <definedName name="__123Graph_D" hidden="1">'[8]BALANCE SHEET'!$K$58:$K$67</definedName>
    <definedName name="__123Graph_E" hidden="1">'[8]BALANCE SHEET'!$L$58:$L$67</definedName>
    <definedName name="__123Graph_F" hidden="1">'[8]BALANCE SHEET'!$M$58:$M$67</definedName>
    <definedName name="__123Graph_X" localSheetId="32" hidden="1">[5]CE!#REF!</definedName>
    <definedName name="__123Graph_X" localSheetId="11" hidden="1">[5]CE!#REF!</definedName>
    <definedName name="__123Graph_X" localSheetId="13" hidden="1">[5]CE!#REF!</definedName>
    <definedName name="__123Graph_X" localSheetId="17" hidden="1">[5]CE!#REF!</definedName>
    <definedName name="__123Graph_X" localSheetId="56" hidden="1">[5]CE!#REF!</definedName>
    <definedName name="__123Graph_X" localSheetId="57" hidden="1">[5]CE!#REF!</definedName>
    <definedName name="__123Graph_X" localSheetId="58" hidden="1">[5]CE!#REF!</definedName>
    <definedName name="__123Graph_X" localSheetId="59" hidden="1">[5]CE!#REF!</definedName>
    <definedName name="__123Graph_X" localSheetId="60" hidden="1">[5]CE!#REF!</definedName>
    <definedName name="__123Graph_X" localSheetId="25" hidden="1">[5]CE!#REF!</definedName>
    <definedName name="__123Graph_X" localSheetId="30" hidden="1">[5]CE!#REF!</definedName>
    <definedName name="__123Graph_X" localSheetId="31" hidden="1">[5]CE!#REF!</definedName>
    <definedName name="__123Graph_X" localSheetId="2" hidden="1">[3]CE!#REF!</definedName>
    <definedName name="__123Graph_X" localSheetId="15" hidden="1">[5]CE!#REF!</definedName>
    <definedName name="__123Graph_X" localSheetId="35" hidden="1">[6]CE!#REF!</definedName>
    <definedName name="__123Graph_X" localSheetId="19" hidden="1">[5]CE!#REF!</definedName>
    <definedName name="__123Graph_X" localSheetId="5" hidden="1">[5]CE!#REF!</definedName>
    <definedName name="__123Graph_X" hidden="1">[5]CE!#REF!</definedName>
    <definedName name="__123Graph_XSTNPLF" localSheetId="32" hidden="1">[5]CE!#REF!</definedName>
    <definedName name="__123Graph_XSTNPLF" localSheetId="11" hidden="1">[5]CE!#REF!</definedName>
    <definedName name="__123Graph_XSTNPLF" localSheetId="13" hidden="1">[5]CE!#REF!</definedName>
    <definedName name="__123Graph_XSTNPLF" localSheetId="17" hidden="1">[5]CE!#REF!</definedName>
    <definedName name="__123Graph_XSTNPLF" localSheetId="56" hidden="1">[5]CE!#REF!</definedName>
    <definedName name="__123Graph_XSTNPLF" localSheetId="57" hidden="1">[5]CE!#REF!</definedName>
    <definedName name="__123Graph_XSTNPLF" localSheetId="58" hidden="1">[5]CE!#REF!</definedName>
    <definedName name="__123Graph_XSTNPLF" localSheetId="59" hidden="1">[5]CE!#REF!</definedName>
    <definedName name="__123Graph_XSTNPLF" localSheetId="60" hidden="1">[5]CE!#REF!</definedName>
    <definedName name="__123Graph_XSTNPLF" localSheetId="25" hidden="1">[5]CE!#REF!</definedName>
    <definedName name="__123Graph_XSTNPLF" localSheetId="30" hidden="1">[5]CE!#REF!</definedName>
    <definedName name="__123Graph_XSTNPLF" localSheetId="31" hidden="1">[5]CE!#REF!</definedName>
    <definedName name="__123Graph_XSTNPLF" localSheetId="2" hidden="1">[3]CE!#REF!</definedName>
    <definedName name="__123Graph_XSTNPLF" localSheetId="15" hidden="1">[5]CE!#REF!</definedName>
    <definedName name="__123Graph_XSTNPLF" localSheetId="35" hidden="1">[6]CE!#REF!</definedName>
    <definedName name="__123Graph_XSTNPLF" localSheetId="19" hidden="1">[5]CE!#REF!</definedName>
    <definedName name="__123Graph_XSTNPLF" localSheetId="5" hidden="1">[5]CE!#REF!</definedName>
    <definedName name="__123Graph_XSTNPLF" hidden="1">[5]CE!#REF!</definedName>
    <definedName name="__Cur3">'[9]x-rate'!$A$2:$B$10</definedName>
    <definedName name="__DOWN_10__GOTO" localSheetId="32">#REF!</definedName>
    <definedName name="__DOWN_10__GOTO" localSheetId="11">#REF!</definedName>
    <definedName name="__DOWN_10__GOTO" localSheetId="13">#REF!</definedName>
    <definedName name="__DOWN_10__GOTO" localSheetId="17">#REF!</definedName>
    <definedName name="__DOWN_10__GOTO" localSheetId="56">#REF!</definedName>
    <definedName name="__DOWN_10__GOTO" localSheetId="57">#REF!</definedName>
    <definedName name="__DOWN_10__GOTO" localSheetId="58">#REF!</definedName>
    <definedName name="__DOWN_10__GOTO" localSheetId="59">#REF!</definedName>
    <definedName name="__DOWN_10__GOTO" localSheetId="60">#REF!</definedName>
    <definedName name="__DOWN_10__GOTO" localSheetId="25">#REF!</definedName>
    <definedName name="__DOWN_10__GOTO" localSheetId="30">#REF!</definedName>
    <definedName name="__DOWN_10__GOTO" localSheetId="31">#REF!</definedName>
    <definedName name="__DOWN_10__GOTO" localSheetId="2">#REF!</definedName>
    <definedName name="__DOWN_10__GOTO" localSheetId="15">#REF!</definedName>
    <definedName name="__DOWN_10__GOTO" localSheetId="35">#REF!</definedName>
    <definedName name="__DOWN_10__GOTO" localSheetId="19">#REF!</definedName>
    <definedName name="__DOWN_10__GOTO" localSheetId="5">#REF!</definedName>
    <definedName name="__DOWN_10__GOTO">#REF!</definedName>
    <definedName name="__ES84__EW84_0." localSheetId="32">#REF!</definedName>
    <definedName name="__ES84__EW84_0." localSheetId="11">#REF!</definedName>
    <definedName name="__ES84__EW84_0." localSheetId="13">#REF!</definedName>
    <definedName name="__ES84__EW84_0." localSheetId="17">#REF!</definedName>
    <definedName name="__ES84__EW84_0." localSheetId="56">#REF!</definedName>
    <definedName name="__ES84__EW84_0." localSheetId="57">#REF!</definedName>
    <definedName name="__ES84__EW84_0." localSheetId="58">#REF!</definedName>
    <definedName name="__ES84__EW84_0." localSheetId="59">#REF!</definedName>
    <definedName name="__ES84__EW84_0." localSheetId="60">#REF!</definedName>
    <definedName name="__ES84__EW84_0." localSheetId="25">#REF!</definedName>
    <definedName name="__ES84__EW84_0." localSheetId="30">#REF!</definedName>
    <definedName name="__ES84__EW84_0." localSheetId="31">#REF!</definedName>
    <definedName name="__ES84__EW84_0." localSheetId="2">#REF!</definedName>
    <definedName name="__ES84__EW84_0." localSheetId="15">#REF!</definedName>
    <definedName name="__ES84__EW84_0." localSheetId="35">#REF!</definedName>
    <definedName name="__ES84__EW84_0." localSheetId="19">#REF!</definedName>
    <definedName name="__ES84__EW84_0." localSheetId="5">#REF!</definedName>
    <definedName name="__ES84__EW84_0.">#REF!</definedName>
    <definedName name="__GOTO_EP84__AV" localSheetId="32">#REF!</definedName>
    <definedName name="__GOTO_EP84__AV" localSheetId="11">#REF!</definedName>
    <definedName name="__GOTO_EP84__AV" localSheetId="13">#REF!</definedName>
    <definedName name="__GOTO_EP84__AV" localSheetId="17">#REF!</definedName>
    <definedName name="__GOTO_EP84__AV" localSheetId="56">#REF!</definedName>
    <definedName name="__GOTO_EP84__AV" localSheetId="57">#REF!</definedName>
    <definedName name="__GOTO_EP84__AV" localSheetId="58">#REF!</definedName>
    <definedName name="__GOTO_EP84__AV" localSheetId="59">#REF!</definedName>
    <definedName name="__GOTO_EP84__AV" localSheetId="60">#REF!</definedName>
    <definedName name="__GOTO_EP84__AV" localSheetId="25">#REF!</definedName>
    <definedName name="__GOTO_EP84__AV" localSheetId="30">#REF!</definedName>
    <definedName name="__GOTO_EP84__AV" localSheetId="31">#REF!</definedName>
    <definedName name="__GOTO_EP84__AV" localSheetId="2">#REF!</definedName>
    <definedName name="__GOTO_EP84__AV" localSheetId="15">#REF!</definedName>
    <definedName name="__GOTO_EP84__AV" localSheetId="35">#REF!</definedName>
    <definedName name="__GOTO_EP84__AV" localSheetId="19">#REF!</definedName>
    <definedName name="__GOTO_EP84__AV" localSheetId="5">#REF!</definedName>
    <definedName name="__GOTO_EP84__AV">#REF!</definedName>
    <definedName name="__SCH6" localSheetId="32">'[2]04REL'!#REF!</definedName>
    <definedName name="__SCH6" localSheetId="10">'[2]04REL'!#REF!</definedName>
    <definedName name="__SCH6" localSheetId="11">'[2]04REL'!#REF!</definedName>
    <definedName name="__SCH6" localSheetId="13">'[2]04REL'!#REF!</definedName>
    <definedName name="__SCH6" localSheetId="14">'[2]04REL'!#REF!</definedName>
    <definedName name="__SCH6" localSheetId="47">'[2]04REL'!#REF!</definedName>
    <definedName name="__SCH6" localSheetId="48">'[2]04REL'!#REF!</definedName>
    <definedName name="__SCH6" localSheetId="49">'[2]04REL'!#REF!</definedName>
    <definedName name="__SCH6" localSheetId="50">'[2]04REL'!#REF!</definedName>
    <definedName name="__SCH6" localSheetId="52">'[2]04REL'!#REF!</definedName>
    <definedName name="__SCH6" localSheetId="54">'[2]04REL'!#REF!</definedName>
    <definedName name="__SCH6" localSheetId="55">'[2]04REL'!#REF!</definedName>
    <definedName name="__SCH6" localSheetId="17">'[2]04REL'!#REF!</definedName>
    <definedName name="__SCH6" localSheetId="18">'[2]04REL'!#REF!</definedName>
    <definedName name="__SCH6" localSheetId="56">'[2]04REL'!#REF!</definedName>
    <definedName name="__SCH6" localSheetId="57">'[2]04REL'!#REF!</definedName>
    <definedName name="__SCH6" localSheetId="58">'[2]04REL'!#REF!</definedName>
    <definedName name="__SCH6" localSheetId="59">'[2]04REL'!#REF!</definedName>
    <definedName name="__SCH6" localSheetId="60">'[2]04REL'!#REF!</definedName>
    <definedName name="__SCH6" localSheetId="25">'[2]04REL'!#REF!</definedName>
    <definedName name="__SCH6" localSheetId="30">'[2]04REL'!#REF!</definedName>
    <definedName name="__SCH6" localSheetId="31">'[2]04REL'!#REF!</definedName>
    <definedName name="__SCH6" localSheetId="2">'[3]04REL'!#REF!</definedName>
    <definedName name="__SCH6" localSheetId="15">'[2]04REL'!#REF!</definedName>
    <definedName name="__SCH6" localSheetId="35">'[4]04REL'!#REF!</definedName>
    <definedName name="__SCH6" localSheetId="19">'[2]04REL'!#REF!</definedName>
    <definedName name="__SCH6" localSheetId="5">'[2]04REL'!#REF!</definedName>
    <definedName name="__SCH6">'[2]04REL'!#REF!</definedName>
    <definedName name="__SUM_CS57..CS6" localSheetId="32">#REF!</definedName>
    <definedName name="__SUM_CS57..CS6" localSheetId="11">#REF!</definedName>
    <definedName name="__SUM_CS57..CS6" localSheetId="13">#REF!</definedName>
    <definedName name="__SUM_CS57..CS6" localSheetId="17">#REF!</definedName>
    <definedName name="__SUM_CS57..CS6" localSheetId="56">#REF!</definedName>
    <definedName name="__SUM_CS57..CS6" localSheetId="57">#REF!</definedName>
    <definedName name="__SUM_CS57..CS6" localSheetId="58">#REF!</definedName>
    <definedName name="__SUM_CS57..CS6" localSheetId="59">#REF!</definedName>
    <definedName name="__SUM_CS57..CS6" localSheetId="60">#REF!</definedName>
    <definedName name="__SUM_CS57..CS6" localSheetId="25">#REF!</definedName>
    <definedName name="__SUM_CS57..CS6" localSheetId="30">#REF!</definedName>
    <definedName name="__SUM_CS57..CS6" localSheetId="31">#REF!</definedName>
    <definedName name="__SUM_CS57..CS6" localSheetId="2">#REF!</definedName>
    <definedName name="__SUM_CS57..CS6" localSheetId="15">#REF!</definedName>
    <definedName name="__SUM_CS57..CS6" localSheetId="35">#REF!</definedName>
    <definedName name="__SUM_CS57..CS6" localSheetId="19">#REF!</definedName>
    <definedName name="__SUM_CS57..CS6" localSheetId="5">#REF!</definedName>
    <definedName name="__SUM_CS57..CS6">#REF!</definedName>
    <definedName name="__SUM_CS65..CS7" localSheetId="32">#REF!</definedName>
    <definedName name="__SUM_CS65..CS7" localSheetId="11">#REF!</definedName>
    <definedName name="__SUM_CS65..CS7" localSheetId="13">#REF!</definedName>
    <definedName name="__SUM_CS65..CS7" localSheetId="17">#REF!</definedName>
    <definedName name="__SUM_CS65..CS7" localSheetId="56">#REF!</definedName>
    <definedName name="__SUM_CS65..CS7" localSheetId="57">#REF!</definedName>
    <definedName name="__SUM_CS65..CS7" localSheetId="58">#REF!</definedName>
    <definedName name="__SUM_CS65..CS7" localSheetId="59">#REF!</definedName>
    <definedName name="__SUM_CS65..CS7" localSheetId="60">#REF!</definedName>
    <definedName name="__SUM_CS65..CS7" localSheetId="25">#REF!</definedName>
    <definedName name="__SUM_CS65..CS7" localSheetId="30">#REF!</definedName>
    <definedName name="__SUM_CS65..CS7" localSheetId="31">#REF!</definedName>
    <definedName name="__SUM_CS65..CS7" localSheetId="2">#REF!</definedName>
    <definedName name="__SUM_CS65..CS7" localSheetId="15">#REF!</definedName>
    <definedName name="__SUM_CS65..CS7" localSheetId="35">#REF!</definedName>
    <definedName name="__SUM_CS65..CS7" localSheetId="19">#REF!</definedName>
    <definedName name="__SUM_CS65..CS7" localSheetId="5">#REF!</definedName>
    <definedName name="__SUM_CS65..CS7">#REF!</definedName>
    <definedName name="__SUM_FQ20..FQ2" localSheetId="32">#REF!</definedName>
    <definedName name="__SUM_FQ20..FQ2" localSheetId="11">#REF!</definedName>
    <definedName name="__SUM_FQ20..FQ2" localSheetId="13">#REF!</definedName>
    <definedName name="__SUM_FQ20..FQ2" localSheetId="17">#REF!</definedName>
    <definedName name="__SUM_FQ20..FQ2" localSheetId="56">#REF!</definedName>
    <definedName name="__SUM_FQ20..FQ2" localSheetId="57">#REF!</definedName>
    <definedName name="__SUM_FQ20..FQ2" localSheetId="58">#REF!</definedName>
    <definedName name="__SUM_FQ20..FQ2" localSheetId="59">#REF!</definedName>
    <definedName name="__SUM_FQ20..FQ2" localSheetId="60">#REF!</definedName>
    <definedName name="__SUM_FQ20..FQ2" localSheetId="25">#REF!</definedName>
    <definedName name="__SUM_FQ20..FQ2" localSheetId="30">#REF!</definedName>
    <definedName name="__SUM_FQ20..FQ2" localSheetId="31">#REF!</definedName>
    <definedName name="__SUM_FQ20..FQ2" localSheetId="2">#REF!</definedName>
    <definedName name="__SUM_FQ20..FQ2" localSheetId="15">#REF!</definedName>
    <definedName name="__SUM_FQ20..FQ2" localSheetId="35">#REF!</definedName>
    <definedName name="__SUM_FQ20..FQ2" localSheetId="19">#REF!</definedName>
    <definedName name="__SUM_FQ20..FQ2" localSheetId="5">#REF!</definedName>
    <definedName name="__SUM_FQ20..FQ2">#REF!</definedName>
    <definedName name="__SUM_FQ28..FQ3" localSheetId="32">#REF!</definedName>
    <definedName name="__SUM_FQ28..FQ3" localSheetId="11">#REF!</definedName>
    <definedName name="__SUM_FQ28..FQ3" localSheetId="13">#REF!</definedName>
    <definedName name="__SUM_FQ28..FQ3" localSheetId="17">#REF!</definedName>
    <definedName name="__SUM_FQ28..FQ3" localSheetId="56">#REF!</definedName>
    <definedName name="__SUM_FQ28..FQ3" localSheetId="57">#REF!</definedName>
    <definedName name="__SUM_FQ28..FQ3" localSheetId="58">#REF!</definedName>
    <definedName name="__SUM_FQ28..FQ3" localSheetId="59">#REF!</definedName>
    <definedName name="__SUM_FQ28..FQ3" localSheetId="60">#REF!</definedName>
    <definedName name="__SUM_FQ28..FQ3" localSheetId="25">#REF!</definedName>
    <definedName name="__SUM_FQ28..FQ3" localSheetId="30">#REF!</definedName>
    <definedName name="__SUM_FQ28..FQ3" localSheetId="31">#REF!</definedName>
    <definedName name="__SUM_FQ28..FQ3" localSheetId="2">#REF!</definedName>
    <definedName name="__SUM_FQ28..FQ3" localSheetId="15">#REF!</definedName>
    <definedName name="__SUM_FQ28..FQ3" localSheetId="35">#REF!</definedName>
    <definedName name="__SUM_FQ28..FQ3" localSheetId="19">#REF!</definedName>
    <definedName name="__SUM_FQ28..FQ3" localSheetId="5">#REF!</definedName>
    <definedName name="__SUM_FQ28..FQ3">#REF!</definedName>
    <definedName name="__VAL3">'[10]x-rate'!$A$2:$B$11</definedName>
    <definedName name="_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XL__ENTER_UNIT" localSheetId="32">#REF!</definedName>
    <definedName name="__XL__ENTER_UNIT" localSheetId="11">#REF!</definedName>
    <definedName name="__XL__ENTER_UNIT" localSheetId="13">#REF!</definedName>
    <definedName name="__XL__ENTER_UNIT" localSheetId="17">#REF!</definedName>
    <definedName name="__XL__ENTER_UNIT" localSheetId="56">#REF!</definedName>
    <definedName name="__XL__ENTER_UNIT" localSheetId="57">#REF!</definedName>
    <definedName name="__XL__ENTER_UNIT" localSheetId="58">#REF!</definedName>
    <definedName name="__XL__ENTER_UNIT" localSheetId="59">#REF!</definedName>
    <definedName name="__XL__ENTER_UNIT" localSheetId="60">#REF!</definedName>
    <definedName name="__XL__ENTER_UNIT" localSheetId="25">#REF!</definedName>
    <definedName name="__XL__ENTER_UNIT" localSheetId="30">#REF!</definedName>
    <definedName name="__XL__ENTER_UNIT" localSheetId="31">#REF!</definedName>
    <definedName name="__XL__ENTER_UNIT" localSheetId="2">#REF!</definedName>
    <definedName name="__XL__ENTER_UNIT" localSheetId="15">#REF!</definedName>
    <definedName name="__XL__ENTER_UNIT" localSheetId="35">#REF!</definedName>
    <definedName name="__XL__ENTER_UNIT" localSheetId="19">#REF!</definedName>
    <definedName name="__XL__ENTER_UNIT" localSheetId="5">#REF!</definedName>
    <definedName name="__XL__ENTER_UNIT">#REF!</definedName>
    <definedName name="_1___123Graph_AI_II_PLF" localSheetId="57" hidden="1">[11]CE!#REF!</definedName>
    <definedName name="_1___123Graph_AI_II_PLF" localSheetId="15" hidden="1">[11]CE!#REF!</definedName>
    <definedName name="_1___123Graph_AI_II_PLF" hidden="1">[11]CE!#REF!</definedName>
    <definedName name="_12__123Graph_BI_II_PLF" localSheetId="57" hidden="1">#REF!</definedName>
    <definedName name="_12__123Graph_BI_II_PLF" localSheetId="15" hidden="1">#REF!</definedName>
    <definedName name="_12__123Graph_BI_II_PLF" hidden="1">#REF!</definedName>
    <definedName name="_123Graph_B" localSheetId="57" hidden="1">[6]CE!#REF!</definedName>
    <definedName name="_123Graph_B" localSheetId="15" hidden="1">[6]CE!#REF!</definedName>
    <definedName name="_123Graph_B" hidden="1">[6]CE!#REF!</definedName>
    <definedName name="_18__123Graph_CI_II_PLF" localSheetId="57" hidden="1">#REF!</definedName>
    <definedName name="_18__123Graph_CI_II_PLF" localSheetId="15" hidden="1">#REF!</definedName>
    <definedName name="_18__123Graph_CI_II_PLF" hidden="1">#REF!</definedName>
    <definedName name="_2___123Graph_BI_II_PLF" localSheetId="57" hidden="1">[11]CE!#REF!</definedName>
    <definedName name="_2___123Graph_BI_II_PLF" localSheetId="15" hidden="1">[11]CE!#REF!</definedName>
    <definedName name="_2___123Graph_BI_II_PLF" hidden="1">[11]CE!#REF!</definedName>
    <definedName name="_24__123Graph_XI_II_PLF" localSheetId="57" hidden="1">#REF!</definedName>
    <definedName name="_24__123Graph_XI_II_PLF" localSheetId="15" hidden="1">#REF!</definedName>
    <definedName name="_24__123Graph_XI_II_PLF" hidden="1">#REF!</definedName>
    <definedName name="_3___123Graph_CI_II_PLF" localSheetId="57" hidden="1">[11]CE!#REF!</definedName>
    <definedName name="_3___123Graph_CI_II_PLF" localSheetId="15" hidden="1">[11]CE!#REF!</definedName>
    <definedName name="_3___123Graph_CI_II_PLF" hidden="1">[11]CE!#REF!</definedName>
    <definedName name="_4___123Graph_XI_II_PLF" localSheetId="57" hidden="1">[11]CE!#REF!</definedName>
    <definedName name="_4___123Graph_XI_II_PLF" localSheetId="15" hidden="1">[11]CE!#REF!</definedName>
    <definedName name="_4___123Graph_XI_II_PLF" hidden="1">[11]CE!#REF!</definedName>
    <definedName name="_5" localSheetId="32">#REF!</definedName>
    <definedName name="_5" localSheetId="11">#REF!</definedName>
    <definedName name="_5" localSheetId="13">#REF!</definedName>
    <definedName name="_5" localSheetId="17">#REF!</definedName>
    <definedName name="_5" localSheetId="56">#REF!</definedName>
    <definedName name="_5" localSheetId="57">#REF!</definedName>
    <definedName name="_5" localSheetId="58">#REF!</definedName>
    <definedName name="_5" localSheetId="59">#REF!</definedName>
    <definedName name="_5" localSheetId="60">#REF!</definedName>
    <definedName name="_5" localSheetId="25">#REF!</definedName>
    <definedName name="_5" localSheetId="30">#REF!</definedName>
    <definedName name="_5" localSheetId="31">#REF!</definedName>
    <definedName name="_5" localSheetId="2">#REF!</definedName>
    <definedName name="_5" localSheetId="15">#REF!</definedName>
    <definedName name="_5" localSheetId="35">#REF!</definedName>
    <definedName name="_5" localSheetId="19">#REF!</definedName>
    <definedName name="_5" localSheetId="5">#REF!</definedName>
    <definedName name="_5">#REF!</definedName>
    <definedName name="_5__123Graph_AI_II_PLF" localSheetId="57" hidden="1">[12]CE!#REF!</definedName>
    <definedName name="_5__123Graph_AI_II_PLF" localSheetId="15" hidden="1">[12]CE!#REF!</definedName>
    <definedName name="_5__123Graph_AI_II_PLF" hidden="1">[12]CE!#REF!</definedName>
    <definedName name="_6" localSheetId="32">#REF!</definedName>
    <definedName name="_6" localSheetId="11">#REF!</definedName>
    <definedName name="_6" localSheetId="13">#REF!</definedName>
    <definedName name="_6" localSheetId="17">#REF!</definedName>
    <definedName name="_6" localSheetId="56">#REF!</definedName>
    <definedName name="_6" localSheetId="57">#REF!</definedName>
    <definedName name="_6" localSheetId="58">#REF!</definedName>
    <definedName name="_6" localSheetId="59">#REF!</definedName>
    <definedName name="_6" localSheetId="60">#REF!</definedName>
    <definedName name="_6" localSheetId="25">#REF!</definedName>
    <definedName name="_6" localSheetId="30">#REF!</definedName>
    <definedName name="_6" localSheetId="31">#REF!</definedName>
    <definedName name="_6" localSheetId="2">#REF!</definedName>
    <definedName name="_6" localSheetId="15">#REF!</definedName>
    <definedName name="_6" localSheetId="35">#REF!</definedName>
    <definedName name="_6" localSheetId="19">#REF!</definedName>
    <definedName name="_6" localSheetId="5">#REF!</definedName>
    <definedName name="_6">#REF!</definedName>
    <definedName name="_6__123Graph_AI_II_PLF" localSheetId="57" hidden="1">#REF!</definedName>
    <definedName name="_6__123Graph_AI_II_PLF" localSheetId="15" hidden="1">#REF!</definedName>
    <definedName name="_6__123Graph_AI_II_PLF" hidden="1">#REF!</definedName>
    <definedName name="_6__123Graph_BI_II_PLF" localSheetId="57" hidden="1">[12]CE!#REF!</definedName>
    <definedName name="_6__123Graph_BI_II_PLF" localSheetId="15" hidden="1">[12]CE!#REF!</definedName>
    <definedName name="_6__123Graph_BI_II_PLF" hidden="1">[12]CE!#REF!</definedName>
    <definedName name="_7__123Graph_CI_II_PLF" localSheetId="57" hidden="1">[12]CE!#REF!</definedName>
    <definedName name="_7__123Graph_CI_II_PLF" localSheetId="15" hidden="1">[12]CE!#REF!</definedName>
    <definedName name="_7__123Graph_CI_II_PLF" hidden="1">[12]CE!#REF!</definedName>
    <definedName name="_8__123Graph_XI_II_PLF" localSheetId="57" hidden="1">[12]CE!#REF!</definedName>
    <definedName name="_8__123Graph_XI_II_PLF" localSheetId="15" hidden="1">[12]CE!#REF!</definedName>
    <definedName name="_8__123Graph_XI_II_PLF" hidden="1">[12]CE!#REF!</definedName>
    <definedName name="_A99999">#REF!</definedName>
    <definedName name="_Cur3">'[9]x-rate'!$A$2:$B$10</definedName>
    <definedName name="_D___GOTO_GK112" localSheetId="32">#REF!</definedName>
    <definedName name="_D___GOTO_GK112" localSheetId="11">#REF!</definedName>
    <definedName name="_D___GOTO_GK112" localSheetId="13">#REF!</definedName>
    <definedName name="_D___GOTO_GK112" localSheetId="17">#REF!</definedName>
    <definedName name="_D___GOTO_GK112" localSheetId="56">#REF!</definedName>
    <definedName name="_D___GOTO_GK112" localSheetId="57">#REF!</definedName>
    <definedName name="_D___GOTO_GK112" localSheetId="58">#REF!</definedName>
    <definedName name="_D___GOTO_GK112" localSheetId="59">#REF!</definedName>
    <definedName name="_D___GOTO_GK112" localSheetId="60">#REF!</definedName>
    <definedName name="_D___GOTO_GK112" localSheetId="25">#REF!</definedName>
    <definedName name="_D___GOTO_GK112" localSheetId="30">#REF!</definedName>
    <definedName name="_D___GOTO_GK112" localSheetId="31">#REF!</definedName>
    <definedName name="_D___GOTO_GK112" localSheetId="2">#REF!</definedName>
    <definedName name="_D___GOTO_GK112" localSheetId="15">#REF!</definedName>
    <definedName name="_D___GOTO_GK112" localSheetId="35">#REF!</definedName>
    <definedName name="_D___GOTO_GK112" localSheetId="19">#REF!</definedName>
    <definedName name="_D___GOTO_GK112" localSheetId="5">#REF!</definedName>
    <definedName name="_D___GOTO_GK112">#REF!</definedName>
    <definedName name="_D___GOTO_GK56_" localSheetId="32">#REF!</definedName>
    <definedName name="_D___GOTO_GK56_" localSheetId="11">#REF!</definedName>
    <definedName name="_D___GOTO_GK56_" localSheetId="13">#REF!</definedName>
    <definedName name="_D___GOTO_GK56_" localSheetId="17">#REF!</definedName>
    <definedName name="_D___GOTO_GK56_" localSheetId="56">#REF!</definedName>
    <definedName name="_D___GOTO_GK56_" localSheetId="57">#REF!</definedName>
    <definedName name="_D___GOTO_GK56_" localSheetId="58">#REF!</definedName>
    <definedName name="_D___GOTO_GK56_" localSheetId="59">#REF!</definedName>
    <definedName name="_D___GOTO_GK56_" localSheetId="60">#REF!</definedName>
    <definedName name="_D___GOTO_GK56_" localSheetId="25">#REF!</definedName>
    <definedName name="_D___GOTO_GK56_" localSheetId="30">#REF!</definedName>
    <definedName name="_D___GOTO_GK56_" localSheetId="31">#REF!</definedName>
    <definedName name="_D___GOTO_GK56_" localSheetId="2">#REF!</definedName>
    <definedName name="_D___GOTO_GK56_" localSheetId="15">#REF!</definedName>
    <definedName name="_D___GOTO_GK56_" localSheetId="35">#REF!</definedName>
    <definedName name="_D___GOTO_GK56_" localSheetId="19">#REF!</definedName>
    <definedName name="_D___GOTO_GK56_" localSheetId="5">#REF!</definedName>
    <definedName name="_D___GOTO_GK56_">#REF!</definedName>
    <definedName name="_D__D___L___GOT" localSheetId="32">#REF!</definedName>
    <definedName name="_D__D___L___GOT" localSheetId="11">#REF!</definedName>
    <definedName name="_D__D___L___GOT" localSheetId="13">#REF!</definedName>
    <definedName name="_D__D___L___GOT" localSheetId="17">#REF!</definedName>
    <definedName name="_D__D___L___GOT" localSheetId="56">#REF!</definedName>
    <definedName name="_D__D___L___GOT" localSheetId="57">#REF!</definedName>
    <definedName name="_D__D___L___GOT" localSheetId="58">#REF!</definedName>
    <definedName name="_D__D___L___GOT" localSheetId="59">#REF!</definedName>
    <definedName name="_D__D___L___GOT" localSheetId="60">#REF!</definedName>
    <definedName name="_D__D___L___GOT" localSheetId="25">#REF!</definedName>
    <definedName name="_D__D___L___GOT" localSheetId="30">#REF!</definedName>
    <definedName name="_D__D___L___GOT" localSheetId="31">#REF!</definedName>
    <definedName name="_D__D___L___GOT" localSheetId="2">#REF!</definedName>
    <definedName name="_D__D___L___GOT" localSheetId="15">#REF!</definedName>
    <definedName name="_D__D___L___GOT" localSheetId="35">#REF!</definedName>
    <definedName name="_D__D___L___GOT" localSheetId="19">#REF!</definedName>
    <definedName name="_D__D___L___GOT" localSheetId="5">#REF!</definedName>
    <definedName name="_D__D___L___GOT">#REF!</definedName>
    <definedName name="_D__D__D___D__D" localSheetId="32">#REF!</definedName>
    <definedName name="_D__D__D___D__D" localSheetId="11">#REF!</definedName>
    <definedName name="_D__D__D___D__D" localSheetId="13">#REF!</definedName>
    <definedName name="_D__D__D___D__D" localSheetId="17">#REF!</definedName>
    <definedName name="_D__D__D___D__D" localSheetId="56">#REF!</definedName>
    <definedName name="_D__D__D___D__D" localSheetId="57">#REF!</definedName>
    <definedName name="_D__D__D___D__D" localSheetId="58">#REF!</definedName>
    <definedName name="_D__D__D___D__D" localSheetId="59">#REF!</definedName>
    <definedName name="_D__D__D___D__D" localSheetId="60">#REF!</definedName>
    <definedName name="_D__D__D___D__D" localSheetId="25">#REF!</definedName>
    <definedName name="_D__D__D___D__D" localSheetId="30">#REF!</definedName>
    <definedName name="_D__D__D___D__D" localSheetId="31">#REF!</definedName>
    <definedName name="_D__D__D___D__D" localSheetId="2">#REF!</definedName>
    <definedName name="_D__D__D___D__D" localSheetId="15">#REF!</definedName>
    <definedName name="_D__D__D___D__D" localSheetId="35">#REF!</definedName>
    <definedName name="_D__D__D___D__D" localSheetId="19">#REF!</definedName>
    <definedName name="_D__D__D___D__D" localSheetId="5">#REF!</definedName>
    <definedName name="_D__D__D___D__D">#REF!</definedName>
    <definedName name="_D_19__U_19_" localSheetId="32">#REF!</definedName>
    <definedName name="_D_19__U_19_" localSheetId="11">#REF!</definedName>
    <definedName name="_D_19__U_19_" localSheetId="13">#REF!</definedName>
    <definedName name="_D_19__U_19_" localSheetId="17">#REF!</definedName>
    <definedName name="_D_19__U_19_" localSheetId="56">#REF!</definedName>
    <definedName name="_D_19__U_19_" localSheetId="57">#REF!</definedName>
    <definedName name="_D_19__U_19_" localSheetId="58">#REF!</definedName>
    <definedName name="_D_19__U_19_" localSheetId="59">#REF!</definedName>
    <definedName name="_D_19__U_19_" localSheetId="60">#REF!</definedName>
    <definedName name="_D_19__U_19_" localSheetId="25">#REF!</definedName>
    <definedName name="_D_19__U_19_" localSheetId="30">#REF!</definedName>
    <definedName name="_D_19__U_19_" localSheetId="31">#REF!</definedName>
    <definedName name="_D_19__U_19_" localSheetId="2">#REF!</definedName>
    <definedName name="_D_19__U_19_" localSheetId="15">#REF!</definedName>
    <definedName name="_D_19__U_19_" localSheetId="35">#REF!</definedName>
    <definedName name="_D_19__U_19_" localSheetId="19">#REF!</definedName>
    <definedName name="_D_19__U_19_" localSheetId="5">#REF!</definedName>
    <definedName name="_D_19__U_19_">#REF!</definedName>
    <definedName name="_DOWN_9__RIGHT_" localSheetId="32">#REF!</definedName>
    <definedName name="_DOWN_9__RIGHT_" localSheetId="11">#REF!</definedName>
    <definedName name="_DOWN_9__RIGHT_" localSheetId="13">#REF!</definedName>
    <definedName name="_DOWN_9__RIGHT_" localSheetId="17">#REF!</definedName>
    <definedName name="_DOWN_9__RIGHT_" localSheetId="56">#REF!</definedName>
    <definedName name="_DOWN_9__RIGHT_" localSheetId="57">#REF!</definedName>
    <definedName name="_DOWN_9__RIGHT_" localSheetId="58">#REF!</definedName>
    <definedName name="_DOWN_9__RIGHT_" localSheetId="59">#REF!</definedName>
    <definedName name="_DOWN_9__RIGHT_" localSheetId="60">#REF!</definedName>
    <definedName name="_DOWN_9__RIGHT_" localSheetId="25">#REF!</definedName>
    <definedName name="_DOWN_9__RIGHT_" localSheetId="30">#REF!</definedName>
    <definedName name="_DOWN_9__RIGHT_" localSheetId="31">#REF!</definedName>
    <definedName name="_DOWN_9__RIGHT_" localSheetId="2">#REF!</definedName>
    <definedName name="_DOWN_9__RIGHT_" localSheetId="15">#REF!</definedName>
    <definedName name="_DOWN_9__RIGHT_" localSheetId="35">#REF!</definedName>
    <definedName name="_DOWN_9__RIGHT_" localSheetId="19">#REF!</definedName>
    <definedName name="_DOWN_9__RIGHT_" localSheetId="5">#REF!</definedName>
    <definedName name="_DOWN_9__RIGHT_">#REF!</definedName>
    <definedName name="_Fill" localSheetId="32" hidden="1">#REF!</definedName>
    <definedName name="_Fill" localSheetId="11" hidden="1">#REF!</definedName>
    <definedName name="_Fill" localSheetId="13" hidden="1">#REF!</definedName>
    <definedName name="_Fill" localSheetId="17"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25" hidden="1">#REF!</definedName>
    <definedName name="_Fill" localSheetId="30" hidden="1">#REF!</definedName>
    <definedName name="_Fill" localSheetId="31" hidden="1">#REF!</definedName>
    <definedName name="_Fill" localSheetId="2" hidden="1">#REF!</definedName>
    <definedName name="_Fill" localSheetId="15" hidden="1">#REF!</definedName>
    <definedName name="_Fill" localSheetId="35" hidden="1">#REF!</definedName>
    <definedName name="_Fill" localSheetId="19" hidden="1">#REF!</definedName>
    <definedName name="_Fill" localSheetId="5" hidden="1">#REF!</definedName>
    <definedName name="_Fill" hidden="1">#REF!</definedName>
    <definedName name="_xlnm._FilterDatabase" localSheetId="27" hidden="1">F4.2!$B$10:$H$83</definedName>
    <definedName name="_FROM__R__R__08" localSheetId="32">#REF!</definedName>
    <definedName name="_FROM__R__R__08" localSheetId="11">#REF!</definedName>
    <definedName name="_FROM__R__R__08" localSheetId="13">#REF!</definedName>
    <definedName name="_FROM__R__R__08" localSheetId="17">#REF!</definedName>
    <definedName name="_FROM__R__R__08" localSheetId="56">#REF!</definedName>
    <definedName name="_FROM__R__R__08" localSheetId="57">#REF!</definedName>
    <definedName name="_FROM__R__R__08" localSheetId="58">#REF!</definedName>
    <definedName name="_FROM__R__R__08" localSheetId="59">#REF!</definedName>
    <definedName name="_FROM__R__R__08" localSheetId="60">#REF!</definedName>
    <definedName name="_FROM__R__R__08" localSheetId="25">#REF!</definedName>
    <definedName name="_FROM__R__R__08" localSheetId="30">#REF!</definedName>
    <definedName name="_FROM__R__R__08" localSheetId="31">#REF!</definedName>
    <definedName name="_FROM__R__R__08" localSheetId="2">#REF!</definedName>
    <definedName name="_FROM__R__R__08" localSheetId="15">#REF!</definedName>
    <definedName name="_FROM__R__R__08" localSheetId="35">#REF!</definedName>
    <definedName name="_FROM__R__R__08" localSheetId="19">#REF!</definedName>
    <definedName name="_FROM__R__R__08" localSheetId="5">#REF!</definedName>
    <definedName name="_FROM__R__R__08">#REF!</definedName>
    <definedName name="_FROM__R__R__16" localSheetId="32">#REF!</definedName>
    <definedName name="_FROM__R__R__16" localSheetId="11">#REF!</definedName>
    <definedName name="_FROM__R__R__16" localSheetId="13">#REF!</definedName>
    <definedName name="_FROM__R__R__16" localSheetId="17">#REF!</definedName>
    <definedName name="_FROM__R__R__16" localSheetId="56">#REF!</definedName>
    <definedName name="_FROM__R__R__16" localSheetId="57">#REF!</definedName>
    <definedName name="_FROM__R__R__16" localSheetId="58">#REF!</definedName>
    <definedName name="_FROM__R__R__16" localSheetId="59">#REF!</definedName>
    <definedName name="_FROM__R__R__16" localSheetId="60">#REF!</definedName>
    <definedName name="_FROM__R__R__16" localSheetId="25">#REF!</definedName>
    <definedName name="_FROM__R__R__16" localSheetId="30">#REF!</definedName>
    <definedName name="_FROM__R__R__16" localSheetId="31">#REF!</definedName>
    <definedName name="_FROM__R__R__16" localSheetId="2">#REF!</definedName>
    <definedName name="_FROM__R__R__16" localSheetId="15">#REF!</definedName>
    <definedName name="_FROM__R__R__16" localSheetId="35">#REF!</definedName>
    <definedName name="_FROM__R__R__16" localSheetId="19">#REF!</definedName>
    <definedName name="_FROM__R__R__16" localSheetId="5">#REF!</definedName>
    <definedName name="_FROM__R__R__16">#REF!</definedName>
    <definedName name="_GENERATION__R_" localSheetId="32">#REF!</definedName>
    <definedName name="_GENERATION__R_" localSheetId="11">#REF!</definedName>
    <definedName name="_GENERATION__R_" localSheetId="13">#REF!</definedName>
    <definedName name="_GENERATION__R_" localSheetId="17">#REF!</definedName>
    <definedName name="_GENERATION__R_" localSheetId="56">#REF!</definedName>
    <definedName name="_GENERATION__R_" localSheetId="57">#REF!</definedName>
    <definedName name="_GENERATION__R_" localSheetId="58">#REF!</definedName>
    <definedName name="_GENERATION__R_" localSheetId="59">#REF!</definedName>
    <definedName name="_GENERATION__R_" localSheetId="60">#REF!</definedName>
    <definedName name="_GENERATION__R_" localSheetId="25">#REF!</definedName>
    <definedName name="_GENERATION__R_" localSheetId="30">#REF!</definedName>
    <definedName name="_GENERATION__R_" localSheetId="31">#REF!</definedName>
    <definedName name="_GENERATION__R_" localSheetId="2">#REF!</definedName>
    <definedName name="_GENERATION__R_" localSheetId="15">#REF!</definedName>
    <definedName name="_GENERATION__R_" localSheetId="35">#REF!</definedName>
    <definedName name="_GENERATION__R_" localSheetId="19">#REF!</definedName>
    <definedName name="_GENERATION__R_" localSheetId="5">#REF!</definedName>
    <definedName name="_GENERATION__R_">#REF!</definedName>
    <definedName name="_GOTO_BT49__R__" localSheetId="32">#REF!</definedName>
    <definedName name="_GOTO_BT49__R__" localSheetId="11">#REF!</definedName>
    <definedName name="_GOTO_BT49__R__" localSheetId="13">#REF!</definedName>
    <definedName name="_GOTO_BT49__R__" localSheetId="17">#REF!</definedName>
    <definedName name="_GOTO_BT49__R__" localSheetId="56">#REF!</definedName>
    <definedName name="_GOTO_BT49__R__" localSheetId="57">#REF!</definedName>
    <definedName name="_GOTO_BT49__R__" localSheetId="58">#REF!</definedName>
    <definedName name="_GOTO_BT49__R__" localSheetId="59">#REF!</definedName>
    <definedName name="_GOTO_BT49__R__" localSheetId="60">#REF!</definedName>
    <definedName name="_GOTO_BT49__R__" localSheetId="25">#REF!</definedName>
    <definedName name="_GOTO_BT49__R__" localSheetId="30">#REF!</definedName>
    <definedName name="_GOTO_BT49__R__" localSheetId="31">#REF!</definedName>
    <definedName name="_GOTO_BT49__R__" localSheetId="2">#REF!</definedName>
    <definedName name="_GOTO_BT49__R__" localSheetId="15">#REF!</definedName>
    <definedName name="_GOTO_BT49__R__" localSheetId="35">#REF!</definedName>
    <definedName name="_GOTO_BT49__R__" localSheetId="19">#REF!</definedName>
    <definedName name="_GOTO_BT49__R__" localSheetId="5">#REF!</definedName>
    <definedName name="_GOTO_BT49__R__">#REF!</definedName>
    <definedName name="_GOTO_CF11__?__" localSheetId="32">#REF!</definedName>
    <definedName name="_GOTO_CF11__?__" localSheetId="11">#REF!</definedName>
    <definedName name="_GOTO_CF11__?__" localSheetId="13">#REF!</definedName>
    <definedName name="_GOTO_CF11__?__" localSheetId="17">#REF!</definedName>
    <definedName name="_GOTO_CF11__?__" localSheetId="56">#REF!</definedName>
    <definedName name="_GOTO_CF11__?__" localSheetId="57">#REF!</definedName>
    <definedName name="_GOTO_CF11__?__" localSheetId="58">#REF!</definedName>
    <definedName name="_GOTO_CF11__?__" localSheetId="59">#REF!</definedName>
    <definedName name="_GOTO_CF11__?__" localSheetId="60">#REF!</definedName>
    <definedName name="_GOTO_CF11__?__" localSheetId="25">#REF!</definedName>
    <definedName name="_GOTO_CF11__?__" localSheetId="30">#REF!</definedName>
    <definedName name="_GOTO_CF11__?__" localSheetId="31">#REF!</definedName>
    <definedName name="_GOTO_CF11__?__" localSheetId="2">#REF!</definedName>
    <definedName name="_GOTO_CF11__?__" localSheetId="15">#REF!</definedName>
    <definedName name="_GOTO_CF11__?__" localSheetId="35">#REF!</definedName>
    <definedName name="_GOTO_CF11__?__" localSheetId="19">#REF!</definedName>
    <definedName name="_GOTO_CF11__?__" localSheetId="5">#REF!</definedName>
    <definedName name="_GOTO_CF11__?__">#REF!</definedName>
    <definedName name="_GOTO_EO75__WEK" localSheetId="32">#REF!</definedName>
    <definedName name="_GOTO_EO75__WEK" localSheetId="11">#REF!</definedName>
    <definedName name="_GOTO_EO75__WEK" localSheetId="13">#REF!</definedName>
    <definedName name="_GOTO_EO75__WEK" localSheetId="17">#REF!</definedName>
    <definedName name="_GOTO_EO75__WEK" localSheetId="56">#REF!</definedName>
    <definedName name="_GOTO_EO75__WEK" localSheetId="57">#REF!</definedName>
    <definedName name="_GOTO_EO75__WEK" localSheetId="58">#REF!</definedName>
    <definedName name="_GOTO_EO75__WEK" localSheetId="59">#REF!</definedName>
    <definedName name="_GOTO_EO75__WEK" localSheetId="60">#REF!</definedName>
    <definedName name="_GOTO_EO75__WEK" localSheetId="25">#REF!</definedName>
    <definedName name="_GOTO_EO75__WEK" localSheetId="30">#REF!</definedName>
    <definedName name="_GOTO_EO75__WEK" localSheetId="31">#REF!</definedName>
    <definedName name="_GOTO_EO75__WEK" localSheetId="2">#REF!</definedName>
    <definedName name="_GOTO_EO75__WEK" localSheetId="15">#REF!</definedName>
    <definedName name="_GOTO_EO75__WEK" localSheetId="35">#REF!</definedName>
    <definedName name="_GOTO_EO75__WEK" localSheetId="19">#REF!</definedName>
    <definedName name="_GOTO_EO75__WEK" localSheetId="5">#REF!</definedName>
    <definedName name="_GOTO_EO75__WEK">#REF!</definedName>
    <definedName name="_GOTO_EP82__PEA" localSheetId="32">#REF!</definedName>
    <definedName name="_GOTO_EP82__PEA" localSheetId="11">#REF!</definedName>
    <definedName name="_GOTO_EP82__PEA" localSheetId="13">#REF!</definedName>
    <definedName name="_GOTO_EP82__PEA" localSheetId="17">#REF!</definedName>
    <definedName name="_GOTO_EP82__PEA" localSheetId="56">#REF!</definedName>
    <definedName name="_GOTO_EP82__PEA" localSheetId="57">#REF!</definedName>
    <definedName name="_GOTO_EP82__PEA" localSheetId="58">#REF!</definedName>
    <definedName name="_GOTO_EP82__PEA" localSheetId="59">#REF!</definedName>
    <definedName name="_GOTO_EP82__PEA" localSheetId="60">#REF!</definedName>
    <definedName name="_GOTO_EP82__PEA" localSheetId="25">#REF!</definedName>
    <definedName name="_GOTO_EP82__PEA" localSheetId="30">#REF!</definedName>
    <definedName name="_GOTO_EP82__PEA" localSheetId="31">#REF!</definedName>
    <definedName name="_GOTO_EP82__PEA" localSheetId="2">#REF!</definedName>
    <definedName name="_GOTO_EP82__PEA" localSheetId="15">#REF!</definedName>
    <definedName name="_GOTO_EP82__PEA" localSheetId="35">#REF!</definedName>
    <definedName name="_GOTO_EP82__PEA" localSheetId="19">#REF!</definedName>
    <definedName name="_GOTO_EP82__PEA" localSheetId="5">#REF!</definedName>
    <definedName name="_GOTO_EP82__PEA">#REF!</definedName>
    <definedName name="_GOTO_EP86__PER" localSheetId="32">#REF!</definedName>
    <definedName name="_GOTO_EP86__PER" localSheetId="11">#REF!</definedName>
    <definedName name="_GOTO_EP86__PER" localSheetId="13">#REF!</definedName>
    <definedName name="_GOTO_EP86__PER" localSheetId="17">#REF!</definedName>
    <definedName name="_GOTO_EP86__PER" localSheetId="56">#REF!</definedName>
    <definedName name="_GOTO_EP86__PER" localSheetId="57">#REF!</definedName>
    <definedName name="_GOTO_EP86__PER" localSheetId="58">#REF!</definedName>
    <definedName name="_GOTO_EP86__PER" localSheetId="59">#REF!</definedName>
    <definedName name="_GOTO_EP86__PER" localSheetId="60">#REF!</definedName>
    <definedName name="_GOTO_EP86__PER" localSheetId="25">#REF!</definedName>
    <definedName name="_GOTO_EP86__PER" localSheetId="30">#REF!</definedName>
    <definedName name="_GOTO_EP86__PER" localSheetId="31">#REF!</definedName>
    <definedName name="_GOTO_EP86__PER" localSheetId="2">#REF!</definedName>
    <definedName name="_GOTO_EP86__PER" localSheetId="15">#REF!</definedName>
    <definedName name="_GOTO_EP86__PER" localSheetId="35">#REF!</definedName>
    <definedName name="_GOTO_EP86__PER" localSheetId="19">#REF!</definedName>
    <definedName name="_GOTO_EP86__PER" localSheetId="5">#REF!</definedName>
    <definedName name="_GOTO_EP86__PER">#REF!</definedName>
    <definedName name="_GOTO_FO112__RV" localSheetId="32">#REF!</definedName>
    <definedName name="_GOTO_FO112__RV" localSheetId="11">#REF!</definedName>
    <definedName name="_GOTO_FO112__RV" localSheetId="13">#REF!</definedName>
    <definedName name="_GOTO_FO112__RV" localSheetId="17">#REF!</definedName>
    <definedName name="_GOTO_FO112__RV" localSheetId="56">#REF!</definedName>
    <definedName name="_GOTO_FO112__RV" localSheetId="57">#REF!</definedName>
    <definedName name="_GOTO_FO112__RV" localSheetId="58">#REF!</definedName>
    <definedName name="_GOTO_FO112__RV" localSheetId="59">#REF!</definedName>
    <definedName name="_GOTO_FO112__RV" localSheetId="60">#REF!</definedName>
    <definedName name="_GOTO_FO112__RV" localSheetId="25">#REF!</definedName>
    <definedName name="_GOTO_FO112__RV" localSheetId="30">#REF!</definedName>
    <definedName name="_GOTO_FO112__RV" localSheetId="31">#REF!</definedName>
    <definedName name="_GOTO_FO112__RV" localSheetId="2">#REF!</definedName>
    <definedName name="_GOTO_FO112__RV" localSheetId="15">#REF!</definedName>
    <definedName name="_GOTO_FO112__RV" localSheetId="35">#REF!</definedName>
    <definedName name="_GOTO_FO112__RV" localSheetId="19">#REF!</definedName>
    <definedName name="_GOTO_FO112__RV" localSheetId="5">#REF!</definedName>
    <definedName name="_GOTO_FO112__RV">#REF!</definedName>
    <definedName name="_GOTO_FO56__RV_" localSheetId="32">#REF!</definedName>
    <definedName name="_GOTO_FO56__RV_" localSheetId="11">#REF!</definedName>
    <definedName name="_GOTO_FO56__RV_" localSheetId="13">#REF!</definedName>
    <definedName name="_GOTO_FO56__RV_" localSheetId="17">#REF!</definedName>
    <definedName name="_GOTO_FO56__RV_" localSheetId="56">#REF!</definedName>
    <definedName name="_GOTO_FO56__RV_" localSheetId="57">#REF!</definedName>
    <definedName name="_GOTO_FO56__RV_" localSheetId="58">#REF!</definedName>
    <definedName name="_GOTO_FO56__RV_" localSheetId="59">#REF!</definedName>
    <definedName name="_GOTO_FO56__RV_" localSheetId="60">#REF!</definedName>
    <definedName name="_GOTO_FO56__RV_" localSheetId="25">#REF!</definedName>
    <definedName name="_GOTO_FO56__RV_" localSheetId="30">#REF!</definedName>
    <definedName name="_GOTO_FO56__RV_" localSheetId="31">#REF!</definedName>
    <definedName name="_GOTO_FO56__RV_" localSheetId="2">#REF!</definedName>
    <definedName name="_GOTO_FO56__RV_" localSheetId="15">#REF!</definedName>
    <definedName name="_GOTO_FO56__RV_" localSheetId="35">#REF!</definedName>
    <definedName name="_GOTO_FO56__RV_" localSheetId="19">#REF!</definedName>
    <definedName name="_GOTO_FO56__RV_" localSheetId="5">#REF!</definedName>
    <definedName name="_GOTO_FO56__RV_">#REF!</definedName>
    <definedName name="_h" localSheetId="57">#REF!</definedName>
    <definedName name="_h" localSheetId="15">#REF!</definedName>
    <definedName name="_h">#REF!</definedName>
    <definedName name="_HOME__GOTO_M14" localSheetId="32">#REF!</definedName>
    <definedName name="_HOME__GOTO_M14" localSheetId="11">#REF!</definedName>
    <definedName name="_HOME__GOTO_M14" localSheetId="13">#REF!</definedName>
    <definedName name="_HOME__GOTO_M14" localSheetId="17">#REF!</definedName>
    <definedName name="_HOME__GOTO_M14" localSheetId="56">#REF!</definedName>
    <definedName name="_HOME__GOTO_M14" localSheetId="57">#REF!</definedName>
    <definedName name="_HOME__GOTO_M14" localSheetId="58">#REF!</definedName>
    <definedName name="_HOME__GOTO_M14" localSheetId="59">#REF!</definedName>
    <definedName name="_HOME__GOTO_M14" localSheetId="60">#REF!</definedName>
    <definedName name="_HOME__GOTO_M14" localSheetId="25">#REF!</definedName>
    <definedName name="_HOME__GOTO_M14" localSheetId="30">#REF!</definedName>
    <definedName name="_HOME__GOTO_M14" localSheetId="31">#REF!</definedName>
    <definedName name="_HOME__GOTO_M14" localSheetId="2">#REF!</definedName>
    <definedName name="_HOME__GOTO_M14" localSheetId="15">#REF!</definedName>
    <definedName name="_HOME__GOTO_M14" localSheetId="35">#REF!</definedName>
    <definedName name="_HOME__GOTO_M14" localSheetId="19">#REF!</definedName>
    <definedName name="_HOME__GOTO_M14" localSheetId="5">#REF!</definedName>
    <definedName name="_HOME__GOTO_M14">#REF!</definedName>
    <definedName name="_int06"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int06"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Key1" localSheetId="57" hidden="1">#REF!</definedName>
    <definedName name="_Key1" localSheetId="15" hidden="1">#REF!</definedName>
    <definedName name="_Key1" hidden="1">#REF!</definedName>
    <definedName name="_Key2" localSheetId="57" hidden="1">#REF!</definedName>
    <definedName name="_Key2" localSheetId="15" hidden="1">#REF!</definedName>
    <definedName name="_Key2" hidden="1">#REF!</definedName>
    <definedName name="_nt06"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nt06"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Order1" hidden="1">255</definedName>
    <definedName name="_Order2" hidden="1">0</definedName>
    <definedName name="_Parse_In" localSheetId="57" hidden="1">'[7]01.11.2004'!#REF!</definedName>
    <definedName name="_Parse_In" localSheetId="15" hidden="1">'[7]01.11.2004'!#REF!</definedName>
    <definedName name="_Parse_In" hidden="1">'[7]01.11.2004'!#REF!</definedName>
    <definedName name="_PCC1" localSheetId="57">#REF!</definedName>
    <definedName name="_PCC1" localSheetId="15">#REF!</definedName>
    <definedName name="_PCC1">#REF!</definedName>
    <definedName name="_PCC2" localSheetId="57">#REF!</definedName>
    <definedName name="_PCC2" localSheetId="15">#REF!</definedName>
    <definedName name="_PCC2">#REF!</definedName>
    <definedName name="_PKS1" localSheetId="57">#REF!</definedName>
    <definedName name="_PKS1" localSheetId="15">#REF!</definedName>
    <definedName name="_PKS1">#REF!</definedName>
    <definedName name="_PKS2" localSheetId="57">#REF!</definedName>
    <definedName name="_PKS2" localSheetId="15">#REF!</definedName>
    <definedName name="_PKS2">#REF!</definedName>
    <definedName name="_PKS3" localSheetId="57">#REF!</definedName>
    <definedName name="_PKS3" localSheetId="15">#REF!</definedName>
    <definedName name="_PKS3">#REF!</definedName>
    <definedName name="_PKS4" localSheetId="57">#REF!</definedName>
    <definedName name="_PKS4" localSheetId="15">#REF!</definedName>
    <definedName name="_PKS4">#REF!</definedName>
    <definedName name="_PLF__R__R___ES" localSheetId="32">#REF!</definedName>
    <definedName name="_PLF__R__R___ES" localSheetId="11">#REF!</definedName>
    <definedName name="_PLF__R__R___ES" localSheetId="13">#REF!</definedName>
    <definedName name="_PLF__R__R___ES" localSheetId="17">#REF!</definedName>
    <definedName name="_PLF__R__R___ES" localSheetId="56">#REF!</definedName>
    <definedName name="_PLF__R__R___ES" localSheetId="57">#REF!</definedName>
    <definedName name="_PLF__R__R___ES" localSheetId="58">#REF!</definedName>
    <definedName name="_PLF__R__R___ES" localSheetId="59">#REF!</definedName>
    <definedName name="_PLF__R__R___ES" localSheetId="60">#REF!</definedName>
    <definedName name="_PLF__R__R___ES" localSheetId="25">#REF!</definedName>
    <definedName name="_PLF__R__R___ES" localSheetId="30">#REF!</definedName>
    <definedName name="_PLF__R__R___ES" localSheetId="31">#REF!</definedName>
    <definedName name="_PLF__R__R___ES" localSheetId="2">#REF!</definedName>
    <definedName name="_PLF__R__R___ES" localSheetId="15">#REF!</definedName>
    <definedName name="_PLF__R__R___ES" localSheetId="35">#REF!</definedName>
    <definedName name="_PLF__R__R___ES" localSheetId="19">#REF!</definedName>
    <definedName name="_PLF__R__R___ES" localSheetId="5">#REF!</definedName>
    <definedName name="_PLF__R__R___ES">#REF!</definedName>
    <definedName name="_rcd" localSheetId="57" hidden="1">[13]CE!#REF!</definedName>
    <definedName name="_rcd" localSheetId="15" hidden="1">[14]CE!#REF!</definedName>
    <definedName name="_rcd" hidden="1">[14]CE!#REF!</definedName>
    <definedName name="_RV_DOWN_6__LEF" localSheetId="32">#REF!</definedName>
    <definedName name="_RV_DOWN_6__LEF" localSheetId="11">#REF!</definedName>
    <definedName name="_RV_DOWN_6__LEF" localSheetId="13">#REF!</definedName>
    <definedName name="_RV_DOWN_6__LEF" localSheetId="17">#REF!</definedName>
    <definedName name="_RV_DOWN_6__LEF" localSheetId="56">#REF!</definedName>
    <definedName name="_RV_DOWN_6__LEF" localSheetId="57">#REF!</definedName>
    <definedName name="_RV_DOWN_6__LEF" localSheetId="58">#REF!</definedName>
    <definedName name="_RV_DOWN_6__LEF" localSheetId="59">#REF!</definedName>
    <definedName name="_RV_DOWN_6__LEF" localSheetId="60">#REF!</definedName>
    <definedName name="_RV_DOWN_6__LEF" localSheetId="25">#REF!</definedName>
    <definedName name="_RV_DOWN_6__LEF" localSheetId="30">#REF!</definedName>
    <definedName name="_RV_DOWN_6__LEF" localSheetId="31">#REF!</definedName>
    <definedName name="_RV_DOWN_6__LEF" localSheetId="2">#REF!</definedName>
    <definedName name="_RV_DOWN_6__LEF" localSheetId="15">#REF!</definedName>
    <definedName name="_RV_DOWN_6__LEF" localSheetId="35">#REF!</definedName>
    <definedName name="_RV_DOWN_6__LEF" localSheetId="19">#REF!</definedName>
    <definedName name="_RV_DOWN_6__LEF" localSheetId="5">#REF!</definedName>
    <definedName name="_RV_DOWN_6__LEF">#REF!</definedName>
    <definedName name="_SCH6" localSheetId="32">'[2]04REL'!#REF!</definedName>
    <definedName name="_SCH6" localSheetId="10">'[2]04REL'!#REF!</definedName>
    <definedName name="_SCH6" localSheetId="11">'[2]04REL'!#REF!</definedName>
    <definedName name="_SCH6" localSheetId="13">'[2]04REL'!#REF!</definedName>
    <definedName name="_SCH6" localSheetId="14">'[2]04REL'!#REF!</definedName>
    <definedName name="_SCH6" localSheetId="47">'[2]04REL'!#REF!</definedName>
    <definedName name="_SCH6" localSheetId="48">'[2]04REL'!#REF!</definedName>
    <definedName name="_SCH6" localSheetId="49">'[2]04REL'!#REF!</definedName>
    <definedName name="_SCH6" localSheetId="50">'[2]04REL'!#REF!</definedName>
    <definedName name="_SCH6" localSheetId="52">'[2]04REL'!#REF!</definedName>
    <definedName name="_SCH6" localSheetId="54">'[2]04REL'!#REF!</definedName>
    <definedName name="_SCH6" localSheetId="55">'[2]04REL'!#REF!</definedName>
    <definedName name="_SCH6" localSheetId="17">'[2]04REL'!#REF!</definedName>
    <definedName name="_SCH6" localSheetId="18">'[2]04REL'!#REF!</definedName>
    <definedName name="_SCH6" localSheetId="56">'[2]04REL'!#REF!</definedName>
    <definedName name="_SCH6" localSheetId="57">'[2]04REL'!#REF!</definedName>
    <definedName name="_SCH6" localSheetId="58">'[2]04REL'!#REF!</definedName>
    <definedName name="_SCH6" localSheetId="59">'[2]04REL'!#REF!</definedName>
    <definedName name="_SCH6" localSheetId="60">'[2]04REL'!#REF!</definedName>
    <definedName name="_SCH6" localSheetId="25">'[2]04REL'!#REF!</definedName>
    <definedName name="_SCH6" localSheetId="28">'[2]04REL'!#REF!</definedName>
    <definedName name="_SCH6" localSheetId="30">'[2]04REL'!#REF!</definedName>
    <definedName name="_SCH6" localSheetId="31">'[2]04REL'!#REF!</definedName>
    <definedName name="_SCH6" localSheetId="2">'[3]04REL'!#REF!</definedName>
    <definedName name="_SCH6" localSheetId="15">'[2]04REL'!#REF!</definedName>
    <definedName name="_SCH6" localSheetId="35">'[15]04REL'!#REF!</definedName>
    <definedName name="_SCH6" localSheetId="19">'[2]04REL'!#REF!</definedName>
    <definedName name="_SCH6" localSheetId="5">'[2]04REL'!#REF!</definedName>
    <definedName name="_SCH6">'[2]04REL'!#REF!</definedName>
    <definedName name="_Sort" localSheetId="57" hidden="1">#REF!</definedName>
    <definedName name="_Sort" localSheetId="15" hidden="1">#REF!</definedName>
    <definedName name="_Sort" hidden="1">#REF!</definedName>
    <definedName name="_SUM_DI14..DI21" localSheetId="32">#REF!</definedName>
    <definedName name="_SUM_DI14..DI21" localSheetId="11">#REF!</definedName>
    <definedName name="_SUM_DI14..DI21" localSheetId="13">#REF!</definedName>
    <definedName name="_SUM_DI14..DI21" localSheetId="17">#REF!</definedName>
    <definedName name="_SUM_DI14..DI21" localSheetId="56">#REF!</definedName>
    <definedName name="_SUM_DI14..DI21" localSheetId="57">#REF!</definedName>
    <definedName name="_SUM_DI14..DI21" localSheetId="58">#REF!</definedName>
    <definedName name="_SUM_DI14..DI21" localSheetId="59">#REF!</definedName>
    <definedName name="_SUM_DI14..DI21" localSheetId="60">#REF!</definedName>
    <definedName name="_SUM_DI14..DI21" localSheetId="25">#REF!</definedName>
    <definedName name="_SUM_DI14..DI21" localSheetId="30">#REF!</definedName>
    <definedName name="_SUM_DI14..DI21" localSheetId="31">#REF!</definedName>
    <definedName name="_SUM_DI14..DI21" localSheetId="2">#REF!</definedName>
    <definedName name="_SUM_DI14..DI21" localSheetId="15">#REF!</definedName>
    <definedName name="_SUM_DI14..DI21" localSheetId="35">#REF!</definedName>
    <definedName name="_SUM_DI14..DI21" localSheetId="19">#REF!</definedName>
    <definedName name="_SUM_DI14..DI21" localSheetId="5">#REF!</definedName>
    <definedName name="_SUM_DI14..DI21">#REF!</definedName>
    <definedName name="_SUM_DI22..DI29" localSheetId="32">#REF!</definedName>
    <definedName name="_SUM_DI22..DI29" localSheetId="11">#REF!</definedName>
    <definedName name="_SUM_DI22..DI29" localSheetId="13">#REF!</definedName>
    <definedName name="_SUM_DI22..DI29" localSheetId="17">#REF!</definedName>
    <definedName name="_SUM_DI22..DI29" localSheetId="56">#REF!</definedName>
    <definedName name="_SUM_DI22..DI29" localSheetId="57">#REF!</definedName>
    <definedName name="_SUM_DI22..DI29" localSheetId="58">#REF!</definedName>
    <definedName name="_SUM_DI22..DI29" localSheetId="59">#REF!</definedName>
    <definedName name="_SUM_DI22..DI29" localSheetId="60">#REF!</definedName>
    <definedName name="_SUM_DI22..DI29" localSheetId="25">#REF!</definedName>
    <definedName name="_SUM_DI22..DI29" localSheetId="30">#REF!</definedName>
    <definedName name="_SUM_DI22..DI29" localSheetId="31">#REF!</definedName>
    <definedName name="_SUM_DI22..DI29" localSheetId="2">#REF!</definedName>
    <definedName name="_SUM_DI22..DI29" localSheetId="15">#REF!</definedName>
    <definedName name="_SUM_DI22..DI29" localSheetId="35">#REF!</definedName>
    <definedName name="_SUM_DI22..DI29" localSheetId="19">#REF!</definedName>
    <definedName name="_SUM_DI22..DI29" localSheetId="5">#REF!</definedName>
    <definedName name="_SUM_DI22..DI29">#REF!</definedName>
    <definedName name="_Table1_Out" localSheetId="57" hidden="1">'[7]01.11.2004'!#REF!</definedName>
    <definedName name="_Table1_Out" localSheetId="15" hidden="1">'[7]01.11.2004'!#REF!</definedName>
    <definedName name="_Table1_Out" hidden="1">'[7]01.11.2004'!#REF!</definedName>
    <definedName name="_U__END__U__D__" localSheetId="32">#REF!</definedName>
    <definedName name="_U__END__U__D__" localSheetId="11">#REF!</definedName>
    <definedName name="_U__END__U__D__" localSheetId="13">#REF!</definedName>
    <definedName name="_U__END__U__D__" localSheetId="17">#REF!</definedName>
    <definedName name="_U__END__U__D__" localSheetId="56">#REF!</definedName>
    <definedName name="_U__END__U__D__" localSheetId="57">#REF!</definedName>
    <definedName name="_U__END__U__D__" localSheetId="58">#REF!</definedName>
    <definedName name="_U__END__U__D__" localSheetId="59">#REF!</definedName>
    <definedName name="_U__END__U__D__" localSheetId="60">#REF!</definedName>
    <definedName name="_U__END__U__D__" localSheetId="25">#REF!</definedName>
    <definedName name="_U__END__U__D__" localSheetId="30">#REF!</definedName>
    <definedName name="_U__END__U__D__" localSheetId="31">#REF!</definedName>
    <definedName name="_U__END__U__D__" localSheetId="2">#REF!</definedName>
    <definedName name="_U__END__U__D__" localSheetId="15">#REF!</definedName>
    <definedName name="_U__END__U__D__" localSheetId="35">#REF!</definedName>
    <definedName name="_U__END__U__D__" localSheetId="19">#REF!</definedName>
    <definedName name="_U__END__U__D__" localSheetId="5">#REF!</definedName>
    <definedName name="_U__END__U__D__">#REF!</definedName>
    <definedName name="_U__U__END__U__" localSheetId="32">#REF!</definedName>
    <definedName name="_U__U__END__U__" localSheetId="11">#REF!</definedName>
    <definedName name="_U__U__END__U__" localSheetId="13">#REF!</definedName>
    <definedName name="_U__U__END__U__" localSheetId="17">#REF!</definedName>
    <definedName name="_U__U__END__U__" localSheetId="56">#REF!</definedName>
    <definedName name="_U__U__END__U__" localSheetId="57">#REF!</definedName>
    <definedName name="_U__U__END__U__" localSheetId="58">#REF!</definedName>
    <definedName name="_U__U__END__U__" localSheetId="59">#REF!</definedName>
    <definedName name="_U__U__END__U__" localSheetId="60">#REF!</definedName>
    <definedName name="_U__U__END__U__" localSheetId="25">#REF!</definedName>
    <definedName name="_U__U__END__U__" localSheetId="30">#REF!</definedName>
    <definedName name="_U__U__END__U__" localSheetId="31">#REF!</definedName>
    <definedName name="_U__U__END__U__" localSheetId="2">#REF!</definedName>
    <definedName name="_U__U__END__U__" localSheetId="15">#REF!</definedName>
    <definedName name="_U__U__END__U__" localSheetId="35">#REF!</definedName>
    <definedName name="_U__U__END__U__" localSheetId="19">#REF!</definedName>
    <definedName name="_U__U__END__U__" localSheetId="5">#REF!</definedName>
    <definedName name="_U__U__END__U__">#REF!</definedName>
    <definedName name="_U__U__U__U__U_" localSheetId="32">#REF!</definedName>
    <definedName name="_U__U__U__U__U_" localSheetId="11">#REF!</definedName>
    <definedName name="_U__U__U__U__U_" localSheetId="13">#REF!</definedName>
    <definedName name="_U__U__U__U__U_" localSheetId="17">#REF!</definedName>
    <definedName name="_U__U__U__U__U_" localSheetId="56">#REF!</definedName>
    <definedName name="_U__U__U__U__U_" localSheetId="57">#REF!</definedName>
    <definedName name="_U__U__U__U__U_" localSheetId="58">#REF!</definedName>
    <definedName name="_U__U__U__U__U_" localSheetId="59">#REF!</definedName>
    <definedName name="_U__U__U__U__U_" localSheetId="60">#REF!</definedName>
    <definedName name="_U__U__U__U__U_" localSheetId="25">#REF!</definedName>
    <definedName name="_U__U__U__U__U_" localSheetId="30">#REF!</definedName>
    <definedName name="_U__U__U__U__U_" localSheetId="31">#REF!</definedName>
    <definedName name="_U__U__U__U__U_" localSheetId="2">#REF!</definedName>
    <definedName name="_U__U__U__U__U_" localSheetId="15">#REF!</definedName>
    <definedName name="_U__U__U__U__U_" localSheetId="35">#REF!</definedName>
    <definedName name="_U__U__U__U__U_" localSheetId="19">#REF!</definedName>
    <definedName name="_U__U__U__U__U_" localSheetId="5">#REF!</definedName>
    <definedName name="_U__U__U__U__U_">#REF!</definedName>
    <definedName name="_VAL3">'[10]x-rate'!$A$2:$B$11</definedName>
    <definedName name="_WGPD_GOTO_CO10" localSheetId="32">#REF!</definedName>
    <definedName name="_WGPD_GOTO_CO10" localSheetId="11">#REF!</definedName>
    <definedName name="_WGPD_GOTO_CO10" localSheetId="13">#REF!</definedName>
    <definedName name="_WGPD_GOTO_CO10" localSheetId="17">#REF!</definedName>
    <definedName name="_WGPD_GOTO_CO10" localSheetId="56">#REF!</definedName>
    <definedName name="_WGPD_GOTO_CO10" localSheetId="57">#REF!</definedName>
    <definedName name="_WGPD_GOTO_CO10" localSheetId="58">#REF!</definedName>
    <definedName name="_WGPD_GOTO_CO10" localSheetId="59">#REF!</definedName>
    <definedName name="_WGPD_GOTO_CO10" localSheetId="60">#REF!</definedName>
    <definedName name="_WGPD_GOTO_CO10" localSheetId="25">#REF!</definedName>
    <definedName name="_WGPD_GOTO_CO10" localSheetId="30">#REF!</definedName>
    <definedName name="_WGPD_GOTO_CO10" localSheetId="31">#REF!</definedName>
    <definedName name="_WGPD_GOTO_CO10" localSheetId="2">#REF!</definedName>
    <definedName name="_WGPD_GOTO_CO10" localSheetId="15">#REF!</definedName>
    <definedName name="_WGPD_GOTO_CO10" localSheetId="35">#REF!</definedName>
    <definedName name="_WGPD_GOTO_CO10" localSheetId="19">#REF!</definedName>
    <definedName name="_WGPD_GOTO_CO10" localSheetId="5">#REF!</definedName>
    <definedName name="_WGPD_GOTO_CO10">#REF!</definedName>
    <definedName name="_wrn1"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wrn1"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ZP1" localSheetId="57">#REF!</definedName>
    <definedName name="_ZP1" localSheetId="15">#REF!</definedName>
    <definedName name="_ZP1">#REF!</definedName>
    <definedName name="_ZP2" localSheetId="57">#REF!</definedName>
    <definedName name="_ZP2" localSheetId="15">#REF!</definedName>
    <definedName name="_ZP2">#REF!</definedName>
    <definedName name="_ZP3" localSheetId="57">#REF!</definedName>
    <definedName name="_ZP3" localSheetId="15">#REF!</definedName>
    <definedName name="_ZP3">#REF!</definedName>
    <definedName name="_ZP4" localSheetId="57">#REF!</definedName>
    <definedName name="_ZP4" localSheetId="15">#REF!</definedName>
    <definedName name="_ZP4">#REF!</definedName>
    <definedName name="A" localSheetId="32">#REF!</definedName>
    <definedName name="A" localSheetId="10">#REF!</definedName>
    <definedName name="A" localSheetId="11">#REF!</definedName>
    <definedName name="A" localSheetId="13">#REF!</definedName>
    <definedName name="A" localSheetId="14">#REF!</definedName>
    <definedName name="A" localSheetId="41">#REF!</definedName>
    <definedName name="A" localSheetId="42">#REF!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17">#REF!</definedName>
    <definedName name="A" localSheetId="18">#REF!</definedName>
    <definedName name="A" localSheetId="56">#REF!</definedName>
    <definedName name="A" localSheetId="25">#REF!</definedName>
    <definedName name="A" localSheetId="30">#REF!</definedName>
    <definedName name="A" localSheetId="31">#REF!</definedName>
    <definedName name="A" localSheetId="2">#REF!</definedName>
    <definedName name="A" localSheetId="35">#REF!</definedName>
    <definedName name="A" localSheetId="19">#REF!</definedName>
    <definedName name="A" localSheetId="5">#REF!</definedName>
    <definedName name="a">'F1'!$VXN$27</definedName>
    <definedName name="AA">#REF!</definedName>
    <definedName name="ab">#REF!</definedName>
    <definedName name="abcd">#REF!</definedName>
    <definedName name="AC">[16]Details!$D$187</definedName>
    <definedName name="adfad">'[17]Instruction Sheet'!$E$35</definedName>
    <definedName name="ADL.63" localSheetId="2">[3]Addl.40!$A$38:$I$284</definedName>
    <definedName name="ADL.63">[18]Addl.40!$A$38:$I$284</definedName>
    <definedName name="ADTL">[19]BS!$A$1</definedName>
    <definedName name="anand" localSheetId="57">[20]Sheet3!$D$7</definedName>
    <definedName name="anand">[21]Sheet3!$D$7</definedName>
    <definedName name="anx">'[22]Clause 9'!$A$1</definedName>
    <definedName name="aps">'[23]a-4'!$E$38</definedName>
    <definedName name="arrintrst"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rrintrst"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rrintr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s">#REF!</definedName>
    <definedName name="AS2DocOpenMode" hidden="1">"AS2DocumentEdit"</definedName>
    <definedName name="AS2NamedRange" hidden="1">2</definedName>
    <definedName name="AS2ReportLS" hidden="1">1</definedName>
    <definedName name="AS2SyncStepLS" hidden="1">0</definedName>
    <definedName name="AS2VersionLS" hidden="1">300</definedName>
    <definedName name="ASD" localSheetId="57" hidden="1">[24]CE!#REF!</definedName>
    <definedName name="ASD" localSheetId="15" hidden="1">[25]CE!#REF!</definedName>
    <definedName name="ASD" hidden="1">[25]CE!#REF!</definedName>
    <definedName name="ASDASD123" localSheetId="57" hidden="1">[24]CE!#REF!</definedName>
    <definedName name="ASDASD123" localSheetId="15" hidden="1">[25]CE!#REF!</definedName>
    <definedName name="ASDASD123" hidden="1">[25]CE!#REF!</definedName>
    <definedName name="asdf" localSheetId="57">'[26]04REL'!#REF!</definedName>
    <definedName name="asdf" localSheetId="15">'[26]04REL'!#REF!</definedName>
    <definedName name="asdf">'[26]04REL'!#REF!</definedName>
    <definedName name="ASSESSMENT_YEAR____1998___99">"tds"</definedName>
    <definedName name="asset">[27]Title!$C$10</definedName>
    <definedName name="asset1">[28]Sheet2!$A$2:$AH$1408</definedName>
    <definedName name="AsstYr">[29]Masters!$C$34</definedName>
    <definedName name="AuBhu0910" localSheetId="32">[30]Assumption_PwC!$D$7</definedName>
    <definedName name="AuBhu0910" localSheetId="57">[31]Assumption_PwC!$D$7</definedName>
    <definedName name="AuBhu0910" localSheetId="2">[3]Assumption_PwC!$D$7</definedName>
    <definedName name="AuBhu0910" localSheetId="35">[31]Assumption_PwC!$D$7</definedName>
    <definedName name="AuBhu0910" localSheetId="19">[30]Assumption_PwC!$D$7</definedName>
    <definedName name="AuBhu0910" localSheetId="5">[30]Assumption_PwC!$D$7</definedName>
    <definedName name="AuBhu0910">[32]Assumption_PwC!$D$7</definedName>
    <definedName name="AuBhu1011" localSheetId="32">[30]Assumption_PwC!$E$7</definedName>
    <definedName name="AuBhu1011" localSheetId="57">[31]Assumption_PwC!$E$7</definedName>
    <definedName name="AuBhu1011" localSheetId="2">[3]Assumption_PwC!$E$7</definedName>
    <definedName name="AuBhu1011" localSheetId="35">[31]Assumption_PwC!$E$7</definedName>
    <definedName name="AuBhu1011" localSheetId="19">[30]Assumption_PwC!$E$7</definedName>
    <definedName name="AuBhu1011" localSheetId="5">[30]Assumption_PwC!$E$7</definedName>
    <definedName name="AuBhu1011">[32]Assumption_PwC!$E$7</definedName>
    <definedName name="AuCha0910" localSheetId="32">[30]Assumption_PwC!$D$8</definedName>
    <definedName name="AuCha0910" localSheetId="57">[31]Assumption_PwC!$D$8</definedName>
    <definedName name="AuCha0910" localSheetId="2">[3]Assumption_PwC!$D$8</definedName>
    <definedName name="AuCha0910" localSheetId="35">[31]Assumption_PwC!$D$8</definedName>
    <definedName name="AuCha0910" localSheetId="19">[30]Assumption_PwC!$D$8</definedName>
    <definedName name="AuCha0910" localSheetId="5">[30]Assumption_PwC!$D$8</definedName>
    <definedName name="AuCha0910">[32]Assumption_PwC!$D$8</definedName>
    <definedName name="AV" localSheetId="32">#REF!</definedName>
    <definedName name="AV" localSheetId="11">#REF!</definedName>
    <definedName name="AV" localSheetId="13">#REF!</definedName>
    <definedName name="AV" localSheetId="17">#REF!</definedName>
    <definedName name="AV" localSheetId="56">#REF!</definedName>
    <definedName name="AV" localSheetId="57">#REF!</definedName>
    <definedName name="AV" localSheetId="58">#REF!</definedName>
    <definedName name="AV" localSheetId="59">#REF!</definedName>
    <definedName name="AV" localSheetId="60">#REF!</definedName>
    <definedName name="AV" localSheetId="25">#REF!</definedName>
    <definedName name="AV" localSheetId="30">#REF!</definedName>
    <definedName name="AV" localSheetId="31">#REF!</definedName>
    <definedName name="AV" localSheetId="2">#REF!</definedName>
    <definedName name="AV" localSheetId="15">#REF!</definedName>
    <definedName name="AV" localSheetId="35">#REF!</definedName>
    <definedName name="AV" localSheetId="19">#REF!</definedName>
    <definedName name="AV" localSheetId="5">#REF!</definedName>
    <definedName name="AV">#REF!</definedName>
    <definedName name="ay">'[22]Clause 9'!$A$4</definedName>
    <definedName name="B" localSheetId="57">#REF!</definedName>
    <definedName name="B" localSheetId="2">#REF!</definedName>
    <definedName name="B" localSheetId="15">#REF!</definedName>
    <definedName name="B">#REF!</definedName>
    <definedName name="B5210MW" localSheetId="57">#REF!</definedName>
    <definedName name="B5210MW" localSheetId="15">#REF!</definedName>
    <definedName name="B5210MW">#REF!</definedName>
    <definedName name="bb">[33]Variables!$B$4</definedName>
    <definedName name="BG_Del" hidden="1">15</definedName>
    <definedName name="BG_Ins" hidden="1">4</definedName>
    <definedName name="BG_Mod" hidden="1">6</definedName>
    <definedName name="BhuResLife">[34]Assumptions!$B$35</definedName>
    <definedName name="Bhus45ResLife16">'[35]Inputs &amp; Assumptions'!$D$14</definedName>
    <definedName name="Bhusawal3BL17" localSheetId="57">'[36]Balance Life'!$N$45</definedName>
    <definedName name="Bhusawal3BL17">'[37]Balance Life'!$N$45</definedName>
    <definedName name="BhusResLife16">'[35]Inputs &amp; Assumptions'!$B$3</definedName>
    <definedName name="BhusResLife17">'[35]Inputs &amp; Assumptions'!$G$16</definedName>
    <definedName name="BSDateSF">[29]Masters!$C$28</definedName>
    <definedName name="Bsl3Reslife18" localSheetId="57">[38]Sheet1!$O$45</definedName>
    <definedName name="Bsl3Reslife18">[39]Sheet1!$O$45</definedName>
    <definedName name="BW">#REF!</definedName>
    <definedName name="C_Data_1" localSheetId="32">'[40]2000-01'!#REF!</definedName>
    <definedName name="C_Data_1" localSheetId="11">'[40]2000-01'!#REF!</definedName>
    <definedName name="C_Data_1" localSheetId="13">'[40]2000-01'!#REF!</definedName>
    <definedName name="C_Data_1" localSheetId="17">'[40]2000-01'!#REF!</definedName>
    <definedName name="C_Data_1" localSheetId="56">'[40]2000-01'!#REF!</definedName>
    <definedName name="C_Data_1" localSheetId="57">'[40]2000-01'!#REF!</definedName>
    <definedName name="C_Data_1" localSheetId="58">'[40]2000-01'!#REF!</definedName>
    <definedName name="C_Data_1" localSheetId="59">'[40]2000-01'!#REF!</definedName>
    <definedName name="C_Data_1" localSheetId="60">'[40]2000-01'!#REF!</definedName>
    <definedName name="C_Data_1" localSheetId="25">'[40]2000-01'!#REF!</definedName>
    <definedName name="C_Data_1" localSheetId="30">'[40]2000-01'!#REF!</definedName>
    <definedName name="C_Data_1" localSheetId="31">'[40]2000-01'!#REF!</definedName>
    <definedName name="C_Data_1" localSheetId="2">'[3]2000-01'!#REF!</definedName>
    <definedName name="C_Data_1" localSheetId="15">'[40]2000-01'!#REF!</definedName>
    <definedName name="C_Data_1" localSheetId="35">'[41]2000-01'!#REF!</definedName>
    <definedName name="C_Data_1" localSheetId="19">'[40]2000-01'!#REF!</definedName>
    <definedName name="C_Data_1" localSheetId="5">'[40]2000-01'!#REF!</definedName>
    <definedName name="C_Data_1">'[40]2000-01'!#REF!</definedName>
    <definedName name="C_Data_2" localSheetId="32">'[40]2000-01'!#REF!</definedName>
    <definedName name="C_Data_2" localSheetId="11">'[40]2000-01'!#REF!</definedName>
    <definedName name="C_Data_2" localSheetId="13">'[40]2000-01'!#REF!</definedName>
    <definedName name="C_Data_2" localSheetId="17">'[40]2000-01'!#REF!</definedName>
    <definedName name="C_Data_2" localSheetId="56">'[40]2000-01'!#REF!</definedName>
    <definedName name="C_Data_2" localSheetId="57">'[40]2000-01'!#REF!</definedName>
    <definedName name="C_Data_2" localSheetId="58">'[40]2000-01'!#REF!</definedName>
    <definedName name="C_Data_2" localSheetId="59">'[40]2000-01'!#REF!</definedName>
    <definedName name="C_Data_2" localSheetId="60">'[40]2000-01'!#REF!</definedName>
    <definedName name="C_Data_2" localSheetId="25">'[40]2000-01'!#REF!</definedName>
    <definedName name="C_Data_2" localSheetId="30">'[40]2000-01'!#REF!</definedName>
    <definedName name="C_Data_2" localSheetId="31">'[40]2000-01'!#REF!</definedName>
    <definedName name="C_Data_2" localSheetId="2">'[3]2000-01'!#REF!</definedName>
    <definedName name="C_Data_2" localSheetId="15">'[40]2000-01'!#REF!</definedName>
    <definedName name="C_Data_2" localSheetId="35">'[41]2000-01'!#REF!</definedName>
    <definedName name="C_Data_2" localSheetId="19">'[40]2000-01'!#REF!</definedName>
    <definedName name="C_Data_2" localSheetId="5">'[40]2000-01'!#REF!</definedName>
    <definedName name="C_Data_2">'[40]2000-01'!#REF!</definedName>
    <definedName name="CASH">'[42]Balance Sheet'!$J$62</definedName>
    <definedName name="ChanResLife16">'[35]Inputs &amp; Assumptions'!$B$4</definedName>
    <definedName name="ChaResLife">[34]Assumptions!$B$36</definedName>
    <definedName name="ChartingArea">'[43]PL6-Revenue Bridge'!$A$6:$A$21,'[43]PL6-Revenue Bridge'!$E$6:$K$21</definedName>
    <definedName name="checkarea">[44]Settings!$E$1:$E$65536</definedName>
    <definedName name="cj">#REF!</definedName>
    <definedName name="CM10_C_RIGHT___" localSheetId="32">#REF!</definedName>
    <definedName name="CM10_C_RIGHT___" localSheetId="11">#REF!</definedName>
    <definedName name="CM10_C_RIGHT___" localSheetId="13">#REF!</definedName>
    <definedName name="CM10_C_RIGHT___" localSheetId="17">#REF!</definedName>
    <definedName name="CM10_C_RIGHT___" localSheetId="56">#REF!</definedName>
    <definedName name="CM10_C_RIGHT___" localSheetId="57">#REF!</definedName>
    <definedName name="CM10_C_RIGHT___" localSheetId="58">#REF!</definedName>
    <definedName name="CM10_C_RIGHT___" localSheetId="59">#REF!</definedName>
    <definedName name="CM10_C_RIGHT___" localSheetId="60">#REF!</definedName>
    <definedName name="CM10_C_RIGHT___" localSheetId="25">#REF!</definedName>
    <definedName name="CM10_C_RIGHT___" localSheetId="30">#REF!</definedName>
    <definedName name="CM10_C_RIGHT___" localSheetId="31">#REF!</definedName>
    <definedName name="CM10_C_RIGHT___" localSheetId="2">#REF!</definedName>
    <definedName name="CM10_C_RIGHT___" localSheetId="15">#REF!</definedName>
    <definedName name="CM10_C_RIGHT___" localSheetId="35">#REF!</definedName>
    <definedName name="CM10_C_RIGHT___" localSheetId="19">#REF!</definedName>
    <definedName name="CM10_C_RIGHT___" localSheetId="5">#REF!</definedName>
    <definedName name="CM10_C_RIGHT___">#REF!</definedName>
    <definedName name="cmb_Per10080G.StateCode">'[45]80G'!$B$84:$B$119</definedName>
    <definedName name="CMH" localSheetId="5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1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o">'[22]Clause 9'!$A$2</definedName>
    <definedName name="CoAdd">[29]Masters!$C$4</definedName>
    <definedName name="CoName">[29]Masters!$C$3</definedName>
    <definedName name="conf_balamended" localSheetId="57" hidden="1">{#N/A,#N/A,FALSE,"PMTABB";#N/A,#N/A,FALSE,"PMTABB"}</definedName>
    <definedName name="conf_balamended" localSheetId="15" hidden="1">{#N/A,#N/A,FALSE,"PMTABB";#N/A,#N/A,FALSE,"PMTABB"}</definedName>
    <definedName name="conf_balamended" hidden="1">{#N/A,#N/A,FALSE,"PMTABB";#N/A,#N/A,FALSE,"PMTABB"}</definedName>
    <definedName name="CoStatus">[29]Masters!$C$7</definedName>
    <definedName name="curra">[46]Title!$G$11</definedName>
    <definedName name="CURRAPPLI">[44]Settings!$E$9</definedName>
    <definedName name="Currency">'[9]x-rate'!$A$2:$B$10</definedName>
    <definedName name="CV" localSheetId="32">#REF!</definedName>
    <definedName name="CV" localSheetId="11">#REF!</definedName>
    <definedName name="CV" localSheetId="13">#REF!</definedName>
    <definedName name="CV" localSheetId="17">#REF!</definedName>
    <definedName name="CV" localSheetId="56">#REF!</definedName>
    <definedName name="CV" localSheetId="57">#REF!</definedName>
    <definedName name="CV" localSheetId="58">#REF!</definedName>
    <definedName name="CV" localSheetId="59">#REF!</definedName>
    <definedName name="CV" localSheetId="60">#REF!</definedName>
    <definedName name="CV" localSheetId="25">#REF!</definedName>
    <definedName name="CV" localSheetId="30">#REF!</definedName>
    <definedName name="CV" localSheetId="31">#REF!</definedName>
    <definedName name="CV" localSheetId="2">#REF!</definedName>
    <definedName name="CV" localSheetId="15">#REF!</definedName>
    <definedName name="CV" localSheetId="35">#REF!</definedName>
    <definedName name="CV" localSheetId="19">#REF!</definedName>
    <definedName name="CV" localSheetId="5">#REF!</definedName>
    <definedName name="CV">#REF!</definedName>
    <definedName name="cwedkwqnb" localSheetId="57">#REF!</definedName>
    <definedName name="cwedkwqnb" localSheetId="15">#REF!</definedName>
    <definedName name="cwedkwqnb">#REF!</definedName>
    <definedName name="CY" localSheetId="57">[47]NP!$K$1</definedName>
    <definedName name="CY">[48]NP!$K$1</definedName>
    <definedName name="cz">#REF!</definedName>
    <definedName name="D" localSheetId="35">#REF!</definedName>
    <definedName name="D">#N/A</definedName>
    <definedName name="_xlnm.Database" localSheetId="57">#REF!</definedName>
    <definedName name="_xlnm.Database" localSheetId="2">#REF!</definedName>
    <definedName name="_xlnm.Database" localSheetId="15">#REF!</definedName>
    <definedName name="_xlnm.Database">#REF!</definedName>
    <definedName name="Database1">#REF!</definedName>
    <definedName name="Database2">#REF!</definedName>
    <definedName name="Date">[19]BS!$C$1</definedName>
    <definedName name="dd">'[49]Main Bs'!$M$3</definedName>
    <definedName name="dds" localSheetId="57">#REF!</definedName>
    <definedName name="dds" localSheetId="15">#REF!</definedName>
    <definedName name="dds">#REF!</definedName>
    <definedName name="Debt_Pct" localSheetId="2">[3]Assumptions!$B$13</definedName>
    <definedName name="Debt_Pct" localSheetId="35">[50]Assumptions!$B$13</definedName>
    <definedName name="Debt_Pct">[51]Assumptions!$B$13</definedName>
    <definedName name="dec01SchV">[52]sep01!$A$1:$L$51</definedName>
    <definedName name="DEDUCTION">[53]deduction!$B$1:$I$87</definedName>
    <definedName name="Depreciation" localSheetId="57" hidden="1">{"'Detail Summary'!$A$1:$F$83"}</definedName>
    <definedName name="Depreciation" localSheetId="15" hidden="1">{"'Detail Summary'!$A$1:$F$83"}</definedName>
    <definedName name="Depreciation" hidden="1">{"'Detail Summary'!$A$1:$F$83"}</definedName>
    <definedName name="dfd" localSheetId="57">#REF!</definedName>
    <definedName name="dfd" localSheetId="15">#REF!</definedName>
    <definedName name="dfd">#REF!</definedName>
    <definedName name="DLYREVIEW" localSheetId="57">#REF!</definedName>
    <definedName name="DLYREVIEW" localSheetId="15">#REF!</definedName>
    <definedName name="DLYREVIEW">#REF!</definedName>
    <definedName name="dpc" localSheetId="2">'[3]dpc cost'!$D$1</definedName>
    <definedName name="dpc">'[54]dpc cost'!$D$1</definedName>
    <definedName name="ds" localSheetId="57">#REF!</definedName>
    <definedName name="ds" localSheetId="15">#REF!</definedName>
    <definedName name="ds">#REF!</definedName>
    <definedName name="dsf" localSheetId="57">#REF!</definedName>
    <definedName name="dsf" localSheetId="15">#REF!</definedName>
    <definedName name="dsf">#REF!</definedName>
    <definedName name="e" localSheetId="57" hidden="1">{"'Detail Summary'!$A$1:$F$83"}</definedName>
    <definedName name="E" localSheetId="2">#REF!</definedName>
    <definedName name="e" localSheetId="15" hidden="1">{"'Detail Summary'!$A$1:$F$83"}</definedName>
    <definedName name="e" hidden="1">{"'Detail Summary'!$A$1:$F$83"}</definedName>
    <definedName name="E_315MVA_Addl_Page1" localSheetId="32">#REF!</definedName>
    <definedName name="E_315MVA_Addl_Page1" localSheetId="10">#REF!</definedName>
    <definedName name="E_315MVA_Addl_Page1" localSheetId="11">#REF!</definedName>
    <definedName name="E_315MVA_Addl_Page1" localSheetId="13">#REF!</definedName>
    <definedName name="E_315MVA_Addl_Page1" localSheetId="14">#REF!</definedName>
    <definedName name="E_315MVA_Addl_Page1" localSheetId="41">#REF!</definedName>
    <definedName name="E_315MVA_Addl_Page1" localSheetId="42">#REF!</definedName>
    <definedName name="E_315MVA_Addl_Page1" localSheetId="47">#REF!</definedName>
    <definedName name="E_315MVA_Addl_Page1" localSheetId="48">#REF!</definedName>
    <definedName name="E_315MVA_Addl_Page1" localSheetId="49">#REF!</definedName>
    <definedName name="E_315MVA_Addl_Page1" localSheetId="50">#REF!</definedName>
    <definedName name="E_315MVA_Addl_Page1" localSheetId="51">#REF!</definedName>
    <definedName name="E_315MVA_Addl_Page1" localSheetId="52">#REF!</definedName>
    <definedName name="E_315MVA_Addl_Page1" localSheetId="53">#REF!</definedName>
    <definedName name="E_315MVA_Addl_Page1" localSheetId="54">#REF!</definedName>
    <definedName name="E_315MVA_Addl_Page1" localSheetId="55">#REF!</definedName>
    <definedName name="E_315MVA_Addl_Page1" localSheetId="17">#REF!</definedName>
    <definedName name="E_315MVA_Addl_Page1" localSheetId="18">#REF!</definedName>
    <definedName name="E_315MVA_Addl_Page1" localSheetId="56">#REF!</definedName>
    <definedName name="E_315MVA_Addl_Page1" localSheetId="57">#REF!</definedName>
    <definedName name="E_315MVA_Addl_Page1" localSheetId="58">#REF!</definedName>
    <definedName name="E_315MVA_Addl_Page1" localSheetId="59">#REF!</definedName>
    <definedName name="E_315MVA_Addl_Page1" localSheetId="60">#REF!</definedName>
    <definedName name="E_315MVA_Addl_Page1" localSheetId="25">#REF!</definedName>
    <definedName name="E_315MVA_Addl_Page1" localSheetId="30">#REF!</definedName>
    <definedName name="E_315MVA_Addl_Page1" localSheetId="31">#REF!</definedName>
    <definedName name="E_315MVA_Addl_Page1" localSheetId="2">#REF!</definedName>
    <definedName name="E_315MVA_Addl_Page1" localSheetId="15">#REF!</definedName>
    <definedName name="E_315MVA_Addl_Page1" localSheetId="35">#REF!</definedName>
    <definedName name="E_315MVA_Addl_Page1" localSheetId="19">#REF!</definedName>
    <definedName name="E_315MVA_Addl_Page1" localSheetId="5">#REF!</definedName>
    <definedName name="E_315MVA_Addl_Page1">#REF!</definedName>
    <definedName name="E_315MVA_Addl_Page2" localSheetId="32">#REF!</definedName>
    <definedName name="E_315MVA_Addl_Page2" localSheetId="10">#REF!</definedName>
    <definedName name="E_315MVA_Addl_Page2" localSheetId="11">#REF!</definedName>
    <definedName name="E_315MVA_Addl_Page2" localSheetId="13">#REF!</definedName>
    <definedName name="E_315MVA_Addl_Page2" localSheetId="14">#REF!</definedName>
    <definedName name="E_315MVA_Addl_Page2" localSheetId="41">#REF!</definedName>
    <definedName name="E_315MVA_Addl_Page2" localSheetId="42">#REF!</definedName>
    <definedName name="E_315MVA_Addl_Page2" localSheetId="47">#REF!</definedName>
    <definedName name="E_315MVA_Addl_Page2" localSheetId="48">#REF!</definedName>
    <definedName name="E_315MVA_Addl_Page2" localSheetId="49">#REF!</definedName>
    <definedName name="E_315MVA_Addl_Page2" localSheetId="50">#REF!</definedName>
    <definedName name="E_315MVA_Addl_Page2" localSheetId="51">#REF!</definedName>
    <definedName name="E_315MVA_Addl_Page2" localSheetId="52">#REF!</definedName>
    <definedName name="E_315MVA_Addl_Page2" localSheetId="53">#REF!</definedName>
    <definedName name="E_315MVA_Addl_Page2" localSheetId="54">#REF!</definedName>
    <definedName name="E_315MVA_Addl_Page2" localSheetId="55">#REF!</definedName>
    <definedName name="E_315MVA_Addl_Page2" localSheetId="17">#REF!</definedName>
    <definedName name="E_315MVA_Addl_Page2" localSheetId="18">#REF!</definedName>
    <definedName name="E_315MVA_Addl_Page2" localSheetId="56">#REF!</definedName>
    <definedName name="E_315MVA_Addl_Page2" localSheetId="57">#REF!</definedName>
    <definedName name="E_315MVA_Addl_Page2" localSheetId="58">#REF!</definedName>
    <definedName name="E_315MVA_Addl_Page2" localSheetId="59">#REF!</definedName>
    <definedName name="E_315MVA_Addl_Page2" localSheetId="60">#REF!</definedName>
    <definedName name="E_315MVA_Addl_Page2" localSheetId="25">#REF!</definedName>
    <definedName name="E_315MVA_Addl_Page2" localSheetId="30">#REF!</definedName>
    <definedName name="E_315MVA_Addl_Page2" localSheetId="31">#REF!</definedName>
    <definedName name="E_315MVA_Addl_Page2" localSheetId="2">#REF!</definedName>
    <definedName name="E_315MVA_Addl_Page2" localSheetId="15">#REF!</definedName>
    <definedName name="E_315MVA_Addl_Page2" localSheetId="35">#REF!</definedName>
    <definedName name="E_315MVA_Addl_Page2" localSheetId="19">#REF!</definedName>
    <definedName name="E_315MVA_Addl_Page2" localSheetId="5">#REF!</definedName>
    <definedName name="E_315MVA_Addl_Page2">#REF!</definedName>
    <definedName name="Erai_level" localSheetId="2">[3]Level_qty!$B$8:$C$528</definedName>
    <definedName name="Erai_level">[55]Level_qty!$B$8:$C$528</definedName>
    <definedName name="Esc_AGExp" localSheetId="2">[3]Assumptions!$B$4</definedName>
    <definedName name="Esc_AGExp" localSheetId="35">[56]Assumptions!$B$4</definedName>
    <definedName name="Esc_AGExp">[57]Assumptions!$B$4</definedName>
    <definedName name="Esc_Coal" localSheetId="2">[3]Assumptions!$B$6</definedName>
    <definedName name="Esc_Coal" localSheetId="35">[50]Assumptions!$B$6</definedName>
    <definedName name="Esc_Coal">[51]Assumptions!$B$6</definedName>
    <definedName name="Esc_DomGas" localSheetId="2">[3]Assumptions!$B$8</definedName>
    <definedName name="Esc_DomGas" localSheetId="35">[50]Assumptions!$B$8</definedName>
    <definedName name="Esc_DomGas">[51]Assumptions!$B$8</definedName>
    <definedName name="Esc_EmpExp" localSheetId="2">[3]Assumptions!$B$3</definedName>
    <definedName name="Esc_EmpExp" localSheetId="35">[50]Assumptions!$B$3</definedName>
    <definedName name="Esc_EmpExp">[51]Assumptions!$B$3</definedName>
    <definedName name="Esc_LNGas" localSheetId="2">[3]Assumptions!$B$9</definedName>
    <definedName name="Esc_LNGas" localSheetId="35">[50]Assumptions!$B$9</definedName>
    <definedName name="Esc_LNGas">[51]Assumptions!$B$9</definedName>
    <definedName name="Esc_Oil" localSheetId="2">[3]Assumptions!$B$7</definedName>
    <definedName name="Esc_Oil" localSheetId="35">[50]Assumptions!$B$7</definedName>
    <definedName name="Esc_Oil">[51]Assumptions!$B$7</definedName>
    <definedName name="Esc_OtherIncome">[50]Assumptions!$B$14</definedName>
    <definedName name="Esc_OtherVarCharge" localSheetId="2">[3]Assumptions!$B$10</definedName>
    <definedName name="Esc_OtherVarCharge" localSheetId="35">[50]Assumptions!$B$10</definedName>
    <definedName name="Esc_OtherVarCharge">[51]Assumptions!$B$10</definedName>
    <definedName name="Esc_RMExp" localSheetId="2">[3]Assumptions!$B$5</definedName>
    <definedName name="Esc_RMExp" localSheetId="35">[56]Assumptions!$B$5</definedName>
    <definedName name="Esc_RMExp">[57]Assumptions!$B$5</definedName>
    <definedName name="EscAGExp" localSheetId="32">#REF!</definedName>
    <definedName name="EscAGExp" localSheetId="11">#REF!</definedName>
    <definedName name="EscAGExp" localSheetId="13">#REF!</definedName>
    <definedName name="EscAGExp" localSheetId="17">#REF!</definedName>
    <definedName name="EscAGExp" localSheetId="56">#REF!</definedName>
    <definedName name="EscAGExp" localSheetId="57">#REF!</definedName>
    <definedName name="EscAGExp" localSheetId="58">#REF!</definedName>
    <definedName name="EscAGExp" localSheetId="59">#REF!</definedName>
    <definedName name="EscAGExp" localSheetId="60">#REF!</definedName>
    <definedName name="EscAGExp" localSheetId="25">#REF!</definedName>
    <definedName name="EscAGExp" localSheetId="30">#REF!</definedName>
    <definedName name="EscAGExp" localSheetId="31">#REF!</definedName>
    <definedName name="EscAGExp" localSheetId="2">#REF!</definedName>
    <definedName name="EscAGExp" localSheetId="15">#REF!</definedName>
    <definedName name="EscAGExp" localSheetId="35">#REF!</definedName>
    <definedName name="EscAGExp" localSheetId="19">#REF!</definedName>
    <definedName name="EscAGExp" localSheetId="5">#REF!</definedName>
    <definedName name="EscAGExp">#REF!</definedName>
    <definedName name="EscCoal" localSheetId="32">#REF!</definedName>
    <definedName name="EscCoal" localSheetId="11">#REF!</definedName>
    <definedName name="EscCoal" localSheetId="13">#REF!</definedName>
    <definedName name="EscCoal" localSheetId="17">#REF!</definedName>
    <definedName name="EscCoal" localSheetId="56">#REF!</definedName>
    <definedName name="EscCoal" localSheetId="57">#REF!</definedName>
    <definedName name="EscCoal" localSheetId="58">#REF!</definedName>
    <definedName name="EscCoal" localSheetId="59">#REF!</definedName>
    <definedName name="EscCoal" localSheetId="60">#REF!</definedName>
    <definedName name="EscCoal" localSheetId="25">#REF!</definedName>
    <definedName name="EscCoal" localSheetId="30">#REF!</definedName>
    <definedName name="EscCoal" localSheetId="31">#REF!</definedName>
    <definedName name="EscCoal" localSheetId="2">#REF!</definedName>
    <definedName name="EscCoal" localSheetId="15">#REF!</definedName>
    <definedName name="EscCoal" localSheetId="35">#REF!</definedName>
    <definedName name="EscCoal" localSheetId="19">#REF!</definedName>
    <definedName name="EscCoal" localSheetId="5">#REF!</definedName>
    <definedName name="EscCoal">#REF!</definedName>
    <definedName name="EscDomGas" localSheetId="32">#REF!</definedName>
    <definedName name="EscDomGas" localSheetId="11">#REF!</definedName>
    <definedName name="EscDomGas" localSheetId="13">#REF!</definedName>
    <definedName name="EscDomGas" localSheetId="17">#REF!</definedName>
    <definedName name="EscDomGas" localSheetId="56">#REF!</definedName>
    <definedName name="EscDomGas" localSheetId="57">#REF!</definedName>
    <definedName name="EscDomGas" localSheetId="58">#REF!</definedName>
    <definedName name="EscDomGas" localSheetId="59">#REF!</definedName>
    <definedName name="EscDomGas" localSheetId="60">#REF!</definedName>
    <definedName name="EscDomGas" localSheetId="25">#REF!</definedName>
    <definedName name="EscDomGas" localSheetId="30">#REF!</definedName>
    <definedName name="EscDomGas" localSheetId="31">#REF!</definedName>
    <definedName name="EscDomGas" localSheetId="2">#REF!</definedName>
    <definedName name="EscDomGas" localSheetId="15">#REF!</definedName>
    <definedName name="EscDomGas" localSheetId="35">#REF!</definedName>
    <definedName name="EscDomGas" localSheetId="19">#REF!</definedName>
    <definedName name="EscDomGas" localSheetId="5">#REF!</definedName>
    <definedName name="EscDomGas">#REF!</definedName>
    <definedName name="EscEmpExp" localSheetId="32">#REF!</definedName>
    <definedName name="EscEmpExp" localSheetId="11">#REF!</definedName>
    <definedName name="EscEmpExp" localSheetId="13">#REF!</definedName>
    <definedName name="EscEmpExp" localSheetId="17">#REF!</definedName>
    <definedName name="EscEmpExp" localSheetId="56">#REF!</definedName>
    <definedName name="EscEmpExp" localSheetId="57">#REF!</definedName>
    <definedName name="EscEmpExp" localSheetId="58">#REF!</definedName>
    <definedName name="EscEmpExp" localSheetId="59">#REF!</definedName>
    <definedName name="EscEmpExp" localSheetId="60">#REF!</definedName>
    <definedName name="EscEmpExp" localSheetId="25">#REF!</definedName>
    <definedName name="EscEmpExp" localSheetId="30">#REF!</definedName>
    <definedName name="EscEmpExp" localSheetId="31">#REF!</definedName>
    <definedName name="EscEmpExp" localSheetId="2">#REF!</definedName>
    <definedName name="EscEmpExp" localSheetId="15">#REF!</definedName>
    <definedName name="EscEmpExp" localSheetId="35">#REF!</definedName>
    <definedName name="EscEmpExp" localSheetId="19">#REF!</definedName>
    <definedName name="EscEmpExp" localSheetId="5">#REF!</definedName>
    <definedName name="EscEmpExp">#REF!</definedName>
    <definedName name="EscLNGas" localSheetId="32">#REF!</definedName>
    <definedName name="EscLNGas" localSheetId="11">#REF!</definedName>
    <definedName name="EscLNGas" localSheetId="13">#REF!</definedName>
    <definedName name="EscLNGas" localSheetId="17">#REF!</definedName>
    <definedName name="EscLNGas" localSheetId="56">#REF!</definedName>
    <definedName name="EscLNGas" localSheetId="57">#REF!</definedName>
    <definedName name="EscLNGas" localSheetId="58">#REF!</definedName>
    <definedName name="EscLNGas" localSheetId="59">#REF!</definedName>
    <definedName name="EscLNGas" localSheetId="60">#REF!</definedName>
    <definedName name="EscLNGas" localSheetId="25">#REF!</definedName>
    <definedName name="EscLNGas" localSheetId="30">#REF!</definedName>
    <definedName name="EscLNGas" localSheetId="31">#REF!</definedName>
    <definedName name="EscLNGas" localSheetId="2">#REF!</definedName>
    <definedName name="EscLNGas" localSheetId="15">#REF!</definedName>
    <definedName name="EscLNGas" localSheetId="35">#REF!</definedName>
    <definedName name="EscLNGas" localSheetId="19">#REF!</definedName>
    <definedName name="EscLNGas" localSheetId="5">#REF!</definedName>
    <definedName name="EscLNGas">#REF!</definedName>
    <definedName name="EscOil" localSheetId="32">#REF!</definedName>
    <definedName name="EscOil" localSheetId="11">#REF!</definedName>
    <definedName name="EscOil" localSheetId="13">#REF!</definedName>
    <definedName name="EscOil" localSheetId="17">#REF!</definedName>
    <definedName name="EscOil" localSheetId="56">#REF!</definedName>
    <definedName name="EscOil" localSheetId="57">#REF!</definedName>
    <definedName name="EscOil" localSheetId="58">#REF!</definedName>
    <definedName name="EscOil" localSheetId="59">#REF!</definedName>
    <definedName name="EscOil" localSheetId="60">#REF!</definedName>
    <definedName name="EscOil" localSheetId="25">#REF!</definedName>
    <definedName name="EscOil" localSheetId="30">#REF!</definedName>
    <definedName name="EscOil" localSheetId="31">#REF!</definedName>
    <definedName name="EscOil" localSheetId="2">#REF!</definedName>
    <definedName name="EscOil" localSheetId="15">#REF!</definedName>
    <definedName name="EscOil" localSheetId="35">#REF!</definedName>
    <definedName name="EscOil" localSheetId="19">#REF!</definedName>
    <definedName name="EscOil" localSheetId="5">#REF!</definedName>
    <definedName name="EscOil">#REF!</definedName>
    <definedName name="EscOM" localSheetId="57">#REF!</definedName>
    <definedName name="EscOM" localSheetId="15">#REF!</definedName>
    <definedName name="EscOM">#REF!</definedName>
    <definedName name="EscOM10" localSheetId="57">#REF!</definedName>
    <definedName name="EscOM10" localSheetId="15">#REF!</definedName>
    <definedName name="EscOM10">#REF!</definedName>
    <definedName name="EscOM11" localSheetId="57">#REF!</definedName>
    <definedName name="EscOM11" localSheetId="15">#REF!</definedName>
    <definedName name="EscOM11">#REF!</definedName>
    <definedName name="EscOM12" localSheetId="57">#REF!</definedName>
    <definedName name="EscOM12" localSheetId="15">#REF!</definedName>
    <definedName name="EscOM12">#REF!</definedName>
    <definedName name="EscOM13" localSheetId="57">#REF!</definedName>
    <definedName name="EscOM13" localSheetId="15">#REF!</definedName>
    <definedName name="EscOM13">#REF!</definedName>
    <definedName name="EscOMMYT" localSheetId="57">#REF!</definedName>
    <definedName name="EscOMMYT" localSheetId="15">#REF!</definedName>
    <definedName name="EscOMMYT">#REF!</definedName>
    <definedName name="EscOMMYTMERC" localSheetId="57">#REF!</definedName>
    <definedName name="EscOMMYTMERC" localSheetId="15">#REF!</definedName>
    <definedName name="EscOMMYTMERC">#REF!</definedName>
    <definedName name="EscOtherIncome" localSheetId="32">#REF!</definedName>
    <definedName name="EscOtherIncome" localSheetId="11">#REF!</definedName>
    <definedName name="EscOtherIncome" localSheetId="13">#REF!</definedName>
    <definedName name="EscOtherIncome" localSheetId="17">#REF!</definedName>
    <definedName name="EscOtherIncome" localSheetId="56">#REF!</definedName>
    <definedName name="EscOtherIncome" localSheetId="57">#REF!</definedName>
    <definedName name="EscOtherIncome" localSheetId="58">#REF!</definedName>
    <definedName name="EscOtherIncome" localSheetId="59">#REF!</definedName>
    <definedName name="EscOtherIncome" localSheetId="60">#REF!</definedName>
    <definedName name="EscOtherIncome" localSheetId="25">#REF!</definedName>
    <definedName name="EscOtherIncome" localSheetId="30">#REF!</definedName>
    <definedName name="EscOtherIncome" localSheetId="31">#REF!</definedName>
    <definedName name="EscOtherIncome" localSheetId="2">#REF!</definedName>
    <definedName name="EscOtherIncome" localSheetId="15">#REF!</definedName>
    <definedName name="EscOtherIncome" localSheetId="35">#REF!</definedName>
    <definedName name="EscOtherIncome" localSheetId="19">#REF!</definedName>
    <definedName name="EscOtherIncome" localSheetId="5">#REF!</definedName>
    <definedName name="EscOtherIncome">#REF!</definedName>
    <definedName name="EscOtherVarCharge" localSheetId="32">#REF!</definedName>
    <definedName name="EscOtherVarCharge" localSheetId="11">#REF!</definedName>
    <definedName name="EscOtherVarCharge" localSheetId="13">#REF!</definedName>
    <definedName name="EscOtherVarCharge" localSheetId="17">#REF!</definedName>
    <definedName name="EscOtherVarCharge" localSheetId="56">#REF!</definedName>
    <definedName name="EscOtherVarCharge" localSheetId="57">#REF!</definedName>
    <definedName name="EscOtherVarCharge" localSheetId="58">#REF!</definedName>
    <definedName name="EscOtherVarCharge" localSheetId="59">#REF!</definedName>
    <definedName name="EscOtherVarCharge" localSheetId="60">#REF!</definedName>
    <definedName name="EscOtherVarCharge" localSheetId="25">#REF!</definedName>
    <definedName name="EscOtherVarCharge" localSheetId="30">#REF!</definedName>
    <definedName name="EscOtherVarCharge" localSheetId="31">#REF!</definedName>
    <definedName name="EscOtherVarCharge" localSheetId="2">#REF!</definedName>
    <definedName name="EscOtherVarCharge" localSheetId="15">#REF!</definedName>
    <definedName name="EscOtherVarCharge" localSheetId="35">#REF!</definedName>
    <definedName name="EscOtherVarCharge" localSheetId="19">#REF!</definedName>
    <definedName name="EscOtherVarCharge" localSheetId="5">#REF!</definedName>
    <definedName name="EscOtherVarCharge">#REF!</definedName>
    <definedName name="EscRMExp" localSheetId="32">#REF!</definedName>
    <definedName name="EscRMExp" localSheetId="11">#REF!</definedName>
    <definedName name="EscRMExp" localSheetId="13">#REF!</definedName>
    <definedName name="EscRMExp" localSheetId="17">#REF!</definedName>
    <definedName name="EscRMExp" localSheetId="56">#REF!</definedName>
    <definedName name="EscRMExp" localSheetId="57">#REF!</definedName>
    <definedName name="EscRMExp" localSheetId="58">#REF!</definedName>
    <definedName name="EscRMExp" localSheetId="59">#REF!</definedName>
    <definedName name="EscRMExp" localSheetId="60">#REF!</definedName>
    <definedName name="EscRMExp" localSheetId="25">#REF!</definedName>
    <definedName name="EscRMExp" localSheetId="30">#REF!</definedName>
    <definedName name="EscRMExp" localSheetId="31">#REF!</definedName>
    <definedName name="EscRMExp" localSheetId="2">#REF!</definedName>
    <definedName name="EscRMExp" localSheetId="15">#REF!</definedName>
    <definedName name="EscRMExp" localSheetId="35">#REF!</definedName>
    <definedName name="EscRMExp" localSheetId="19">#REF!</definedName>
    <definedName name="EscRMExp" localSheetId="5">#REF!</definedName>
    <definedName name="EscRMExp">#REF!</definedName>
    <definedName name="EV__EVCOM_OPTIONS__" hidden="1">8</definedName>
    <definedName name="EV__EXPOPTIONS__" hidden="1">0</definedName>
    <definedName name="EV__LASTREFTIME__" hidden="1">"(GMT+05:30)5/14/2016 12:27:02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xc" localSheetId="57" hidden="1">{"'Sheet1'!$A$4386:$N$4591"}</definedName>
    <definedName name="exc" localSheetId="15" hidden="1">{"'Sheet1'!$A$4386:$N$4591"}</definedName>
    <definedName name="exc" hidden="1">{"'Sheet1'!$A$4386:$N$4591"}</definedName>
    <definedName name="Excel_BuiltIn_Print_Area_4">#REF!</definedName>
    <definedName name="Excel_BuiltIn_Print_Area_5">#REF!</definedName>
    <definedName name="f" localSheetId="57">'[58]Inputs &amp; Assumptions'!$D$14</definedName>
    <definedName name="f">'[59]Inputs &amp; Assumptions'!$D$14</definedName>
    <definedName name="FAX" localSheetId="32">#REF!</definedName>
    <definedName name="FAX" localSheetId="11">#REF!</definedName>
    <definedName name="FAX" localSheetId="13">#REF!</definedName>
    <definedName name="FAX" localSheetId="17">#REF!</definedName>
    <definedName name="FAX" localSheetId="56">#REF!</definedName>
    <definedName name="FAX" localSheetId="57">#REF!</definedName>
    <definedName name="FAX" localSheetId="58">#REF!</definedName>
    <definedName name="FAX" localSheetId="59">#REF!</definedName>
    <definedName name="FAX" localSheetId="60">#REF!</definedName>
    <definedName name="FAX" localSheetId="25">#REF!</definedName>
    <definedName name="FAX" localSheetId="30">#REF!</definedName>
    <definedName name="FAX" localSheetId="31">#REF!</definedName>
    <definedName name="FAX" localSheetId="2">#REF!</definedName>
    <definedName name="FAX" localSheetId="15">#REF!</definedName>
    <definedName name="FAX" localSheetId="35">#REF!</definedName>
    <definedName name="FAX" localSheetId="19">#REF!</definedName>
    <definedName name="FAX" localSheetId="5">#REF!</definedName>
    <definedName name="FAX">#REF!</definedName>
    <definedName name="fdfd" localSheetId="57">'[60]Balance Life'!$N$52</definedName>
    <definedName name="fdfd">'[61]Balance Life'!$N$52</definedName>
    <definedName name="ff" localSheetId="57">#REF!</definedName>
    <definedName name="ff" localSheetId="15">#REF!</definedName>
    <definedName name="ff">#REF!</definedName>
    <definedName name="FinCharge" localSheetId="2">[3]Assumptions!$B$25</definedName>
    <definedName name="FinCharge" localSheetId="35">[50]Assumptions!$B$25</definedName>
    <definedName name="FinCharge">[51]Assumptions!$B$25</definedName>
    <definedName name="FIXEDASSETS">[62]Cons!$B$2:$L$33</definedName>
    <definedName name="FPY" localSheetId="57">[47]NP!$L$2</definedName>
    <definedName name="FPY">[48]NP!$L$2</definedName>
    <definedName name="fsffg" localSheetId="57">#REF!</definedName>
    <definedName name="fsffg" localSheetId="15">#REF!</definedName>
    <definedName name="fsffg">#REF!</definedName>
    <definedName name="Fuel_Exp_CY" localSheetId="32">#REF!</definedName>
    <definedName name="Fuel_Exp_CY" localSheetId="10">#REF!</definedName>
    <definedName name="Fuel_Exp_CY" localSheetId="11">#REF!</definedName>
    <definedName name="Fuel_Exp_CY" localSheetId="13">#REF!</definedName>
    <definedName name="Fuel_Exp_CY" localSheetId="14">#REF!</definedName>
    <definedName name="Fuel_Exp_CY" localSheetId="41">#REF!</definedName>
    <definedName name="Fuel_Exp_CY" localSheetId="42">#REF!</definedName>
    <definedName name="Fuel_Exp_CY" localSheetId="47">#REF!</definedName>
    <definedName name="Fuel_Exp_CY" localSheetId="48">#REF!</definedName>
    <definedName name="Fuel_Exp_CY" localSheetId="49">#REF!</definedName>
    <definedName name="Fuel_Exp_CY" localSheetId="50">#REF!</definedName>
    <definedName name="Fuel_Exp_CY" localSheetId="51">#REF!</definedName>
    <definedName name="Fuel_Exp_CY" localSheetId="52">#REF!</definedName>
    <definedName name="Fuel_Exp_CY" localSheetId="53">#REF!</definedName>
    <definedName name="Fuel_Exp_CY" localSheetId="54">#REF!</definedName>
    <definedName name="Fuel_Exp_CY" localSheetId="55">#REF!</definedName>
    <definedName name="Fuel_Exp_CY" localSheetId="17">#REF!</definedName>
    <definedName name="Fuel_Exp_CY" localSheetId="18">#REF!</definedName>
    <definedName name="Fuel_Exp_CY" localSheetId="56">#REF!</definedName>
    <definedName name="Fuel_Exp_CY" localSheetId="57">#REF!</definedName>
    <definedName name="Fuel_Exp_CY" localSheetId="58">#REF!</definedName>
    <definedName name="Fuel_Exp_CY" localSheetId="59">#REF!</definedName>
    <definedName name="Fuel_Exp_CY" localSheetId="60">#REF!</definedName>
    <definedName name="Fuel_Exp_CY" localSheetId="25">#REF!</definedName>
    <definedName name="Fuel_Exp_CY" localSheetId="30">#REF!</definedName>
    <definedName name="Fuel_Exp_CY" localSheetId="31">#REF!</definedName>
    <definedName name="Fuel_Exp_CY" localSheetId="2">#REF!</definedName>
    <definedName name="Fuel_Exp_CY" localSheetId="15">#REF!</definedName>
    <definedName name="Fuel_Exp_CY" localSheetId="35">#REF!</definedName>
    <definedName name="Fuel_Exp_CY" localSheetId="19">#REF!</definedName>
    <definedName name="Fuel_Exp_CY" localSheetId="5">#REF!</definedName>
    <definedName name="Fuel_Exp_CY">#REF!</definedName>
    <definedName name="Fuel_Exp_EY" localSheetId="32">#REF!</definedName>
    <definedName name="Fuel_Exp_EY" localSheetId="10">#REF!</definedName>
    <definedName name="Fuel_Exp_EY" localSheetId="11">#REF!</definedName>
    <definedName name="Fuel_Exp_EY" localSheetId="13">#REF!</definedName>
    <definedName name="Fuel_Exp_EY" localSheetId="14">#REF!</definedName>
    <definedName name="Fuel_Exp_EY" localSheetId="41">#REF!</definedName>
    <definedName name="Fuel_Exp_EY" localSheetId="42">#REF!</definedName>
    <definedName name="Fuel_Exp_EY" localSheetId="47">#REF!</definedName>
    <definedName name="Fuel_Exp_EY" localSheetId="48">#REF!</definedName>
    <definedName name="Fuel_Exp_EY" localSheetId="49">#REF!</definedName>
    <definedName name="Fuel_Exp_EY" localSheetId="50">#REF!</definedName>
    <definedName name="Fuel_Exp_EY" localSheetId="51">#REF!</definedName>
    <definedName name="Fuel_Exp_EY" localSheetId="52">#REF!</definedName>
    <definedName name="Fuel_Exp_EY" localSheetId="53">#REF!</definedName>
    <definedName name="Fuel_Exp_EY" localSheetId="54">#REF!</definedName>
    <definedName name="Fuel_Exp_EY" localSheetId="55">#REF!</definedName>
    <definedName name="Fuel_Exp_EY" localSheetId="17">#REF!</definedName>
    <definedName name="Fuel_Exp_EY" localSheetId="18">#REF!</definedName>
    <definedName name="Fuel_Exp_EY" localSheetId="56">#REF!</definedName>
    <definedName name="Fuel_Exp_EY" localSheetId="57">#REF!</definedName>
    <definedName name="Fuel_Exp_EY" localSheetId="58">#REF!</definedName>
    <definedName name="Fuel_Exp_EY" localSheetId="59">#REF!</definedName>
    <definedName name="Fuel_Exp_EY" localSheetId="60">#REF!</definedName>
    <definedName name="Fuel_Exp_EY" localSheetId="25">#REF!</definedName>
    <definedName name="Fuel_Exp_EY" localSheetId="30">#REF!</definedName>
    <definedName name="Fuel_Exp_EY" localSheetId="31">#REF!</definedName>
    <definedName name="Fuel_Exp_EY" localSheetId="2">#REF!</definedName>
    <definedName name="Fuel_Exp_EY" localSheetId="15">#REF!</definedName>
    <definedName name="Fuel_Exp_EY" localSheetId="35">#REF!</definedName>
    <definedName name="Fuel_Exp_EY" localSheetId="19">#REF!</definedName>
    <definedName name="Fuel_Exp_EY" localSheetId="5">#REF!</definedName>
    <definedName name="Fuel_Exp_EY">#REF!</definedName>
    <definedName name="Fuel_Exp_PY" localSheetId="32">#REF!</definedName>
    <definedName name="Fuel_Exp_PY" localSheetId="10">#REF!</definedName>
    <definedName name="Fuel_Exp_PY" localSheetId="11">#REF!</definedName>
    <definedName name="Fuel_Exp_PY" localSheetId="13">#REF!</definedName>
    <definedName name="Fuel_Exp_PY" localSheetId="14">#REF!</definedName>
    <definedName name="Fuel_Exp_PY" localSheetId="41">#REF!</definedName>
    <definedName name="Fuel_Exp_PY" localSheetId="42">#REF!</definedName>
    <definedName name="Fuel_Exp_PY" localSheetId="47">#REF!</definedName>
    <definedName name="Fuel_Exp_PY" localSheetId="48">#REF!</definedName>
    <definedName name="Fuel_Exp_PY" localSheetId="49">#REF!</definedName>
    <definedName name="Fuel_Exp_PY" localSheetId="50">#REF!</definedName>
    <definedName name="Fuel_Exp_PY" localSheetId="51">#REF!</definedName>
    <definedName name="Fuel_Exp_PY" localSheetId="52">#REF!</definedName>
    <definedName name="Fuel_Exp_PY" localSheetId="53">#REF!</definedName>
    <definedName name="Fuel_Exp_PY" localSheetId="54">#REF!</definedName>
    <definedName name="Fuel_Exp_PY" localSheetId="55">#REF!</definedName>
    <definedName name="Fuel_Exp_PY" localSheetId="17">#REF!</definedName>
    <definedName name="Fuel_Exp_PY" localSheetId="18">#REF!</definedName>
    <definedName name="Fuel_Exp_PY" localSheetId="56">#REF!</definedName>
    <definedName name="Fuel_Exp_PY" localSheetId="57">#REF!</definedName>
    <definedName name="Fuel_Exp_PY" localSheetId="58">#REF!</definedName>
    <definedName name="Fuel_Exp_PY" localSheetId="59">#REF!</definedName>
    <definedName name="Fuel_Exp_PY" localSheetId="60">#REF!</definedName>
    <definedName name="Fuel_Exp_PY" localSheetId="25">#REF!</definedName>
    <definedName name="Fuel_Exp_PY" localSheetId="30">#REF!</definedName>
    <definedName name="Fuel_Exp_PY" localSheetId="31">#REF!</definedName>
    <definedName name="Fuel_Exp_PY" localSheetId="2">#REF!</definedName>
    <definedName name="Fuel_Exp_PY" localSheetId="15">#REF!</definedName>
    <definedName name="Fuel_Exp_PY" localSheetId="35">#REF!</definedName>
    <definedName name="Fuel_Exp_PY" localSheetId="19">#REF!</definedName>
    <definedName name="Fuel_Exp_PY" localSheetId="5">#REF!</definedName>
    <definedName name="Fuel_Exp_PY">#REF!</definedName>
    <definedName name="Function">[63]Instruction!$C$14</definedName>
    <definedName name="FY" localSheetId="57">[47]NP!$K$2</definedName>
    <definedName name="FY">[48]NP!$K$2</definedName>
    <definedName name="gdfgg" localSheetId="57">#REF!</definedName>
    <definedName name="gdfgg" localSheetId="15">#REF!</definedName>
    <definedName name="gdfgg">#REF!</definedName>
    <definedName name="geg" localSheetId="57">#REF!</definedName>
    <definedName name="geg" localSheetId="15">#REF!</definedName>
    <definedName name="geg">#REF!</definedName>
    <definedName name="GFA">'F 5.3'!$A$8:$O$16</definedName>
    <definedName name="GFA_19_20">'F 5.3'!$A$8:$O$16</definedName>
    <definedName name="gk0901int" localSheetId="57" hidden="1">{#N/A,#N/A,FALSE,"PMTABB";#N/A,#N/A,FALSE,"PMTABB"}</definedName>
    <definedName name="gk0901int" localSheetId="15" hidden="1">{#N/A,#N/A,FALSE,"PMTABB";#N/A,#N/A,FALSE,"PMTABB"}</definedName>
    <definedName name="gk0901int" hidden="1">{#N/A,#N/A,FALSE,"PMTABB";#N/A,#N/A,FALSE,"PMTABB"}</definedName>
    <definedName name="GR" localSheetId="32">#REF!</definedName>
    <definedName name="GR" localSheetId="11">#REF!</definedName>
    <definedName name="GR" localSheetId="13">#REF!</definedName>
    <definedName name="GR" localSheetId="17">#REF!</definedName>
    <definedName name="GR" localSheetId="56">#REF!</definedName>
    <definedName name="GR" localSheetId="57">#REF!</definedName>
    <definedName name="GR" localSheetId="58">#REF!</definedName>
    <definedName name="GR" localSheetId="59">#REF!</definedName>
    <definedName name="GR" localSheetId="60">#REF!</definedName>
    <definedName name="GR" localSheetId="25">#REF!</definedName>
    <definedName name="GR" localSheetId="30">#REF!</definedName>
    <definedName name="GR" localSheetId="31">#REF!</definedName>
    <definedName name="GR" localSheetId="2">#REF!</definedName>
    <definedName name="GR" localSheetId="15">#REF!</definedName>
    <definedName name="GR" localSheetId="35">#REF!</definedName>
    <definedName name="GR" localSheetId="19">#REF!</definedName>
    <definedName name="GR" localSheetId="5">#REF!</definedName>
    <definedName name="GR">#REF!</definedName>
    <definedName name="hghg" localSheetId="57">#REF!</definedName>
    <definedName name="hghg" localSheetId="15">#REF!</definedName>
    <definedName name="hghg">#REF!</definedName>
    <definedName name="hh" localSheetId="57" hidden="1">{"'Detail Summary'!$A$1:$F$83"}</definedName>
    <definedName name="hh" localSheetId="15" hidden="1">{"'Detail Summary'!$A$1:$F$83"}</definedName>
    <definedName name="hh" hidden="1">{"'Detail Summary'!$A$1:$F$83"}</definedName>
    <definedName name="HTML_CodePage" hidden="1">1252</definedName>
    <definedName name="HTML_Control" localSheetId="57" hidden="1">{"'Sheet1'!$A$4386:$N$4591"}</definedName>
    <definedName name="HTML_Control" localSheetId="15"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ydroResLife">[34]Assumptions!$B$44</definedName>
    <definedName name="HydroResLife16">'[35]Inputs &amp; Assumptions'!$D$12</definedName>
    <definedName name="ICRP">'[64]16.IC-RP list'!$C$6:$C$524</definedName>
    <definedName name="icrplist">'[65]IC-RP list'!$C$4:$C$500</definedName>
    <definedName name="Inflationfactor">'[35]Inputs &amp; Assumptions'!$P$47</definedName>
    <definedName name="Insurance_money_received">SUM('[66]Interest 30-11-01 not PA 7%'!$E$151:$E$152)</definedName>
    <definedName name="interest"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_rate_for_working_capital___FY14">[34]Assumptions!$B$1</definedName>
    <definedName name="Interest_rate_for_working_capital___FY15">[34]Assumptions!$B$2</definedName>
    <definedName name="Interest_rate_for_working_capital___FY16">[34]Assumptions!$B$2</definedName>
    <definedName name="Interest_rate_for_working_capital___FY17">[34]Assumptions!$B$25</definedName>
    <definedName name="Interest_rate_for_working_capital___FY18">[34]Assumptions!$B$26</definedName>
    <definedName name="Interest_rate_for_working_capital___FY19">[34]Assumptions!$B$27</definedName>
    <definedName name="Interest_rate_for_working_capital___FY20">[34]Assumptions!$B$28</definedName>
    <definedName name="InterestrateforworkingcapitalFY15" localSheetId="57">#REF!</definedName>
    <definedName name="InterestrateforworkingcapitalFY15" localSheetId="15">#REF!</definedName>
    <definedName name="InterestrateforworkingcapitalFY15">#REF!</definedName>
    <definedName name="IntRate_11" localSheetId="2">[3]Assumptions!$B$11</definedName>
    <definedName name="IntRate_11" localSheetId="35">[50]Assumptions!$B$11</definedName>
    <definedName name="IntRate_11">[51]Assumptions!$B$11</definedName>
    <definedName name="IntRate_12" localSheetId="2">[3]Assumptions!$B$12</definedName>
    <definedName name="IntRate_12" localSheetId="35">[50]Assumptions!$B$12</definedName>
    <definedName name="IntRate_12">[51]Assumptions!$B$12</definedName>
    <definedName name="IntRate_WC" localSheetId="32">[30]Assumptions!$B$16</definedName>
    <definedName name="IntRate_WC" localSheetId="57">[31]Assumptions!$B$16</definedName>
    <definedName name="IntRate_WC" localSheetId="2">[3]Assumptions!$B$16</definedName>
    <definedName name="IntRate_WC" localSheetId="35">[31]Assumptions!$B$16</definedName>
    <definedName name="IntRate_WC" localSheetId="19">[30]Assumptions!$B$16</definedName>
    <definedName name="IntRate_WC" localSheetId="5">[30]Assumptions!$B$16</definedName>
    <definedName name="IntRate_WC">[32]Assumptions!$B$16</definedName>
    <definedName name="IntRate_WC10" localSheetId="2">[3]Assumptions!$B$16</definedName>
    <definedName name="IntRate_WC10" localSheetId="35">[50]Assumptions!$B$16</definedName>
    <definedName name="IntRate_WC10">[51]Assumptions!$B$16</definedName>
    <definedName name="IntRate_WC11" localSheetId="2">[3]Assumptions!$B$17</definedName>
    <definedName name="IntRate_WC11" localSheetId="35">[50]Assumptions!$B$17</definedName>
    <definedName name="IntRate_WC11">[51]Assumptions!$B$17</definedName>
    <definedName name="IntRate_WC12" localSheetId="2">[3]Assumptions!$B$18</definedName>
    <definedName name="IntRate_WC12" localSheetId="35">[50]Assumptions!$B$18</definedName>
    <definedName name="IntRate_WC12">[51]Assumptions!$B$18</definedName>
    <definedName name="IntRate12" localSheetId="32">#REF!</definedName>
    <definedName name="IntRate12" localSheetId="11">#REF!</definedName>
    <definedName name="IntRate12" localSheetId="13">#REF!</definedName>
    <definedName name="IntRate12" localSheetId="17">#REF!</definedName>
    <definedName name="IntRate12" localSheetId="56">#REF!</definedName>
    <definedName name="IntRate12" localSheetId="57">#REF!</definedName>
    <definedName name="IntRate12" localSheetId="58">#REF!</definedName>
    <definedName name="IntRate12" localSheetId="59">#REF!</definedName>
    <definedName name="IntRate12" localSheetId="60">#REF!</definedName>
    <definedName name="IntRate12" localSheetId="25">#REF!</definedName>
    <definedName name="IntRate12" localSheetId="30">#REF!</definedName>
    <definedName name="IntRate12" localSheetId="31">#REF!</definedName>
    <definedName name="IntRate12" localSheetId="2">#REF!</definedName>
    <definedName name="IntRate12" localSheetId="15">#REF!</definedName>
    <definedName name="IntRate12" localSheetId="35">#REF!</definedName>
    <definedName name="IntRate12" localSheetId="19">#REF!</definedName>
    <definedName name="IntRate12" localSheetId="5">#REF!</definedName>
    <definedName name="IntRate12">#REF!</definedName>
    <definedName name="IntRate13" localSheetId="32">#REF!</definedName>
    <definedName name="IntRate13" localSheetId="11">#REF!</definedName>
    <definedName name="IntRate13" localSheetId="13">#REF!</definedName>
    <definedName name="IntRate13" localSheetId="17">#REF!</definedName>
    <definedName name="IntRate13" localSheetId="56">#REF!</definedName>
    <definedName name="IntRate13" localSheetId="57">#REF!</definedName>
    <definedName name="IntRate13" localSheetId="58">#REF!</definedName>
    <definedName name="IntRate13" localSheetId="59">#REF!</definedName>
    <definedName name="IntRate13" localSheetId="60">#REF!</definedName>
    <definedName name="IntRate13" localSheetId="25">#REF!</definedName>
    <definedName name="IntRate13" localSheetId="30">#REF!</definedName>
    <definedName name="IntRate13" localSheetId="31">#REF!</definedName>
    <definedName name="IntRate13" localSheetId="2">#REF!</definedName>
    <definedName name="IntRate13" localSheetId="15">#REF!</definedName>
    <definedName name="IntRate13" localSheetId="35">#REF!</definedName>
    <definedName name="IntRate13" localSheetId="19">#REF!</definedName>
    <definedName name="IntRate13" localSheetId="5">#REF!</definedName>
    <definedName name="IntRate13">#REF!</definedName>
    <definedName name="IntRate14" localSheetId="57">#REF!</definedName>
    <definedName name="IntRate14" localSheetId="15">#REF!</definedName>
    <definedName name="IntRate14">#REF!</definedName>
    <definedName name="IntRate15" localSheetId="57">#REF!</definedName>
    <definedName name="IntRate15" localSheetId="15">#REF!</definedName>
    <definedName name="IntRate15">#REF!</definedName>
    <definedName name="IntRateWC11" localSheetId="32">#REF!</definedName>
    <definedName name="IntRateWC11" localSheetId="11">#REF!</definedName>
    <definedName name="IntRateWC11" localSheetId="13">#REF!</definedName>
    <definedName name="IntRateWC11" localSheetId="17">#REF!</definedName>
    <definedName name="IntRateWC11" localSheetId="56">#REF!</definedName>
    <definedName name="IntRateWC11" localSheetId="57">#REF!</definedName>
    <definedName name="IntRateWC11" localSheetId="58">#REF!</definedName>
    <definedName name="IntRateWC11" localSheetId="59">#REF!</definedName>
    <definedName name="IntRateWC11" localSheetId="60">#REF!</definedName>
    <definedName name="IntRateWC11" localSheetId="25">#REF!</definedName>
    <definedName name="IntRateWC11" localSheetId="30">#REF!</definedName>
    <definedName name="IntRateWC11" localSheetId="31">#REF!</definedName>
    <definedName name="IntRateWC11" localSheetId="2">#REF!</definedName>
    <definedName name="IntRateWC11" localSheetId="15">#REF!</definedName>
    <definedName name="IntRateWC11" localSheetId="35">[67]Assumptions!$B$3</definedName>
    <definedName name="IntRateWC11" localSheetId="19">#REF!</definedName>
    <definedName name="IntRateWC11" localSheetId="5">#REF!</definedName>
    <definedName name="IntRateWC11">#REF!</definedName>
    <definedName name="IntRateWC12" localSheetId="32">#REF!</definedName>
    <definedName name="IntRateWC12" localSheetId="11">#REF!</definedName>
    <definedName name="IntRateWC12" localSheetId="13">#REF!</definedName>
    <definedName name="IntRateWC12" localSheetId="17">#REF!</definedName>
    <definedName name="IntRateWC12" localSheetId="56">#REF!</definedName>
    <definedName name="IntRateWC12" localSheetId="57">#REF!</definedName>
    <definedName name="IntRateWC12" localSheetId="58">#REF!</definedName>
    <definedName name="IntRateWC12" localSheetId="59">#REF!</definedName>
    <definedName name="IntRateWC12" localSheetId="60">#REF!</definedName>
    <definedName name="IntRateWC12" localSheetId="25">#REF!</definedName>
    <definedName name="IntRateWC12" localSheetId="30">#REF!</definedName>
    <definedName name="IntRateWC12" localSheetId="31">#REF!</definedName>
    <definedName name="IntRateWC12" localSheetId="2">#REF!</definedName>
    <definedName name="IntRateWC12" localSheetId="15">#REF!</definedName>
    <definedName name="IntRateWC12" localSheetId="35">#REF!</definedName>
    <definedName name="IntRateWC12" localSheetId="19">#REF!</definedName>
    <definedName name="IntRateWC12" localSheetId="5">#REF!</definedName>
    <definedName name="IntRateWC12">#REF!</definedName>
    <definedName name="IntRateWC13" localSheetId="32">#REF!</definedName>
    <definedName name="IntRateWC13" localSheetId="11">#REF!</definedName>
    <definedName name="IntRateWC13" localSheetId="13">#REF!</definedName>
    <definedName name="IntRateWC13" localSheetId="17">#REF!</definedName>
    <definedName name="IntRateWC13" localSheetId="56">#REF!</definedName>
    <definedName name="IntRateWC13" localSheetId="57">#REF!</definedName>
    <definedName name="IntRateWC13" localSheetId="58">#REF!</definedName>
    <definedName name="IntRateWC13" localSheetId="59">#REF!</definedName>
    <definedName name="IntRateWC13" localSheetId="60">#REF!</definedName>
    <definedName name="IntRateWC13" localSheetId="25">#REF!</definedName>
    <definedName name="IntRateWC13" localSheetId="30">#REF!</definedName>
    <definedName name="IntRateWC13" localSheetId="31">#REF!</definedName>
    <definedName name="IntRateWC13" localSheetId="2">#REF!</definedName>
    <definedName name="IntRateWC13" localSheetId="15">#REF!</definedName>
    <definedName name="IntRateWC13" localSheetId="35">#REF!</definedName>
    <definedName name="IntRateWC13" localSheetId="19">#REF!</definedName>
    <definedName name="IntRateWC13" localSheetId="5">#REF!</definedName>
    <definedName name="IntRateWC13">#REF!</definedName>
    <definedName name="IntRateWC14" localSheetId="57">#REF!</definedName>
    <definedName name="IntRateWC14" localSheetId="15">#REF!</definedName>
    <definedName name="IntRateWC14">#REF!</definedName>
    <definedName name="IntRateWC15" localSheetId="57">#REF!</definedName>
    <definedName name="IntRateWC15" localSheetId="15">#REF!</definedName>
    <definedName name="IntRateWC15">#REF!</definedName>
    <definedName name="IntRateWC17" localSheetId="57">#REF!</definedName>
    <definedName name="IntRateWC17" localSheetId="15">#REF!</definedName>
    <definedName name="IntRateWC17">#REF!</definedName>
    <definedName name="IntRateWC18" localSheetId="57">#REF!</definedName>
    <definedName name="IntRateWC18" localSheetId="15">#REF!</definedName>
    <definedName name="IntRateWC18">#REF!</definedName>
    <definedName name="IntRateWC19" localSheetId="57">#REF!</definedName>
    <definedName name="IntRateWC19" localSheetId="15">#REF!</definedName>
    <definedName name="IntRateWC19">#REF!</definedName>
    <definedName name="IntRateWC20" localSheetId="57">#REF!</definedName>
    <definedName name="IntRateWC20" localSheetId="15">#REF!</definedName>
    <definedName name="IntRateWC20">#REF!</definedName>
    <definedName name="Intt_Charge_cY" localSheetId="32">#REF!,#REF!</definedName>
    <definedName name="Intt_Charge_cY" localSheetId="10">#REF!,#REF!</definedName>
    <definedName name="Intt_Charge_cY" localSheetId="11">#REF!,#REF!</definedName>
    <definedName name="Intt_Charge_cY" localSheetId="13">#REF!,#REF!</definedName>
    <definedName name="Intt_Charge_cY" localSheetId="14">#REF!,#REF!</definedName>
    <definedName name="Intt_Charge_cY" localSheetId="41">#REF!,#REF!</definedName>
    <definedName name="Intt_Charge_cY" localSheetId="42">#REF!,#REF!</definedName>
    <definedName name="Intt_Charge_cY" localSheetId="47">#REF!,#REF!</definedName>
    <definedName name="Intt_Charge_cY" localSheetId="48">#REF!,#REF!</definedName>
    <definedName name="Intt_Charge_cY" localSheetId="49">#REF!,#REF!</definedName>
    <definedName name="Intt_Charge_cY" localSheetId="50">#REF!,#REF!</definedName>
    <definedName name="Intt_Charge_cY" localSheetId="51">#REF!,#REF!</definedName>
    <definedName name="Intt_Charge_cY" localSheetId="52">#REF!,#REF!</definedName>
    <definedName name="Intt_Charge_cY" localSheetId="53">#REF!,#REF!</definedName>
    <definedName name="Intt_Charge_cY" localSheetId="54">#REF!,#REF!</definedName>
    <definedName name="Intt_Charge_cY" localSheetId="55">#REF!,#REF!</definedName>
    <definedName name="Intt_Charge_cY" localSheetId="17">#REF!,#REF!</definedName>
    <definedName name="Intt_Charge_cY" localSheetId="18">#REF!,#REF!</definedName>
    <definedName name="Intt_Charge_cY" localSheetId="56">#REF!,#REF!</definedName>
    <definedName name="Intt_Charge_cY" localSheetId="57">#REF!,#REF!</definedName>
    <definedName name="Intt_Charge_cY" localSheetId="58">#REF!,#REF!</definedName>
    <definedName name="Intt_Charge_cY" localSheetId="59">#REF!,#REF!</definedName>
    <definedName name="Intt_Charge_cY" localSheetId="60">#REF!,#REF!</definedName>
    <definedName name="Intt_Charge_cY" localSheetId="25">#REF!,#REF!</definedName>
    <definedName name="Intt_Charge_cY" localSheetId="30">#REF!,#REF!</definedName>
    <definedName name="Intt_Charge_cY" localSheetId="31">#REF!,#REF!</definedName>
    <definedName name="Intt_Charge_cY" localSheetId="2">#REF!,#REF!</definedName>
    <definedName name="Intt_Charge_cY" localSheetId="15">#REF!,#REF!</definedName>
    <definedName name="Intt_Charge_cY" localSheetId="35">#REF!,#REF!</definedName>
    <definedName name="Intt_Charge_cY" localSheetId="19">#REF!,#REF!</definedName>
    <definedName name="Intt_Charge_cY" localSheetId="5">#REF!,#REF!</definedName>
    <definedName name="Intt_Charge_cY">#REF!,#REF!</definedName>
    <definedName name="Intt_Charge_cy_1" localSheetId="32">'[68]A 3.7'!$H$35,'[68]A 3.7'!$H$44</definedName>
    <definedName name="Intt_Charge_cy_1" localSheetId="57">'[69]A 3.7'!$H$35,'[69]A 3.7'!$H$44</definedName>
    <definedName name="Intt_Charge_cy_1" localSheetId="2">'[3]A 3.7'!$H$35,'[3]A 3.7'!$H$44</definedName>
    <definedName name="Intt_Charge_cy_1" localSheetId="35">'[69]A 3.7'!$H$35,'[69]A 3.7'!$H$44</definedName>
    <definedName name="Intt_Charge_cy_1" localSheetId="19">'[68]A 3.7'!$H$35,'[68]A 3.7'!$H$44</definedName>
    <definedName name="Intt_Charge_cy_1" localSheetId="5">'[68]A 3.7'!$H$35,'[68]A 3.7'!$H$44</definedName>
    <definedName name="Intt_Charge_cy_1">'[70]A 3.7'!$H$35,'[70]A 3.7'!$H$44</definedName>
    <definedName name="Intt_Charge_eY" localSheetId="32">#REF!,#REF!</definedName>
    <definedName name="Intt_Charge_eY" localSheetId="10">#REF!,#REF!</definedName>
    <definedName name="Intt_Charge_eY" localSheetId="11">#REF!,#REF!</definedName>
    <definedName name="Intt_Charge_eY" localSheetId="13">#REF!,#REF!</definedName>
    <definedName name="Intt_Charge_eY" localSheetId="14">#REF!,#REF!</definedName>
    <definedName name="Intt_Charge_eY" localSheetId="41">#REF!,#REF!</definedName>
    <definedName name="Intt_Charge_eY" localSheetId="42">#REF!,#REF!</definedName>
    <definedName name="Intt_Charge_eY" localSheetId="47">#REF!,#REF!</definedName>
    <definedName name="Intt_Charge_eY" localSheetId="48">#REF!,#REF!</definedName>
    <definedName name="Intt_Charge_eY" localSheetId="49">#REF!,#REF!</definedName>
    <definedName name="Intt_Charge_eY" localSheetId="50">#REF!,#REF!</definedName>
    <definedName name="Intt_Charge_eY" localSheetId="51">#REF!,#REF!</definedName>
    <definedName name="Intt_Charge_eY" localSheetId="52">#REF!,#REF!</definedName>
    <definedName name="Intt_Charge_eY" localSheetId="53">#REF!,#REF!</definedName>
    <definedName name="Intt_Charge_eY" localSheetId="54">#REF!,#REF!</definedName>
    <definedName name="Intt_Charge_eY" localSheetId="55">#REF!,#REF!</definedName>
    <definedName name="Intt_Charge_eY" localSheetId="17">#REF!,#REF!</definedName>
    <definedName name="Intt_Charge_eY" localSheetId="18">#REF!,#REF!</definedName>
    <definedName name="Intt_Charge_eY" localSheetId="56">#REF!,#REF!</definedName>
    <definedName name="Intt_Charge_eY" localSheetId="57">#REF!,#REF!</definedName>
    <definedName name="Intt_Charge_eY" localSheetId="58">#REF!,#REF!</definedName>
    <definedName name="Intt_Charge_eY" localSheetId="59">#REF!,#REF!</definedName>
    <definedName name="Intt_Charge_eY" localSheetId="60">#REF!,#REF!</definedName>
    <definedName name="Intt_Charge_eY" localSheetId="25">#REF!,#REF!</definedName>
    <definedName name="Intt_Charge_eY" localSheetId="30">#REF!,#REF!</definedName>
    <definedName name="Intt_Charge_eY" localSheetId="31">#REF!,#REF!</definedName>
    <definedName name="Intt_Charge_eY" localSheetId="2">#REF!,#REF!</definedName>
    <definedName name="Intt_Charge_eY" localSheetId="15">#REF!,#REF!</definedName>
    <definedName name="Intt_Charge_eY" localSheetId="35">#REF!,#REF!</definedName>
    <definedName name="Intt_Charge_eY" localSheetId="19">#REF!,#REF!</definedName>
    <definedName name="Intt_Charge_eY" localSheetId="5">#REF!,#REF!</definedName>
    <definedName name="Intt_Charge_eY">#REF!,#REF!</definedName>
    <definedName name="Intt_Charge_ey_1" localSheetId="32">'[68]A 3.7'!$I$35,'[68]A 3.7'!$I$44</definedName>
    <definedName name="Intt_Charge_ey_1" localSheetId="57">'[69]A 3.7'!$I$35,'[69]A 3.7'!$I$44</definedName>
    <definedName name="Intt_Charge_ey_1" localSheetId="2">'[3]A 3.7'!$I$35,'[3]A 3.7'!$I$44</definedName>
    <definedName name="Intt_Charge_ey_1" localSheetId="35">'[69]A 3.7'!$I$35,'[69]A 3.7'!$I$44</definedName>
    <definedName name="Intt_Charge_ey_1" localSheetId="19">'[68]A 3.7'!$I$35,'[68]A 3.7'!$I$44</definedName>
    <definedName name="Intt_Charge_ey_1" localSheetId="5">'[68]A 3.7'!$I$35,'[68]A 3.7'!$I$44</definedName>
    <definedName name="Intt_Charge_ey_1">'[70]A 3.7'!$I$35,'[70]A 3.7'!$I$44</definedName>
    <definedName name="Intt_Charge_PY" localSheetId="32">#REF!,#REF!</definedName>
    <definedName name="Intt_Charge_PY" localSheetId="10">#REF!,#REF!</definedName>
    <definedName name="Intt_Charge_PY" localSheetId="11">#REF!,#REF!</definedName>
    <definedName name="Intt_Charge_PY" localSheetId="13">#REF!,#REF!</definedName>
    <definedName name="Intt_Charge_PY" localSheetId="14">#REF!,#REF!</definedName>
    <definedName name="Intt_Charge_PY" localSheetId="41">#REF!,#REF!</definedName>
    <definedName name="Intt_Charge_PY" localSheetId="42">#REF!,#REF!</definedName>
    <definedName name="Intt_Charge_PY" localSheetId="47">#REF!,#REF!</definedName>
    <definedName name="Intt_Charge_PY" localSheetId="48">#REF!,#REF!</definedName>
    <definedName name="Intt_Charge_PY" localSheetId="49">#REF!,#REF!</definedName>
    <definedName name="Intt_Charge_PY" localSheetId="50">#REF!,#REF!</definedName>
    <definedName name="Intt_Charge_PY" localSheetId="51">#REF!,#REF!</definedName>
    <definedName name="Intt_Charge_PY" localSheetId="52">#REF!,#REF!</definedName>
    <definedName name="Intt_Charge_PY" localSheetId="53">#REF!,#REF!</definedName>
    <definedName name="Intt_Charge_PY" localSheetId="54">#REF!,#REF!</definedName>
    <definedName name="Intt_Charge_PY" localSheetId="55">#REF!,#REF!</definedName>
    <definedName name="Intt_Charge_PY" localSheetId="17">#REF!,#REF!</definedName>
    <definedName name="Intt_Charge_PY" localSheetId="18">#REF!,#REF!</definedName>
    <definedName name="Intt_Charge_PY" localSheetId="56">#REF!,#REF!</definedName>
    <definedName name="Intt_Charge_PY" localSheetId="57">#REF!,#REF!</definedName>
    <definedName name="Intt_Charge_PY" localSheetId="58">#REF!,#REF!</definedName>
    <definedName name="Intt_Charge_PY" localSheetId="59">#REF!,#REF!</definedName>
    <definedName name="Intt_Charge_PY" localSheetId="60">#REF!,#REF!</definedName>
    <definedName name="Intt_Charge_PY" localSheetId="25">#REF!,#REF!</definedName>
    <definedName name="Intt_Charge_PY" localSheetId="30">#REF!,#REF!</definedName>
    <definedName name="Intt_Charge_PY" localSheetId="31">#REF!,#REF!</definedName>
    <definedName name="Intt_Charge_PY" localSheetId="2">#REF!,#REF!</definedName>
    <definedName name="Intt_Charge_PY" localSheetId="15">#REF!,#REF!</definedName>
    <definedName name="Intt_Charge_PY" localSheetId="35">#REF!,#REF!</definedName>
    <definedName name="Intt_Charge_PY" localSheetId="19">#REF!,#REF!</definedName>
    <definedName name="Intt_Charge_PY" localSheetId="5">#REF!,#REF!</definedName>
    <definedName name="Intt_Charge_PY">#REF!,#REF!</definedName>
    <definedName name="Intt_Charge_py_1" localSheetId="32">'[68]A 3.7'!$G$35,'[68]A 3.7'!$G$44</definedName>
    <definedName name="Intt_Charge_py_1" localSheetId="57">'[69]A 3.7'!$G$35,'[69]A 3.7'!$G$44</definedName>
    <definedName name="Intt_Charge_py_1" localSheetId="2">'[3]A 3.7'!$G$35,'[3]A 3.7'!$G$44</definedName>
    <definedName name="Intt_Charge_py_1" localSheetId="35">'[69]A 3.7'!$G$35,'[69]A 3.7'!$G$44</definedName>
    <definedName name="Intt_Charge_py_1" localSheetId="19">'[68]A 3.7'!$G$35,'[68]A 3.7'!$G$44</definedName>
    <definedName name="Intt_Charge_py_1" localSheetId="5">'[68]A 3.7'!$G$35,'[68]A 3.7'!$G$44</definedName>
    <definedName name="Intt_Charge_py_1">'[70]A 3.7'!$G$35,'[70]A 3.7'!$G$44</definedName>
    <definedName name="INVEST">#N/A</definedName>
    <definedName name="iowc16">'[35]Inputs &amp; Assumptions'!$M$40</definedName>
    <definedName name="iowc17onwards">'[35]Inputs &amp; Assumptions'!$M$41</definedName>
    <definedName name="Iowc18">'[35]Inputs &amp; Assumptions'!$M$42</definedName>
    <definedName name="Iowc19onwards">'[35]Inputs &amp; Assumptions'!$M$43</definedName>
    <definedName name="IsCircular" localSheetId="32">#REF!</definedName>
    <definedName name="IsCircular" localSheetId="11">#REF!</definedName>
    <definedName name="IsCircular" localSheetId="13">#REF!</definedName>
    <definedName name="IsCircular" localSheetId="17">#REF!</definedName>
    <definedName name="IsCircular" localSheetId="56">#REF!</definedName>
    <definedName name="IsCircular" localSheetId="57">#REF!</definedName>
    <definedName name="IsCircular" localSheetId="58">#REF!</definedName>
    <definedName name="IsCircular" localSheetId="59">#REF!</definedName>
    <definedName name="IsCircular" localSheetId="60">#REF!</definedName>
    <definedName name="IsCircular" localSheetId="25">#REF!</definedName>
    <definedName name="IsCircular" localSheetId="30">#REF!</definedName>
    <definedName name="IsCircular" localSheetId="31">#REF!</definedName>
    <definedName name="IsCircular" localSheetId="2">#REF!</definedName>
    <definedName name="IsCircular" localSheetId="15">#REF!</definedName>
    <definedName name="IsCircular" localSheetId="35">#REF!</definedName>
    <definedName name="IsCircular" localSheetId="19">#REF!</definedName>
    <definedName name="IsCircular" localSheetId="5">#REF!</definedName>
    <definedName name="IsCircular">#REF!</definedName>
    <definedName name="ITEM_NO">"stock"</definedName>
    <definedName name="K2000_">#N/A</definedName>
    <definedName name="Kha5ResLife">[34]Assumptions!$B$45</definedName>
    <definedName name="Khap5ResLife16">'[35]Inputs &amp; Assumptions'!$D$13</definedName>
    <definedName name="khaperkheda" localSheetId="57">#REF!</definedName>
    <definedName name="khaperkheda" localSheetId="15">#REF!</definedName>
    <definedName name="khaperkheda">#REF!</definedName>
    <definedName name="KhapResLife16">'[35]Inputs &amp; Assumptions'!$D$7</definedName>
    <definedName name="KhaResLife">[34]Assumptions!$B$39</definedName>
    <definedName name="khj">#REF!</definedName>
    <definedName name="KoraResLife16">'[35]Inputs &amp; Assumptions'!$D$8</definedName>
    <definedName name="KoraResLife17">'[35]Inputs &amp; Assumptions'!$G$17</definedName>
    <definedName name="KorResLife">[34]Assumptions!$B$40</definedName>
    <definedName name="L_Adjust">[71]Links!$H$1:$H$65536</definedName>
    <definedName name="L_AJE_Tot">[71]Links!$G$1:$G$65536</definedName>
    <definedName name="L_CY_Beg">[71]Links!$F$1:$F$65536</definedName>
    <definedName name="L_CY_End">[71]Links!$J$1:$J$65536</definedName>
    <definedName name="L_PY_End">[71]Links!$K$1:$K$65536</definedName>
    <definedName name="L_RJE_Tot">[71]Links!$I$1:$I$65536</definedName>
    <definedName name="LAC">'[72]Trial Balance - MARCH 2006'!$I$2</definedName>
    <definedName name="Last_Row">#N/A</definedName>
    <definedName name="Lease_Rent_Received">"income"</definedName>
    <definedName name="List_1">'[73]Long-Term Borrowings'!$K$2:$K$3</definedName>
    <definedName name="LTR_M_NEW" localSheetId="32">#REF!</definedName>
    <definedName name="LTR_M_NEW" localSheetId="11">#REF!</definedName>
    <definedName name="LTR_M_NEW" localSheetId="13">#REF!</definedName>
    <definedName name="LTR_M_NEW" localSheetId="17">#REF!</definedName>
    <definedName name="LTR_M_NEW" localSheetId="56">#REF!</definedName>
    <definedName name="LTR_M_NEW" localSheetId="57">#REF!</definedName>
    <definedName name="LTR_M_NEW" localSheetId="58">#REF!</definedName>
    <definedName name="LTR_M_NEW" localSheetId="59">#REF!</definedName>
    <definedName name="LTR_M_NEW" localSheetId="60">#REF!</definedName>
    <definedName name="LTR_M_NEW" localSheetId="25">#REF!</definedName>
    <definedName name="LTR_M_NEW" localSheetId="30">#REF!</definedName>
    <definedName name="LTR_M_NEW" localSheetId="31">#REF!</definedName>
    <definedName name="LTR_M_NEW" localSheetId="2">#REF!</definedName>
    <definedName name="LTR_M_NEW" localSheetId="15">#REF!</definedName>
    <definedName name="LTR_M_NEW" localSheetId="35">#REF!</definedName>
    <definedName name="LTR_M_NEW" localSheetId="19">#REF!</definedName>
    <definedName name="LTR_M_NEW" localSheetId="5">#REF!</definedName>
    <definedName name="LTR_M_NEW">#REF!</definedName>
    <definedName name="LTR_MOR" localSheetId="32">#REF!</definedName>
    <definedName name="LTR_MOR" localSheetId="11">#REF!</definedName>
    <definedName name="LTR_MOR" localSheetId="13">#REF!</definedName>
    <definedName name="LTR_MOR" localSheetId="17">#REF!</definedName>
    <definedName name="LTR_MOR" localSheetId="56">#REF!</definedName>
    <definedName name="LTR_MOR" localSheetId="57">#REF!</definedName>
    <definedName name="LTR_MOR" localSheetId="58">#REF!</definedName>
    <definedName name="LTR_MOR" localSheetId="59">#REF!</definedName>
    <definedName name="LTR_MOR" localSheetId="60">#REF!</definedName>
    <definedName name="LTR_MOR" localSheetId="25">#REF!</definedName>
    <definedName name="LTR_MOR" localSheetId="30">#REF!</definedName>
    <definedName name="LTR_MOR" localSheetId="31">#REF!</definedName>
    <definedName name="LTR_MOR" localSheetId="2">#REF!</definedName>
    <definedName name="LTR_MOR" localSheetId="15">#REF!</definedName>
    <definedName name="LTR_MOR" localSheetId="35">#REF!</definedName>
    <definedName name="LTR_MOR" localSheetId="19">#REF!</definedName>
    <definedName name="LTR_MOR" localSheetId="5">#REF!</definedName>
    <definedName name="LTR_MOR">#REF!</definedName>
    <definedName name="m">'[74]3.Grouping - Profit &amp; Loss(mio)'!$C$1</definedName>
    <definedName name="mc">'[75]Clause 9'!$A$4</definedName>
    <definedName name="MethodAcc">[29]Masters!$C$46</definedName>
    <definedName name="MHM">[16]Details!$D$156</definedName>
    <definedName name="mng">#REF!</definedName>
    <definedName name="MONTH" localSheetId="57">#REF!</definedName>
    <definedName name="MONTH" localSheetId="15">#REF!</definedName>
    <definedName name="MONTH">#REF!</definedName>
    <definedName name="MStVal">[29]Masters!$C$47</definedName>
    <definedName name="name">[76]Params!$B$1</definedName>
    <definedName name="NashResLife16">'[35]Inputs &amp; Assumptions'!$D$9</definedName>
    <definedName name="NasResLife">[34]Assumptions!$B$41</definedName>
    <definedName name="NatureBusiness">[29]Masters!$C$45</definedName>
    <definedName name="nbdvqn" localSheetId="57">#REF!</definedName>
    <definedName name="nbdvqn" localSheetId="15">#REF!</definedName>
    <definedName name="nbdvqn">#REF!</definedName>
    <definedName name="NBhusResLife">[34]Assumptions!$B$46</definedName>
    <definedName name="new" localSheetId="32" hidden="1">[77]CE!#REF!</definedName>
    <definedName name="new" localSheetId="11" hidden="1">[77]CE!#REF!</definedName>
    <definedName name="new" localSheetId="13" hidden="1">[77]CE!#REF!</definedName>
    <definedName name="new" localSheetId="17" hidden="1">[77]CE!#REF!</definedName>
    <definedName name="new" localSheetId="56" hidden="1">[77]CE!#REF!</definedName>
    <definedName name="new" localSheetId="57" hidden="1">[77]CE!#REF!</definedName>
    <definedName name="new" localSheetId="58" hidden="1">[77]CE!#REF!</definedName>
    <definedName name="new" localSheetId="59" hidden="1">[77]CE!#REF!</definedName>
    <definedName name="new" localSheetId="60" hidden="1">[77]CE!#REF!</definedName>
    <definedName name="new" localSheetId="25" hidden="1">[77]CE!#REF!</definedName>
    <definedName name="new" localSheetId="30" hidden="1">[77]CE!#REF!</definedName>
    <definedName name="new" localSheetId="31" hidden="1">[77]CE!#REF!</definedName>
    <definedName name="new" localSheetId="2" hidden="1">[3]CE!#REF!</definedName>
    <definedName name="new" localSheetId="15" hidden="1">[77]CE!#REF!</definedName>
    <definedName name="new" localSheetId="35" hidden="1">[77]CE!#REF!</definedName>
    <definedName name="new" localSheetId="19" hidden="1">[77]CE!#REF!</definedName>
    <definedName name="new" localSheetId="5" hidden="1">[77]CE!#REF!</definedName>
    <definedName name="new" hidden="1">[77]CE!#REF!</definedName>
    <definedName name="NParliResLife">[34]Assumptions!$B$38</definedName>
    <definedName name="Number_of_Payments">#N/A</definedName>
    <definedName name="O" localSheetId="32">#REF!</definedName>
    <definedName name="O" localSheetId="11">#REF!</definedName>
    <definedName name="O" localSheetId="13">#REF!</definedName>
    <definedName name="O" localSheetId="17">#REF!</definedName>
    <definedName name="O" localSheetId="56">#REF!</definedName>
    <definedName name="O" localSheetId="57">#REF!</definedName>
    <definedName name="O" localSheetId="58">#REF!</definedName>
    <definedName name="O" localSheetId="59">#REF!</definedName>
    <definedName name="O" localSheetId="60">#REF!</definedName>
    <definedName name="O" localSheetId="25">#REF!</definedName>
    <definedName name="O" localSheetId="30">#REF!</definedName>
    <definedName name="O" localSheetId="31">#REF!</definedName>
    <definedName name="O" localSheetId="2">#REF!</definedName>
    <definedName name="O" localSheetId="15">#REF!</definedName>
    <definedName name="O" localSheetId="35">#REF!</definedName>
    <definedName name="O" localSheetId="19">#REF!</definedName>
    <definedName name="O" localSheetId="5">#REF!</definedName>
    <definedName name="O">#REF!</definedName>
    <definedName name="officeq">[53]addition!$A$1:$G$220</definedName>
    <definedName name="Oil_page" localSheetId="57">#REF!</definedName>
    <definedName name="Oil_page" localSheetId="15">#REF!</definedName>
    <definedName name="Oil_page">#REF!</definedName>
    <definedName name="old">#REF!</definedName>
    <definedName name="oldda">#REF!</definedName>
    <definedName name="oxybel_interest">SUM('[23]a-4'!$E$99:$E$102)</definedName>
    <definedName name="p" localSheetId="32">#REF!</definedName>
    <definedName name="p" localSheetId="11">#REF!</definedName>
    <definedName name="p" localSheetId="13">#REF!</definedName>
    <definedName name="p" localSheetId="17">#REF!</definedName>
    <definedName name="p" localSheetId="56">#REF!</definedName>
    <definedName name="p" localSheetId="57">#REF!</definedName>
    <definedName name="p" localSheetId="58">#REF!</definedName>
    <definedName name="p" localSheetId="59">#REF!</definedName>
    <definedName name="p" localSheetId="60">#REF!</definedName>
    <definedName name="p" localSheetId="25">#REF!</definedName>
    <definedName name="p" localSheetId="30">#REF!</definedName>
    <definedName name="p" localSheetId="31">#REF!</definedName>
    <definedName name="p" localSheetId="2">#REF!</definedName>
    <definedName name="p" localSheetId="15">#REF!</definedName>
    <definedName name="p" localSheetId="35">#REF!</definedName>
    <definedName name="p" localSheetId="19">#REF!</definedName>
    <definedName name="p" localSheetId="5">#REF!</definedName>
    <definedName name="p">#REF!</definedName>
    <definedName name="pacf">'[23]a-4'!$E$77</definedName>
    <definedName name="PAGE1" localSheetId="32">#REF!</definedName>
    <definedName name="PAGE1" localSheetId="11">#REF!</definedName>
    <definedName name="PAGE1" localSheetId="13">#REF!</definedName>
    <definedName name="PAGE1" localSheetId="17">#REF!</definedName>
    <definedName name="PAGE1" localSheetId="56">#REF!</definedName>
    <definedName name="PAGE1" localSheetId="57">#REF!</definedName>
    <definedName name="PAGE1" localSheetId="58">#REF!</definedName>
    <definedName name="PAGE1" localSheetId="59">#REF!</definedName>
    <definedName name="PAGE1" localSheetId="60">#REF!</definedName>
    <definedName name="PAGE1" localSheetId="25">#REF!</definedName>
    <definedName name="PAGE1" localSheetId="30">#REF!</definedName>
    <definedName name="PAGE1" localSheetId="31">#REF!</definedName>
    <definedName name="PAGE1" localSheetId="2">#REF!</definedName>
    <definedName name="PAGE1" localSheetId="15">#REF!</definedName>
    <definedName name="PAGE1" localSheetId="35">#REF!</definedName>
    <definedName name="PAGE1" localSheetId="19">#REF!</definedName>
    <definedName name="PAGE1" localSheetId="5">#REF!</definedName>
    <definedName name="PAGE1">#REF!</definedName>
    <definedName name="page10" localSheetId="32">#REF!</definedName>
    <definedName name="page10" localSheetId="11">#REF!</definedName>
    <definedName name="page10" localSheetId="13">#REF!</definedName>
    <definedName name="page10" localSheetId="17">#REF!</definedName>
    <definedName name="page10" localSheetId="56">#REF!</definedName>
    <definedName name="page10" localSheetId="57">#REF!</definedName>
    <definedName name="page10" localSheetId="58">#REF!</definedName>
    <definedName name="page10" localSheetId="59">#REF!</definedName>
    <definedName name="page10" localSheetId="60">#REF!</definedName>
    <definedName name="page10" localSheetId="25">#REF!</definedName>
    <definedName name="page10" localSheetId="30">#REF!</definedName>
    <definedName name="page10" localSheetId="31">#REF!</definedName>
    <definedName name="page10" localSheetId="2">#REF!</definedName>
    <definedName name="page10" localSheetId="15">#REF!</definedName>
    <definedName name="page10" localSheetId="35">#REF!</definedName>
    <definedName name="page10" localSheetId="19">#REF!</definedName>
    <definedName name="page10" localSheetId="5">#REF!</definedName>
    <definedName name="page10">#REF!</definedName>
    <definedName name="PAGE10_6" localSheetId="32">#REF!</definedName>
    <definedName name="PAGE10_6" localSheetId="11">#REF!</definedName>
    <definedName name="PAGE10_6" localSheetId="13">#REF!</definedName>
    <definedName name="PAGE10_6" localSheetId="17">#REF!</definedName>
    <definedName name="PAGE10_6" localSheetId="56">#REF!</definedName>
    <definedName name="PAGE10_6" localSheetId="57">#REF!</definedName>
    <definedName name="PAGE10_6" localSheetId="58">#REF!</definedName>
    <definedName name="PAGE10_6" localSheetId="59">#REF!</definedName>
    <definedName name="PAGE10_6" localSheetId="60">#REF!</definedName>
    <definedName name="PAGE10_6" localSheetId="25">#REF!</definedName>
    <definedName name="PAGE10_6" localSheetId="30">#REF!</definedName>
    <definedName name="PAGE10_6" localSheetId="31">#REF!</definedName>
    <definedName name="PAGE10_6" localSheetId="2">#REF!</definedName>
    <definedName name="PAGE10_6" localSheetId="15">#REF!</definedName>
    <definedName name="PAGE10_6" localSheetId="35">#REF!</definedName>
    <definedName name="PAGE10_6" localSheetId="19">#REF!</definedName>
    <definedName name="PAGE10_6" localSheetId="5">#REF!</definedName>
    <definedName name="PAGE10_6">#REF!</definedName>
    <definedName name="PAGE11" localSheetId="57">#REF!</definedName>
    <definedName name="PAGE11" localSheetId="15">#REF!</definedName>
    <definedName name="PAGE11">#REF!</definedName>
    <definedName name="PAGE11_6" localSheetId="32">#REF!</definedName>
    <definedName name="PAGE11_6" localSheetId="11">#REF!</definedName>
    <definedName name="PAGE11_6" localSheetId="13">#REF!</definedName>
    <definedName name="PAGE11_6" localSheetId="17">#REF!</definedName>
    <definedName name="PAGE11_6" localSheetId="56">#REF!</definedName>
    <definedName name="PAGE11_6" localSheetId="57">#REF!</definedName>
    <definedName name="PAGE11_6" localSheetId="58">#REF!</definedName>
    <definedName name="PAGE11_6" localSheetId="59">#REF!</definedName>
    <definedName name="PAGE11_6" localSheetId="60">#REF!</definedName>
    <definedName name="PAGE11_6" localSheetId="25">#REF!</definedName>
    <definedName name="PAGE11_6" localSheetId="30">#REF!</definedName>
    <definedName name="PAGE11_6" localSheetId="31">#REF!</definedName>
    <definedName name="PAGE11_6" localSheetId="2">#REF!</definedName>
    <definedName name="PAGE11_6" localSheetId="15">#REF!</definedName>
    <definedName name="PAGE11_6" localSheetId="35">#REF!</definedName>
    <definedName name="PAGE11_6" localSheetId="19">#REF!</definedName>
    <definedName name="PAGE11_6" localSheetId="5">#REF!</definedName>
    <definedName name="PAGE11_6">#REF!</definedName>
    <definedName name="PAGE12" localSheetId="57">#REF!</definedName>
    <definedName name="PAGE12" localSheetId="15">#REF!</definedName>
    <definedName name="PAGE12">#REF!</definedName>
    <definedName name="PAGE12_6" localSheetId="32">#REF!</definedName>
    <definedName name="PAGE12_6" localSheetId="11">#REF!</definedName>
    <definedName name="PAGE12_6" localSheetId="13">#REF!</definedName>
    <definedName name="PAGE12_6" localSheetId="17">#REF!</definedName>
    <definedName name="PAGE12_6" localSheetId="56">#REF!</definedName>
    <definedName name="PAGE12_6" localSheetId="57">#REF!</definedName>
    <definedName name="PAGE12_6" localSheetId="58">#REF!</definedName>
    <definedName name="PAGE12_6" localSheetId="59">#REF!</definedName>
    <definedName name="PAGE12_6" localSheetId="60">#REF!</definedName>
    <definedName name="PAGE12_6" localSheetId="25">#REF!</definedName>
    <definedName name="PAGE12_6" localSheetId="30">#REF!</definedName>
    <definedName name="PAGE12_6" localSheetId="31">#REF!</definedName>
    <definedName name="PAGE12_6" localSheetId="2">#REF!</definedName>
    <definedName name="PAGE12_6" localSheetId="15">#REF!</definedName>
    <definedName name="PAGE12_6" localSheetId="35">#REF!</definedName>
    <definedName name="PAGE12_6" localSheetId="19">#REF!</definedName>
    <definedName name="PAGE12_6" localSheetId="5">#REF!</definedName>
    <definedName name="PAGE12_6">#REF!</definedName>
    <definedName name="PAGE13" localSheetId="57">#REF!</definedName>
    <definedName name="PAGE13" localSheetId="15">#REF!</definedName>
    <definedName name="PAGE13">#REF!</definedName>
    <definedName name="PAGE14" localSheetId="32">#REF!</definedName>
    <definedName name="PAGE14" localSheetId="11">#REF!</definedName>
    <definedName name="PAGE14" localSheetId="13">#REF!</definedName>
    <definedName name="PAGE14" localSheetId="17">#REF!</definedName>
    <definedName name="PAGE14" localSheetId="56">#REF!</definedName>
    <definedName name="PAGE14" localSheetId="57">#REF!</definedName>
    <definedName name="PAGE14" localSheetId="58">#REF!</definedName>
    <definedName name="PAGE14" localSheetId="59">#REF!</definedName>
    <definedName name="PAGE14" localSheetId="60">#REF!</definedName>
    <definedName name="PAGE14" localSheetId="25">#REF!</definedName>
    <definedName name="PAGE14" localSheetId="30">#REF!</definedName>
    <definedName name="PAGE14" localSheetId="31">#REF!</definedName>
    <definedName name="PAGE14" localSheetId="2">#REF!</definedName>
    <definedName name="PAGE14" localSheetId="15">#REF!</definedName>
    <definedName name="PAGE14" localSheetId="35">#REF!</definedName>
    <definedName name="PAGE14" localSheetId="19">#REF!</definedName>
    <definedName name="PAGE14" localSheetId="5">#REF!</definedName>
    <definedName name="PAGE14">#REF!</definedName>
    <definedName name="PAGE15" localSheetId="32">#REF!</definedName>
    <definedName name="PAGE15" localSheetId="11">#REF!</definedName>
    <definedName name="PAGE15" localSheetId="13">#REF!</definedName>
    <definedName name="PAGE15" localSheetId="17">#REF!</definedName>
    <definedName name="PAGE15" localSheetId="56">#REF!</definedName>
    <definedName name="PAGE15" localSheetId="57">#REF!</definedName>
    <definedName name="PAGE15" localSheetId="58">#REF!</definedName>
    <definedName name="PAGE15" localSheetId="59">#REF!</definedName>
    <definedName name="PAGE15" localSheetId="60">#REF!</definedName>
    <definedName name="PAGE15" localSheetId="25">#REF!</definedName>
    <definedName name="PAGE15" localSheetId="30">#REF!</definedName>
    <definedName name="PAGE15" localSheetId="31">#REF!</definedName>
    <definedName name="PAGE15" localSheetId="2">#REF!</definedName>
    <definedName name="PAGE15" localSheetId="15">#REF!</definedName>
    <definedName name="PAGE15" localSheetId="35">#REF!</definedName>
    <definedName name="PAGE15" localSheetId="19">#REF!</definedName>
    <definedName name="PAGE15" localSheetId="5">#REF!</definedName>
    <definedName name="PAGE15">#REF!</definedName>
    <definedName name="PAGE16" localSheetId="32">#REF!</definedName>
    <definedName name="PAGE16" localSheetId="11">#REF!</definedName>
    <definedName name="PAGE16" localSheetId="13">#REF!</definedName>
    <definedName name="PAGE16" localSheetId="17">#REF!</definedName>
    <definedName name="PAGE16" localSheetId="56">#REF!</definedName>
    <definedName name="PAGE16" localSheetId="57">#REF!</definedName>
    <definedName name="PAGE16" localSheetId="58">#REF!</definedName>
    <definedName name="PAGE16" localSheetId="59">#REF!</definedName>
    <definedName name="PAGE16" localSheetId="60">#REF!</definedName>
    <definedName name="PAGE16" localSheetId="25">#REF!</definedName>
    <definedName name="PAGE16" localSheetId="30">#REF!</definedName>
    <definedName name="PAGE16" localSheetId="31">#REF!</definedName>
    <definedName name="PAGE16" localSheetId="2">#REF!</definedName>
    <definedName name="PAGE16" localSheetId="15">#REF!</definedName>
    <definedName name="PAGE16" localSheetId="35">#REF!</definedName>
    <definedName name="PAGE16" localSheetId="19">#REF!</definedName>
    <definedName name="PAGE16" localSheetId="5">#REF!</definedName>
    <definedName name="PAGE16">#REF!</definedName>
    <definedName name="PAGE17" localSheetId="32">#REF!</definedName>
    <definedName name="PAGE17" localSheetId="11">#REF!</definedName>
    <definedName name="PAGE17" localSheetId="13">#REF!</definedName>
    <definedName name="PAGE17" localSheetId="17">#REF!</definedName>
    <definedName name="PAGE17" localSheetId="56">#REF!</definedName>
    <definedName name="PAGE17" localSheetId="57">#REF!</definedName>
    <definedName name="PAGE17" localSheetId="58">#REF!</definedName>
    <definedName name="PAGE17" localSheetId="59">#REF!</definedName>
    <definedName name="PAGE17" localSheetId="60">#REF!</definedName>
    <definedName name="PAGE17" localSheetId="25">#REF!</definedName>
    <definedName name="PAGE17" localSheetId="30">#REF!</definedName>
    <definedName name="PAGE17" localSheetId="31">#REF!</definedName>
    <definedName name="PAGE17" localSheetId="2">#REF!</definedName>
    <definedName name="PAGE17" localSheetId="15">#REF!</definedName>
    <definedName name="PAGE17" localSheetId="35">#REF!</definedName>
    <definedName name="PAGE17" localSheetId="19">#REF!</definedName>
    <definedName name="PAGE17" localSheetId="5">#REF!</definedName>
    <definedName name="PAGE17">#REF!</definedName>
    <definedName name="PAGE18" localSheetId="32">#REF!</definedName>
    <definedName name="PAGE18" localSheetId="11">#REF!</definedName>
    <definedName name="PAGE18" localSheetId="13">#REF!</definedName>
    <definedName name="PAGE18" localSheetId="17">#REF!</definedName>
    <definedName name="PAGE18" localSheetId="56">#REF!</definedName>
    <definedName name="PAGE18" localSheetId="57">#REF!</definedName>
    <definedName name="PAGE18" localSheetId="58">#REF!</definedName>
    <definedName name="PAGE18" localSheetId="59">#REF!</definedName>
    <definedName name="PAGE18" localSheetId="60">#REF!</definedName>
    <definedName name="PAGE18" localSheetId="25">#REF!</definedName>
    <definedName name="PAGE18" localSheetId="30">#REF!</definedName>
    <definedName name="PAGE18" localSheetId="31">#REF!</definedName>
    <definedName name="PAGE18" localSheetId="2">#REF!</definedName>
    <definedName name="PAGE18" localSheetId="15">#REF!</definedName>
    <definedName name="PAGE18" localSheetId="35">#REF!</definedName>
    <definedName name="PAGE18" localSheetId="19">#REF!</definedName>
    <definedName name="PAGE18" localSheetId="5">#REF!</definedName>
    <definedName name="PAGE18">#REF!</definedName>
    <definedName name="PAGE19" localSheetId="32">#REF!</definedName>
    <definedName name="PAGE19" localSheetId="11">#REF!</definedName>
    <definedName name="PAGE19" localSheetId="13">#REF!</definedName>
    <definedName name="PAGE19" localSheetId="17">#REF!</definedName>
    <definedName name="PAGE19" localSheetId="56">#REF!</definedName>
    <definedName name="PAGE19" localSheetId="57">#REF!</definedName>
    <definedName name="PAGE19" localSheetId="58">#REF!</definedName>
    <definedName name="PAGE19" localSheetId="59">#REF!</definedName>
    <definedName name="PAGE19" localSheetId="60">#REF!</definedName>
    <definedName name="PAGE19" localSheetId="25">#REF!</definedName>
    <definedName name="PAGE19" localSheetId="30">#REF!</definedName>
    <definedName name="PAGE19" localSheetId="31">#REF!</definedName>
    <definedName name="PAGE19" localSheetId="2">#REF!</definedName>
    <definedName name="PAGE19" localSheetId="15">#REF!</definedName>
    <definedName name="PAGE19" localSheetId="35">#REF!</definedName>
    <definedName name="PAGE19" localSheetId="19">#REF!</definedName>
    <definedName name="PAGE19" localSheetId="5">#REF!</definedName>
    <definedName name="PAGE19">#REF!</definedName>
    <definedName name="PAGE2" localSheetId="32">#REF!</definedName>
    <definedName name="PAGE2" localSheetId="11">#REF!</definedName>
    <definedName name="PAGE2" localSheetId="13">#REF!</definedName>
    <definedName name="PAGE2" localSheetId="17">#REF!</definedName>
    <definedName name="PAGE2" localSheetId="56">#REF!</definedName>
    <definedName name="PAGE2" localSheetId="57">#REF!</definedName>
    <definedName name="PAGE2" localSheetId="58">#REF!</definedName>
    <definedName name="PAGE2" localSheetId="59">#REF!</definedName>
    <definedName name="PAGE2" localSheetId="60">#REF!</definedName>
    <definedName name="PAGE2" localSheetId="25">#REF!</definedName>
    <definedName name="PAGE2" localSheetId="30">#REF!</definedName>
    <definedName name="PAGE2" localSheetId="31">#REF!</definedName>
    <definedName name="PAGE2" localSheetId="2">#REF!</definedName>
    <definedName name="PAGE2" localSheetId="15">#REF!</definedName>
    <definedName name="PAGE2" localSheetId="35">#REF!</definedName>
    <definedName name="PAGE2" localSheetId="19">#REF!</definedName>
    <definedName name="PAGE2" localSheetId="5">#REF!</definedName>
    <definedName name="PAGE2">#REF!</definedName>
    <definedName name="PAGE2_6" localSheetId="32">#REF!</definedName>
    <definedName name="PAGE2_6" localSheetId="11">#REF!</definedName>
    <definedName name="PAGE2_6" localSheetId="13">#REF!</definedName>
    <definedName name="PAGE2_6" localSheetId="17">#REF!</definedName>
    <definedName name="PAGE2_6" localSheetId="56">#REF!</definedName>
    <definedName name="PAGE2_6" localSheetId="57">#REF!</definedName>
    <definedName name="PAGE2_6" localSheetId="58">#REF!</definedName>
    <definedName name="PAGE2_6" localSheetId="59">#REF!</definedName>
    <definedName name="PAGE2_6" localSheetId="60">#REF!</definedName>
    <definedName name="PAGE2_6" localSheetId="25">#REF!</definedName>
    <definedName name="PAGE2_6" localSheetId="30">#REF!</definedName>
    <definedName name="PAGE2_6" localSheetId="31">#REF!</definedName>
    <definedName name="PAGE2_6" localSheetId="2">#REF!</definedName>
    <definedName name="PAGE2_6" localSheetId="15">#REF!</definedName>
    <definedName name="PAGE2_6" localSheetId="35">#REF!</definedName>
    <definedName name="PAGE2_6" localSheetId="19">#REF!</definedName>
    <definedName name="PAGE2_6" localSheetId="5">#REF!</definedName>
    <definedName name="PAGE2_6">#REF!</definedName>
    <definedName name="PAGE20" localSheetId="32">#REF!</definedName>
    <definedName name="PAGE20" localSheetId="11">#REF!</definedName>
    <definedName name="PAGE20" localSheetId="13">#REF!</definedName>
    <definedName name="PAGE20" localSheetId="17">#REF!</definedName>
    <definedName name="PAGE20" localSheetId="56">#REF!</definedName>
    <definedName name="PAGE20" localSheetId="57">#REF!</definedName>
    <definedName name="PAGE20" localSheetId="58">#REF!</definedName>
    <definedName name="PAGE20" localSheetId="59">#REF!</definedName>
    <definedName name="PAGE20" localSheetId="60">#REF!</definedName>
    <definedName name="PAGE20" localSheetId="25">#REF!</definedName>
    <definedName name="PAGE20" localSheetId="30">#REF!</definedName>
    <definedName name="PAGE20" localSheetId="31">#REF!</definedName>
    <definedName name="PAGE20" localSheetId="2">#REF!</definedName>
    <definedName name="PAGE20" localSheetId="15">#REF!</definedName>
    <definedName name="PAGE20" localSheetId="35">#REF!</definedName>
    <definedName name="PAGE20" localSheetId="19">#REF!</definedName>
    <definedName name="PAGE20" localSheetId="5">#REF!</definedName>
    <definedName name="PAGE20">#REF!</definedName>
    <definedName name="PAGE21" localSheetId="32">#REF!</definedName>
    <definedName name="PAGE21" localSheetId="11">#REF!</definedName>
    <definedName name="PAGE21" localSheetId="13">#REF!</definedName>
    <definedName name="PAGE21" localSheetId="17">#REF!</definedName>
    <definedName name="PAGE21" localSheetId="56">#REF!</definedName>
    <definedName name="PAGE21" localSheetId="57">#REF!</definedName>
    <definedName name="PAGE21" localSheetId="58">#REF!</definedName>
    <definedName name="PAGE21" localSheetId="59">#REF!</definedName>
    <definedName name="PAGE21" localSheetId="60">#REF!</definedName>
    <definedName name="PAGE21" localSheetId="25">#REF!</definedName>
    <definedName name="PAGE21" localSheetId="30">#REF!</definedName>
    <definedName name="PAGE21" localSheetId="31">#REF!</definedName>
    <definedName name="PAGE21" localSheetId="2">#REF!</definedName>
    <definedName name="PAGE21" localSheetId="15">#REF!</definedName>
    <definedName name="PAGE21" localSheetId="35">#REF!</definedName>
    <definedName name="PAGE21" localSheetId="19">#REF!</definedName>
    <definedName name="PAGE21" localSheetId="5">#REF!</definedName>
    <definedName name="PAGE21">#REF!</definedName>
    <definedName name="PAGE210" localSheetId="32">#REF!</definedName>
    <definedName name="PAGE210" localSheetId="11">#REF!</definedName>
    <definedName name="PAGE210" localSheetId="13">#REF!</definedName>
    <definedName name="PAGE210" localSheetId="17">#REF!</definedName>
    <definedName name="PAGE210" localSheetId="56">#REF!</definedName>
    <definedName name="PAGE210" localSheetId="57">#REF!</definedName>
    <definedName name="PAGE210" localSheetId="58">#REF!</definedName>
    <definedName name="PAGE210" localSheetId="59">#REF!</definedName>
    <definedName name="PAGE210" localSheetId="60">#REF!</definedName>
    <definedName name="PAGE210" localSheetId="25">#REF!</definedName>
    <definedName name="PAGE210" localSheetId="30">#REF!</definedName>
    <definedName name="PAGE210" localSheetId="31">#REF!</definedName>
    <definedName name="PAGE210" localSheetId="2">#REF!</definedName>
    <definedName name="PAGE210" localSheetId="15">#REF!</definedName>
    <definedName name="PAGE210" localSheetId="35">#REF!</definedName>
    <definedName name="PAGE210" localSheetId="19">#REF!</definedName>
    <definedName name="PAGE210" localSheetId="5">#REF!</definedName>
    <definedName name="PAGE210">#REF!</definedName>
    <definedName name="PAGE22" localSheetId="32">#REF!</definedName>
    <definedName name="PAGE22" localSheetId="11">#REF!</definedName>
    <definedName name="PAGE22" localSheetId="13">#REF!</definedName>
    <definedName name="PAGE22" localSheetId="17">#REF!</definedName>
    <definedName name="PAGE22" localSheetId="56">#REF!</definedName>
    <definedName name="PAGE22" localSheetId="57">#REF!</definedName>
    <definedName name="PAGE22" localSheetId="58">#REF!</definedName>
    <definedName name="PAGE22" localSheetId="59">#REF!</definedName>
    <definedName name="PAGE22" localSheetId="60">#REF!</definedName>
    <definedName name="PAGE22" localSheetId="25">#REF!</definedName>
    <definedName name="PAGE22" localSheetId="30">#REF!</definedName>
    <definedName name="PAGE22" localSheetId="31">#REF!</definedName>
    <definedName name="PAGE22" localSheetId="2">#REF!</definedName>
    <definedName name="PAGE22" localSheetId="15">#REF!</definedName>
    <definedName name="PAGE22" localSheetId="35">#REF!</definedName>
    <definedName name="PAGE22" localSheetId="19">#REF!</definedName>
    <definedName name="PAGE22" localSheetId="5">#REF!</definedName>
    <definedName name="PAGE22">#REF!</definedName>
    <definedName name="PAGE23" localSheetId="32">#REF!</definedName>
    <definedName name="PAGE23" localSheetId="11">#REF!</definedName>
    <definedName name="PAGE23" localSheetId="13">#REF!</definedName>
    <definedName name="PAGE23" localSheetId="17">#REF!</definedName>
    <definedName name="PAGE23" localSheetId="56">#REF!</definedName>
    <definedName name="PAGE23" localSheetId="57">#REF!</definedName>
    <definedName name="PAGE23" localSheetId="58">#REF!</definedName>
    <definedName name="PAGE23" localSheetId="59">#REF!</definedName>
    <definedName name="PAGE23" localSheetId="60">#REF!</definedName>
    <definedName name="PAGE23" localSheetId="25">#REF!</definedName>
    <definedName name="PAGE23" localSheetId="30">#REF!</definedName>
    <definedName name="PAGE23" localSheetId="31">#REF!</definedName>
    <definedName name="PAGE23" localSheetId="2">#REF!</definedName>
    <definedName name="PAGE23" localSheetId="15">#REF!</definedName>
    <definedName name="PAGE23" localSheetId="35">#REF!</definedName>
    <definedName name="PAGE23" localSheetId="19">#REF!</definedName>
    <definedName name="PAGE23" localSheetId="5">#REF!</definedName>
    <definedName name="PAGE23">#REF!</definedName>
    <definedName name="PAGE24" localSheetId="32">#REF!</definedName>
    <definedName name="PAGE24" localSheetId="11">#REF!</definedName>
    <definedName name="PAGE24" localSheetId="13">#REF!</definedName>
    <definedName name="PAGE24" localSheetId="17">#REF!</definedName>
    <definedName name="PAGE24" localSheetId="56">#REF!</definedName>
    <definedName name="PAGE24" localSheetId="57">#REF!</definedName>
    <definedName name="PAGE24" localSheetId="58">#REF!</definedName>
    <definedName name="PAGE24" localSheetId="59">#REF!</definedName>
    <definedName name="PAGE24" localSheetId="60">#REF!</definedName>
    <definedName name="PAGE24" localSheetId="25">#REF!</definedName>
    <definedName name="PAGE24" localSheetId="30">#REF!</definedName>
    <definedName name="PAGE24" localSheetId="31">#REF!</definedName>
    <definedName name="PAGE24" localSheetId="2">#REF!</definedName>
    <definedName name="PAGE24" localSheetId="15">#REF!</definedName>
    <definedName name="PAGE24" localSheetId="35">#REF!</definedName>
    <definedName name="PAGE24" localSheetId="19">#REF!</definedName>
    <definedName name="PAGE24" localSheetId="5">#REF!</definedName>
    <definedName name="PAGE24">#REF!</definedName>
    <definedName name="PAGE25" localSheetId="32">#REF!</definedName>
    <definedName name="PAGE25" localSheetId="11">#REF!</definedName>
    <definedName name="PAGE25" localSheetId="13">#REF!</definedName>
    <definedName name="PAGE25" localSheetId="17">#REF!</definedName>
    <definedName name="PAGE25" localSheetId="56">#REF!</definedName>
    <definedName name="PAGE25" localSheetId="57">#REF!</definedName>
    <definedName name="PAGE25" localSheetId="58">#REF!</definedName>
    <definedName name="PAGE25" localSheetId="59">#REF!</definedName>
    <definedName name="PAGE25" localSheetId="60">#REF!</definedName>
    <definedName name="PAGE25" localSheetId="25">#REF!</definedName>
    <definedName name="PAGE25" localSheetId="30">#REF!</definedName>
    <definedName name="PAGE25" localSheetId="31">#REF!</definedName>
    <definedName name="PAGE25" localSheetId="2">#REF!</definedName>
    <definedName name="PAGE25" localSheetId="15">#REF!</definedName>
    <definedName name="PAGE25" localSheetId="35">#REF!</definedName>
    <definedName name="PAGE25" localSheetId="19">#REF!</definedName>
    <definedName name="PAGE25" localSheetId="5">#REF!</definedName>
    <definedName name="PAGE25">#REF!</definedName>
    <definedName name="PAGE26" localSheetId="32">#REF!</definedName>
    <definedName name="PAGE26" localSheetId="11">#REF!</definedName>
    <definedName name="PAGE26" localSheetId="13">#REF!</definedName>
    <definedName name="PAGE26" localSheetId="17">#REF!</definedName>
    <definedName name="PAGE26" localSheetId="56">#REF!</definedName>
    <definedName name="PAGE26" localSheetId="57">#REF!</definedName>
    <definedName name="PAGE26" localSheetId="58">#REF!</definedName>
    <definedName name="PAGE26" localSheetId="59">#REF!</definedName>
    <definedName name="PAGE26" localSheetId="60">#REF!</definedName>
    <definedName name="PAGE26" localSheetId="25">#REF!</definedName>
    <definedName name="PAGE26" localSheetId="30">#REF!</definedName>
    <definedName name="PAGE26" localSheetId="31">#REF!</definedName>
    <definedName name="PAGE26" localSheetId="2">#REF!</definedName>
    <definedName name="PAGE26" localSheetId="15">#REF!</definedName>
    <definedName name="PAGE26" localSheetId="35">#REF!</definedName>
    <definedName name="PAGE26" localSheetId="19">#REF!</definedName>
    <definedName name="PAGE26" localSheetId="5">#REF!</definedName>
    <definedName name="PAGE26">#REF!</definedName>
    <definedName name="PAGE27" localSheetId="32">#REF!</definedName>
    <definedName name="PAGE27" localSheetId="11">#REF!</definedName>
    <definedName name="PAGE27" localSheetId="13">#REF!</definedName>
    <definedName name="PAGE27" localSheetId="17">#REF!</definedName>
    <definedName name="PAGE27" localSheetId="56">#REF!</definedName>
    <definedName name="PAGE27" localSheetId="57">#REF!</definedName>
    <definedName name="PAGE27" localSheetId="58">#REF!</definedName>
    <definedName name="PAGE27" localSheetId="59">#REF!</definedName>
    <definedName name="PAGE27" localSheetId="60">#REF!</definedName>
    <definedName name="PAGE27" localSheetId="25">#REF!</definedName>
    <definedName name="PAGE27" localSheetId="30">#REF!</definedName>
    <definedName name="PAGE27" localSheetId="31">#REF!</definedName>
    <definedName name="PAGE27" localSheetId="2">#REF!</definedName>
    <definedName name="PAGE27" localSheetId="15">#REF!</definedName>
    <definedName name="PAGE27" localSheetId="35">#REF!</definedName>
    <definedName name="PAGE27" localSheetId="19">#REF!</definedName>
    <definedName name="PAGE27" localSheetId="5">#REF!</definedName>
    <definedName name="PAGE27">#REF!</definedName>
    <definedName name="PAGE28" localSheetId="32">#REF!</definedName>
    <definedName name="PAGE28" localSheetId="11">#REF!</definedName>
    <definedName name="PAGE28" localSheetId="13">#REF!</definedName>
    <definedName name="PAGE28" localSheetId="17">#REF!</definedName>
    <definedName name="PAGE28" localSheetId="56">#REF!</definedName>
    <definedName name="PAGE28" localSheetId="57">#REF!</definedName>
    <definedName name="PAGE28" localSheetId="58">#REF!</definedName>
    <definedName name="PAGE28" localSheetId="59">#REF!</definedName>
    <definedName name="PAGE28" localSheetId="60">#REF!</definedName>
    <definedName name="PAGE28" localSheetId="25">#REF!</definedName>
    <definedName name="PAGE28" localSheetId="30">#REF!</definedName>
    <definedName name="PAGE28" localSheetId="31">#REF!</definedName>
    <definedName name="PAGE28" localSheetId="2">#REF!</definedName>
    <definedName name="PAGE28" localSheetId="15">#REF!</definedName>
    <definedName name="PAGE28" localSheetId="35">#REF!</definedName>
    <definedName name="PAGE28" localSheetId="19">#REF!</definedName>
    <definedName name="PAGE28" localSheetId="5">#REF!</definedName>
    <definedName name="PAGE28">#REF!</definedName>
    <definedName name="PAGE29" localSheetId="32">#REF!</definedName>
    <definedName name="PAGE29" localSheetId="11">#REF!</definedName>
    <definedName name="PAGE29" localSheetId="13">#REF!</definedName>
    <definedName name="PAGE29" localSheetId="17">#REF!</definedName>
    <definedName name="PAGE29" localSheetId="56">#REF!</definedName>
    <definedName name="PAGE29" localSheetId="57">#REF!</definedName>
    <definedName name="PAGE29" localSheetId="58">#REF!</definedName>
    <definedName name="PAGE29" localSheetId="59">#REF!</definedName>
    <definedName name="PAGE29" localSheetId="60">#REF!</definedName>
    <definedName name="PAGE29" localSheetId="25">#REF!</definedName>
    <definedName name="PAGE29" localSheetId="30">#REF!</definedName>
    <definedName name="PAGE29" localSheetId="31">#REF!</definedName>
    <definedName name="PAGE29" localSheetId="2">#REF!</definedName>
    <definedName name="PAGE29" localSheetId="15">#REF!</definedName>
    <definedName name="PAGE29" localSheetId="35">#REF!</definedName>
    <definedName name="PAGE29" localSheetId="19">#REF!</definedName>
    <definedName name="PAGE29" localSheetId="5">#REF!</definedName>
    <definedName name="PAGE29">#REF!</definedName>
    <definedName name="PAGE3" localSheetId="57">#REF!</definedName>
    <definedName name="PAGE3" localSheetId="15">#REF!</definedName>
    <definedName name="PAGE3">#REF!</definedName>
    <definedName name="PAGE3_6" localSheetId="32">#REF!</definedName>
    <definedName name="PAGE3_6" localSheetId="11">#REF!</definedName>
    <definedName name="PAGE3_6" localSheetId="13">#REF!</definedName>
    <definedName name="PAGE3_6" localSheetId="17">#REF!</definedName>
    <definedName name="PAGE3_6" localSheetId="56">#REF!</definedName>
    <definedName name="PAGE3_6" localSheetId="57">#REF!</definedName>
    <definedName name="PAGE3_6" localSheetId="58">#REF!</definedName>
    <definedName name="PAGE3_6" localSheetId="59">#REF!</definedName>
    <definedName name="PAGE3_6" localSheetId="60">#REF!</definedName>
    <definedName name="PAGE3_6" localSheetId="25">#REF!</definedName>
    <definedName name="PAGE3_6" localSheetId="30">#REF!</definedName>
    <definedName name="PAGE3_6" localSheetId="31">#REF!</definedName>
    <definedName name="PAGE3_6" localSheetId="2">#REF!</definedName>
    <definedName name="PAGE3_6" localSheetId="15">#REF!</definedName>
    <definedName name="PAGE3_6" localSheetId="35">#REF!</definedName>
    <definedName name="PAGE3_6" localSheetId="19">#REF!</definedName>
    <definedName name="PAGE3_6" localSheetId="5">#REF!</definedName>
    <definedName name="PAGE3_6">#REF!</definedName>
    <definedName name="PAGE30" localSheetId="57">#REF!</definedName>
    <definedName name="PAGE30" localSheetId="15">#REF!</definedName>
    <definedName name="PAGE30">#REF!</definedName>
    <definedName name="PAGE31" localSheetId="57">#REF!</definedName>
    <definedName name="PAGE31" localSheetId="15">#REF!</definedName>
    <definedName name="PAGE31">#REF!</definedName>
    <definedName name="page34" localSheetId="32">#REF!</definedName>
    <definedName name="page34" localSheetId="11">#REF!</definedName>
    <definedName name="page34" localSheetId="13">#REF!</definedName>
    <definedName name="page34" localSheetId="17">#REF!</definedName>
    <definedName name="page34" localSheetId="56">#REF!</definedName>
    <definedName name="page34" localSheetId="57">#REF!</definedName>
    <definedName name="page34" localSheetId="58">#REF!</definedName>
    <definedName name="page34" localSheetId="59">#REF!</definedName>
    <definedName name="page34" localSheetId="60">#REF!</definedName>
    <definedName name="page34" localSheetId="25">#REF!</definedName>
    <definedName name="page34" localSheetId="30">#REF!</definedName>
    <definedName name="page34" localSheetId="31">#REF!</definedName>
    <definedName name="page34" localSheetId="2">#REF!</definedName>
    <definedName name="page34" localSheetId="15">#REF!</definedName>
    <definedName name="page34" localSheetId="35">#REF!</definedName>
    <definedName name="page34" localSheetId="19">#REF!</definedName>
    <definedName name="page34" localSheetId="5">#REF!</definedName>
    <definedName name="page34">#REF!</definedName>
    <definedName name="Page35" localSheetId="32">#REF!</definedName>
    <definedName name="Page35" localSheetId="11">#REF!</definedName>
    <definedName name="Page35" localSheetId="13">#REF!</definedName>
    <definedName name="Page35" localSheetId="17">#REF!</definedName>
    <definedName name="Page35" localSheetId="56">#REF!</definedName>
    <definedName name="Page35" localSheetId="57">#REF!</definedName>
    <definedName name="Page35" localSheetId="58">#REF!</definedName>
    <definedName name="Page35" localSheetId="59">#REF!</definedName>
    <definedName name="Page35" localSheetId="60">#REF!</definedName>
    <definedName name="Page35" localSheetId="25">#REF!</definedName>
    <definedName name="Page35" localSheetId="30">#REF!</definedName>
    <definedName name="Page35" localSheetId="31">#REF!</definedName>
    <definedName name="Page35" localSheetId="2">#REF!</definedName>
    <definedName name="Page35" localSheetId="15">#REF!</definedName>
    <definedName name="Page35" localSheetId="35">#REF!</definedName>
    <definedName name="Page35" localSheetId="19">#REF!</definedName>
    <definedName name="Page35" localSheetId="5">#REF!</definedName>
    <definedName name="Page35">#REF!</definedName>
    <definedName name="PAGE4" localSheetId="57">#REF!</definedName>
    <definedName name="PAGE4" localSheetId="15">#REF!</definedName>
    <definedName name="PAGE4">#REF!</definedName>
    <definedName name="PAGE4_6" localSheetId="32">#REF!</definedName>
    <definedName name="PAGE4_6" localSheetId="11">#REF!</definedName>
    <definedName name="PAGE4_6" localSheetId="13">#REF!</definedName>
    <definedName name="PAGE4_6" localSheetId="17">#REF!</definedName>
    <definedName name="PAGE4_6" localSheetId="56">#REF!</definedName>
    <definedName name="PAGE4_6" localSheetId="57">#REF!</definedName>
    <definedName name="PAGE4_6" localSheetId="58">#REF!</definedName>
    <definedName name="PAGE4_6" localSheetId="59">#REF!</definedName>
    <definedName name="PAGE4_6" localSheetId="60">#REF!</definedName>
    <definedName name="PAGE4_6" localSheetId="25">#REF!</definedName>
    <definedName name="PAGE4_6" localSheetId="30">#REF!</definedName>
    <definedName name="PAGE4_6" localSheetId="31">#REF!</definedName>
    <definedName name="PAGE4_6" localSheetId="2">#REF!</definedName>
    <definedName name="PAGE4_6" localSheetId="15">#REF!</definedName>
    <definedName name="PAGE4_6" localSheetId="35">#REF!</definedName>
    <definedName name="PAGE4_6" localSheetId="19">#REF!</definedName>
    <definedName name="PAGE4_6" localSheetId="5">#REF!</definedName>
    <definedName name="PAGE4_6">#REF!</definedName>
    <definedName name="PAGE5" localSheetId="57">#REF!</definedName>
    <definedName name="PAGE5" localSheetId="15">#REF!</definedName>
    <definedName name="PAGE5">#REF!</definedName>
    <definedName name="PAGE5_6" localSheetId="32">#REF!</definedName>
    <definedName name="PAGE5_6" localSheetId="11">#REF!</definedName>
    <definedName name="PAGE5_6" localSheetId="13">#REF!</definedName>
    <definedName name="PAGE5_6" localSheetId="17">#REF!</definedName>
    <definedName name="PAGE5_6" localSheetId="56">#REF!</definedName>
    <definedName name="PAGE5_6" localSheetId="57">#REF!</definedName>
    <definedName name="PAGE5_6" localSheetId="58">#REF!</definedName>
    <definedName name="PAGE5_6" localSheetId="59">#REF!</definedName>
    <definedName name="PAGE5_6" localSheetId="60">#REF!</definedName>
    <definedName name="PAGE5_6" localSheetId="25">#REF!</definedName>
    <definedName name="PAGE5_6" localSheetId="30">#REF!</definedName>
    <definedName name="PAGE5_6" localSheetId="31">#REF!</definedName>
    <definedName name="PAGE5_6" localSheetId="2">#REF!</definedName>
    <definedName name="PAGE5_6" localSheetId="15">#REF!</definedName>
    <definedName name="PAGE5_6" localSheetId="35">#REF!</definedName>
    <definedName name="PAGE5_6" localSheetId="19">#REF!</definedName>
    <definedName name="PAGE5_6" localSheetId="5">#REF!</definedName>
    <definedName name="PAGE5_6">#REF!</definedName>
    <definedName name="page50" localSheetId="32">#REF!</definedName>
    <definedName name="page50" localSheetId="11">#REF!</definedName>
    <definedName name="page50" localSheetId="13">#REF!</definedName>
    <definedName name="page50" localSheetId="17">#REF!</definedName>
    <definedName name="page50" localSheetId="56">#REF!</definedName>
    <definedName name="page50" localSheetId="57">#REF!</definedName>
    <definedName name="page50" localSheetId="58">#REF!</definedName>
    <definedName name="page50" localSheetId="59">#REF!</definedName>
    <definedName name="page50" localSheetId="60">#REF!</definedName>
    <definedName name="page50" localSheetId="25">#REF!</definedName>
    <definedName name="page50" localSheetId="30">#REF!</definedName>
    <definedName name="page50" localSheetId="31">#REF!</definedName>
    <definedName name="page50" localSheetId="2">#REF!</definedName>
    <definedName name="page50" localSheetId="15">#REF!</definedName>
    <definedName name="page50" localSheetId="35">#REF!</definedName>
    <definedName name="page50" localSheetId="19">#REF!</definedName>
    <definedName name="page50" localSheetId="5">#REF!</definedName>
    <definedName name="page50">#REF!</definedName>
    <definedName name="page51" localSheetId="32">#REF!</definedName>
    <definedName name="page51" localSheetId="11">#REF!</definedName>
    <definedName name="page51" localSheetId="13">#REF!</definedName>
    <definedName name="page51" localSheetId="17">#REF!</definedName>
    <definedName name="page51" localSheetId="56">#REF!</definedName>
    <definedName name="page51" localSheetId="57">#REF!</definedName>
    <definedName name="page51" localSheetId="58">#REF!</definedName>
    <definedName name="page51" localSheetId="59">#REF!</definedName>
    <definedName name="page51" localSheetId="60">#REF!</definedName>
    <definedName name="page51" localSheetId="25">#REF!</definedName>
    <definedName name="page51" localSheetId="30">#REF!</definedName>
    <definedName name="page51" localSheetId="31">#REF!</definedName>
    <definedName name="page51" localSheetId="2">#REF!</definedName>
    <definedName name="page51" localSheetId="15">#REF!</definedName>
    <definedName name="page51" localSheetId="35">#REF!</definedName>
    <definedName name="page51" localSheetId="19">#REF!</definedName>
    <definedName name="page51" localSheetId="5">#REF!</definedName>
    <definedName name="page51">#REF!</definedName>
    <definedName name="page52" localSheetId="32">#REF!</definedName>
    <definedName name="page52" localSheetId="11">#REF!</definedName>
    <definedName name="page52" localSheetId="13">#REF!</definedName>
    <definedName name="page52" localSheetId="17">#REF!</definedName>
    <definedName name="page52" localSheetId="56">#REF!</definedName>
    <definedName name="page52" localSheetId="57">#REF!</definedName>
    <definedName name="page52" localSheetId="58">#REF!</definedName>
    <definedName name="page52" localSheetId="59">#REF!</definedName>
    <definedName name="page52" localSheetId="60">#REF!</definedName>
    <definedName name="page52" localSheetId="25">#REF!</definedName>
    <definedName name="page52" localSheetId="30">#REF!</definedName>
    <definedName name="page52" localSheetId="31">#REF!</definedName>
    <definedName name="page52" localSheetId="2">#REF!</definedName>
    <definedName name="page52" localSheetId="15">#REF!</definedName>
    <definedName name="page52" localSheetId="35">#REF!</definedName>
    <definedName name="page52" localSheetId="19">#REF!</definedName>
    <definedName name="page52" localSheetId="5">#REF!</definedName>
    <definedName name="page52">#REF!</definedName>
    <definedName name="PAGE6" localSheetId="32">#REF!</definedName>
    <definedName name="PAGE6" localSheetId="11">#REF!</definedName>
    <definedName name="PAGE6" localSheetId="13">#REF!</definedName>
    <definedName name="PAGE6" localSheetId="17">#REF!</definedName>
    <definedName name="PAGE6" localSheetId="56">#REF!</definedName>
    <definedName name="PAGE6" localSheetId="57">#REF!</definedName>
    <definedName name="PAGE6" localSheetId="58">#REF!</definedName>
    <definedName name="PAGE6" localSheetId="59">#REF!</definedName>
    <definedName name="PAGE6" localSheetId="60">#REF!</definedName>
    <definedName name="PAGE6" localSheetId="25">#REF!</definedName>
    <definedName name="PAGE6" localSheetId="30">#REF!</definedName>
    <definedName name="PAGE6" localSheetId="31">#REF!</definedName>
    <definedName name="PAGE6" localSheetId="2">#REF!</definedName>
    <definedName name="PAGE6" localSheetId="15">#REF!</definedName>
    <definedName name="PAGE6" localSheetId="35">#REF!</definedName>
    <definedName name="PAGE6" localSheetId="19">#REF!</definedName>
    <definedName name="PAGE6" localSheetId="5">#REF!</definedName>
    <definedName name="PAGE6">#REF!</definedName>
    <definedName name="PAGE6_6" localSheetId="32">#REF!</definedName>
    <definedName name="PAGE6_6" localSheetId="11">#REF!</definedName>
    <definedName name="PAGE6_6" localSheetId="13">#REF!</definedName>
    <definedName name="PAGE6_6" localSheetId="17">#REF!</definedName>
    <definedName name="PAGE6_6" localSheetId="56">#REF!</definedName>
    <definedName name="PAGE6_6" localSheetId="57">#REF!</definedName>
    <definedName name="PAGE6_6" localSheetId="58">#REF!</definedName>
    <definedName name="PAGE6_6" localSheetId="59">#REF!</definedName>
    <definedName name="PAGE6_6" localSheetId="60">#REF!</definedName>
    <definedName name="PAGE6_6" localSheetId="25">#REF!</definedName>
    <definedName name="PAGE6_6" localSheetId="30">#REF!</definedName>
    <definedName name="PAGE6_6" localSheetId="31">#REF!</definedName>
    <definedName name="PAGE6_6" localSheetId="2">#REF!</definedName>
    <definedName name="PAGE6_6" localSheetId="15">#REF!</definedName>
    <definedName name="PAGE6_6" localSheetId="35">#REF!</definedName>
    <definedName name="PAGE6_6" localSheetId="19">#REF!</definedName>
    <definedName name="PAGE6_6" localSheetId="5">#REF!</definedName>
    <definedName name="PAGE6_6">#REF!</definedName>
    <definedName name="PAGE7" localSheetId="32">#REF!</definedName>
    <definedName name="PAGE7" localSheetId="11">#REF!</definedName>
    <definedName name="PAGE7" localSheetId="13">#REF!</definedName>
    <definedName name="PAGE7" localSheetId="17">#REF!</definedName>
    <definedName name="PAGE7" localSheetId="56">#REF!</definedName>
    <definedName name="PAGE7" localSheetId="57">#REF!</definedName>
    <definedName name="PAGE7" localSheetId="58">#REF!</definedName>
    <definedName name="PAGE7" localSheetId="59">#REF!</definedName>
    <definedName name="PAGE7" localSheetId="60">#REF!</definedName>
    <definedName name="PAGE7" localSheetId="25">#REF!</definedName>
    <definedName name="PAGE7" localSheetId="30">#REF!</definedName>
    <definedName name="PAGE7" localSheetId="31">#REF!</definedName>
    <definedName name="PAGE7" localSheetId="2">#REF!</definedName>
    <definedName name="PAGE7" localSheetId="15">#REF!</definedName>
    <definedName name="PAGE7" localSheetId="35">#REF!</definedName>
    <definedName name="PAGE7" localSheetId="19">#REF!</definedName>
    <definedName name="PAGE7" localSheetId="5">#REF!</definedName>
    <definedName name="PAGE7">#REF!</definedName>
    <definedName name="PAGE7_6" localSheetId="32">#REF!</definedName>
    <definedName name="PAGE7_6" localSheetId="11">#REF!</definedName>
    <definedName name="PAGE7_6" localSheetId="13">#REF!</definedName>
    <definedName name="PAGE7_6" localSheetId="17">#REF!</definedName>
    <definedName name="PAGE7_6" localSheetId="56">#REF!</definedName>
    <definedName name="PAGE7_6" localSheetId="57">#REF!</definedName>
    <definedName name="PAGE7_6" localSheetId="58">#REF!</definedName>
    <definedName name="PAGE7_6" localSheetId="59">#REF!</definedName>
    <definedName name="PAGE7_6" localSheetId="60">#REF!</definedName>
    <definedName name="PAGE7_6" localSheetId="25">#REF!</definedName>
    <definedName name="PAGE7_6" localSheetId="30">#REF!</definedName>
    <definedName name="PAGE7_6" localSheetId="31">#REF!</definedName>
    <definedName name="PAGE7_6" localSheetId="2">#REF!</definedName>
    <definedName name="PAGE7_6" localSheetId="15">#REF!</definedName>
    <definedName name="PAGE7_6" localSheetId="35">#REF!</definedName>
    <definedName name="PAGE7_6" localSheetId="19">#REF!</definedName>
    <definedName name="PAGE7_6" localSheetId="5">#REF!</definedName>
    <definedName name="PAGE7_6">#REF!</definedName>
    <definedName name="PAGE8" localSheetId="32">#REF!</definedName>
    <definedName name="PAGE8" localSheetId="11">#REF!</definedName>
    <definedName name="PAGE8" localSheetId="13">#REF!</definedName>
    <definedName name="PAGE8" localSheetId="17">#REF!</definedName>
    <definedName name="PAGE8" localSheetId="56">#REF!</definedName>
    <definedName name="PAGE8" localSheetId="57">#REF!</definedName>
    <definedName name="PAGE8" localSheetId="58">#REF!</definedName>
    <definedName name="PAGE8" localSheetId="59">#REF!</definedName>
    <definedName name="PAGE8" localSheetId="60">#REF!</definedName>
    <definedName name="PAGE8" localSheetId="25">#REF!</definedName>
    <definedName name="PAGE8" localSheetId="30">#REF!</definedName>
    <definedName name="PAGE8" localSheetId="31">#REF!</definedName>
    <definedName name="PAGE8" localSheetId="2">#REF!</definedName>
    <definedName name="PAGE8" localSheetId="15">#REF!</definedName>
    <definedName name="PAGE8" localSheetId="35">#REF!</definedName>
    <definedName name="PAGE8" localSheetId="19">#REF!</definedName>
    <definedName name="PAGE8" localSheetId="5">#REF!</definedName>
    <definedName name="PAGE8">#REF!</definedName>
    <definedName name="PAGE8_6U1A" localSheetId="32">#REF!</definedName>
    <definedName name="PAGE8_6U1A" localSheetId="11">#REF!</definedName>
    <definedName name="PAGE8_6U1A" localSheetId="13">#REF!</definedName>
    <definedName name="PAGE8_6U1A" localSheetId="17">#REF!</definedName>
    <definedName name="PAGE8_6U1A" localSheetId="56">#REF!</definedName>
    <definedName name="PAGE8_6U1A" localSheetId="57">#REF!</definedName>
    <definedName name="PAGE8_6U1A" localSheetId="58">#REF!</definedName>
    <definedName name="PAGE8_6U1A" localSheetId="59">#REF!</definedName>
    <definedName name="PAGE8_6U1A" localSheetId="60">#REF!</definedName>
    <definedName name="PAGE8_6U1A" localSheetId="25">#REF!</definedName>
    <definedName name="PAGE8_6U1A" localSheetId="30">#REF!</definedName>
    <definedName name="PAGE8_6U1A" localSheetId="31">#REF!</definedName>
    <definedName name="PAGE8_6U1A" localSheetId="2">#REF!</definedName>
    <definedName name="PAGE8_6U1A" localSheetId="15">#REF!</definedName>
    <definedName name="PAGE8_6U1A" localSheetId="35">#REF!</definedName>
    <definedName name="PAGE8_6U1A" localSheetId="19">#REF!</definedName>
    <definedName name="PAGE8_6U1A" localSheetId="5">#REF!</definedName>
    <definedName name="PAGE8_6U1A">#REF!</definedName>
    <definedName name="PAGE8_6U1B" localSheetId="32">#REF!</definedName>
    <definedName name="PAGE8_6U1B" localSheetId="11">#REF!</definedName>
    <definedName name="PAGE8_6U1B" localSheetId="13">#REF!</definedName>
    <definedName name="PAGE8_6U1B" localSheetId="17">#REF!</definedName>
    <definedName name="PAGE8_6U1B" localSheetId="56">#REF!</definedName>
    <definedName name="PAGE8_6U1B" localSheetId="57">#REF!</definedName>
    <definedName name="PAGE8_6U1B" localSheetId="58">#REF!</definedName>
    <definedName name="PAGE8_6U1B" localSheetId="59">#REF!</definedName>
    <definedName name="PAGE8_6U1B" localSheetId="60">#REF!</definedName>
    <definedName name="PAGE8_6U1B" localSheetId="25">#REF!</definedName>
    <definedName name="PAGE8_6U1B" localSheetId="30">#REF!</definedName>
    <definedName name="PAGE8_6U1B" localSheetId="31">#REF!</definedName>
    <definedName name="PAGE8_6U1B" localSheetId="2">#REF!</definedName>
    <definedName name="PAGE8_6U1B" localSheetId="15">#REF!</definedName>
    <definedName name="PAGE8_6U1B" localSheetId="35">#REF!</definedName>
    <definedName name="PAGE8_6U1B" localSheetId="19">#REF!</definedName>
    <definedName name="PAGE8_6U1B" localSheetId="5">#REF!</definedName>
    <definedName name="PAGE8_6U1B">#REF!</definedName>
    <definedName name="PAGE8_6U2A" localSheetId="32">#REF!</definedName>
    <definedName name="PAGE8_6U2A" localSheetId="11">#REF!</definedName>
    <definedName name="PAGE8_6U2A" localSheetId="13">#REF!</definedName>
    <definedName name="PAGE8_6U2A" localSheetId="17">#REF!</definedName>
    <definedName name="PAGE8_6U2A" localSheetId="56">#REF!</definedName>
    <definedName name="PAGE8_6U2A" localSheetId="57">#REF!</definedName>
    <definedName name="PAGE8_6U2A" localSheetId="58">#REF!</definedName>
    <definedName name="PAGE8_6U2A" localSheetId="59">#REF!</definedName>
    <definedName name="PAGE8_6U2A" localSheetId="60">#REF!</definedName>
    <definedName name="PAGE8_6U2A" localSheetId="25">#REF!</definedName>
    <definedName name="PAGE8_6U2A" localSheetId="30">#REF!</definedName>
    <definedName name="PAGE8_6U2A" localSheetId="31">#REF!</definedName>
    <definedName name="PAGE8_6U2A" localSheetId="2">#REF!</definedName>
    <definedName name="PAGE8_6U2A" localSheetId="15">#REF!</definedName>
    <definedName name="PAGE8_6U2A" localSheetId="35">#REF!</definedName>
    <definedName name="PAGE8_6U2A" localSheetId="19">#REF!</definedName>
    <definedName name="PAGE8_6U2A" localSheetId="5">#REF!</definedName>
    <definedName name="PAGE8_6U2A">#REF!</definedName>
    <definedName name="PAGE8_6U2B" localSheetId="32">#REF!</definedName>
    <definedName name="PAGE8_6U2B" localSheetId="11">#REF!</definedName>
    <definedName name="PAGE8_6U2B" localSheetId="13">#REF!</definedName>
    <definedName name="PAGE8_6U2B" localSheetId="17">#REF!</definedName>
    <definedName name="PAGE8_6U2B" localSheetId="56">#REF!</definedName>
    <definedName name="PAGE8_6U2B" localSheetId="57">#REF!</definedName>
    <definedName name="PAGE8_6U2B" localSheetId="58">#REF!</definedName>
    <definedName name="PAGE8_6U2B" localSheetId="59">#REF!</definedName>
    <definedName name="PAGE8_6U2B" localSheetId="60">#REF!</definedName>
    <definedName name="PAGE8_6U2B" localSheetId="25">#REF!</definedName>
    <definedName name="PAGE8_6U2B" localSheetId="30">#REF!</definedName>
    <definedName name="PAGE8_6U2B" localSheetId="31">#REF!</definedName>
    <definedName name="PAGE8_6U2B" localSheetId="2">#REF!</definedName>
    <definedName name="PAGE8_6U2B" localSheetId="15">#REF!</definedName>
    <definedName name="PAGE8_6U2B" localSheetId="35">#REF!</definedName>
    <definedName name="PAGE8_6U2B" localSheetId="19">#REF!</definedName>
    <definedName name="PAGE8_6U2B" localSheetId="5">#REF!</definedName>
    <definedName name="PAGE8_6U2B">#REF!</definedName>
    <definedName name="PAGE8_6U3A" localSheetId="32">#REF!</definedName>
    <definedName name="PAGE8_6U3A" localSheetId="11">#REF!</definedName>
    <definedName name="PAGE8_6U3A" localSheetId="13">#REF!</definedName>
    <definedName name="PAGE8_6U3A" localSheetId="17">#REF!</definedName>
    <definedName name="PAGE8_6U3A" localSheetId="56">#REF!</definedName>
    <definedName name="PAGE8_6U3A" localSheetId="57">#REF!</definedName>
    <definedName name="PAGE8_6U3A" localSheetId="58">#REF!</definedName>
    <definedName name="PAGE8_6U3A" localSheetId="59">#REF!</definedName>
    <definedName name="PAGE8_6U3A" localSheetId="60">#REF!</definedName>
    <definedName name="PAGE8_6U3A" localSheetId="25">#REF!</definedName>
    <definedName name="PAGE8_6U3A" localSheetId="30">#REF!</definedName>
    <definedName name="PAGE8_6U3A" localSheetId="31">#REF!</definedName>
    <definedName name="PAGE8_6U3A" localSheetId="2">#REF!</definedName>
    <definedName name="PAGE8_6U3A" localSheetId="15">#REF!</definedName>
    <definedName name="PAGE8_6U3A" localSheetId="35">#REF!</definedName>
    <definedName name="PAGE8_6U3A" localSheetId="19">#REF!</definedName>
    <definedName name="PAGE8_6U3A" localSheetId="5">#REF!</definedName>
    <definedName name="PAGE8_6U3A">#REF!</definedName>
    <definedName name="PAGE8_6U3B" localSheetId="32">#REF!</definedName>
    <definedName name="PAGE8_6U3B" localSheetId="11">#REF!</definedName>
    <definedName name="PAGE8_6U3B" localSheetId="13">#REF!</definedName>
    <definedName name="PAGE8_6U3B" localSheetId="17">#REF!</definedName>
    <definedName name="PAGE8_6U3B" localSheetId="56">#REF!</definedName>
    <definedName name="PAGE8_6U3B" localSheetId="57">#REF!</definedName>
    <definedName name="PAGE8_6U3B" localSheetId="58">#REF!</definedName>
    <definedName name="PAGE8_6U3B" localSheetId="59">#REF!</definedName>
    <definedName name="PAGE8_6U3B" localSheetId="60">#REF!</definedName>
    <definedName name="PAGE8_6U3B" localSheetId="25">#REF!</definedName>
    <definedName name="PAGE8_6U3B" localSheetId="30">#REF!</definedName>
    <definedName name="PAGE8_6U3B" localSheetId="31">#REF!</definedName>
    <definedName name="PAGE8_6U3B" localSheetId="2">#REF!</definedName>
    <definedName name="PAGE8_6U3B" localSheetId="15">#REF!</definedName>
    <definedName name="PAGE8_6U3B" localSheetId="35">#REF!</definedName>
    <definedName name="PAGE8_6U3B" localSheetId="19">#REF!</definedName>
    <definedName name="PAGE8_6U3B" localSheetId="5">#REF!</definedName>
    <definedName name="PAGE8_6U3B">#REF!</definedName>
    <definedName name="PAGE9" localSheetId="32">#REF!</definedName>
    <definedName name="PAGE9" localSheetId="11">#REF!</definedName>
    <definedName name="PAGE9" localSheetId="13">#REF!</definedName>
    <definedName name="PAGE9" localSheetId="17">#REF!</definedName>
    <definedName name="PAGE9" localSheetId="56">#REF!</definedName>
    <definedName name="PAGE9" localSheetId="57">#REF!</definedName>
    <definedName name="PAGE9" localSheetId="58">#REF!</definedName>
    <definedName name="PAGE9" localSheetId="59">#REF!</definedName>
    <definedName name="PAGE9" localSheetId="60">#REF!</definedName>
    <definedName name="PAGE9" localSheetId="25">#REF!</definedName>
    <definedName name="PAGE9" localSheetId="30">#REF!</definedName>
    <definedName name="PAGE9" localSheetId="31">#REF!</definedName>
    <definedName name="PAGE9" localSheetId="2">#REF!</definedName>
    <definedName name="PAGE9" localSheetId="15">#REF!</definedName>
    <definedName name="PAGE9" localSheetId="35">#REF!</definedName>
    <definedName name="PAGE9" localSheetId="19">#REF!</definedName>
    <definedName name="PAGE9" localSheetId="5">#REF!</definedName>
    <definedName name="PAGE9">#REF!</definedName>
    <definedName name="PAGE9_6" localSheetId="32">#REF!</definedName>
    <definedName name="PAGE9_6" localSheetId="11">#REF!</definedName>
    <definedName name="PAGE9_6" localSheetId="13">#REF!</definedName>
    <definedName name="PAGE9_6" localSheetId="17">#REF!</definedName>
    <definedName name="PAGE9_6" localSheetId="56">#REF!</definedName>
    <definedName name="PAGE9_6" localSheetId="57">#REF!</definedName>
    <definedName name="PAGE9_6" localSheetId="58">#REF!</definedName>
    <definedName name="PAGE9_6" localSheetId="59">#REF!</definedName>
    <definedName name="PAGE9_6" localSheetId="60">#REF!</definedName>
    <definedName name="PAGE9_6" localSheetId="25">#REF!</definedName>
    <definedName name="PAGE9_6" localSheetId="30">#REF!</definedName>
    <definedName name="PAGE9_6" localSheetId="31">#REF!</definedName>
    <definedName name="PAGE9_6" localSheetId="2">#REF!</definedName>
    <definedName name="PAGE9_6" localSheetId="15">#REF!</definedName>
    <definedName name="PAGE9_6" localSheetId="35">#REF!</definedName>
    <definedName name="PAGE9_6" localSheetId="19">#REF!</definedName>
    <definedName name="PAGE9_6" localSheetId="5">#REF!</definedName>
    <definedName name="PAGE9_6">#REF!</definedName>
    <definedName name="paidadams">SUM('[78]pa-mtly'!$O$8:$S$8)</definedName>
    <definedName name="paidchemineer">SUM('[78]pa-mtly'!$O$17:$S$17)</definedName>
    <definedName name="paidcopes">SUM('[78]pa-mtly'!$O$18:$S$18)</definedName>
    <definedName name="paiddba">SUM('[78]pa-mtly'!$O$22:$S$22)</definedName>
    <definedName name="paiddelavan">SUM('[78]pa-mtly'!$O$20:$S$20)</definedName>
    <definedName name="paiddkm51">SUM('[78]pa-mtly'!$O$24:$S$24)</definedName>
    <definedName name="paiddkm52">SUM('[78]pa-mtly'!$O$25:$S$25)</definedName>
    <definedName name="paidemba">SUM('[78]pa-mtly'!$O$30:$S$30)</definedName>
    <definedName name="paidenviro">SUM('[78]pa-mtly'!$O$31:$S$31)</definedName>
    <definedName name="paidflowserve">SUM('[78]pa-mtly'!$O$36:$S$36)</definedName>
    <definedName name="paidfmc">SUM('[78]pa-mtly'!$O$37:$S$37)</definedName>
    <definedName name="paidgeveke149">SUM('[78]pa-mtly'!$O$40:$S$40)</definedName>
    <definedName name="paidgeveke80">SUM('[78]pa-mtly'!$O$39:$S$39)</definedName>
    <definedName name="paidgeveke81">SUM('[78]pa-mtly'!$O$41:$S$41)</definedName>
    <definedName name="paidghhb">SUM('[78]pa-mtly'!$O$42:$S$42)</definedName>
    <definedName name="paidgutor110">SUM('[78]pa-mtly'!$O$46:$S$46)</definedName>
    <definedName name="paidgutor96">SUM('[78]pa-mtly'!$O$45:$S$45)</definedName>
    <definedName name="paidhamw">SUM('[78]pa-mtly'!$O$47:$S$47)</definedName>
    <definedName name="paidheurtey">SUM('[78]pa-mtly'!$O$47:$S$47)</definedName>
    <definedName name="paidhmd">SUM('[78]pa-mtly'!$O$50:$S$50)</definedName>
    <definedName name="paidhydro">SUM('[78]pa-mtly'!$O$54:$S$54)</definedName>
    <definedName name="paidkerp">SUM('[78]pa-mtly'!$O$61:$S$61)</definedName>
    <definedName name="paidkiekens">SUM('[78]pa-mtly'!$O$62:$S$62)</definedName>
    <definedName name="paidklinger">SUM('[78]pa-mtly'!$O$63:$S$63)</definedName>
    <definedName name="paidkoch">SUM('[78]pa-mtly'!$O$64:$S$64)</definedName>
    <definedName name="paidkuervers">SUM('[78]pa-mtly'!$O$72:$S$72)</definedName>
    <definedName name="paidliebert">SUM('[78]pa-mtly'!$O$76:$S$76)</definedName>
    <definedName name="paidliebherr">SUM('[78]pa-mtly'!$O$75:$S$75)</definedName>
    <definedName name="paidmann">SUM('[78]pa-mtly'!$P$80:$S$80)</definedName>
    <definedName name="paidmrm">SUM('[78]pa-mtly'!$O$88:$S$88)</definedName>
    <definedName name="paidnat">SUM('[78]pa-mtly'!$O$89:$S$89)</definedName>
    <definedName name="paidnp">SUM('[78]pa-mtly'!$O$95:$S$95)</definedName>
    <definedName name="paidods">SUM('[78]pa-mtly'!$O$109:$S$109)</definedName>
    <definedName name="paidoxybel951">SUM('[78]pa-mtly'!$O$118:$S$118)</definedName>
    <definedName name="paidoxybel952">SUM('[78]pa-mtly'!$O$119:$S$119)</definedName>
    <definedName name="paidpirelli">SUM('[78]pa-mtly'!$O$126:$S$126)</definedName>
    <definedName name="paidsafex">SUM('[78]pa-mtly'!$O$130:$S$130)</definedName>
    <definedName name="paidschulz">SUM('[78]pa-mtly'!$O$132:$S$132)</definedName>
    <definedName name="paidsirco">SUM('[78]pa-mtly'!$O$140:$S$140)</definedName>
    <definedName name="paidtaprogge">SUM('[78]pa-mtly'!$O$145:$S$145)</definedName>
    <definedName name="paidthermoheat165">SUM('[78]pa-mtly'!$O$148:$S$148)</definedName>
    <definedName name="paidthermoheat175">SUM('[78]pa-mtly'!$O$149:$S$149)</definedName>
    <definedName name="paidyokogawa">SUM('[78]pa-mtly'!$O$161:$S$161)</definedName>
    <definedName name="paidyork">SUM('[78]pa-mtly'!$O$162:$S$162)</definedName>
    <definedName name="ParasBL17" localSheetId="57">'[79]Balance Life'!$N$52</definedName>
    <definedName name="ParasBL17">'[80]Balance Life'!$N$52</definedName>
    <definedName name="ParasResLife">[34]Assumptions!$B$42</definedName>
    <definedName name="ParasResLife16">'[35]Inputs &amp; Assumptions'!$D$10</definedName>
    <definedName name="Parli67ResLife16">'[35]Inputs &amp; Assumptions'!$D$6</definedName>
    <definedName name="ParliResLife">[34]Assumptions!$B$37</definedName>
    <definedName name="ParliResLife16">'[35]Inputs &amp; Assumptions'!$D$5</definedName>
    <definedName name="ParliResLife17">'[35]Inputs &amp; Assumptions'!$G$18</definedName>
    <definedName name="PartDesignation">[29]Masters!$C$16</definedName>
    <definedName name="pas">'[23]a-4'!$E$35</definedName>
    <definedName name="Peak1" localSheetId="57">#REF!</definedName>
    <definedName name="Peak1" localSheetId="15">#REF!</definedName>
    <definedName name="Peak1">#REF!</definedName>
    <definedName name="Peak2" localSheetId="57">#REF!</definedName>
    <definedName name="Peak2" localSheetId="15">#REF!</definedName>
    <definedName name="Peak2">#REF!</definedName>
    <definedName name="Peak3" localSheetId="57">#REF!</definedName>
    <definedName name="Peak3" localSheetId="15">#REF!</definedName>
    <definedName name="Peak3">#REF!</definedName>
    <definedName name="Peak4" localSheetId="57">#REF!</definedName>
    <definedName name="Peak4" localSheetId="15">#REF!</definedName>
    <definedName name="Peak4">#REF!</definedName>
    <definedName name="Pop_Ratio" localSheetId="32">#REF!</definedName>
    <definedName name="Pop_Ratio" localSheetId="10">#REF!</definedName>
    <definedName name="Pop_Ratio" localSheetId="11">#REF!</definedName>
    <definedName name="Pop_Ratio" localSheetId="13">#REF!</definedName>
    <definedName name="Pop_Ratio" localSheetId="14">#REF!</definedName>
    <definedName name="Pop_Ratio" localSheetId="41">#REF!</definedName>
    <definedName name="Pop_Ratio" localSheetId="42">#REF!</definedName>
    <definedName name="Pop_Ratio" localSheetId="47">#REF!</definedName>
    <definedName name="Pop_Ratio" localSheetId="48">#REF!</definedName>
    <definedName name="Pop_Ratio" localSheetId="49">#REF!</definedName>
    <definedName name="Pop_Ratio" localSheetId="50">#REF!</definedName>
    <definedName name="Pop_Ratio" localSheetId="51">#REF!</definedName>
    <definedName name="Pop_Ratio" localSheetId="52">#REF!</definedName>
    <definedName name="Pop_Ratio" localSheetId="53">#REF!</definedName>
    <definedName name="Pop_Ratio" localSheetId="54">#REF!</definedName>
    <definedName name="Pop_Ratio" localSheetId="55">#REF!</definedName>
    <definedName name="Pop_Ratio" localSheetId="17">#REF!</definedName>
    <definedName name="Pop_Ratio" localSheetId="18">#REF!</definedName>
    <definedName name="Pop_Ratio" localSheetId="56">#REF!</definedName>
    <definedName name="Pop_Ratio" localSheetId="57">#REF!</definedName>
    <definedName name="Pop_Ratio" localSheetId="58">#REF!</definedName>
    <definedName name="Pop_Ratio" localSheetId="59">#REF!</definedName>
    <definedName name="Pop_Ratio" localSheetId="60">#REF!</definedName>
    <definedName name="Pop_Ratio" localSheetId="25">#REF!</definedName>
    <definedName name="Pop_Ratio" localSheetId="30">#REF!</definedName>
    <definedName name="Pop_Ratio" localSheetId="31">#REF!</definedName>
    <definedName name="Pop_Ratio" localSheetId="2">#REF!</definedName>
    <definedName name="Pop_Ratio" localSheetId="15">#REF!</definedName>
    <definedName name="Pop_Ratio" localSheetId="35">#REF!</definedName>
    <definedName name="Pop_Ratio" localSheetId="19">#REF!</definedName>
    <definedName name="Pop_Ratio" localSheetId="5">#REF!</definedName>
    <definedName name="Pop_Ratio">#REF!</definedName>
    <definedName name="PRF_1" localSheetId="32">#REF!</definedName>
    <definedName name="PRF_1" localSheetId="11">#REF!</definedName>
    <definedName name="PRF_1" localSheetId="13">#REF!</definedName>
    <definedName name="PRF_1" localSheetId="17">#REF!</definedName>
    <definedName name="PRF_1" localSheetId="56">#REF!</definedName>
    <definedName name="PRF_1" localSheetId="57">#REF!</definedName>
    <definedName name="PRF_1" localSheetId="58">#REF!</definedName>
    <definedName name="PRF_1" localSheetId="59">#REF!</definedName>
    <definedName name="PRF_1" localSheetId="60">#REF!</definedName>
    <definedName name="PRF_1" localSheetId="25">#REF!</definedName>
    <definedName name="PRF_1" localSheetId="30">#REF!</definedName>
    <definedName name="PRF_1" localSheetId="31">#REF!</definedName>
    <definedName name="PRF_1" localSheetId="2">#REF!</definedName>
    <definedName name="PRF_1" localSheetId="15">#REF!</definedName>
    <definedName name="PRF_1" localSheetId="35">#REF!</definedName>
    <definedName name="PRF_1" localSheetId="19">#REF!</definedName>
    <definedName name="PRF_1" localSheetId="5">#REF!</definedName>
    <definedName name="PRF_1">#REF!</definedName>
    <definedName name="PRF_2_P1" localSheetId="32">#REF!</definedName>
    <definedName name="PRF_2_P1" localSheetId="11">#REF!</definedName>
    <definedName name="PRF_2_P1" localSheetId="13">#REF!</definedName>
    <definedName name="PRF_2_P1" localSheetId="17">#REF!</definedName>
    <definedName name="PRF_2_P1" localSheetId="56">#REF!</definedName>
    <definedName name="PRF_2_P1" localSheetId="57">#REF!</definedName>
    <definedName name="PRF_2_P1" localSheetId="58">#REF!</definedName>
    <definedName name="PRF_2_P1" localSheetId="59">#REF!</definedName>
    <definedName name="PRF_2_P1" localSheetId="60">#REF!</definedName>
    <definedName name="PRF_2_P1" localSheetId="25">#REF!</definedName>
    <definedName name="PRF_2_P1" localSheetId="30">#REF!</definedName>
    <definedName name="PRF_2_P1" localSheetId="31">#REF!</definedName>
    <definedName name="PRF_2_P1" localSheetId="2">#REF!</definedName>
    <definedName name="PRF_2_P1" localSheetId="15">#REF!</definedName>
    <definedName name="PRF_2_P1" localSheetId="35">#REF!</definedName>
    <definedName name="PRF_2_P1" localSheetId="19">#REF!</definedName>
    <definedName name="PRF_2_P1" localSheetId="5">#REF!</definedName>
    <definedName name="PRF_2_P1">#REF!</definedName>
    <definedName name="PRF_2_P2" localSheetId="32">#REF!</definedName>
    <definedName name="PRF_2_P2" localSheetId="11">#REF!</definedName>
    <definedName name="PRF_2_P2" localSheetId="13">#REF!</definedName>
    <definedName name="PRF_2_P2" localSheetId="17">#REF!</definedName>
    <definedName name="PRF_2_P2" localSheetId="56">#REF!</definedName>
    <definedName name="PRF_2_P2" localSheetId="57">#REF!</definedName>
    <definedName name="PRF_2_P2" localSheetId="58">#REF!</definedName>
    <definedName name="PRF_2_P2" localSheetId="59">#REF!</definedName>
    <definedName name="PRF_2_P2" localSheetId="60">#REF!</definedName>
    <definedName name="PRF_2_P2" localSheetId="25">#REF!</definedName>
    <definedName name="PRF_2_P2" localSheetId="30">#REF!</definedName>
    <definedName name="PRF_2_P2" localSheetId="31">#REF!</definedName>
    <definedName name="PRF_2_P2" localSheetId="2">#REF!</definedName>
    <definedName name="PRF_2_P2" localSheetId="15">#REF!</definedName>
    <definedName name="PRF_2_P2" localSheetId="35">#REF!</definedName>
    <definedName name="PRF_2_P2" localSheetId="19">#REF!</definedName>
    <definedName name="PRF_2_P2" localSheetId="5">#REF!</definedName>
    <definedName name="PRF_2_P2">#REF!</definedName>
    <definedName name="PRF_3_AN1" localSheetId="32">#REF!</definedName>
    <definedName name="PRF_3_AN1" localSheetId="11">#REF!</definedName>
    <definedName name="PRF_3_AN1" localSheetId="13">#REF!</definedName>
    <definedName name="PRF_3_AN1" localSheetId="17">#REF!</definedName>
    <definedName name="PRF_3_AN1" localSheetId="56">#REF!</definedName>
    <definedName name="PRF_3_AN1" localSheetId="57">#REF!</definedName>
    <definedName name="PRF_3_AN1" localSheetId="58">#REF!</definedName>
    <definedName name="PRF_3_AN1" localSheetId="59">#REF!</definedName>
    <definedName name="PRF_3_AN1" localSheetId="60">#REF!</definedName>
    <definedName name="PRF_3_AN1" localSheetId="25">#REF!</definedName>
    <definedName name="PRF_3_AN1" localSheetId="30">#REF!</definedName>
    <definedName name="PRF_3_AN1" localSheetId="31">#REF!</definedName>
    <definedName name="PRF_3_AN1" localSheetId="2">#REF!</definedName>
    <definedName name="PRF_3_AN1" localSheetId="15">#REF!</definedName>
    <definedName name="PRF_3_AN1" localSheetId="35">#REF!</definedName>
    <definedName name="PRF_3_AN1" localSheetId="19">#REF!</definedName>
    <definedName name="PRF_3_AN1" localSheetId="5">#REF!</definedName>
    <definedName name="PRF_3_AN1">#REF!</definedName>
    <definedName name="PRF_3_AN2" localSheetId="32">#REF!</definedName>
    <definedName name="PRF_3_AN2" localSheetId="11">#REF!</definedName>
    <definedName name="PRF_3_AN2" localSheetId="13">#REF!</definedName>
    <definedName name="PRF_3_AN2" localSheetId="17">#REF!</definedName>
    <definedName name="PRF_3_AN2" localSheetId="56">#REF!</definedName>
    <definedName name="PRF_3_AN2" localSheetId="57">#REF!</definedName>
    <definedName name="PRF_3_AN2" localSheetId="58">#REF!</definedName>
    <definedName name="PRF_3_AN2" localSheetId="59">#REF!</definedName>
    <definedName name="PRF_3_AN2" localSheetId="60">#REF!</definedName>
    <definedName name="PRF_3_AN2" localSheetId="25">#REF!</definedName>
    <definedName name="PRF_3_AN2" localSheetId="30">#REF!</definedName>
    <definedName name="PRF_3_AN2" localSheetId="31">#REF!</definedName>
    <definedName name="PRF_3_AN2" localSheetId="2">#REF!</definedName>
    <definedName name="PRF_3_AN2" localSheetId="15">#REF!</definedName>
    <definedName name="PRF_3_AN2" localSheetId="35">#REF!</definedName>
    <definedName name="PRF_3_AN2" localSheetId="19">#REF!</definedName>
    <definedName name="PRF_3_AN2" localSheetId="5">#REF!</definedName>
    <definedName name="PRF_3_AN2">#REF!</definedName>
    <definedName name="PRF_3_AN3" localSheetId="32">#REF!</definedName>
    <definedName name="PRF_3_AN3" localSheetId="11">#REF!</definedName>
    <definedName name="PRF_3_AN3" localSheetId="13">#REF!</definedName>
    <definedName name="PRF_3_AN3" localSheetId="17">#REF!</definedName>
    <definedName name="PRF_3_AN3" localSheetId="56">#REF!</definedName>
    <definedName name="PRF_3_AN3" localSheetId="57">#REF!</definedName>
    <definedName name="PRF_3_AN3" localSheetId="58">#REF!</definedName>
    <definedName name="PRF_3_AN3" localSheetId="59">#REF!</definedName>
    <definedName name="PRF_3_AN3" localSheetId="60">#REF!</definedName>
    <definedName name="PRF_3_AN3" localSheetId="25">#REF!</definedName>
    <definedName name="PRF_3_AN3" localSheetId="30">#REF!</definedName>
    <definedName name="PRF_3_AN3" localSheetId="31">#REF!</definedName>
    <definedName name="PRF_3_AN3" localSheetId="2">#REF!</definedName>
    <definedName name="PRF_3_AN3" localSheetId="15">#REF!</definedName>
    <definedName name="PRF_3_AN3" localSheetId="35">#REF!</definedName>
    <definedName name="PRF_3_AN3" localSheetId="19">#REF!</definedName>
    <definedName name="PRF_3_AN3" localSheetId="5">#REF!</definedName>
    <definedName name="PRF_3_AN3">#REF!</definedName>
    <definedName name="Price_hike_Domestic_Coal" localSheetId="57">[81]Input!$M$61</definedName>
    <definedName name="Price_hike_Domestic_Coal">[82]Input!$M$61</definedName>
    <definedName name="Price_hike_FO" localSheetId="57">[81]Input!$M$63</definedName>
    <definedName name="Price_hike_FO">[82]Input!$M$63</definedName>
    <definedName name="Price_hike_Imported_Coal" localSheetId="57">[81]Input!$M$62</definedName>
    <definedName name="Price_hike_Imported_Coal">[82]Input!$M$62</definedName>
    <definedName name="Price_hike_LDO" localSheetId="57">[81]Input!$M$64</definedName>
    <definedName name="Price_hike_LDO">[82]Input!$M$64</definedName>
    <definedName name="_xlnm.Print_Area" localSheetId="6">'ARR-Summary'!$A$1:$W$105</definedName>
    <definedName name="_xlnm.Print_Area" localSheetId="32">'F 5.3'!$A$1:$O$29</definedName>
    <definedName name="_xlnm.Print_Area" localSheetId="9">'F1'!$A$2:$R$355</definedName>
    <definedName name="_xlnm.Print_Area" localSheetId="10">F1.1!$A$1:$S$342</definedName>
    <definedName name="_xlnm.Print_Area" localSheetId="11">F1.2!$A$1:$R$20</definedName>
    <definedName name="_xlnm.Print_Area" localSheetId="13">F1.4!$A$1:$T$66</definedName>
    <definedName name="_xlnm.Print_Area" localSheetId="14">F1.5!$A$1:$I$26</definedName>
    <definedName name="_xlnm.Print_Area" localSheetId="42">'F11'!$A$1:$T$60</definedName>
    <definedName name="_xlnm.Print_Area" localSheetId="43">'F12'!$B$1:$N$88,'F12'!$B$91:$K$106</definedName>
    <definedName name="_xlnm.Print_Area" localSheetId="45">'F13'!$B$2:$O$201</definedName>
    <definedName name="_xlnm.Print_Area" localSheetId="46">F13.1!$A$1:$V$103</definedName>
    <definedName name="_xlnm.Print_Area" localSheetId="47">F13.2!$A$1:$V$55</definedName>
    <definedName name="_xlnm.Print_Area" localSheetId="48">F13.3!$A$1:$V$55</definedName>
    <definedName name="_xlnm.Print_Area" localSheetId="51">'F15'!$A$1:$O$59</definedName>
    <definedName name="_xlnm.Print_Area" localSheetId="52">'F16'!$B$1:$AF$173</definedName>
    <definedName name="_xlnm.Print_Area" localSheetId="53">'F17'!$A$1:$J$24</definedName>
    <definedName name="_xlnm.Print_Area" localSheetId="54">'F18'!$B$3:$J$327</definedName>
    <definedName name="_xlnm.Print_Area" localSheetId="55">'F19'!$B$1:$I$43</definedName>
    <definedName name="_xlnm.Print_Area" localSheetId="16">'F2'!$A$1:$R$408</definedName>
    <definedName name="_xlnm.Print_Area" localSheetId="17">F2.1!$A$1:$Q$358</definedName>
    <definedName name="_xlnm.Print_Area" localSheetId="18">F2.2!$A$1:$V$15</definedName>
    <definedName name="_xlnm.Print_Area" localSheetId="56">'F20'!$B$1:$J$324</definedName>
    <definedName name="_xlnm.Print_Area" localSheetId="58">'F22'!$B$1:$M$14</definedName>
    <definedName name="_xlnm.Print_Area" localSheetId="59">'F23'!$B$1:$M$17</definedName>
    <definedName name="_xlnm.Print_Area" localSheetId="60">'F24'!$B$1:$G$23</definedName>
    <definedName name="_xlnm.Print_Area" localSheetId="20">'F3'!$B$1:$W$48</definedName>
    <definedName name="_xlnm.Print_Area" localSheetId="21">F3.1!$A$1:$T$88</definedName>
    <definedName name="_xlnm.Print_Area" localSheetId="22">F3.2!$B$1:$I$152</definedName>
    <definedName name="_xlnm.Print_Area" localSheetId="23">F3.3!$B$2:$I$73</definedName>
    <definedName name="_xlnm.Print_Area" localSheetId="24">F3.4!$B$1:$I$58</definedName>
    <definedName name="_xlnm.Print_Area" localSheetId="25">'F4'!$A$1:$V$49</definedName>
    <definedName name="_xlnm.Print_Area" localSheetId="26">F4.1!$B$1:$S$439</definedName>
    <definedName name="_xlnm.Print_Area" localSheetId="27">F4.2!$A$1:$AL$84</definedName>
    <definedName name="_xlnm.Print_Area" localSheetId="28">F4.3!$A$1:$O$291</definedName>
    <definedName name="_xlnm.Print_Area" localSheetId="29">'F5'!$A$1:$P$132</definedName>
    <definedName name="_xlnm.Print_Area" localSheetId="30">F5.1!$A$1:$P$132</definedName>
    <definedName name="_xlnm.Print_Area" localSheetId="31">F5.2!$A$1:$P$133</definedName>
    <definedName name="_xlnm.Print_Area" localSheetId="34">'F6'!$B$1:$T$262</definedName>
    <definedName name="_xlnm.Print_Area" localSheetId="36">'F7'!$B$3:$N$147</definedName>
    <definedName name="_xlnm.Print_Area" localSheetId="39">'F8'!$A$1:$H$65,'F8'!$A$69:$Q$185</definedName>
    <definedName name="_xlnm.Print_Area" localSheetId="40">'F9'!$B$1:$W$82</definedName>
    <definedName name="_xlnm.Print_Area" localSheetId="2">#REF!</definedName>
    <definedName name="_xlnm.Print_Area" localSheetId="0">Index!$B$2:$E$56</definedName>
    <definedName name="_xlnm.Print_Area" localSheetId="15">#REF!</definedName>
    <definedName name="_xlnm.Print_Area" localSheetId="35">#REF!</definedName>
    <definedName name="_xlnm.Print_Area" localSheetId="19">#REF!</definedName>
    <definedName name="_xlnm.Print_Area" localSheetId="5">wheeling!$A$1:$H$34</definedName>
    <definedName name="_xlnm.Print_Area">#REF!</definedName>
    <definedName name="PRINT_AREA_MI" localSheetId="32">#REF!</definedName>
    <definedName name="PRINT_AREA_MI" localSheetId="11">#REF!</definedName>
    <definedName name="PRINT_AREA_MI" localSheetId="13">#REF!</definedName>
    <definedName name="PRINT_AREA_MI" localSheetId="17">#REF!</definedName>
    <definedName name="PRINT_AREA_MI" localSheetId="56">#REF!</definedName>
    <definedName name="PRINT_AREA_MI" localSheetId="57">#REF!</definedName>
    <definedName name="PRINT_AREA_MI" localSheetId="58">#REF!</definedName>
    <definedName name="PRINT_AREA_MI" localSheetId="59">#REF!</definedName>
    <definedName name="PRINT_AREA_MI" localSheetId="60">#REF!</definedName>
    <definedName name="PRINT_AREA_MI" localSheetId="25">#REF!</definedName>
    <definedName name="PRINT_AREA_MI" localSheetId="30">#REF!</definedName>
    <definedName name="PRINT_AREA_MI" localSheetId="31">#REF!</definedName>
    <definedName name="PRINT_AREA_MI" localSheetId="2">#REF!</definedName>
    <definedName name="PRINT_AREA_MI" localSheetId="15">#REF!</definedName>
    <definedName name="PRINT_AREA_MI" localSheetId="35">#REF!</definedName>
    <definedName name="PRINT_AREA_MI" localSheetId="19">#REF!</definedName>
    <definedName name="PRINT_AREA_MI" localSheetId="5">#REF!</definedName>
    <definedName name="PRINT_AREA_MI">#REF!</definedName>
    <definedName name="_xlnm.Print_Titles" localSheetId="6">'ARR-Summary'!$2:$4</definedName>
    <definedName name="_xlnm.Print_Titles" localSheetId="32">'F 5.3'!$2:$4</definedName>
    <definedName name="_xlnm.Print_Titles" localSheetId="9">'F1'!$1:$5</definedName>
    <definedName name="_xlnm.Print_Titles" localSheetId="10">F1.1!$2:$4</definedName>
    <definedName name="_xlnm.Print_Titles" localSheetId="12">F1.3!$2:$5</definedName>
    <definedName name="_xlnm.Print_Titles" localSheetId="13">F1.4!$2:$5</definedName>
    <definedName name="_xlnm.Print_Titles" localSheetId="14">F1.5!$3:$5</definedName>
    <definedName name="_xlnm.Print_Titles" localSheetId="41">'F10'!$2:$4</definedName>
    <definedName name="_xlnm.Print_Titles" localSheetId="42">'F11'!$2:$4</definedName>
    <definedName name="_xlnm.Print_Titles" localSheetId="43">'F12'!$2:$4</definedName>
    <definedName name="_xlnm.Print_Titles" localSheetId="45">'F13'!$2:$4</definedName>
    <definedName name="_xlnm.Print_Titles" localSheetId="46">F13.1!$2:$4</definedName>
    <definedName name="_xlnm.Print_Titles" localSheetId="47">F13.2!$2:$4</definedName>
    <definedName name="_xlnm.Print_Titles" localSheetId="48">F13.3!$2:$4</definedName>
    <definedName name="_xlnm.Print_Titles" localSheetId="49">F14.1!$2:$4</definedName>
    <definedName name="_xlnm.Print_Titles" localSheetId="50">F14.2!$2:$4</definedName>
    <definedName name="_xlnm.Print_Titles" localSheetId="51">'F15'!$2:$4</definedName>
    <definedName name="_xlnm.Print_Titles" localSheetId="52">'F16'!$2:$4</definedName>
    <definedName name="_xlnm.Print_Titles" localSheetId="53">'F17'!$2:$4</definedName>
    <definedName name="_xlnm.Print_Titles" localSheetId="54">'F18'!$3:$5</definedName>
    <definedName name="_xlnm.Print_Titles" localSheetId="55">'F19'!$2:$4</definedName>
    <definedName name="_xlnm.Print_Titles" localSheetId="16">'F2'!$2:$4</definedName>
    <definedName name="_xlnm.Print_Titles" localSheetId="17">F2.1!$3:$5</definedName>
    <definedName name="_xlnm.Print_Titles" localSheetId="18">F2.2!$2:$5</definedName>
    <definedName name="_xlnm.Print_Titles" localSheetId="56">'F20'!$2:$4</definedName>
    <definedName name="_xlnm.Print_Titles" localSheetId="57">'F21'!$2:$4</definedName>
    <definedName name="_xlnm.Print_Titles" localSheetId="58">'F22'!$1:$1</definedName>
    <definedName name="_xlnm.Print_Titles" localSheetId="59">'F23'!$1:$4</definedName>
    <definedName name="_xlnm.Print_Titles" localSheetId="60">'F24'!$1:$3</definedName>
    <definedName name="_xlnm.Print_Titles" localSheetId="20">'F3'!$1:$5</definedName>
    <definedName name="_xlnm.Print_Titles" localSheetId="21">F3.1!$1:$3</definedName>
    <definedName name="_xlnm.Print_Titles" localSheetId="22">F3.2!$1:$4</definedName>
    <definedName name="_xlnm.Print_Titles" localSheetId="23">F3.3!$2:$4</definedName>
    <definedName name="_xlnm.Print_Titles" localSheetId="24">F3.4!$2:$4</definedName>
    <definedName name="_xlnm.Print_Titles" localSheetId="25">'F4'!$2:$4</definedName>
    <definedName name="_xlnm.Print_Titles" localSheetId="26">F4.1!$2:$4</definedName>
    <definedName name="_xlnm.Print_Titles" localSheetId="27">F4.2!$2:$5</definedName>
    <definedName name="_xlnm.Print_Titles" localSheetId="28">F4.3!$2:$4</definedName>
    <definedName name="_xlnm.Print_Titles" localSheetId="29">'F5'!$2:$4</definedName>
    <definedName name="_xlnm.Print_Titles" localSheetId="30">F5.1!$2:$4</definedName>
    <definedName name="_xlnm.Print_Titles" localSheetId="31">F5.2!$2:$4</definedName>
    <definedName name="_xlnm.Print_Titles" localSheetId="34">'F6'!$2:$4</definedName>
    <definedName name="_xlnm.Print_Titles" localSheetId="36">'F7'!$3:$5</definedName>
    <definedName name="_xlnm.Print_Titles" localSheetId="39">'F8'!$3:$6</definedName>
    <definedName name="_xlnm.Print_Titles" localSheetId="40">'F9'!$2:$5</definedName>
    <definedName name="_xlnm.Print_Titles" localSheetId="0">Index!$2:$3</definedName>
    <definedName name="_xlnm.Print_Titles" localSheetId="15">#REF!</definedName>
    <definedName name="_xlnm.Print_Titles">#REF!</definedName>
    <definedName name="PrintPG1" localSheetId="57">#REF!</definedName>
    <definedName name="PrintPG1" localSheetId="15">#REF!</definedName>
    <definedName name="PrintPG1">#REF!</definedName>
    <definedName name="PUR">#N/A</definedName>
    <definedName name="PY" localSheetId="57">[47]NP!$L$1</definedName>
    <definedName name="PY">[48]NP!$L$1</definedName>
    <definedName name="q" localSheetId="32">'[83]A 3.7'!$I$35,'[83]A 3.7'!$I$44</definedName>
    <definedName name="q" localSheetId="57">'[84]A 3.7'!$I$35,'[84]A 3.7'!$I$44</definedName>
    <definedName name="q" localSheetId="2">'[3]A 3.7'!$I$35,'[3]A 3.7'!$I$44</definedName>
    <definedName name="q" localSheetId="35" hidden="1">{"'Sheet1'!$A$4386:$N$4591"}</definedName>
    <definedName name="q" localSheetId="19">'[83]A 3.7'!$I$35,'[83]A 3.7'!$I$44</definedName>
    <definedName name="q" localSheetId="5">'[83]A 3.7'!$I$35,'[83]A 3.7'!$I$44</definedName>
    <definedName name="q">'[85]A 3.7'!$I$35,'[85]A 3.7'!$I$44</definedName>
    <definedName name="RMB">[86]Data!$D$10</definedName>
    <definedName name="ROEFY1718" localSheetId="57">[87]Input!$D$4</definedName>
    <definedName name="ROEFY1718">[88]Input!$D$4</definedName>
    <definedName name="ROEFY1819" localSheetId="57">[87]Input!$D$5</definedName>
    <definedName name="ROEFY1819">[88]Input!$D$5</definedName>
    <definedName name="ROEFY1920" localSheetId="57">[87]Input!$D$6</definedName>
    <definedName name="ROEFY1920">[88]Input!$D$6</definedName>
    <definedName name="ROEFY2021" localSheetId="57">[87]Input!$D$7</definedName>
    <definedName name="ROEFY2021">[88]Input!$D$7</definedName>
    <definedName name="ROEFY2122" localSheetId="57">[87]Input!$D$8</definedName>
    <definedName name="ROEFY2122">[88]Input!$D$8</definedName>
    <definedName name="ROEFY2223" localSheetId="57">[87]Input!$D$9</definedName>
    <definedName name="ROEFY2223">[88]Input!$D$9</definedName>
    <definedName name="ROEFY2324" localSheetId="57">[87]Input!$D$10</definedName>
    <definedName name="ROEFY2324">[88]Input!$D$10</definedName>
    <definedName name="ROEFY2425" localSheetId="57">[87]Input!$D$11</definedName>
    <definedName name="ROEFY2425">[88]Input!$D$11</definedName>
    <definedName name="ROff">'[89]Instruction Sheet'!$D$33</definedName>
    <definedName name="RSIN" localSheetId="57">[20]Sheet3!$D$3</definedName>
    <definedName name="RSIN">[21]Sheet3!$D$3</definedName>
    <definedName name="S" localSheetId="32">#REF!</definedName>
    <definedName name="S" localSheetId="11">#REF!</definedName>
    <definedName name="S" localSheetId="13">#REF!</definedName>
    <definedName name="S" localSheetId="17">#REF!</definedName>
    <definedName name="S" localSheetId="56">#REF!</definedName>
    <definedName name="S" localSheetId="57">#REF!</definedName>
    <definedName name="S" localSheetId="58">#REF!</definedName>
    <definedName name="S" localSheetId="59">#REF!</definedName>
    <definedName name="S" localSheetId="60">#REF!</definedName>
    <definedName name="S" localSheetId="25">#REF!</definedName>
    <definedName name="S" localSheetId="30">#REF!</definedName>
    <definedName name="S" localSheetId="31">#REF!</definedName>
    <definedName name="S" localSheetId="2">#REF!</definedName>
    <definedName name="S" localSheetId="15">#REF!</definedName>
    <definedName name="S" localSheetId="35">#REF!</definedName>
    <definedName name="S" localSheetId="19">#REF!</definedName>
    <definedName name="S" localSheetId="5">#REF!</definedName>
    <definedName name="S">#REF!</definedName>
    <definedName name="S_CY_End_Data">[90]Lead!$F$1:$F$490</definedName>
    <definedName name="SANAND" localSheetId="57" hidden="1">{"'Sheet1'!$A$4386:$N$4591"}</definedName>
    <definedName name="SANAND" localSheetId="15" hidden="1">{"'Sheet1'!$A$4386:$N$4591"}</definedName>
    <definedName name="SANAND" hidden="1">{"'Sheet1'!$A$4386:$N$4591"}</definedName>
    <definedName name="sch4.1">'[91]Instruction Sheet'!$D$31</definedName>
    <definedName name="SchemeWiseH1201213">#REF!</definedName>
    <definedName name="SCHv">[53]sep01!$A$1:$L$51</definedName>
    <definedName name="SDF" localSheetId="57">#REF!</definedName>
    <definedName name="SDF" localSheetId="15">#REF!</definedName>
    <definedName name="SDF">#REF!</definedName>
    <definedName name="sdfd">#REF!</definedName>
    <definedName name="sdfgdfg" localSheetId="57">#REF!</definedName>
    <definedName name="sdfgdfg" localSheetId="15">#REF!</definedName>
    <definedName name="sdfgdfg">#REF!</definedName>
    <definedName name="SECOAL" localSheetId="32">#REF!</definedName>
    <definedName name="SECOAL" localSheetId="11">#REF!</definedName>
    <definedName name="SECOAL" localSheetId="13">#REF!</definedName>
    <definedName name="SECOAL" localSheetId="17">#REF!</definedName>
    <definedName name="SECOAL" localSheetId="56">#REF!</definedName>
    <definedName name="SECOAL" localSheetId="57">#REF!</definedName>
    <definedName name="SECOAL" localSheetId="58">#REF!</definedName>
    <definedName name="SECOAL" localSheetId="59">#REF!</definedName>
    <definedName name="SECOAL" localSheetId="60">#REF!</definedName>
    <definedName name="SECOAL" localSheetId="25">#REF!</definedName>
    <definedName name="SECOAL" localSheetId="30">#REF!</definedName>
    <definedName name="SECOAL" localSheetId="31">#REF!</definedName>
    <definedName name="SECOAL" localSheetId="2">#REF!</definedName>
    <definedName name="SECOAL" localSheetId="15">#REF!</definedName>
    <definedName name="SECOAL" localSheetId="35">#REF!</definedName>
    <definedName name="SECOAL" localSheetId="19">#REF!</definedName>
    <definedName name="SECOAL" localSheetId="5">#REF!</definedName>
    <definedName name="SECOAL">#REF!</definedName>
    <definedName name="SEOREP" localSheetId="32">#REF!</definedName>
    <definedName name="SEOREP" localSheetId="11">#REF!</definedName>
    <definedName name="SEOREP" localSheetId="13">#REF!</definedName>
    <definedName name="SEOREP" localSheetId="17">#REF!</definedName>
    <definedName name="SEOREP" localSheetId="56">#REF!</definedName>
    <definedName name="SEOREP" localSheetId="57">#REF!</definedName>
    <definedName name="SEOREP" localSheetId="58">#REF!</definedName>
    <definedName name="SEOREP" localSheetId="59">#REF!</definedName>
    <definedName name="SEOREP" localSheetId="60">#REF!</definedName>
    <definedName name="SEOREP" localSheetId="25">#REF!</definedName>
    <definedName name="SEOREP" localSheetId="30">#REF!</definedName>
    <definedName name="SEOREP" localSheetId="31">#REF!</definedName>
    <definedName name="SEOREP" localSheetId="2">#REF!</definedName>
    <definedName name="SEOREP" localSheetId="15">#REF!</definedName>
    <definedName name="SEOREP" localSheetId="35">#REF!</definedName>
    <definedName name="SEOREP" localSheetId="19">#REF!</definedName>
    <definedName name="SEOREP" localSheetId="5">#REF!</definedName>
    <definedName name="SEOREP">#REF!</definedName>
    <definedName name="SEREPORT" localSheetId="32">#REF!</definedName>
    <definedName name="SEREPORT" localSheetId="11">#REF!</definedName>
    <definedName name="SEREPORT" localSheetId="13">#REF!</definedName>
    <definedName name="SEREPORT" localSheetId="17">#REF!</definedName>
    <definedName name="SEREPORT" localSheetId="56">#REF!</definedName>
    <definedName name="SEREPORT" localSheetId="57">#REF!</definedName>
    <definedName name="SEREPORT" localSheetId="58">#REF!</definedName>
    <definedName name="SEREPORT" localSheetId="59">#REF!</definedName>
    <definedName name="SEREPORT" localSheetId="60">#REF!</definedName>
    <definedName name="SEREPORT" localSheetId="25">#REF!</definedName>
    <definedName name="SEREPORT" localSheetId="30">#REF!</definedName>
    <definedName name="SEREPORT" localSheetId="31">#REF!</definedName>
    <definedName name="SEREPORT" localSheetId="2">#REF!</definedName>
    <definedName name="SEREPORT" localSheetId="15">#REF!</definedName>
    <definedName name="SEREPORT" localSheetId="35">#REF!</definedName>
    <definedName name="SEREPORT" localSheetId="19">#REF!</definedName>
    <definedName name="SEREPORT" localSheetId="5">#REF!</definedName>
    <definedName name="SEREPORT">#REF!</definedName>
    <definedName name="SHEET2">#REF!</definedName>
    <definedName name="sheet3">#REF!</definedName>
    <definedName name="shft1" localSheetId="2">[3]SUMMERY!$P$1</definedName>
    <definedName name="shft1">[54]SUMMERY!$P$1</definedName>
    <definedName name="shftI" localSheetId="32">[92]SUMMERY!$P$1</definedName>
    <definedName name="shftI" localSheetId="57">[93]SUMMERY!$P$1</definedName>
    <definedName name="shftI" localSheetId="2">[3]SUMMERY!$P$1</definedName>
    <definedName name="shftI" localSheetId="35">[93]SUMMERY!$P$1</definedName>
    <definedName name="shftI" localSheetId="19">[92]SUMMERY!$P$1</definedName>
    <definedName name="shftI" localSheetId="5">[92]SUMMERY!$P$1</definedName>
    <definedName name="shftI">[94]SUMMERY!$P$1</definedName>
    <definedName name="SKF">#N/A</definedName>
    <definedName name="SL">[16]Details!$D$195</definedName>
    <definedName name="spcl">[95]deb!$A$45:$G$49</definedName>
    <definedName name="spcl1">[95]deb!$A$45:$G$49</definedName>
    <definedName name="States">[96]Codes!$C$20:$C$55</definedName>
    <definedName name="STX">[19]BS!$A$1</definedName>
    <definedName name="t" localSheetId="32">#REF!</definedName>
    <definedName name="t" localSheetId="11">#REF!</definedName>
    <definedName name="t" localSheetId="13">#REF!</definedName>
    <definedName name="t" localSheetId="17">#REF!</definedName>
    <definedName name="t" localSheetId="56">#REF!</definedName>
    <definedName name="t" localSheetId="57">#REF!</definedName>
    <definedName name="t" localSheetId="58">#REF!</definedName>
    <definedName name="t" localSheetId="59">#REF!</definedName>
    <definedName name="t" localSheetId="60">#REF!</definedName>
    <definedName name="t" localSheetId="25">#REF!</definedName>
    <definedName name="t" localSheetId="30">#REF!</definedName>
    <definedName name="t" localSheetId="31">#REF!</definedName>
    <definedName name="t" localSheetId="2">#REF!</definedName>
    <definedName name="t" localSheetId="15">#REF!</definedName>
    <definedName name="t" localSheetId="35">#REF!</definedName>
    <definedName name="t" localSheetId="19">#REF!</definedName>
    <definedName name="t" localSheetId="5">#REF!</definedName>
    <definedName name="t">#REF!</definedName>
    <definedName name="TAFName">[29]Masters!$C$19</definedName>
    <definedName name="TAMNo">[29]Masters!$C$23</definedName>
    <definedName name="TAName">[29]Masters!$C$20</definedName>
    <definedName name="TAPlace">[29]Masters!$C$43</definedName>
    <definedName name="TaxAudAdd">[29]Masters!$C$24</definedName>
    <definedName name="TaxAuditDate">[29]Masters!$C$40</definedName>
    <definedName name="TaxPaid10" localSheetId="2">[3]Assumptions!$B$22</definedName>
    <definedName name="TaxPaid10" localSheetId="35">[50]Assumptions!$B$22</definedName>
    <definedName name="TaxPaid10">[51]Assumptions!$B$22</definedName>
    <definedName name="TaxRate11" localSheetId="2">[3]Assumptions!$B$20</definedName>
    <definedName name="TaxRate11" localSheetId="35">[50]Assumptions!$B$20</definedName>
    <definedName name="TaxRate11">[51]Assumptions!$B$20</definedName>
    <definedName name="Taxrate12" localSheetId="32">#REF!</definedName>
    <definedName name="Taxrate12" localSheetId="11">#REF!</definedName>
    <definedName name="Taxrate12" localSheetId="13">#REF!</definedName>
    <definedName name="Taxrate12" localSheetId="17">#REF!</definedName>
    <definedName name="Taxrate12" localSheetId="56">#REF!</definedName>
    <definedName name="Taxrate12" localSheetId="57">#REF!</definedName>
    <definedName name="Taxrate12" localSheetId="58">#REF!</definedName>
    <definedName name="Taxrate12" localSheetId="59">#REF!</definedName>
    <definedName name="Taxrate12" localSheetId="60">#REF!</definedName>
    <definedName name="Taxrate12" localSheetId="25">#REF!</definedName>
    <definedName name="Taxrate12" localSheetId="30">#REF!</definedName>
    <definedName name="Taxrate12" localSheetId="31">#REF!</definedName>
    <definedName name="Taxrate12" localSheetId="2">#REF!</definedName>
    <definedName name="Taxrate12" localSheetId="15">#REF!</definedName>
    <definedName name="Taxrate12" localSheetId="35">#REF!</definedName>
    <definedName name="Taxrate12" localSheetId="19">#REF!</definedName>
    <definedName name="Taxrate12" localSheetId="5">#REF!</definedName>
    <definedName name="Taxrate12">#REF!</definedName>
    <definedName name="TaxTV">10%</definedName>
    <definedName name="TaxXL">5%</definedName>
    <definedName name="tb">[97]TRIALBALANCE!$A$5:$H$255</definedName>
    <definedName name="TD" localSheetId="57">[47]NP!$M$1</definedName>
    <definedName name="TD">[48]NP!$M$1</definedName>
    <definedName name="TextRefCopyRangeCount" hidden="1">1</definedName>
    <definedName name="total_exposure_curr_rate">'[98]po-log - curr. rate'!$AH$91</definedName>
    <definedName name="TotalRoE10" localSheetId="2">[3]Assumptions!$B$23</definedName>
    <definedName name="TotalRoE10" localSheetId="35">[50]Assumptions!$B$23</definedName>
    <definedName name="TotalRoE10">[51]Assumptions!$B$23</definedName>
    <definedName name="tripping" localSheetId="32">#REF!</definedName>
    <definedName name="tripping" localSheetId="11">#REF!</definedName>
    <definedName name="tripping" localSheetId="13">#REF!</definedName>
    <definedName name="tripping" localSheetId="17">#REF!</definedName>
    <definedName name="tripping" localSheetId="56">#REF!</definedName>
    <definedName name="tripping" localSheetId="57">#REF!</definedName>
    <definedName name="tripping" localSheetId="58">#REF!</definedName>
    <definedName name="tripping" localSheetId="59">#REF!</definedName>
    <definedName name="tripping" localSheetId="60">#REF!</definedName>
    <definedName name="tripping" localSheetId="25">#REF!</definedName>
    <definedName name="tripping" localSheetId="30">#REF!</definedName>
    <definedName name="tripping" localSheetId="31">#REF!</definedName>
    <definedName name="tripping" localSheetId="2">#REF!</definedName>
    <definedName name="tripping" localSheetId="15">#REF!</definedName>
    <definedName name="tripping" localSheetId="35">#REF!</definedName>
    <definedName name="tripping" localSheetId="19">#REF!</definedName>
    <definedName name="tripping" localSheetId="5">#REF!</definedName>
    <definedName name="tripping">#REF!</definedName>
    <definedName name="U1LossPg1" localSheetId="57">#REF!</definedName>
    <definedName name="U1LossPg1" localSheetId="15">#REF!</definedName>
    <definedName name="U1LossPg1">#REF!</definedName>
    <definedName name="U1LossPg2" localSheetId="57">#REF!</definedName>
    <definedName name="U1LossPg2" localSheetId="15">#REF!</definedName>
    <definedName name="U1LossPg2">#REF!</definedName>
    <definedName name="U1PG1" localSheetId="57">#REF!</definedName>
    <definedName name="U1PG1" localSheetId="15">#REF!</definedName>
    <definedName name="U1PG1">#REF!</definedName>
    <definedName name="U1PG2" localSheetId="57">#REF!</definedName>
    <definedName name="U1PG2" localSheetId="15">#REF!</definedName>
    <definedName name="U1PG2">#REF!</definedName>
    <definedName name="U2LossPg1" localSheetId="57">#REF!</definedName>
    <definedName name="U2LossPg1" localSheetId="15">#REF!</definedName>
    <definedName name="U2LossPg1">#REF!</definedName>
    <definedName name="U2LossPg2" localSheetId="57">#REF!</definedName>
    <definedName name="U2LossPg2" localSheetId="15">#REF!</definedName>
    <definedName name="U2LossPg2">#REF!</definedName>
    <definedName name="U2Pg_2" localSheetId="57">#REF!</definedName>
    <definedName name="U2Pg_2" localSheetId="15">#REF!</definedName>
    <definedName name="U2Pg_2">#REF!</definedName>
    <definedName name="U2PG1" localSheetId="57">#REF!</definedName>
    <definedName name="U2PG1" localSheetId="15">#REF!</definedName>
    <definedName name="U2PG1">#REF!</definedName>
    <definedName name="U2PG2" localSheetId="57">#REF!</definedName>
    <definedName name="U2PG2" localSheetId="15">#REF!</definedName>
    <definedName name="U2PG2">#REF!</definedName>
    <definedName name="U3LossPg1" localSheetId="57">#REF!</definedName>
    <definedName name="U3LossPg1" localSheetId="15">#REF!</definedName>
    <definedName name="U3LossPg1">#REF!</definedName>
    <definedName name="U3lossPg2" localSheetId="57">#REF!</definedName>
    <definedName name="U3lossPg2" localSheetId="15">#REF!</definedName>
    <definedName name="U3lossPg2">#REF!</definedName>
    <definedName name="U3PG1" localSheetId="57">#REF!</definedName>
    <definedName name="U3PG1" localSheetId="15">#REF!</definedName>
    <definedName name="U3PG1">#REF!</definedName>
    <definedName name="U3PG2" localSheetId="57">#REF!</definedName>
    <definedName name="U3PG2" localSheetId="15">#REF!</definedName>
    <definedName name="U3PG2">#REF!</definedName>
    <definedName name="uNIT1" localSheetId="32">#REF!</definedName>
    <definedName name="uNIT1" localSheetId="11">#REF!</definedName>
    <definedName name="uNIT1" localSheetId="13">#REF!</definedName>
    <definedName name="uNIT1" localSheetId="17">#REF!</definedName>
    <definedName name="uNIT1" localSheetId="56">#REF!</definedName>
    <definedName name="uNIT1" localSheetId="57">#REF!</definedName>
    <definedName name="uNIT1" localSheetId="58">#REF!</definedName>
    <definedName name="uNIT1" localSheetId="59">#REF!</definedName>
    <definedName name="uNIT1" localSheetId="60">#REF!</definedName>
    <definedName name="uNIT1" localSheetId="25">#REF!</definedName>
    <definedName name="uNIT1" localSheetId="30">#REF!</definedName>
    <definedName name="uNIT1" localSheetId="31">#REF!</definedName>
    <definedName name="uNIT1" localSheetId="2">#REF!</definedName>
    <definedName name="uNIT1" localSheetId="15">#REF!</definedName>
    <definedName name="uNIT1" localSheetId="35">#REF!</definedName>
    <definedName name="uNIT1" localSheetId="19">#REF!</definedName>
    <definedName name="uNIT1" localSheetId="5">#REF!</definedName>
    <definedName name="uNIT1">#REF!</definedName>
    <definedName name="uNIT2" localSheetId="32">#REF!</definedName>
    <definedName name="uNIT2" localSheetId="11">#REF!</definedName>
    <definedName name="uNIT2" localSheetId="13">#REF!</definedName>
    <definedName name="uNIT2" localSheetId="17">#REF!</definedName>
    <definedName name="uNIT2" localSheetId="56">#REF!</definedName>
    <definedName name="uNIT2" localSheetId="57">#REF!</definedName>
    <definedName name="uNIT2" localSheetId="58">#REF!</definedName>
    <definedName name="uNIT2" localSheetId="59">#REF!</definedName>
    <definedName name="uNIT2" localSheetId="60">#REF!</definedName>
    <definedName name="uNIT2" localSheetId="25">#REF!</definedName>
    <definedName name="uNIT2" localSheetId="30">#REF!</definedName>
    <definedName name="uNIT2" localSheetId="31">#REF!</definedName>
    <definedName name="uNIT2" localSheetId="2">#REF!</definedName>
    <definedName name="uNIT2" localSheetId="15">#REF!</definedName>
    <definedName name="uNIT2" localSheetId="35">#REF!</definedName>
    <definedName name="uNIT2" localSheetId="19">#REF!</definedName>
    <definedName name="uNIT2" localSheetId="5">#REF!</definedName>
    <definedName name="uNIT2">#REF!</definedName>
    <definedName name="uNIT3" localSheetId="32">#REF!</definedName>
    <definedName name="uNIT3" localSheetId="11">#REF!</definedName>
    <definedName name="uNIT3" localSheetId="13">#REF!</definedName>
    <definedName name="uNIT3" localSheetId="17">#REF!</definedName>
    <definedName name="uNIT3" localSheetId="56">#REF!</definedName>
    <definedName name="uNIT3" localSheetId="57">#REF!</definedName>
    <definedName name="uNIT3" localSheetId="58">#REF!</definedName>
    <definedName name="uNIT3" localSheetId="59">#REF!</definedName>
    <definedName name="uNIT3" localSheetId="60">#REF!</definedName>
    <definedName name="uNIT3" localSheetId="25">#REF!</definedName>
    <definedName name="uNIT3" localSheetId="30">#REF!</definedName>
    <definedName name="uNIT3" localSheetId="31">#REF!</definedName>
    <definedName name="uNIT3" localSheetId="2">#REF!</definedName>
    <definedName name="uNIT3" localSheetId="15">#REF!</definedName>
    <definedName name="uNIT3" localSheetId="35">#REF!</definedName>
    <definedName name="uNIT3" localSheetId="19">#REF!</definedName>
    <definedName name="uNIT3" localSheetId="5">#REF!</definedName>
    <definedName name="uNIT3">#REF!</definedName>
    <definedName name="UranResLife">[34]Assumptions!$B$43</definedName>
    <definedName name="UranResLife16">'[35]Inputs &amp; Assumptions'!$D$11</definedName>
    <definedName name="USDPP" localSheetId="57">[47]PP!$I$4</definedName>
    <definedName name="USDPP">[48]PP!$I$4</definedName>
    <definedName name="values">'[99]Determination of Threshold'!$B$3,'[99]Determination of Threshold'!$B$4,'[99]Determination of Threshold'!$B$15</definedName>
    <definedName name="VALuta">'[66]x-rate'!$A$2:$B$11</definedName>
    <definedName name="W" localSheetId="32">#REF!</definedName>
    <definedName name="W" localSheetId="11">#REF!</definedName>
    <definedName name="W" localSheetId="13">#REF!</definedName>
    <definedName name="W" localSheetId="17">#REF!</definedName>
    <definedName name="W" localSheetId="56">#REF!</definedName>
    <definedName name="W" localSheetId="57">#REF!</definedName>
    <definedName name="W" localSheetId="58">#REF!</definedName>
    <definedName name="W" localSheetId="59">#REF!</definedName>
    <definedName name="W" localSheetId="60">#REF!</definedName>
    <definedName name="W" localSheetId="25">#REF!</definedName>
    <definedName name="W" localSheetId="30">#REF!</definedName>
    <definedName name="W" localSheetId="31">#REF!</definedName>
    <definedName name="W" localSheetId="2">#REF!</definedName>
    <definedName name="W" localSheetId="15">#REF!</definedName>
    <definedName name="W" localSheetId="35">#REF!</definedName>
    <definedName name="W" localSheetId="19">#REF!</definedName>
    <definedName name="W" localSheetId="5">#REF!</definedName>
    <definedName name="W">#REF!</definedName>
    <definedName name="WEEK" localSheetId="57">#REF!</definedName>
    <definedName name="WEEK" localSheetId="15">#REF!</definedName>
    <definedName name="WEEK">#REF!</definedName>
    <definedName name="WEEK_1A" localSheetId="32">#REF!</definedName>
    <definedName name="WEEK_1A" localSheetId="11">#REF!</definedName>
    <definedName name="WEEK_1A" localSheetId="13">#REF!</definedName>
    <definedName name="WEEK_1A" localSheetId="17">#REF!</definedName>
    <definedName name="WEEK_1A" localSheetId="56">#REF!</definedName>
    <definedName name="WEEK_1A" localSheetId="57">#REF!</definedName>
    <definedName name="WEEK_1A" localSheetId="58">#REF!</definedName>
    <definedName name="WEEK_1A" localSheetId="59">#REF!</definedName>
    <definedName name="WEEK_1A" localSheetId="60">#REF!</definedName>
    <definedName name="WEEK_1A" localSheetId="25">#REF!</definedName>
    <definedName name="WEEK_1A" localSheetId="30">#REF!</definedName>
    <definedName name="WEEK_1A" localSheetId="31">#REF!</definedName>
    <definedName name="WEEK_1A" localSheetId="2">#REF!</definedName>
    <definedName name="WEEK_1A" localSheetId="15">#REF!</definedName>
    <definedName name="WEEK_1A" localSheetId="35">#REF!</definedName>
    <definedName name="WEEK_1A" localSheetId="19">#REF!</definedName>
    <definedName name="WEEK_1A" localSheetId="5">#REF!</definedName>
    <definedName name="WEEK_1A">#REF!</definedName>
    <definedName name="WEEK_1B" localSheetId="32">#REF!</definedName>
    <definedName name="WEEK_1B" localSheetId="11">#REF!</definedName>
    <definedName name="WEEK_1B" localSheetId="13">#REF!</definedName>
    <definedName name="WEEK_1B" localSheetId="17">#REF!</definedName>
    <definedName name="WEEK_1B" localSheetId="56">#REF!</definedName>
    <definedName name="WEEK_1B" localSheetId="57">#REF!</definedName>
    <definedName name="WEEK_1B" localSheetId="58">#REF!</definedName>
    <definedName name="WEEK_1B" localSheetId="59">#REF!</definedName>
    <definedName name="WEEK_1B" localSheetId="60">#REF!</definedName>
    <definedName name="WEEK_1B" localSheetId="25">#REF!</definedName>
    <definedName name="WEEK_1B" localSheetId="30">#REF!</definedName>
    <definedName name="WEEK_1B" localSheetId="31">#REF!</definedName>
    <definedName name="WEEK_1B" localSheetId="2">#REF!</definedName>
    <definedName name="WEEK_1B" localSheetId="15">#REF!</definedName>
    <definedName name="WEEK_1B" localSheetId="35">#REF!</definedName>
    <definedName name="WEEK_1B" localSheetId="19">#REF!</definedName>
    <definedName name="WEEK_1B" localSheetId="5">#REF!</definedName>
    <definedName name="WEEK_1B">#REF!</definedName>
    <definedName name="WEEK_2A" localSheetId="32">#REF!</definedName>
    <definedName name="WEEK_2A" localSheetId="11">#REF!</definedName>
    <definedName name="WEEK_2A" localSheetId="13">#REF!</definedName>
    <definedName name="WEEK_2A" localSheetId="17">#REF!</definedName>
    <definedName name="WEEK_2A" localSheetId="56">#REF!</definedName>
    <definedName name="WEEK_2A" localSheetId="57">#REF!</definedName>
    <definedName name="WEEK_2A" localSheetId="58">#REF!</definedName>
    <definedName name="WEEK_2A" localSheetId="59">#REF!</definedName>
    <definedName name="WEEK_2A" localSheetId="60">#REF!</definedName>
    <definedName name="WEEK_2A" localSheetId="25">#REF!</definedName>
    <definedName name="WEEK_2A" localSheetId="30">#REF!</definedName>
    <definedName name="WEEK_2A" localSheetId="31">#REF!</definedName>
    <definedName name="WEEK_2A" localSheetId="2">#REF!</definedName>
    <definedName name="WEEK_2A" localSheetId="15">#REF!</definedName>
    <definedName name="WEEK_2A" localSheetId="35">#REF!</definedName>
    <definedName name="WEEK_2A" localSheetId="19">#REF!</definedName>
    <definedName name="WEEK_2A" localSheetId="5">#REF!</definedName>
    <definedName name="WEEK_2A">#REF!</definedName>
    <definedName name="WEEK_2B" localSheetId="32">#REF!</definedName>
    <definedName name="WEEK_2B" localSheetId="11">#REF!</definedName>
    <definedName name="WEEK_2B" localSheetId="13">#REF!</definedName>
    <definedName name="WEEK_2B" localSheetId="17">#REF!</definedName>
    <definedName name="WEEK_2B" localSheetId="56">#REF!</definedName>
    <definedName name="WEEK_2B" localSheetId="57">#REF!</definedName>
    <definedName name="WEEK_2B" localSheetId="58">#REF!</definedName>
    <definedName name="WEEK_2B" localSheetId="59">#REF!</definedName>
    <definedName name="WEEK_2B" localSheetId="60">#REF!</definedName>
    <definedName name="WEEK_2B" localSheetId="25">#REF!</definedName>
    <definedName name="WEEK_2B" localSheetId="30">#REF!</definedName>
    <definedName name="WEEK_2B" localSheetId="31">#REF!</definedName>
    <definedName name="WEEK_2B" localSheetId="2">#REF!</definedName>
    <definedName name="WEEK_2B" localSheetId="15">#REF!</definedName>
    <definedName name="WEEK_2B" localSheetId="35">#REF!</definedName>
    <definedName name="WEEK_2B" localSheetId="19">#REF!</definedName>
    <definedName name="WEEK_2B" localSheetId="5">#REF!</definedName>
    <definedName name="WEEK_2B">#REF!</definedName>
    <definedName name="wfsf" localSheetId="57">#REF!</definedName>
    <definedName name="wfsf" localSheetId="15">#REF!</definedName>
    <definedName name="wfsf">#REF!</definedName>
    <definedName name="Working_capital_Rate_of_Interest_for_FY_10_11" localSheetId="32">[30]Assumption_PwC!$C$116</definedName>
    <definedName name="Working_capital_Rate_of_Interest_for_FY_10_11" localSheetId="57">[31]Assumption_PwC!$C$116</definedName>
    <definedName name="Working_capital_Rate_of_Interest_for_FY_10_11" localSheetId="2">[3]Assumption_PwC!$C$116</definedName>
    <definedName name="Working_capital_Rate_of_Interest_for_FY_10_11" localSheetId="35">[31]Assumption_PwC!$C$116</definedName>
    <definedName name="Working_capital_Rate_of_Interest_for_FY_10_11" localSheetId="19">[30]Assumption_PwC!$C$116</definedName>
    <definedName name="Working_capital_Rate_of_Interest_for_FY_10_11" localSheetId="5">[30]Assumption_PwC!$C$116</definedName>
    <definedName name="Working_capital_Rate_of_Interest_for_FY_10_11">[32]Assumption_PwC!$C$116</definedName>
    <definedName name="wrn.AA." localSheetId="57" hidden="1">{#N/A,#N/A,FALSE,"PMTABB";#N/A,#N/A,FALSE,"PMTABB"}</definedName>
    <definedName name="wrn.AA." localSheetId="15" hidden="1">{#N/A,#N/A,FALSE,"PMTABB";#N/A,#N/A,FALSE,"PMTABB"}</definedName>
    <definedName name="wrn.AA." hidden="1">{#N/A,#N/A,FALSE,"PMTABB";#N/A,#N/A,FALSE,"PMTABB"}</definedName>
    <definedName name="wrn.Aging._.and._.Trend._.Analysis." localSheetId="57"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R._.Output." localSheetId="5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5"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Budget2000." localSheetId="57" hidden="1">{#N/A,#N/A,FALSE,"Title";#N/A,#N/A,FALSE,"Corp b sheet";#N/A,#N/A,FALSE,"MODIFIED Pl";#N/A,#N/A,FALSE,"Balance Sheet";#N/A,#N/A,FALSE,"Profit and Loss";#N/A,#N/A,FALSE,"Supplement info";#N/A,#N/A,FALSE,"Cashflow";#N/A,#N/A,FALSE,"Asspc Co - Inv Schedule";#N/A,#N/A,FALSE,"kpi"}</definedName>
    <definedName name="wrn.Budget2000." localSheetId="15" hidden="1">{#N/A,#N/A,FALSE,"Title";#N/A,#N/A,FALSE,"Corp b sheet";#N/A,#N/A,FALSE,"MODIFIED Pl";#N/A,#N/A,FALSE,"Balance Sheet";#N/A,#N/A,FALSE,"Profit and Loss";#N/A,#N/A,FALSE,"Supplement info";#N/A,#N/A,FALSE,"Cashflow";#N/A,#N/A,FALSE,"Asspc Co - Inv Schedule";#N/A,#N/A,FALSE,"kpi"}</definedName>
    <definedName name="wrn.Budget2000." hidden="1">{#N/A,#N/A,FALSE,"Title";#N/A,#N/A,FALSE,"Corp b sheet";#N/A,#N/A,FALSE,"MODIFIED Pl";#N/A,#N/A,FALSE,"Balance Sheet";#N/A,#N/A,FALSE,"Profit and Loss";#N/A,#N/A,FALSE,"Supplement info";#N/A,#N/A,FALSE,"Cashflow";#N/A,#N/A,FALSE,"Asspc Co - Inv Schedule";#N/A,#N/A,FALSE,"kpi"}</definedName>
    <definedName name="wrn.Dispatch._.Workbook." localSheetId="57"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localSheetId="15"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Formats."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imprim." localSheetId="5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5"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1.formats" localSheetId="5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1.formats" localSheetId="1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1.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x" localSheetId="57" hidden="1">[6]CE!#REF!</definedName>
    <definedName name="x" localSheetId="15" hidden="1">[6]CE!#REF!</definedName>
    <definedName name="x" hidden="1">[6]CE!#REF!</definedName>
    <definedName name="X1_" localSheetId="32">#REF!</definedName>
    <definedName name="X1_" localSheetId="10">#REF!</definedName>
    <definedName name="X1_" localSheetId="11">#REF!</definedName>
    <definedName name="X1_" localSheetId="13">#REF!</definedName>
    <definedName name="X1_" localSheetId="14">#REF!</definedName>
    <definedName name="X1_" localSheetId="41">#REF!</definedName>
    <definedName name="X1_" localSheetId="42">#REF!</definedName>
    <definedName name="X1_" localSheetId="47">#REF!</definedName>
    <definedName name="X1_" localSheetId="48">#REF!</definedName>
    <definedName name="X1_" localSheetId="49">#REF!</definedName>
    <definedName name="X1_" localSheetId="50">#REF!</definedName>
    <definedName name="X1_" localSheetId="51">#REF!</definedName>
    <definedName name="X1_" localSheetId="52">#REF!</definedName>
    <definedName name="X1_" localSheetId="53">#REF!</definedName>
    <definedName name="X1_" localSheetId="54">#REF!</definedName>
    <definedName name="X1_" localSheetId="55">#REF!</definedName>
    <definedName name="X1_" localSheetId="17">#REF!</definedName>
    <definedName name="X1_" localSheetId="18">#REF!</definedName>
    <definedName name="X1_" localSheetId="56">#REF!</definedName>
    <definedName name="X1_" localSheetId="57">#REF!</definedName>
    <definedName name="X1_" localSheetId="58">#REF!</definedName>
    <definedName name="X1_" localSheetId="59">#REF!</definedName>
    <definedName name="X1_" localSheetId="60">#REF!</definedName>
    <definedName name="X1_" localSheetId="25">#REF!</definedName>
    <definedName name="X1_" localSheetId="30">#REF!</definedName>
    <definedName name="X1_" localSheetId="31">#REF!</definedName>
    <definedName name="X1_" localSheetId="2">#REF!</definedName>
    <definedName name="X1_" localSheetId="15">#REF!</definedName>
    <definedName name="X1_" localSheetId="35">#REF!</definedName>
    <definedName name="X1_" localSheetId="19">#REF!</definedName>
    <definedName name="X1_" localSheetId="5">#REF!</definedName>
    <definedName name="X1_">#REF!</definedName>
    <definedName name="X11__?___QUIT_" localSheetId="32">#REF!</definedName>
    <definedName name="X11__?___QUIT_" localSheetId="11">#REF!</definedName>
    <definedName name="X11__?___QUIT_" localSheetId="13">#REF!</definedName>
    <definedName name="X11__?___QUIT_" localSheetId="17">#REF!</definedName>
    <definedName name="X11__?___QUIT_" localSheetId="56">#REF!</definedName>
    <definedName name="X11__?___QUIT_" localSheetId="57">#REF!</definedName>
    <definedName name="X11__?___QUIT_" localSheetId="58">#REF!</definedName>
    <definedName name="X11__?___QUIT_" localSheetId="59">#REF!</definedName>
    <definedName name="X11__?___QUIT_" localSheetId="60">#REF!</definedName>
    <definedName name="X11__?___QUIT_" localSheetId="25">#REF!</definedName>
    <definedName name="X11__?___QUIT_" localSheetId="30">#REF!</definedName>
    <definedName name="X11__?___QUIT_" localSheetId="31">#REF!</definedName>
    <definedName name="X11__?___QUIT_" localSheetId="2">#REF!</definedName>
    <definedName name="X11__?___QUIT_" localSheetId="15">#REF!</definedName>
    <definedName name="X11__?___QUIT_" localSheetId="35">#REF!</definedName>
    <definedName name="X11__?___QUIT_" localSheetId="19">#REF!</definedName>
    <definedName name="X11__?___QUIT_" localSheetId="5">#REF!</definedName>
    <definedName name="X11__?___QUIT_">#REF!</definedName>
    <definedName name="XRefColumnsCount" hidden="1">2</definedName>
    <definedName name="XRefCopyRangeCount" hidden="1">2</definedName>
    <definedName name="XRefPasteRangeCount" hidden="1">2</definedName>
    <definedName name="xsxa" localSheetId="57" hidden="1">{"'Sheet1'!$A$4386:$N$4591"}</definedName>
    <definedName name="xsxa" localSheetId="15" hidden="1">{"'Sheet1'!$A$4386:$N$4591"}</definedName>
    <definedName name="xsxa" hidden="1">{"'Sheet1'!$A$4386:$N$4591"}</definedName>
    <definedName name="xx" localSheetId="57">'[100]2000-01'!#REF!</definedName>
    <definedName name="xx" localSheetId="15">'[101]2000-01'!#REF!</definedName>
    <definedName name="xx">'[101]2000-01'!#REF!</definedName>
    <definedName name="xxx" localSheetId="57" hidden="1">[6]CE!#REF!</definedName>
    <definedName name="xxx" localSheetId="15" hidden="1">[6]CE!#REF!</definedName>
    <definedName name="xxx" hidden="1">[6]CE!#REF!</definedName>
    <definedName name="xxxx" localSheetId="32" hidden="1">[6]CE!#REF!</definedName>
    <definedName name="xxxx" localSheetId="11" hidden="1">[6]CE!#REF!</definedName>
    <definedName name="xxxx" localSheetId="13" hidden="1">[6]CE!#REF!</definedName>
    <definedName name="xxxx" localSheetId="17" hidden="1">[6]CE!#REF!</definedName>
    <definedName name="xxxx" localSheetId="56" hidden="1">[6]CE!#REF!</definedName>
    <definedName name="xxxx" localSheetId="57" hidden="1">[6]CE!#REF!</definedName>
    <definedName name="xxxx" localSheetId="58" hidden="1">[6]CE!#REF!</definedName>
    <definedName name="xxxx" localSheetId="59" hidden="1">[6]CE!#REF!</definedName>
    <definedName name="xxxx" localSheetId="60" hidden="1">[6]CE!#REF!</definedName>
    <definedName name="xxxx" localSheetId="25" hidden="1">[6]CE!#REF!</definedName>
    <definedName name="xxxx" localSheetId="30" hidden="1">[6]CE!#REF!</definedName>
    <definedName name="xxxx" localSheetId="31" hidden="1">[6]CE!#REF!</definedName>
    <definedName name="xxxx" localSheetId="2" hidden="1">[3]CE!#REF!</definedName>
    <definedName name="xxxx" localSheetId="15" hidden="1">[6]CE!#REF!</definedName>
    <definedName name="xxxx" localSheetId="35" hidden="1">[6]CE!#REF!</definedName>
    <definedName name="xxxx" localSheetId="19" hidden="1">[6]CE!#REF!</definedName>
    <definedName name="xxxx" localSheetId="5" hidden="1">[6]CE!#REF!</definedName>
    <definedName name="xxxx" hidden="1">[6]CE!#REF!</definedName>
    <definedName name="ye">'[22]Clause 9'!$A$3</definedName>
    <definedName name="YEAR" localSheetId="32">#REF!</definedName>
    <definedName name="YEAR" localSheetId="10">#REF!</definedName>
    <definedName name="YEAR" localSheetId="11">#REF!</definedName>
    <definedName name="YEAR" localSheetId="13">#REF!</definedName>
    <definedName name="YEAR" localSheetId="14">#REF!</definedName>
    <definedName name="YEAR" localSheetId="41">#REF!</definedName>
    <definedName name="YEAR" localSheetId="42">#REF!</definedName>
    <definedName name="YEAR" localSheetId="47">#REF!</definedName>
    <definedName name="YEAR" localSheetId="48">#REF!</definedName>
    <definedName name="YEAR" localSheetId="49">#REF!</definedName>
    <definedName name="YEAR" localSheetId="50">#REF!</definedName>
    <definedName name="YEAR" localSheetId="51">#REF!</definedName>
    <definedName name="YEAR" localSheetId="52">#REF!</definedName>
    <definedName name="YEAR" localSheetId="53">#REF!</definedName>
    <definedName name="YEAR" localSheetId="54">#REF!</definedName>
    <definedName name="YEAR" localSheetId="55">#REF!</definedName>
    <definedName name="YEAR" localSheetId="17">#REF!</definedName>
    <definedName name="YEAR" localSheetId="18">#REF!</definedName>
    <definedName name="YEAR" localSheetId="56">#REF!</definedName>
    <definedName name="YEAR" localSheetId="57">#REF!</definedName>
    <definedName name="YEAR" localSheetId="58">#REF!</definedName>
    <definedName name="YEAR" localSheetId="59">#REF!</definedName>
    <definedName name="YEAR" localSheetId="60">#REF!</definedName>
    <definedName name="YEAR" localSheetId="25">#REF!</definedName>
    <definedName name="YEAR" localSheetId="28">#REF!</definedName>
    <definedName name="YEAR" localSheetId="29">#REF!</definedName>
    <definedName name="YEAR" localSheetId="30">#REF!</definedName>
    <definedName name="YEAR" localSheetId="31">#REF!</definedName>
    <definedName name="YEAR" localSheetId="2">#REF!</definedName>
    <definedName name="YEAR" localSheetId="15">#REF!</definedName>
    <definedName name="YEAR" localSheetId="35">#REF!</definedName>
    <definedName name="YEAR" localSheetId="19">#REF!</definedName>
    <definedName name="YEAR" localSheetId="5">#REF!</definedName>
    <definedName name="YEAR">#REF!</definedName>
    <definedName name="Year1" localSheetId="32">#REF!</definedName>
    <definedName name="Year1" localSheetId="10">#REF!</definedName>
    <definedName name="Year1" localSheetId="11">#REF!</definedName>
    <definedName name="Year1" localSheetId="13">#REF!</definedName>
    <definedName name="Year1" localSheetId="14">#REF!</definedName>
    <definedName name="Year1" localSheetId="41">#REF!</definedName>
    <definedName name="Year1" localSheetId="42">#REF!</definedName>
    <definedName name="Year1" localSheetId="47">#REF!</definedName>
    <definedName name="Year1" localSheetId="48">#REF!</definedName>
    <definedName name="Year1" localSheetId="49">#REF!</definedName>
    <definedName name="Year1" localSheetId="50">#REF!</definedName>
    <definedName name="Year1" localSheetId="51">#REF!</definedName>
    <definedName name="Year1" localSheetId="52">#REF!</definedName>
    <definedName name="Year1" localSheetId="53">#REF!</definedName>
    <definedName name="Year1" localSheetId="54">#REF!</definedName>
    <definedName name="Year1" localSheetId="55">#REF!</definedName>
    <definedName name="Year1" localSheetId="17">#REF!</definedName>
    <definedName name="Year1" localSheetId="18">#REF!</definedName>
    <definedName name="Year1" localSheetId="56">#REF!</definedName>
    <definedName name="Year1" localSheetId="57">#REF!</definedName>
    <definedName name="Year1" localSheetId="58">#REF!</definedName>
    <definedName name="Year1" localSheetId="59">#REF!</definedName>
    <definedName name="Year1" localSheetId="60">#REF!</definedName>
    <definedName name="Year1" localSheetId="25">#REF!</definedName>
    <definedName name="Year1" localSheetId="30">#REF!</definedName>
    <definedName name="Year1" localSheetId="31">#REF!</definedName>
    <definedName name="Year1" localSheetId="2">#REF!</definedName>
    <definedName name="Year1" localSheetId="15">#REF!</definedName>
    <definedName name="YEAR1" localSheetId="35">#REF!</definedName>
    <definedName name="Year1" localSheetId="19">#REF!</definedName>
    <definedName name="Year1" localSheetId="5">#REF!</definedName>
    <definedName name="Year1">#REF!</definedName>
    <definedName name="year2">#REF!</definedName>
    <definedName name="YearStart2">'[102]PL6-Revenue Bridge'!$B$14</definedName>
    <definedName name="YearStart3">'[102]PL6-Revenue Bridge'!$B$21</definedName>
    <definedName name="yo">#REF!</definedName>
    <definedName name="yuiuy" localSheetId="57">#REF!</definedName>
    <definedName name="yuiuy" localSheetId="15">#REF!</definedName>
    <definedName name="yuiuy">#REF!</definedName>
  </definedNames>
  <calcPr calcId="162913" iterate="1"/>
</workbook>
</file>

<file path=xl/calcChain.xml><?xml version="1.0" encoding="utf-8"?>
<calcChain xmlns="http://schemas.openxmlformats.org/spreadsheetml/2006/main">
  <c r="F341" i="111" l="1"/>
  <c r="F342" i="111" s="1"/>
  <c r="D308" i="111" l="1"/>
  <c r="C341" i="111"/>
  <c r="D341" i="111"/>
  <c r="C308" i="111"/>
  <c r="E308" i="111"/>
  <c r="D342" i="111"/>
  <c r="C342" i="111"/>
  <c r="E341" i="111"/>
  <c r="E342" i="111" s="1"/>
  <c r="B101" i="58" l="1"/>
  <c r="B100" i="58"/>
  <c r="B97" i="58"/>
  <c r="B84" i="58"/>
  <c r="B85" i="58"/>
  <c r="B86" i="58"/>
  <c r="B87" i="58"/>
  <c r="B88" i="58"/>
  <c r="B89" i="58"/>
  <c r="B90" i="58"/>
  <c r="B91" i="58"/>
  <c r="B92" i="58" s="1"/>
  <c r="B93" i="58" s="1"/>
  <c r="B94" i="58" s="1"/>
  <c r="B95" i="58" s="1"/>
  <c r="F6" i="160"/>
  <c r="F7" i="160"/>
  <c r="F8" i="160"/>
  <c r="F9" i="160"/>
  <c r="F10" i="160"/>
  <c r="F11" i="160"/>
  <c r="F12" i="160"/>
  <c r="D55" i="160" l="1"/>
  <c r="D44" i="160"/>
  <c r="E49" i="160"/>
  <c r="D61" i="160"/>
  <c r="D54" i="160"/>
  <c r="D52" i="160"/>
  <c r="D58" i="160"/>
  <c r="D53" i="160"/>
  <c r="P141" i="88" l="1"/>
  <c r="P140" i="88"/>
  <c r="P128" i="88"/>
  <c r="E136" i="55" l="1"/>
  <c r="N383" i="123" l="1"/>
  <c r="N382" i="123"/>
  <c r="N363" i="123"/>
  <c r="N361" i="123"/>
  <c r="N352" i="123"/>
  <c r="N341" i="123"/>
  <c r="N331" i="123"/>
  <c r="N330" i="123"/>
  <c r="N237" i="123"/>
  <c r="N234" i="123"/>
  <c r="N233" i="123"/>
  <c r="N229" i="123"/>
  <c r="N198" i="123"/>
  <c r="N194" i="123"/>
  <c r="N193" i="123"/>
  <c r="N189" i="123"/>
  <c r="AI77" i="124"/>
  <c r="AH77" i="124"/>
  <c r="U77" i="124"/>
  <c r="T77" i="124"/>
  <c r="AI76" i="124"/>
  <c r="AH76" i="124"/>
  <c r="U76" i="124"/>
  <c r="T76" i="124"/>
  <c r="AG75" i="124"/>
  <c r="AF75" i="124"/>
  <c r="S75" i="124"/>
  <c r="R75" i="124"/>
  <c r="AE73" i="124"/>
  <c r="AD73" i="124"/>
  <c r="AC73" i="124"/>
  <c r="Q73" i="124"/>
  <c r="P73" i="124"/>
  <c r="O73" i="124"/>
  <c r="AH72" i="124"/>
  <c r="AG72" i="124"/>
  <c r="AF72" i="124"/>
  <c r="AE72" i="124"/>
  <c r="AD72" i="124"/>
  <c r="AC72" i="124"/>
  <c r="T72" i="124"/>
  <c r="S72" i="124"/>
  <c r="R72" i="124"/>
  <c r="Q72" i="124"/>
  <c r="P72" i="124"/>
  <c r="O72" i="124"/>
  <c r="AI56" i="124"/>
  <c r="AC56" i="124"/>
  <c r="U56" i="124"/>
  <c r="T56" i="124"/>
  <c r="S56" i="124"/>
  <c r="R56" i="124"/>
  <c r="Q56" i="124"/>
  <c r="P56" i="124"/>
  <c r="O56" i="124"/>
  <c r="AI55" i="124"/>
  <c r="AC55" i="124"/>
  <c r="U55" i="124"/>
  <c r="T55" i="124"/>
  <c r="S55" i="124"/>
  <c r="R55" i="124"/>
  <c r="Q55" i="124"/>
  <c r="P55" i="124"/>
  <c r="O55" i="124"/>
  <c r="AC54" i="124"/>
  <c r="R54" i="124"/>
  <c r="Q54" i="124"/>
  <c r="P54" i="124"/>
  <c r="O54" i="124"/>
  <c r="AI53" i="124"/>
  <c r="AC53" i="124"/>
  <c r="U53" i="124"/>
  <c r="T53" i="124"/>
  <c r="S53" i="124"/>
  <c r="Q53" i="124"/>
  <c r="P53" i="124"/>
  <c r="O53" i="124"/>
  <c r="AI47" i="124"/>
  <c r="U47" i="124"/>
  <c r="U57" i="124" s="1"/>
  <c r="AI46" i="124"/>
  <c r="AI57" i="124" s="1"/>
  <c r="AH46" i="124"/>
  <c r="U46" i="124"/>
  <c r="T46" i="124"/>
  <c r="AI45" i="124"/>
  <c r="U45" i="124"/>
  <c r="T45" i="124"/>
  <c r="T57" i="124" s="1"/>
  <c r="AG42" i="124"/>
  <c r="AC42" i="124"/>
  <c r="S42" i="124"/>
  <c r="R42" i="124"/>
  <c r="Q42" i="124"/>
  <c r="P42" i="124"/>
  <c r="O42" i="124"/>
  <c r="AC39" i="124"/>
  <c r="R39" i="124"/>
  <c r="Q39" i="124"/>
  <c r="P39" i="124"/>
  <c r="O39" i="124"/>
  <c r="AC38" i="124"/>
  <c r="R38" i="124"/>
  <c r="Q38" i="124"/>
  <c r="P38" i="124"/>
  <c r="O38" i="124"/>
  <c r="Q36" i="124"/>
  <c r="AC35" i="124"/>
  <c r="U35" i="124"/>
  <c r="T35" i="124"/>
  <c r="S35" i="124"/>
  <c r="R35" i="124"/>
  <c r="Q35" i="124"/>
  <c r="P35" i="124"/>
  <c r="O35" i="124"/>
  <c r="AC34" i="124"/>
  <c r="U34" i="124"/>
  <c r="T34" i="124"/>
  <c r="S34" i="124"/>
  <c r="R34" i="124"/>
  <c r="Q34" i="124"/>
  <c r="P34" i="124"/>
  <c r="O34" i="124"/>
  <c r="Q33" i="124"/>
  <c r="U32" i="124"/>
  <c r="T32" i="124"/>
  <c r="S32" i="124"/>
  <c r="R32" i="124"/>
  <c r="Q32" i="124"/>
  <c r="AC31" i="124"/>
  <c r="Q31" i="124"/>
  <c r="P31" i="124"/>
  <c r="O31" i="124"/>
  <c r="U29" i="124"/>
  <c r="T29" i="124"/>
  <c r="S29" i="124"/>
  <c r="R29" i="124"/>
  <c r="Q29" i="124"/>
  <c r="AC28" i="124"/>
  <c r="Q28" i="124"/>
  <c r="P28" i="124"/>
  <c r="O28" i="124"/>
  <c r="AC27" i="124"/>
  <c r="P27" i="124"/>
  <c r="O27" i="124"/>
  <c r="AC26" i="124"/>
  <c r="P26" i="124"/>
  <c r="O26" i="124"/>
  <c r="AC25" i="124"/>
  <c r="U25" i="124"/>
  <c r="T25" i="124"/>
  <c r="S25" i="124"/>
  <c r="R25" i="124"/>
  <c r="Q25" i="124"/>
  <c r="P25" i="124"/>
  <c r="O25" i="124"/>
  <c r="AC24" i="124"/>
  <c r="R24" i="124"/>
  <c r="Q24" i="124"/>
  <c r="P24" i="124"/>
  <c r="O24" i="124"/>
  <c r="AC23" i="124"/>
  <c r="U23" i="124"/>
  <c r="T23" i="124"/>
  <c r="S23" i="124"/>
  <c r="R23" i="124"/>
  <c r="Q23" i="124"/>
  <c r="P23" i="124"/>
  <c r="O23" i="124"/>
  <c r="AC22" i="124"/>
  <c r="U22" i="124"/>
  <c r="T22" i="124"/>
  <c r="S22" i="124"/>
  <c r="R22" i="124"/>
  <c r="Q22" i="124"/>
  <c r="P22" i="124"/>
  <c r="O22" i="124"/>
  <c r="AC21" i="124"/>
  <c r="U21" i="124"/>
  <c r="T21" i="124"/>
  <c r="S21" i="124"/>
  <c r="R21" i="124"/>
  <c r="Q21" i="124"/>
  <c r="P21" i="124"/>
  <c r="O21" i="124"/>
  <c r="U19" i="124"/>
  <c r="T19" i="124"/>
  <c r="S19" i="124"/>
  <c r="R19" i="124"/>
  <c r="Q19" i="124"/>
  <c r="AC18" i="124"/>
  <c r="AC57" i="124" s="1"/>
  <c r="U18" i="124"/>
  <c r="T18" i="124"/>
  <c r="S18" i="124"/>
  <c r="S57" i="124" s="1"/>
  <c r="R18" i="124"/>
  <c r="Q18" i="124"/>
  <c r="Q57" i="124" s="1"/>
  <c r="P18" i="124"/>
  <c r="O18" i="124"/>
  <c r="AC17" i="124"/>
  <c r="P17" i="124"/>
  <c r="P57" i="124" s="1"/>
  <c r="O17" i="124"/>
  <c r="N374" i="123"/>
  <c r="N373" i="123"/>
  <c r="N375" i="123"/>
  <c r="AE80" i="124"/>
  <c r="V75" i="124"/>
  <c r="AI80" i="124"/>
  <c r="AG80" i="124"/>
  <c r="R80" i="124"/>
  <c r="I290" i="125"/>
  <c r="I289" i="125"/>
  <c r="N288" i="125"/>
  <c r="N287" i="125"/>
  <c r="I286" i="125"/>
  <c r="N283" i="125"/>
  <c r="N282" i="125"/>
  <c r="I279" i="125"/>
  <c r="O276" i="125"/>
  <c r="N276" i="125"/>
  <c r="O270" i="125"/>
  <c r="N270" i="125"/>
  <c r="O267" i="125"/>
  <c r="N267" i="125"/>
  <c r="N261" i="125"/>
  <c r="O261" i="125" s="1"/>
  <c r="N260" i="125"/>
  <c r="O260" i="125" s="1"/>
  <c r="I259" i="125"/>
  <c r="I258" i="125"/>
  <c r="I257" i="125"/>
  <c r="I256" i="125"/>
  <c r="N255" i="125"/>
  <c r="O255" i="125" s="1"/>
  <c r="N254" i="125"/>
  <c r="O254" i="125" s="1"/>
  <c r="O253" i="125"/>
  <c r="N253" i="125"/>
  <c r="O240" i="125"/>
  <c r="N240" i="125"/>
  <c r="O239" i="125"/>
  <c r="N239" i="125"/>
  <c r="O238" i="125"/>
  <c r="N238" i="125"/>
  <c r="O237" i="125"/>
  <c r="N237" i="125"/>
  <c r="N235" i="125"/>
  <c r="N234" i="125"/>
  <c r="N233" i="125"/>
  <c r="J241" i="125"/>
  <c r="I241" i="125"/>
  <c r="H241" i="125"/>
  <c r="G241" i="125"/>
  <c r="F241" i="125"/>
  <c r="N219" i="125"/>
  <c r="O219" i="125" s="1"/>
  <c r="N217" i="125"/>
  <c r="O217" i="125" s="1"/>
  <c r="K202" i="125"/>
  <c r="J202" i="125"/>
  <c r="I202" i="125"/>
  <c r="H202" i="125"/>
  <c r="G202" i="125"/>
  <c r="F202" i="125"/>
  <c r="N201" i="125"/>
  <c r="O201" i="125" s="1"/>
  <c r="N199" i="125"/>
  <c r="N195" i="125"/>
  <c r="N177" i="125"/>
  <c r="AH21" i="124" s="1"/>
  <c r="K163" i="125"/>
  <c r="J163" i="125"/>
  <c r="I163" i="125"/>
  <c r="H163" i="125"/>
  <c r="G163" i="125"/>
  <c r="F163" i="125"/>
  <c r="N138" i="125"/>
  <c r="AF54" i="124"/>
  <c r="N159" i="123" s="1"/>
  <c r="R53" i="124"/>
  <c r="H128" i="125"/>
  <c r="G128" i="125"/>
  <c r="F128" i="125"/>
  <c r="N118" i="125"/>
  <c r="O118" i="125" s="1"/>
  <c r="N106" i="125"/>
  <c r="N104" i="125"/>
  <c r="O104" i="125" s="1"/>
  <c r="K89" i="125"/>
  <c r="J89" i="125"/>
  <c r="I89" i="125"/>
  <c r="H89" i="125"/>
  <c r="G89" i="125"/>
  <c r="F89" i="125"/>
  <c r="N83" i="125"/>
  <c r="O83" i="125" s="1"/>
  <c r="N82" i="125"/>
  <c r="O82" i="125" s="1"/>
  <c r="N73" i="125"/>
  <c r="O73" i="125" s="1"/>
  <c r="N65" i="125"/>
  <c r="O65" i="125" s="1"/>
  <c r="N64" i="125"/>
  <c r="O64" i="125" s="1"/>
  <c r="I46" i="125"/>
  <c r="N42" i="125"/>
  <c r="N35" i="125"/>
  <c r="N30" i="125"/>
  <c r="O30" i="125" s="1"/>
  <c r="N29" i="125"/>
  <c r="O29" i="125" s="1"/>
  <c r="N28" i="125"/>
  <c r="N25" i="125"/>
  <c r="O25" i="125" s="1"/>
  <c r="N24" i="125"/>
  <c r="O24" i="125" s="1"/>
  <c r="B22" i="125"/>
  <c r="B23" i="125" s="1"/>
  <c r="B24" i="125" s="1"/>
  <c r="B25" i="125" s="1"/>
  <c r="B28" i="125" s="1"/>
  <c r="B30" i="125" s="1"/>
  <c r="B33" i="125" s="1"/>
  <c r="B34" i="125" s="1"/>
  <c r="B35" i="125" s="1"/>
  <c r="B39" i="125" s="1"/>
  <c r="B41" i="125" s="1"/>
  <c r="B42" i="125" s="1"/>
  <c r="B43" i="125" s="1"/>
  <c r="B44" i="125" s="1"/>
  <c r="B45" i="125" s="1"/>
  <c r="H46" i="125"/>
  <c r="G46" i="125"/>
  <c r="F46" i="125"/>
  <c r="N17" i="125"/>
  <c r="N124" i="125" l="1"/>
  <c r="N60" i="125"/>
  <c r="Z77" i="124"/>
  <c r="N76" i="125"/>
  <c r="O76" i="125" s="1"/>
  <c r="AD80" i="124"/>
  <c r="N159" i="125"/>
  <c r="N68" i="125"/>
  <c r="AE29" i="124" s="1"/>
  <c r="N70" i="125"/>
  <c r="AE31" i="124" s="1"/>
  <c r="N72" i="125"/>
  <c r="O72" i="125" s="1"/>
  <c r="N139" i="125"/>
  <c r="AG19" i="124" s="1"/>
  <c r="N156" i="125"/>
  <c r="O156" i="125" s="1"/>
  <c r="N173" i="125"/>
  <c r="AH18" i="124" s="1"/>
  <c r="N230" i="125"/>
  <c r="O230" i="125" s="1"/>
  <c r="N80" i="124"/>
  <c r="N196" i="125"/>
  <c r="O196" i="125" s="1"/>
  <c r="N222" i="125"/>
  <c r="O222" i="125" s="1"/>
  <c r="N122" i="125"/>
  <c r="N20" i="125"/>
  <c r="O20" i="125" s="1"/>
  <c r="N23" i="125"/>
  <c r="N27" i="125"/>
  <c r="O27" i="125" s="1"/>
  <c r="N45" i="125"/>
  <c r="O45" i="125" s="1"/>
  <c r="N86" i="125"/>
  <c r="O86" i="125" s="1"/>
  <c r="N151" i="125"/>
  <c r="O151" i="125" s="1"/>
  <c r="N174" i="125"/>
  <c r="AH19" i="124" s="1"/>
  <c r="N59" i="125"/>
  <c r="O59" i="125" s="1"/>
  <c r="N78" i="125"/>
  <c r="AE39" i="124" s="1"/>
  <c r="N160" i="125"/>
  <c r="O160" i="125" s="1"/>
  <c r="S80" i="124"/>
  <c r="AF80" i="124"/>
  <c r="N21" i="125"/>
  <c r="O21" i="125" s="1"/>
  <c r="N32" i="125"/>
  <c r="O32" i="125" s="1"/>
  <c r="N39" i="125"/>
  <c r="O39" i="125" s="1"/>
  <c r="N61" i="125"/>
  <c r="N113" i="125"/>
  <c r="O113" i="125" s="1"/>
  <c r="N143" i="125"/>
  <c r="O143" i="125" s="1"/>
  <c r="N226" i="125"/>
  <c r="X77" i="124"/>
  <c r="N180" i="125"/>
  <c r="O180" i="125" s="1"/>
  <c r="N193" i="125"/>
  <c r="O124" i="125"/>
  <c r="AF55" i="124"/>
  <c r="N172" i="123"/>
  <c r="K46" i="125"/>
  <c r="N31" i="125"/>
  <c r="O31" i="125" s="1"/>
  <c r="N62" i="125"/>
  <c r="O62" i="125" s="1"/>
  <c r="N66" i="125"/>
  <c r="O66" i="125" s="1"/>
  <c r="N71" i="125"/>
  <c r="O71" i="125" s="1"/>
  <c r="N80" i="125"/>
  <c r="O80" i="125" s="1"/>
  <c r="N85" i="125"/>
  <c r="O85" i="125" s="1"/>
  <c r="N102" i="125"/>
  <c r="O102" i="125" s="1"/>
  <c r="N105" i="125"/>
  <c r="N109" i="125"/>
  <c r="O109" i="125" s="1"/>
  <c r="N126" i="125"/>
  <c r="O126" i="125" s="1"/>
  <c r="N144" i="125"/>
  <c r="O144" i="125" s="1"/>
  <c r="N149" i="125"/>
  <c r="O149" i="125" s="1"/>
  <c r="N158" i="125"/>
  <c r="O158" i="125" s="1"/>
  <c r="N198" i="125"/>
  <c r="AH53" i="124" s="1"/>
  <c r="N224" i="125"/>
  <c r="O224" i="125" s="1"/>
  <c r="W75" i="124"/>
  <c r="M46" i="125"/>
  <c r="N88" i="125"/>
  <c r="O88" i="125" s="1"/>
  <c r="N107" i="125"/>
  <c r="O107" i="125" s="1"/>
  <c r="J128" i="125"/>
  <c r="N153" i="125"/>
  <c r="AG35" i="124" s="1"/>
  <c r="E202" i="125"/>
  <c r="AA75" i="124"/>
  <c r="Y77" i="124"/>
  <c r="N355" i="123"/>
  <c r="M163" i="125"/>
  <c r="AB75" i="124"/>
  <c r="N37" i="125"/>
  <c r="O37" i="125" s="1"/>
  <c r="N57" i="125"/>
  <c r="N108" i="125"/>
  <c r="O108" i="125" s="1"/>
  <c r="N110" i="125"/>
  <c r="N112" i="125"/>
  <c r="O112" i="125" s="1"/>
  <c r="N114" i="125"/>
  <c r="O114" i="125" s="1"/>
  <c r="N116" i="125"/>
  <c r="O116" i="125" s="1"/>
  <c r="N121" i="125"/>
  <c r="N125" i="125"/>
  <c r="O125" i="125" s="1"/>
  <c r="N142" i="125"/>
  <c r="N145" i="125"/>
  <c r="O145" i="125" s="1"/>
  <c r="N148" i="125"/>
  <c r="O148" i="125" s="1"/>
  <c r="N162" i="125"/>
  <c r="O162" i="125" s="1"/>
  <c r="M202" i="125"/>
  <c r="N216" i="125"/>
  <c r="O216" i="125" s="1"/>
  <c r="P80" i="124"/>
  <c r="G80" i="124"/>
  <c r="N26" i="125"/>
  <c r="O26" i="125" s="1"/>
  <c r="N69" i="125"/>
  <c r="O69" i="125" s="1"/>
  <c r="N84" i="125"/>
  <c r="O84" i="125" s="1"/>
  <c r="N101" i="125"/>
  <c r="O101" i="125" s="1"/>
  <c r="N155" i="125"/>
  <c r="O155" i="125" s="1"/>
  <c r="N157" i="125"/>
  <c r="O157" i="125" s="1"/>
  <c r="N178" i="125"/>
  <c r="O178" i="125" s="1"/>
  <c r="N197" i="125"/>
  <c r="O197" i="125" s="1"/>
  <c r="X76" i="124"/>
  <c r="N34" i="125"/>
  <c r="O34" i="125" s="1"/>
  <c r="N38" i="125"/>
  <c r="O38" i="125" s="1"/>
  <c r="N74" i="125"/>
  <c r="N79" i="125"/>
  <c r="O79" i="125" s="1"/>
  <c r="N87" i="125"/>
  <c r="O87" i="125" s="1"/>
  <c r="N146" i="125"/>
  <c r="O146" i="125" s="1"/>
  <c r="N188" i="125"/>
  <c r="O188" i="125" s="1"/>
  <c r="N194" i="125"/>
  <c r="AH45" i="124" s="1"/>
  <c r="N200" i="125"/>
  <c r="O200" i="125" s="1"/>
  <c r="N214" i="125"/>
  <c r="O214" i="125" s="1"/>
  <c r="AH80" i="124"/>
  <c r="AF23" i="124"/>
  <c r="O105" i="125"/>
  <c r="AD28" i="124"/>
  <c r="O28" i="125"/>
  <c r="O35" i="125"/>
  <c r="AD38" i="124"/>
  <c r="AD54" i="124"/>
  <c r="O42" i="125"/>
  <c r="O23" i="125"/>
  <c r="AD23" i="124"/>
  <c r="O60" i="125"/>
  <c r="AE21" i="124"/>
  <c r="O138" i="125"/>
  <c r="AG18" i="124"/>
  <c r="AI29" i="124"/>
  <c r="O61" i="125"/>
  <c r="AE22" i="124"/>
  <c r="O199" i="125"/>
  <c r="AH55" i="124"/>
  <c r="N238" i="123" s="1"/>
  <c r="AD17" i="124"/>
  <c r="O17" i="125"/>
  <c r="O121" i="125"/>
  <c r="AF42" i="124"/>
  <c r="N155" i="123" s="1"/>
  <c r="O142" i="125"/>
  <c r="AG21" i="124"/>
  <c r="N175" i="123" s="1"/>
  <c r="O57" i="125"/>
  <c r="AE19" i="124"/>
  <c r="AH22" i="124"/>
  <c r="O226" i="125"/>
  <c r="AI34" i="124"/>
  <c r="AF24" i="124"/>
  <c r="O106" i="125"/>
  <c r="AG53" i="124"/>
  <c r="O159" i="125"/>
  <c r="AH35" i="124"/>
  <c r="N232" i="123"/>
  <c r="N192" i="123"/>
  <c r="AH56" i="124"/>
  <c r="N239" i="123" s="1"/>
  <c r="AD21" i="124"/>
  <c r="AG25" i="124"/>
  <c r="O70" i="125"/>
  <c r="N115" i="125"/>
  <c r="N120" i="125"/>
  <c r="O120" i="125" s="1"/>
  <c r="O177" i="125"/>
  <c r="L241" i="125"/>
  <c r="Y75" i="124"/>
  <c r="O57" i="124"/>
  <c r="AF22" i="124"/>
  <c r="N140" i="123" s="1"/>
  <c r="AD24" i="124"/>
  <c r="AE34" i="124"/>
  <c r="AG55" i="124"/>
  <c r="L163" i="125"/>
  <c r="N150" i="125"/>
  <c r="N152" i="125"/>
  <c r="N154" i="125"/>
  <c r="O154" i="125" s="1"/>
  <c r="M241" i="125"/>
  <c r="R57" i="124"/>
  <c r="AG22" i="124"/>
  <c r="AI25" i="124"/>
  <c r="AD27" i="124"/>
  <c r="AC80" i="124"/>
  <c r="Q80" i="124"/>
  <c r="T80" i="124"/>
  <c r="AD31" i="124"/>
  <c r="L46" i="125"/>
  <c r="N22" i="125"/>
  <c r="N40" i="125"/>
  <c r="O40" i="125" s="1"/>
  <c r="N43" i="125"/>
  <c r="L89" i="125"/>
  <c r="N58" i="125"/>
  <c r="O58" i="125" s="1"/>
  <c r="N100" i="125"/>
  <c r="N161" i="125"/>
  <c r="N187" i="125"/>
  <c r="N212" i="125"/>
  <c r="AI18" i="124" s="1"/>
  <c r="N210" i="123" s="1"/>
  <c r="Z76" i="124"/>
  <c r="AA77" i="124"/>
  <c r="M89" i="125"/>
  <c r="D202" i="125"/>
  <c r="L202" i="125"/>
  <c r="N231" i="125"/>
  <c r="AB76" i="124"/>
  <c r="V77" i="124"/>
  <c r="AI22" i="124"/>
  <c r="N41" i="125"/>
  <c r="N44" i="125"/>
  <c r="N103" i="125"/>
  <c r="N111" i="125"/>
  <c r="O111" i="125" s="1"/>
  <c r="N185" i="125"/>
  <c r="N191" i="125"/>
  <c r="O191" i="125" s="1"/>
  <c r="N218" i="125"/>
  <c r="N227" i="125"/>
  <c r="W76" i="124"/>
  <c r="AD25" i="124"/>
  <c r="AD42" i="124"/>
  <c r="N38" i="123" s="1"/>
  <c r="L128" i="125"/>
  <c r="N123" i="125"/>
  <c r="Z75" i="124"/>
  <c r="AE25" i="124"/>
  <c r="AD26" i="124"/>
  <c r="AE33" i="124"/>
  <c r="AF38" i="124"/>
  <c r="J46" i="125"/>
  <c r="N33" i="125"/>
  <c r="N36" i="125"/>
  <c r="N63" i="125"/>
  <c r="N67" i="125"/>
  <c r="N75" i="125"/>
  <c r="N77" i="125"/>
  <c r="N81" i="125"/>
  <c r="M128" i="125"/>
  <c r="N117" i="125"/>
  <c r="O117" i="125" s="1"/>
  <c r="N119" i="125"/>
  <c r="N141" i="125"/>
  <c r="O141" i="125" s="1"/>
  <c r="N183" i="125"/>
  <c r="N213" i="125"/>
  <c r="W77" i="124"/>
  <c r="AB77" i="124"/>
  <c r="AF25" i="124"/>
  <c r="N142" i="123" s="1"/>
  <c r="AD35" i="124"/>
  <c r="O80" i="124"/>
  <c r="AA76" i="124"/>
  <c r="U80" i="124"/>
  <c r="V76" i="124"/>
  <c r="X75" i="124"/>
  <c r="Y76" i="124"/>
  <c r="N56" i="125"/>
  <c r="AE18" i="124" s="1"/>
  <c r="I122" i="125"/>
  <c r="O173" i="125"/>
  <c r="N18" i="125"/>
  <c r="AD18" i="124" s="1"/>
  <c r="N99" i="125"/>
  <c r="N135" i="123" s="1"/>
  <c r="N140" i="125"/>
  <c r="O140" i="125" s="1"/>
  <c r="K128" i="125"/>
  <c r="O212" i="125"/>
  <c r="K241" i="125"/>
  <c r="N179" i="125"/>
  <c r="N19" i="125"/>
  <c r="O19" i="125" s="1"/>
  <c r="M387" i="123"/>
  <c r="S364" i="123"/>
  <c r="S329" i="123"/>
  <c r="R240" i="123"/>
  <c r="Q240" i="123"/>
  <c r="P240" i="123"/>
  <c r="O240" i="123"/>
  <c r="S237" i="123"/>
  <c r="S235" i="123"/>
  <c r="S229" i="123"/>
  <c r="S228" i="123"/>
  <c r="S227" i="123"/>
  <c r="S224" i="123"/>
  <c r="S222" i="123"/>
  <c r="S221" i="123"/>
  <c r="S219" i="123"/>
  <c r="S218" i="123"/>
  <c r="S213" i="123"/>
  <c r="S212" i="123"/>
  <c r="R201" i="123"/>
  <c r="Q201" i="123"/>
  <c r="P201" i="123"/>
  <c r="O201" i="123"/>
  <c r="S198" i="123"/>
  <c r="S196" i="123"/>
  <c r="S195" i="123"/>
  <c r="S188" i="123"/>
  <c r="S185" i="123"/>
  <c r="S183" i="123"/>
  <c r="S182" i="123"/>
  <c r="S180" i="123"/>
  <c r="S179" i="123"/>
  <c r="S174" i="123"/>
  <c r="S173" i="123"/>
  <c r="R162" i="123"/>
  <c r="Q162" i="123"/>
  <c r="P162" i="123"/>
  <c r="O162" i="123"/>
  <c r="S157" i="123"/>
  <c r="S156" i="123"/>
  <c r="S154" i="123"/>
  <c r="S153" i="123"/>
  <c r="S150" i="123"/>
  <c r="S149" i="123"/>
  <c r="S147" i="123"/>
  <c r="S146" i="123"/>
  <c r="S144" i="123"/>
  <c r="S143" i="123"/>
  <c r="S138" i="123"/>
  <c r="S137" i="123"/>
  <c r="R126" i="123"/>
  <c r="Q126" i="123"/>
  <c r="P126" i="123"/>
  <c r="O126" i="123"/>
  <c r="S121" i="123"/>
  <c r="S120" i="123"/>
  <c r="S117" i="123"/>
  <c r="S116" i="123"/>
  <c r="S113" i="123"/>
  <c r="S108" i="123"/>
  <c r="S105" i="123"/>
  <c r="R86" i="123"/>
  <c r="Q86" i="123"/>
  <c r="P86" i="123"/>
  <c r="O86" i="123"/>
  <c r="S85" i="123"/>
  <c r="S80" i="123"/>
  <c r="S79" i="123"/>
  <c r="S78" i="123"/>
  <c r="S77" i="123"/>
  <c r="S74" i="123"/>
  <c r="S71" i="123"/>
  <c r="S68" i="123"/>
  <c r="S65" i="123"/>
  <c r="S64" i="123"/>
  <c r="S58" i="123"/>
  <c r="S57" i="123"/>
  <c r="R46" i="123"/>
  <c r="Q46" i="123"/>
  <c r="P46" i="123"/>
  <c r="O46" i="123"/>
  <c r="S45" i="123"/>
  <c r="S40" i="123"/>
  <c r="S39" i="123"/>
  <c r="S37" i="123"/>
  <c r="S36" i="123"/>
  <c r="S31" i="123"/>
  <c r="S29" i="123"/>
  <c r="S27" i="123"/>
  <c r="S26" i="123"/>
  <c r="S20" i="123"/>
  <c r="S19" i="123"/>
  <c r="AI32" i="124" l="1"/>
  <c r="AE54" i="124"/>
  <c r="N123" i="123" s="1"/>
  <c r="M201" i="123"/>
  <c r="N160" i="123"/>
  <c r="O68" i="125"/>
  <c r="O153" i="125"/>
  <c r="O198" i="125"/>
  <c r="N197" i="123"/>
  <c r="AI21" i="124"/>
  <c r="N214" i="123" s="1"/>
  <c r="AE55" i="124"/>
  <c r="N124" i="123" s="1"/>
  <c r="N176" i="123"/>
  <c r="O174" i="125"/>
  <c r="AG23" i="124"/>
  <c r="N141" i="123" s="1"/>
  <c r="O78" i="125"/>
  <c r="AH25" i="124"/>
  <c r="N217" i="123" s="1"/>
  <c r="O139" i="125"/>
  <c r="AF32" i="124"/>
  <c r="AE23" i="124"/>
  <c r="M162" i="123"/>
  <c r="N241" i="125"/>
  <c r="O74" i="125"/>
  <c r="AE35" i="124"/>
  <c r="N73" i="123" s="1"/>
  <c r="M126" i="123"/>
  <c r="M240" i="123"/>
  <c r="E316" i="123"/>
  <c r="E439" i="123"/>
  <c r="N95" i="123"/>
  <c r="AE53" i="124"/>
  <c r="N122" i="123" s="1"/>
  <c r="AF56" i="124"/>
  <c r="AE32" i="124"/>
  <c r="N70" i="123" s="1"/>
  <c r="O110" i="125"/>
  <c r="AF29" i="124"/>
  <c r="G316" i="123"/>
  <c r="AE56" i="124"/>
  <c r="AF34" i="124"/>
  <c r="AG29" i="124"/>
  <c r="C316" i="123"/>
  <c r="O63" i="125"/>
  <c r="AE24" i="124"/>
  <c r="N62" i="123" s="1"/>
  <c r="N103" i="123"/>
  <c r="O218" i="125"/>
  <c r="AI23" i="124"/>
  <c r="O43" i="125"/>
  <c r="AD55" i="124"/>
  <c r="O152" i="125"/>
  <c r="AG34" i="124"/>
  <c r="N24" i="123"/>
  <c r="N56" i="123"/>
  <c r="M86" i="123"/>
  <c r="H316" i="123"/>
  <c r="F316" i="123"/>
  <c r="G439" i="123"/>
  <c r="O119" i="125"/>
  <c r="AF39" i="124"/>
  <c r="N115" i="123" s="1"/>
  <c r="O36" i="125"/>
  <c r="AD39" i="124"/>
  <c r="O150" i="125"/>
  <c r="AG32" i="124"/>
  <c r="N148" i="123" s="1"/>
  <c r="O115" i="125"/>
  <c r="AF35" i="124"/>
  <c r="N187" i="123"/>
  <c r="O183" i="125"/>
  <c r="AH29" i="124"/>
  <c r="N220" i="123" s="1"/>
  <c r="O227" i="125"/>
  <c r="AI35" i="124"/>
  <c r="N226" i="123" s="1"/>
  <c r="N163" i="125"/>
  <c r="N33" i="123"/>
  <c r="O33" i="125"/>
  <c r="AD34" i="124"/>
  <c r="O123" i="125"/>
  <c r="AF53" i="124"/>
  <c r="N158" i="123" s="1"/>
  <c r="O185" i="125"/>
  <c r="AH32" i="124"/>
  <c r="N223" i="123" s="1"/>
  <c r="O22" i="125"/>
  <c r="AD22" i="124"/>
  <c r="AH57" i="124"/>
  <c r="O187" i="125"/>
  <c r="AH34" i="124"/>
  <c r="N225" i="123" s="1"/>
  <c r="N199" i="123"/>
  <c r="N100" i="123"/>
  <c r="N171" i="123"/>
  <c r="AL54" i="124"/>
  <c r="N82" i="123"/>
  <c r="N42" i="123"/>
  <c r="N236" i="123"/>
  <c r="O41" i="125"/>
  <c r="AD53" i="124"/>
  <c r="N55" i="123"/>
  <c r="N18" i="123"/>
  <c r="O81" i="125"/>
  <c r="AE42" i="124"/>
  <c r="N119" i="123" s="1"/>
  <c r="O103" i="125"/>
  <c r="AF21" i="124"/>
  <c r="O161" i="125"/>
  <c r="AG56" i="124"/>
  <c r="N200" i="123" s="1"/>
  <c r="N69" i="123"/>
  <c r="N30" i="123"/>
  <c r="N111" i="123"/>
  <c r="N59" i="123"/>
  <c r="N21" i="123"/>
  <c r="N215" i="123"/>
  <c r="N17" i="123"/>
  <c r="N34" i="123"/>
  <c r="O67" i="125"/>
  <c r="AE28" i="124"/>
  <c r="N66" i="123" s="1"/>
  <c r="N28" i="123"/>
  <c r="M46" i="123"/>
  <c r="D316" i="123"/>
  <c r="O77" i="125"/>
  <c r="AE38" i="124"/>
  <c r="N114" i="123" s="1"/>
  <c r="N63" i="123"/>
  <c r="N25" i="123"/>
  <c r="O100" i="125"/>
  <c r="AF19" i="124"/>
  <c r="N136" i="123" s="1"/>
  <c r="N67" i="123"/>
  <c r="N23" i="123"/>
  <c r="N61" i="123"/>
  <c r="O179" i="125"/>
  <c r="AH23" i="124"/>
  <c r="N177" i="123" s="1"/>
  <c r="O213" i="125"/>
  <c r="O241" i="125" s="1"/>
  <c r="AI19" i="124"/>
  <c r="N211" i="123" s="1"/>
  <c r="O75" i="125"/>
  <c r="AE36" i="124"/>
  <c r="O44" i="125"/>
  <c r="AD56" i="124"/>
  <c r="N101" i="123"/>
  <c r="O122" i="125"/>
  <c r="I128" i="125"/>
  <c r="O56" i="125"/>
  <c r="N89" i="125"/>
  <c r="N202" i="125"/>
  <c r="N128" i="125"/>
  <c r="O99" i="125"/>
  <c r="O18" i="125"/>
  <c r="N46" i="125"/>
  <c r="O52" i="159"/>
  <c r="N52" i="159"/>
  <c r="M52" i="159"/>
  <c r="L52" i="159"/>
  <c r="K52" i="159"/>
  <c r="J52" i="159"/>
  <c r="I52" i="159"/>
  <c r="H52" i="159"/>
  <c r="G52" i="159"/>
  <c r="F52" i="159"/>
  <c r="E52" i="159"/>
  <c r="D52" i="159"/>
  <c r="AD57" i="124" l="1"/>
  <c r="N178" i="123"/>
  <c r="N109" i="123"/>
  <c r="O163" i="125"/>
  <c r="N125" i="123"/>
  <c r="N145" i="123"/>
  <c r="N106" i="123"/>
  <c r="N161" i="123"/>
  <c r="O46" i="125"/>
  <c r="AG57" i="124"/>
  <c r="N186" i="123"/>
  <c r="O202" i="125"/>
  <c r="AF57" i="124"/>
  <c r="N139" i="123"/>
  <c r="N72" i="123"/>
  <c r="N32" i="123"/>
  <c r="N81" i="123"/>
  <c r="N41" i="123"/>
  <c r="AL53" i="124"/>
  <c r="O89" i="125"/>
  <c r="N99" i="123"/>
  <c r="N60" i="123"/>
  <c r="N22" i="123"/>
  <c r="N152" i="123"/>
  <c r="N112" i="123"/>
  <c r="AE57" i="124"/>
  <c r="N102" i="123"/>
  <c r="N35" i="123"/>
  <c r="N76" i="123"/>
  <c r="N84" i="123"/>
  <c r="AL56" i="124"/>
  <c r="N44" i="123"/>
  <c r="N96" i="123"/>
  <c r="N75" i="123"/>
  <c r="N184" i="123"/>
  <c r="N83" i="123"/>
  <c r="N43" i="123"/>
  <c r="AL55" i="124"/>
  <c r="N216" i="123"/>
  <c r="N181" i="123"/>
  <c r="N151" i="123"/>
  <c r="O128" i="125"/>
  <c r="D19" i="160" l="1"/>
  <c r="D18" i="160"/>
  <c r="S22" i="99" l="1"/>
  <c r="D57" i="160" l="1"/>
  <c r="G6" i="162"/>
  <c r="F6" i="162"/>
  <c r="E6" i="162"/>
  <c r="D6" i="162"/>
  <c r="I95" i="58"/>
  <c r="D21" i="160"/>
  <c r="D24" i="160"/>
  <c r="D23" i="160"/>
  <c r="D25" i="160"/>
  <c r="D26" i="160"/>
  <c r="D20" i="160"/>
  <c r="D30" i="160"/>
  <c r="D28" i="160"/>
  <c r="D22" i="160"/>
  <c r="D11" i="160"/>
  <c r="D10" i="160"/>
  <c r="D9" i="160"/>
  <c r="D8" i="160"/>
  <c r="D6" i="160"/>
  <c r="E5" i="162"/>
  <c r="D5" i="162"/>
  <c r="F143" i="82" l="1"/>
  <c r="H20" i="88"/>
  <c r="H53" i="58"/>
  <c r="P351" i="82" l="1"/>
  <c r="Q95" i="58" l="1"/>
  <c r="N43" i="58"/>
  <c r="Q29" i="58"/>
  <c r="Q27" i="58"/>
  <c r="Q23" i="58"/>
  <c r="Q24" i="58"/>
  <c r="I23" i="58"/>
  <c r="F47" i="58"/>
  <c r="E47" i="150"/>
  <c r="F17" i="58"/>
  <c r="E16" i="150"/>
  <c r="O295" i="174" l="1"/>
  <c r="N294" i="174"/>
  <c r="M293" i="174"/>
  <c r="L292" i="174"/>
  <c r="K291" i="174"/>
  <c r="J290" i="174"/>
  <c r="I289" i="174"/>
  <c r="H288" i="174"/>
  <c r="O267" i="174"/>
  <c r="N266" i="174"/>
  <c r="M265" i="174"/>
  <c r="L264" i="174"/>
  <c r="K263" i="174"/>
  <c r="J262" i="174"/>
  <c r="I261" i="174"/>
  <c r="H260" i="174"/>
  <c r="AA251" i="174"/>
  <c r="Z250" i="174"/>
  <c r="Y249" i="174"/>
  <c r="O239" i="174"/>
  <c r="N238" i="174"/>
  <c r="M237" i="174"/>
  <c r="L236" i="174"/>
  <c r="K235" i="174"/>
  <c r="J234" i="174"/>
  <c r="I233" i="174"/>
  <c r="H232" i="174"/>
  <c r="O211" i="174"/>
  <c r="N210" i="174"/>
  <c r="M209" i="174"/>
  <c r="L208" i="174"/>
  <c r="K207" i="174"/>
  <c r="J206" i="174"/>
  <c r="I205" i="174"/>
  <c r="H204" i="174"/>
  <c r="O183" i="174"/>
  <c r="N182" i="174"/>
  <c r="M181" i="174"/>
  <c r="L180" i="174"/>
  <c r="K179" i="174"/>
  <c r="J178" i="174"/>
  <c r="I177" i="174"/>
  <c r="H176" i="174"/>
  <c r="O155" i="174"/>
  <c r="N154" i="174"/>
  <c r="M153" i="174"/>
  <c r="L152" i="174"/>
  <c r="K151" i="174"/>
  <c r="J150" i="174"/>
  <c r="I149" i="174"/>
  <c r="H148" i="174"/>
  <c r="O127" i="174"/>
  <c r="N126" i="174"/>
  <c r="M125" i="174"/>
  <c r="L124" i="174"/>
  <c r="K123" i="174"/>
  <c r="J122" i="174"/>
  <c r="I121" i="174"/>
  <c r="H120" i="174"/>
  <c r="O99" i="174"/>
  <c r="N98" i="174"/>
  <c r="M97" i="174"/>
  <c r="L96" i="174"/>
  <c r="K95" i="174"/>
  <c r="J94" i="174"/>
  <c r="I93" i="174"/>
  <c r="H92" i="174"/>
  <c r="O71" i="174"/>
  <c r="N70" i="174"/>
  <c r="M69" i="174"/>
  <c r="L68" i="174"/>
  <c r="K67" i="174"/>
  <c r="J66" i="174"/>
  <c r="I65" i="174"/>
  <c r="H64" i="174"/>
  <c r="O43" i="174"/>
  <c r="N42" i="174"/>
  <c r="M41" i="174"/>
  <c r="L40" i="174"/>
  <c r="K39" i="174"/>
  <c r="J38" i="174"/>
  <c r="I37" i="174"/>
  <c r="H36" i="174"/>
  <c r="H10" i="174"/>
  <c r="I11" i="174"/>
  <c r="J12" i="174"/>
  <c r="K13" i="174"/>
  <c r="L14" i="174"/>
  <c r="M15" i="174"/>
  <c r="N16" i="174"/>
  <c r="O17" i="174"/>
  <c r="P18" i="174"/>
  <c r="Q19" i="174"/>
  <c r="R20" i="174"/>
  <c r="S21" i="174"/>
  <c r="T22" i="174"/>
  <c r="U23" i="174"/>
  <c r="V24" i="174"/>
  <c r="W25" i="174"/>
  <c r="X26" i="174"/>
  <c r="AA29" i="174"/>
  <c r="Z28" i="174"/>
  <c r="Y27" i="174"/>
  <c r="F276" i="174" l="1"/>
  <c r="X276" i="174" s="1"/>
  <c r="E276" i="174"/>
  <c r="D276" i="174"/>
  <c r="F275" i="174"/>
  <c r="W275" i="174" s="1"/>
  <c r="E275" i="174"/>
  <c r="D275" i="174"/>
  <c r="F274" i="174"/>
  <c r="V274" i="174" s="1"/>
  <c r="E274" i="174"/>
  <c r="D274" i="174"/>
  <c r="F273" i="174"/>
  <c r="U273" i="174" s="1"/>
  <c r="E273" i="174"/>
  <c r="D273" i="174"/>
  <c r="F272" i="174"/>
  <c r="T272" i="174" s="1"/>
  <c r="E272" i="174"/>
  <c r="D272" i="174"/>
  <c r="F271" i="174"/>
  <c r="S271" i="174" s="1"/>
  <c r="E271" i="174"/>
  <c r="D271" i="174"/>
  <c r="F270" i="174"/>
  <c r="R270" i="174" s="1"/>
  <c r="E270" i="174"/>
  <c r="D270" i="174"/>
  <c r="F269" i="174"/>
  <c r="Q269" i="174" s="1"/>
  <c r="E269" i="174"/>
  <c r="D269" i="174"/>
  <c r="F268" i="174"/>
  <c r="P268" i="174" s="1"/>
  <c r="E268" i="174"/>
  <c r="D268" i="174"/>
  <c r="C268" i="174"/>
  <c r="F248" i="174"/>
  <c r="X248" i="174" s="1"/>
  <c r="E248" i="174"/>
  <c r="D248" i="174"/>
  <c r="F247" i="174"/>
  <c r="W247" i="174" s="1"/>
  <c r="E247" i="174"/>
  <c r="D247" i="174"/>
  <c r="F246" i="174"/>
  <c r="V246" i="174" s="1"/>
  <c r="E246" i="174"/>
  <c r="D246" i="174"/>
  <c r="F245" i="174"/>
  <c r="U245" i="174" s="1"/>
  <c r="E245" i="174"/>
  <c r="E301" i="174" s="1"/>
  <c r="D245" i="174"/>
  <c r="F244" i="174"/>
  <c r="T244" i="174" s="1"/>
  <c r="E244" i="174"/>
  <c r="D244" i="174"/>
  <c r="F243" i="174"/>
  <c r="S243" i="174" s="1"/>
  <c r="E243" i="174"/>
  <c r="D243" i="174"/>
  <c r="F242" i="174"/>
  <c r="R242" i="174" s="1"/>
  <c r="E242" i="174"/>
  <c r="D242" i="174"/>
  <c r="F241" i="174"/>
  <c r="Q241" i="174" s="1"/>
  <c r="E241" i="174"/>
  <c r="D241" i="174"/>
  <c r="F240" i="174"/>
  <c r="P240" i="174" s="1"/>
  <c r="E240" i="174"/>
  <c r="D240" i="174"/>
  <c r="C240" i="174"/>
  <c r="F220" i="174"/>
  <c r="X220" i="174" s="1"/>
  <c r="E220" i="174"/>
  <c r="D220" i="174"/>
  <c r="F219" i="174"/>
  <c r="W219" i="174" s="1"/>
  <c r="E219" i="174"/>
  <c r="D219" i="174"/>
  <c r="F218" i="174"/>
  <c r="V218" i="174" s="1"/>
  <c r="E218" i="174"/>
  <c r="D218" i="174"/>
  <c r="F217" i="174"/>
  <c r="U217" i="174" s="1"/>
  <c r="E217" i="174"/>
  <c r="D217" i="174"/>
  <c r="F216" i="174"/>
  <c r="T216" i="174" s="1"/>
  <c r="E216" i="174"/>
  <c r="D216" i="174"/>
  <c r="F215" i="174"/>
  <c r="S215" i="174" s="1"/>
  <c r="E215" i="174"/>
  <c r="D215" i="174"/>
  <c r="F214" i="174"/>
  <c r="R214" i="174" s="1"/>
  <c r="E214" i="174"/>
  <c r="D214" i="174"/>
  <c r="F213" i="174"/>
  <c r="Q213" i="174" s="1"/>
  <c r="E213" i="174"/>
  <c r="D213" i="174"/>
  <c r="F212" i="174"/>
  <c r="P212" i="174" s="1"/>
  <c r="E212" i="174"/>
  <c r="D212" i="174"/>
  <c r="C212" i="174"/>
  <c r="C213" i="174" s="1"/>
  <c r="F192" i="174"/>
  <c r="X192" i="174" s="1"/>
  <c r="E192" i="174"/>
  <c r="D192" i="174"/>
  <c r="F191" i="174"/>
  <c r="W191" i="174" s="1"/>
  <c r="E191" i="174"/>
  <c r="D191" i="174"/>
  <c r="F190" i="174"/>
  <c r="V190" i="174" s="1"/>
  <c r="E190" i="174"/>
  <c r="D190" i="174"/>
  <c r="F189" i="174"/>
  <c r="U189" i="174" s="1"/>
  <c r="E189" i="174"/>
  <c r="D189" i="174"/>
  <c r="F188" i="174"/>
  <c r="T188" i="174" s="1"/>
  <c r="E188" i="174"/>
  <c r="D188" i="174"/>
  <c r="F187" i="174"/>
  <c r="S187" i="174" s="1"/>
  <c r="E187" i="174"/>
  <c r="D187" i="174"/>
  <c r="F186" i="174"/>
  <c r="R186" i="174" s="1"/>
  <c r="E186" i="174"/>
  <c r="D186" i="174"/>
  <c r="F185" i="174"/>
  <c r="Q185" i="174" s="1"/>
  <c r="E185" i="174"/>
  <c r="D185" i="174"/>
  <c r="F184" i="174"/>
  <c r="P184" i="174" s="1"/>
  <c r="E184" i="174"/>
  <c r="D184" i="174"/>
  <c r="C184" i="174"/>
  <c r="F164" i="174"/>
  <c r="X164" i="174" s="1"/>
  <c r="E164" i="174"/>
  <c r="D164" i="174"/>
  <c r="F163" i="174"/>
  <c r="W163" i="174" s="1"/>
  <c r="E163" i="174"/>
  <c r="D163" i="174"/>
  <c r="F162" i="174"/>
  <c r="V162" i="174" s="1"/>
  <c r="E162" i="174"/>
  <c r="D162" i="174"/>
  <c r="F161" i="174"/>
  <c r="U161" i="174" s="1"/>
  <c r="E161" i="174"/>
  <c r="D161" i="174"/>
  <c r="F160" i="174"/>
  <c r="T160" i="174" s="1"/>
  <c r="E160" i="174"/>
  <c r="D160" i="174"/>
  <c r="F159" i="174"/>
  <c r="S159" i="174" s="1"/>
  <c r="E159" i="174"/>
  <c r="D159" i="174"/>
  <c r="F158" i="174"/>
  <c r="R158" i="174" s="1"/>
  <c r="E158" i="174"/>
  <c r="D158" i="174"/>
  <c r="F157" i="174"/>
  <c r="Q157" i="174" s="1"/>
  <c r="E157" i="174"/>
  <c r="D157" i="174"/>
  <c r="F156" i="174"/>
  <c r="P156" i="174" s="1"/>
  <c r="E156" i="174"/>
  <c r="D156" i="174"/>
  <c r="C156" i="174"/>
  <c r="F136" i="174"/>
  <c r="X136" i="174" s="1"/>
  <c r="E136" i="174"/>
  <c r="D136" i="174"/>
  <c r="F135" i="174"/>
  <c r="W135" i="174" s="1"/>
  <c r="E135" i="174"/>
  <c r="D135" i="174"/>
  <c r="F134" i="174"/>
  <c r="V134" i="174" s="1"/>
  <c r="E134" i="174"/>
  <c r="D134" i="174"/>
  <c r="F133" i="174"/>
  <c r="U133" i="174" s="1"/>
  <c r="E133" i="174"/>
  <c r="D133" i="174"/>
  <c r="F132" i="174"/>
  <c r="T132" i="174" s="1"/>
  <c r="E132" i="174"/>
  <c r="D132" i="174"/>
  <c r="F131" i="174"/>
  <c r="S131" i="174" s="1"/>
  <c r="E131" i="174"/>
  <c r="D131" i="174"/>
  <c r="F130" i="174"/>
  <c r="R130" i="174" s="1"/>
  <c r="E130" i="174"/>
  <c r="D130" i="174"/>
  <c r="F129" i="174"/>
  <c r="Q129" i="174" s="1"/>
  <c r="E129" i="174"/>
  <c r="D129" i="174"/>
  <c r="F128" i="174"/>
  <c r="P128" i="174" s="1"/>
  <c r="E128" i="174"/>
  <c r="D128" i="174"/>
  <c r="C128" i="174"/>
  <c r="F108" i="174"/>
  <c r="X108" i="174" s="1"/>
  <c r="E108" i="174"/>
  <c r="F107" i="174"/>
  <c r="W107" i="174" s="1"/>
  <c r="E107" i="174"/>
  <c r="D107" i="174"/>
  <c r="F106" i="174"/>
  <c r="V106" i="174" s="1"/>
  <c r="E106" i="174"/>
  <c r="D106" i="174"/>
  <c r="F105" i="174"/>
  <c r="U105" i="174" s="1"/>
  <c r="E105" i="174"/>
  <c r="D105" i="174"/>
  <c r="F104" i="174"/>
  <c r="T104" i="174" s="1"/>
  <c r="E104" i="174"/>
  <c r="D104" i="174"/>
  <c r="F103" i="174"/>
  <c r="S103" i="174" s="1"/>
  <c r="E103" i="174"/>
  <c r="D103" i="174"/>
  <c r="F102" i="174"/>
  <c r="R102" i="174" s="1"/>
  <c r="E102" i="174"/>
  <c r="D102" i="174"/>
  <c r="F101" i="174"/>
  <c r="Q101" i="174" s="1"/>
  <c r="E101" i="174"/>
  <c r="D101" i="174"/>
  <c r="F100" i="174"/>
  <c r="P100" i="174" s="1"/>
  <c r="E100" i="174"/>
  <c r="D100" i="174"/>
  <c r="C100" i="174"/>
  <c r="C72" i="174"/>
  <c r="F52" i="174"/>
  <c r="X52" i="174" s="1"/>
  <c r="E52" i="174"/>
  <c r="D52" i="174"/>
  <c r="F51" i="174"/>
  <c r="W51" i="174" s="1"/>
  <c r="E51" i="174"/>
  <c r="D51" i="174"/>
  <c r="F50" i="174"/>
  <c r="V50" i="174" s="1"/>
  <c r="E50" i="174"/>
  <c r="D50" i="174"/>
  <c r="F49" i="174"/>
  <c r="U49" i="174" s="1"/>
  <c r="E49" i="174"/>
  <c r="D49" i="174"/>
  <c r="F48" i="174"/>
  <c r="T48" i="174" s="1"/>
  <c r="E48" i="174"/>
  <c r="D48" i="174"/>
  <c r="F47" i="174"/>
  <c r="S47" i="174" s="1"/>
  <c r="E47" i="174"/>
  <c r="D47" i="174"/>
  <c r="F46" i="174"/>
  <c r="R46" i="174" s="1"/>
  <c r="E46" i="174"/>
  <c r="D46" i="174"/>
  <c r="F45" i="174"/>
  <c r="Q45" i="174" s="1"/>
  <c r="E45" i="174"/>
  <c r="D45" i="174"/>
  <c r="F44" i="174"/>
  <c r="P44" i="174" s="1"/>
  <c r="E44" i="174"/>
  <c r="D44" i="174"/>
  <c r="C45" i="174" s="1"/>
  <c r="C44" i="174"/>
  <c r="C18" i="174"/>
  <c r="C19" i="174" s="1"/>
  <c r="F80" i="174"/>
  <c r="X80" i="174" s="1"/>
  <c r="E80" i="174"/>
  <c r="D80" i="174"/>
  <c r="F79" i="174"/>
  <c r="W79" i="174" s="1"/>
  <c r="E79" i="174"/>
  <c r="D79" i="174"/>
  <c r="F78" i="174"/>
  <c r="V78" i="174" s="1"/>
  <c r="E78" i="174"/>
  <c r="D78" i="174"/>
  <c r="F77" i="174"/>
  <c r="U77" i="174" s="1"/>
  <c r="E77" i="174"/>
  <c r="D77" i="174"/>
  <c r="F76" i="174"/>
  <c r="T76" i="174" s="1"/>
  <c r="E76" i="174"/>
  <c r="D76" i="174"/>
  <c r="F75" i="174"/>
  <c r="S75" i="174" s="1"/>
  <c r="E75" i="174"/>
  <c r="D75" i="174"/>
  <c r="F74" i="174"/>
  <c r="R74" i="174" s="1"/>
  <c r="E74" i="174"/>
  <c r="D74" i="174"/>
  <c r="F73" i="174"/>
  <c r="Q73" i="174" s="1"/>
  <c r="E73" i="174"/>
  <c r="D73" i="174"/>
  <c r="F72" i="174"/>
  <c r="P72" i="174" s="1"/>
  <c r="E72" i="174"/>
  <c r="D72" i="174"/>
  <c r="AA30" i="174"/>
  <c r="Z30" i="174"/>
  <c r="Y30" i="174"/>
  <c r="W30" i="174"/>
  <c r="V30" i="174"/>
  <c r="Q30" i="174"/>
  <c r="P30" i="174"/>
  <c r="O30" i="174"/>
  <c r="N30" i="174"/>
  <c r="M30" i="174"/>
  <c r="L30" i="174"/>
  <c r="K30" i="174"/>
  <c r="J30" i="174"/>
  <c r="I30" i="174"/>
  <c r="H30" i="174"/>
  <c r="F30" i="174"/>
  <c r="X30" i="174"/>
  <c r="U30" i="174"/>
  <c r="T30" i="174"/>
  <c r="S30" i="174"/>
  <c r="R30" i="174"/>
  <c r="C241" i="174" l="1"/>
  <c r="C129" i="174"/>
  <c r="C185" i="174"/>
  <c r="E296" i="174"/>
  <c r="E304" i="174"/>
  <c r="E303" i="174"/>
  <c r="E298" i="174"/>
  <c r="F296" i="174"/>
  <c r="P296" i="174" s="1"/>
  <c r="F301" i="174"/>
  <c r="U301" i="174" s="1"/>
  <c r="D296" i="174"/>
  <c r="C20" i="174"/>
  <c r="D298" i="174"/>
  <c r="C21" i="174"/>
  <c r="C22" i="174" s="1"/>
  <c r="F252" i="174"/>
  <c r="C242" i="174"/>
  <c r="C243" i="174" s="1"/>
  <c r="C244" i="174" s="1"/>
  <c r="C245" i="174" s="1"/>
  <c r="C246" i="174" s="1"/>
  <c r="C247" i="174" s="1"/>
  <c r="C248" i="174" s="1"/>
  <c r="C249" i="174" s="1"/>
  <c r="C214" i="174"/>
  <c r="C215" i="174" s="1"/>
  <c r="C216" i="174" s="1"/>
  <c r="C217" i="174" s="1"/>
  <c r="C218" i="174" s="1"/>
  <c r="C219" i="174" s="1"/>
  <c r="C220" i="174" s="1"/>
  <c r="C221" i="174" s="1"/>
  <c r="F302" i="174"/>
  <c r="V302" i="174" s="1"/>
  <c r="C130" i="174"/>
  <c r="C131" i="174" s="1"/>
  <c r="C132" i="174" s="1"/>
  <c r="C133" i="174" s="1"/>
  <c r="C134" i="174" s="1"/>
  <c r="C135" i="174" s="1"/>
  <c r="C136" i="174" s="1"/>
  <c r="C137" i="174" s="1"/>
  <c r="D297" i="174"/>
  <c r="E302" i="174"/>
  <c r="E297" i="174"/>
  <c r="E299" i="174"/>
  <c r="C46" i="174"/>
  <c r="C47" i="174" s="1"/>
  <c r="C48" i="174" s="1"/>
  <c r="C49" i="174" s="1"/>
  <c r="C50" i="174" s="1"/>
  <c r="C51" i="174" s="1"/>
  <c r="C52" i="174" s="1"/>
  <c r="C53" i="174" s="1"/>
  <c r="E300" i="174"/>
  <c r="F299" i="174"/>
  <c r="S299" i="174" s="1"/>
  <c r="C73" i="174"/>
  <c r="C296" i="174"/>
  <c r="C101" i="174"/>
  <c r="C102" i="174" s="1"/>
  <c r="C103" i="174" s="1"/>
  <c r="C104" i="174" s="1"/>
  <c r="C105" i="174" s="1"/>
  <c r="C106" i="174" s="1"/>
  <c r="C107" i="174" s="1"/>
  <c r="C108" i="174" s="1"/>
  <c r="C109" i="174" s="1"/>
  <c r="F298" i="174"/>
  <c r="R298" i="174" s="1"/>
  <c r="F297" i="174"/>
  <c r="Q297" i="174" s="1"/>
  <c r="F303" i="174"/>
  <c r="W303" i="174" s="1"/>
  <c r="C186" i="174"/>
  <c r="C187" i="174" s="1"/>
  <c r="C188" i="174" s="1"/>
  <c r="C189" i="174" s="1"/>
  <c r="C190" i="174" s="1"/>
  <c r="C191" i="174" s="1"/>
  <c r="C192" i="174" s="1"/>
  <c r="C193" i="174" s="1"/>
  <c r="F300" i="174"/>
  <c r="T300" i="174" s="1"/>
  <c r="C157" i="174"/>
  <c r="C158" i="174" s="1"/>
  <c r="C159" i="174" s="1"/>
  <c r="C160" i="174" s="1"/>
  <c r="C161" i="174" s="1"/>
  <c r="C162" i="174" s="1"/>
  <c r="C163" i="174" s="1"/>
  <c r="C164" i="174" s="1"/>
  <c r="C165" i="174" s="1"/>
  <c r="C269" i="174"/>
  <c r="F304" i="174"/>
  <c r="X304" i="174" s="1"/>
  <c r="D299" i="174" l="1"/>
  <c r="C74" i="174"/>
  <c r="C75" i="174" s="1"/>
  <c r="C76" i="174" s="1"/>
  <c r="C77" i="174" s="1"/>
  <c r="C78" i="174" s="1"/>
  <c r="C79" i="174" s="1"/>
  <c r="C80" i="174" s="1"/>
  <c r="C81" i="174" s="1"/>
  <c r="C297" i="174"/>
  <c r="C270" i="174"/>
  <c r="D300" i="174" l="1"/>
  <c r="C23" i="174"/>
  <c r="C298" i="174"/>
  <c r="C271" i="174"/>
  <c r="D301" i="174" l="1"/>
  <c r="C24" i="174"/>
  <c r="C25" i="174" s="1"/>
  <c r="C299" i="174"/>
  <c r="C272" i="174"/>
  <c r="D302" i="174" l="1"/>
  <c r="C300" i="174"/>
  <c r="C273" i="174"/>
  <c r="D303" i="174" l="1"/>
  <c r="C26" i="174"/>
  <c r="C301" i="174"/>
  <c r="C274" i="174"/>
  <c r="C27" i="174" l="1"/>
  <c r="D304" i="174"/>
  <c r="C275" i="174"/>
  <c r="C302" i="174"/>
  <c r="C303" i="174" l="1"/>
  <c r="C276" i="174"/>
  <c r="C277" i="174" l="1"/>
  <c r="C304" i="174"/>
  <c r="C305" i="174" l="1"/>
  <c r="G327" i="154" l="1"/>
  <c r="D327" i="154"/>
  <c r="I326" i="154"/>
  <c r="I325" i="154"/>
  <c r="I324" i="154"/>
  <c r="I323" i="154"/>
  <c r="I320" i="154"/>
  <c r="I319" i="154"/>
  <c r="I318" i="154"/>
  <c r="I317" i="154"/>
  <c r="I316" i="154"/>
  <c r="I315" i="154"/>
  <c r="I314" i="154"/>
  <c r="I313" i="154"/>
  <c r="I312" i="154"/>
  <c r="I311" i="154"/>
  <c r="D297" i="154"/>
  <c r="G297" i="154" s="1"/>
  <c r="D296" i="154"/>
  <c r="G296" i="154" s="1"/>
  <c r="D291" i="154"/>
  <c r="G291" i="154" s="1"/>
  <c r="D282" i="154"/>
  <c r="G282" i="154" s="1"/>
  <c r="D277" i="154"/>
  <c r="G277" i="154" s="1"/>
  <c r="D272" i="154"/>
  <c r="G272" i="154" s="1"/>
  <c r="D266" i="154"/>
  <c r="G266" i="154" s="1"/>
  <c r="D261" i="154"/>
  <c r="G261" i="154" s="1"/>
  <c r="G254" i="154"/>
  <c r="D253" i="154"/>
  <c r="G253" i="154" s="1"/>
  <c r="D247" i="154"/>
  <c r="G247" i="154" s="1"/>
  <c r="D243" i="154"/>
  <c r="G243" i="154" s="1"/>
  <c r="D237" i="154"/>
  <c r="D236" i="154"/>
  <c r="D235" i="154"/>
  <c r="G235" i="154" s="1"/>
  <c r="D231" i="154"/>
  <c r="D300" i="154" l="1"/>
  <c r="G237" i="154"/>
  <c r="G300" i="154" s="1"/>
  <c r="G221" i="154" l="1"/>
  <c r="D221" i="154"/>
  <c r="I215" i="154"/>
  <c r="I214" i="154"/>
  <c r="I213" i="154"/>
  <c r="I212" i="154"/>
  <c r="I209" i="154"/>
  <c r="I208" i="154"/>
  <c r="I207" i="154"/>
  <c r="I206" i="154"/>
  <c r="I205" i="154"/>
  <c r="I204" i="154"/>
  <c r="I203" i="154"/>
  <c r="I202" i="154"/>
  <c r="I201" i="154"/>
  <c r="I200" i="154"/>
  <c r="D180" i="154"/>
  <c r="G180" i="154" s="1"/>
  <c r="G179" i="154"/>
  <c r="G178" i="154"/>
  <c r="D178" i="154"/>
  <c r="D176" i="154"/>
  <c r="G176" i="154" s="1"/>
  <c r="I175" i="154"/>
  <c r="G175" i="154"/>
  <c r="D175" i="154"/>
  <c r="D174" i="154"/>
  <c r="G174" i="154" s="1"/>
  <c r="G173" i="154"/>
  <c r="G172" i="154"/>
  <c r="E172" i="154"/>
  <c r="I173" i="154" s="1"/>
  <c r="D172" i="154"/>
  <c r="D171" i="154"/>
  <c r="G171" i="154" s="1"/>
  <c r="G170" i="154"/>
  <c r="G169" i="154"/>
  <c r="G168" i="154"/>
  <c r="G167" i="154"/>
  <c r="E167" i="154"/>
  <c r="I169" i="154" s="1"/>
  <c r="D167" i="154"/>
  <c r="D166" i="154"/>
  <c r="G166" i="154" s="1"/>
  <c r="I165" i="154"/>
  <c r="G164" i="154"/>
  <c r="G163" i="154"/>
  <c r="E163" i="154"/>
  <c r="I164" i="154" s="1"/>
  <c r="D163" i="154"/>
  <c r="D162" i="154"/>
  <c r="G162" i="154" s="1"/>
  <c r="G161" i="154"/>
  <c r="G160" i="154"/>
  <c r="E160" i="154"/>
  <c r="I161" i="154" s="1"/>
  <c r="D160" i="154"/>
  <c r="D159" i="154"/>
  <c r="G159" i="154" s="1"/>
  <c r="G158" i="154"/>
  <c r="G157" i="154"/>
  <c r="G156" i="154"/>
  <c r="E156" i="154"/>
  <c r="I157" i="154" s="1"/>
  <c r="D156" i="154"/>
  <c r="D155" i="154"/>
  <c r="G155" i="154" s="1"/>
  <c r="G154" i="154"/>
  <c r="G153" i="154"/>
  <c r="G152" i="154"/>
  <c r="G151" i="154"/>
  <c r="E151" i="154"/>
  <c r="I152" i="154" s="1"/>
  <c r="D151" i="154"/>
  <c r="D149" i="154"/>
  <c r="G149" i="154" s="1"/>
  <c r="G148" i="154"/>
  <c r="G147" i="154"/>
  <c r="G146" i="154"/>
  <c r="G145" i="154"/>
  <c r="E145" i="154"/>
  <c r="I148" i="154" s="1"/>
  <c r="D145" i="154"/>
  <c r="D144" i="154"/>
  <c r="G144" i="154" s="1"/>
  <c r="G143" i="154"/>
  <c r="G142" i="154"/>
  <c r="G141" i="154"/>
  <c r="G140" i="154"/>
  <c r="E140" i="154"/>
  <c r="I141" i="154" s="1"/>
  <c r="D140" i="154"/>
  <c r="D138" i="154"/>
  <c r="G138" i="154" s="1"/>
  <c r="G137" i="154"/>
  <c r="E135" i="154"/>
  <c r="I135" i="154" s="1"/>
  <c r="D135" i="154"/>
  <c r="D133" i="154"/>
  <c r="G133" i="154" s="1"/>
  <c r="G132" i="154"/>
  <c r="G131" i="154"/>
  <c r="G130" i="154"/>
  <c r="G129" i="154"/>
  <c r="G128" i="154"/>
  <c r="G127" i="154"/>
  <c r="G126" i="154"/>
  <c r="E126" i="154"/>
  <c r="I130" i="154" s="1"/>
  <c r="D126" i="154"/>
  <c r="I145" i="154" l="1"/>
  <c r="I142" i="154"/>
  <c r="I146" i="154"/>
  <c r="I158" i="154"/>
  <c r="G185" i="154"/>
  <c r="I172" i="154"/>
  <c r="I156" i="154"/>
  <c r="I147" i="154"/>
  <c r="D185" i="154"/>
  <c r="I153" i="154"/>
  <c r="I129" i="154"/>
  <c r="I143" i="154"/>
  <c r="I154" i="154"/>
  <c r="I160" i="154"/>
  <c r="I163" i="154"/>
  <c r="I131" i="154"/>
  <c r="I136" i="154"/>
  <c r="I140" i="154"/>
  <c r="I151" i="154"/>
  <c r="I170" i="154"/>
  <c r="I126" i="154"/>
  <c r="I127" i="154"/>
  <c r="I168" i="154"/>
  <c r="I128" i="154"/>
  <c r="I132" i="154"/>
  <c r="I137" i="154"/>
  <c r="I167" i="154"/>
  <c r="G115" i="154" l="1"/>
  <c r="D115" i="154"/>
  <c r="I111" i="154"/>
  <c r="I110" i="154"/>
  <c r="I109" i="154"/>
  <c r="I108" i="154"/>
  <c r="I106" i="154"/>
  <c r="I105" i="154"/>
  <c r="I104" i="154"/>
  <c r="I103" i="154"/>
  <c r="I102" i="154"/>
  <c r="I101" i="154"/>
  <c r="I100" i="154"/>
  <c r="I99" i="154"/>
  <c r="I98" i="154"/>
  <c r="I97" i="154"/>
  <c r="D7" i="160" l="1"/>
  <c r="E11" i="160"/>
  <c r="E10" i="160"/>
  <c r="E9" i="160"/>
  <c r="E8" i="160"/>
  <c r="E7" i="160"/>
  <c r="E6" i="160"/>
  <c r="G79" i="154" l="1"/>
  <c r="G78" i="154"/>
  <c r="G85" i="154" s="1"/>
  <c r="E78" i="154"/>
  <c r="I78" i="154" s="1"/>
  <c r="D78" i="154"/>
  <c r="D85" i="154" s="1"/>
  <c r="I75" i="154"/>
  <c r="I74" i="154"/>
  <c r="I73" i="154"/>
  <c r="E73" i="154"/>
  <c r="E67" i="154"/>
  <c r="I71" i="154" s="1"/>
  <c r="E61" i="154"/>
  <c r="I63" i="154" s="1"/>
  <c r="E52" i="154"/>
  <c r="I53" i="154" s="1"/>
  <c r="E46" i="154"/>
  <c r="I50" i="154" s="1"/>
  <c r="E38" i="154"/>
  <c r="I42" i="154" s="1"/>
  <c r="E32" i="154"/>
  <c r="I33" i="154" s="1"/>
  <c r="E28" i="154"/>
  <c r="I30" i="154" s="1"/>
  <c r="E24" i="154"/>
  <c r="I25" i="154" s="1"/>
  <c r="E20" i="154"/>
  <c r="I22" i="154" s="1"/>
  <c r="E15" i="154"/>
  <c r="I17" i="154" s="1"/>
  <c r="I55" i="154" l="1"/>
  <c r="I54" i="154"/>
  <c r="I34" i="154"/>
  <c r="I57" i="154"/>
  <c r="I56" i="154"/>
  <c r="I18" i="154"/>
  <c r="I46" i="154"/>
  <c r="I79" i="154"/>
  <c r="I47" i="154"/>
  <c r="I26" i="154"/>
  <c r="I48" i="154"/>
  <c r="I49" i="154"/>
  <c r="I64" i="154"/>
  <c r="I20" i="154"/>
  <c r="I28" i="154"/>
  <c r="I67" i="154"/>
  <c r="I39" i="154"/>
  <c r="I38" i="154"/>
  <c r="I21" i="154"/>
  <c r="I29" i="154"/>
  <c r="I68" i="154"/>
  <c r="I40" i="154"/>
  <c r="I69" i="154"/>
  <c r="I15" i="154"/>
  <c r="I41" i="154"/>
  <c r="I61" i="154"/>
  <c r="I70" i="154"/>
  <c r="I16" i="154"/>
  <c r="I24" i="154"/>
  <c r="I32" i="154"/>
  <c r="I52" i="154"/>
  <c r="I62" i="154"/>
  <c r="D45" i="160" l="1"/>
  <c r="D43" i="160"/>
  <c r="E23" i="160"/>
  <c r="D15" i="160"/>
  <c r="D40" i="160"/>
  <c r="E41" i="160"/>
  <c r="D41" i="160"/>
  <c r="E50" i="160"/>
  <c r="D49" i="160"/>
  <c r="D50" i="160" s="1"/>
  <c r="R330" i="117"/>
  <c r="D56" i="160" l="1"/>
  <c r="P42" i="88" l="1"/>
  <c r="N42" i="88"/>
  <c r="J42" i="88"/>
  <c r="H42" i="88"/>
  <c r="F42" i="88"/>
  <c r="O186" i="88"/>
  <c r="I41" i="88" s="1"/>
  <c r="O100" i="88"/>
  <c r="C50" i="88"/>
  <c r="D59" i="160"/>
  <c r="G23" i="160" l="1"/>
  <c r="G16" i="160"/>
  <c r="G12" i="160"/>
  <c r="G31" i="160"/>
  <c r="E65" i="160"/>
  <c r="E64" i="160"/>
  <c r="D64" i="160"/>
  <c r="E63" i="160"/>
  <c r="D63" i="160"/>
  <c r="E62" i="160"/>
  <c r="D62" i="160"/>
  <c r="E61" i="160"/>
  <c r="E60" i="160"/>
  <c r="D60" i="160"/>
  <c r="E59" i="160"/>
  <c r="E58" i="160"/>
  <c r="E57" i="160"/>
  <c r="E56" i="160"/>
  <c r="E55" i="160"/>
  <c r="E54" i="160"/>
  <c r="E53" i="160"/>
  <c r="E52" i="160"/>
  <c r="E45" i="160"/>
  <c r="E44" i="160"/>
  <c r="E43" i="160"/>
  <c r="E42" i="160"/>
  <c r="D42" i="160"/>
  <c r="E40" i="160"/>
  <c r="E30" i="160"/>
  <c r="E29" i="160"/>
  <c r="E28" i="160"/>
  <c r="E27" i="160"/>
  <c r="E26" i="160"/>
  <c r="E25" i="160"/>
  <c r="E24" i="160"/>
  <c r="E22" i="160"/>
  <c r="E21" i="160"/>
  <c r="E20" i="160"/>
  <c r="E19" i="160"/>
  <c r="E18" i="160"/>
  <c r="G25" i="160" l="1"/>
  <c r="G20" i="160"/>
  <c r="G28" i="160"/>
  <c r="G21" i="160"/>
  <c r="G22" i="160"/>
  <c r="G29" i="160"/>
  <c r="G30" i="160"/>
  <c r="G24" i="160"/>
  <c r="G26" i="160"/>
  <c r="G18" i="160"/>
  <c r="G27" i="160"/>
  <c r="G19" i="160"/>
  <c r="G9" i="160"/>
  <c r="G11" i="160"/>
  <c r="G7" i="160"/>
  <c r="G6" i="160"/>
  <c r="G10" i="160"/>
  <c r="G8" i="160"/>
  <c r="F21" i="158"/>
  <c r="U14" i="96"/>
  <c r="S14" i="96"/>
  <c r="P14" i="96"/>
  <c r="K28" i="96"/>
  <c r="K13" i="96"/>
  <c r="K43" i="96" s="1"/>
  <c r="H28" i="96"/>
  <c r="H13" i="96"/>
  <c r="H43" i="96" s="1"/>
  <c r="E28" i="96"/>
  <c r="E13" i="96"/>
  <c r="E43" i="96" s="1"/>
  <c r="M85" i="73" l="1"/>
  <c r="P85" i="73"/>
  <c r="O85" i="73"/>
  <c r="N85" i="73"/>
  <c r="L95" i="58" l="1"/>
  <c r="D20" i="106" l="1"/>
  <c r="A20" i="122" l="1"/>
  <c r="A21" i="122" s="1"/>
  <c r="A22" i="122" s="1"/>
  <c r="A23" i="122" s="1"/>
  <c r="A24" i="122" s="1"/>
  <c r="A25" i="122" s="1"/>
  <c r="A26" i="122" s="1"/>
  <c r="A27" i="122" s="1"/>
  <c r="A28" i="122" s="1"/>
  <c r="A29" i="122" s="1"/>
  <c r="A30" i="122" s="1"/>
  <c r="A31" i="122" s="1"/>
  <c r="A32" i="122" s="1"/>
  <c r="A33" i="122" s="1"/>
  <c r="A34" i="122" s="1"/>
  <c r="A35" i="122" s="1"/>
  <c r="P318" i="117"/>
  <c r="O318" i="117"/>
  <c r="O319" i="117"/>
  <c r="O164" i="55" l="1"/>
  <c r="O160" i="55"/>
  <c r="O159" i="55"/>
  <c r="O158" i="55"/>
  <c r="O157" i="55"/>
  <c r="O156" i="55"/>
  <c r="M164" i="55"/>
  <c r="M160" i="55"/>
  <c r="M159" i="55"/>
  <c r="M158" i="55"/>
  <c r="M157" i="55"/>
  <c r="M156" i="55"/>
  <c r="J164" i="55"/>
  <c r="J160" i="55"/>
  <c r="J159" i="55"/>
  <c r="J158" i="55"/>
  <c r="J157" i="55"/>
  <c r="J156" i="55"/>
  <c r="D6" i="171" l="1"/>
  <c r="D8" i="171" s="1"/>
  <c r="E4" i="171"/>
  <c r="E6" i="171" s="1"/>
  <c r="E8" i="171" s="1"/>
  <c r="M305" i="82" s="1"/>
  <c r="D4" i="171"/>
  <c r="F8" i="171" l="1"/>
  <c r="P406" i="82" l="1"/>
  <c r="P365" i="82"/>
  <c r="P364" i="82"/>
  <c r="F27" i="122"/>
  <c r="F23" i="122"/>
  <c r="H74" i="67" l="1"/>
  <c r="N27" i="75"/>
  <c r="G38" i="69"/>
  <c r="H49" i="68"/>
  <c r="G49" i="68"/>
  <c r="G26" i="68"/>
  <c r="G43" i="67"/>
  <c r="G20" i="67"/>
  <c r="G74" i="67"/>
  <c r="G15" i="67" l="1"/>
  <c r="I74" i="67"/>
  <c r="G41" i="67"/>
  <c r="G40" i="67"/>
  <c r="G37" i="67"/>
  <c r="G45" i="67"/>
  <c r="G12" i="67"/>
  <c r="G23" i="67"/>
  <c r="G42" i="67"/>
  <c r="G44" i="67"/>
  <c r="G36" i="67"/>
  <c r="G39" i="67"/>
  <c r="G48" i="67"/>
  <c r="G19" i="67"/>
  <c r="G25" i="67"/>
  <c r="G56" i="69"/>
  <c r="G71" i="68"/>
  <c r="G35" i="67"/>
  <c r="N53" i="75"/>
  <c r="G16" i="67"/>
  <c r="G17" i="67"/>
  <c r="G18" i="67"/>
  <c r="G38" i="67"/>
  <c r="G13" i="67"/>
  <c r="G21" i="67"/>
  <c r="G46" i="67"/>
  <c r="G14" i="67"/>
  <c r="G22" i="67"/>
  <c r="O79" i="75"/>
  <c r="G58" i="69" l="1"/>
  <c r="G73" i="68"/>
  <c r="G47" i="67"/>
  <c r="G49" i="67" s="1"/>
  <c r="G51" i="67" s="1"/>
  <c r="O53" i="75"/>
  <c r="O27" i="75"/>
  <c r="P79" i="75"/>
  <c r="F35" i="122"/>
  <c r="Y39" i="99"/>
  <c r="Y40" i="99"/>
  <c r="Y41" i="99"/>
  <c r="Y32" i="99"/>
  <c r="Y33" i="99"/>
  <c r="Y34" i="99"/>
  <c r="Y35" i="99"/>
  <c r="Y36" i="99"/>
  <c r="Y37" i="99"/>
  <c r="Y38" i="99"/>
  <c r="Y28" i="99"/>
  <c r="Y29" i="99"/>
  <c r="Y30" i="99"/>
  <c r="Y31" i="99"/>
  <c r="Y26" i="99"/>
  <c r="Y14" i="99"/>
  <c r="Y15" i="99"/>
  <c r="Y16" i="99"/>
  <c r="Y17" i="99"/>
  <c r="Y18" i="99"/>
  <c r="Y19" i="99"/>
  <c r="C20" i="73"/>
  <c r="K40" i="99"/>
  <c r="A41" i="99"/>
  <c r="A40" i="99"/>
  <c r="A39" i="99"/>
  <c r="A38" i="99"/>
  <c r="A37" i="99"/>
  <c r="A35" i="99"/>
  <c r="A32" i="99"/>
  <c r="A31" i="99"/>
  <c r="A30" i="99"/>
  <c r="A29" i="99"/>
  <c r="A28" i="99"/>
  <c r="A27" i="99"/>
  <c r="K27" i="99" s="1"/>
  <c r="A26" i="99"/>
  <c r="K41" i="101"/>
  <c r="K40" i="101"/>
  <c r="K39" i="101"/>
  <c r="K38" i="101"/>
  <c r="K37" i="101"/>
  <c r="K32" i="101"/>
  <c r="K31" i="101"/>
  <c r="K30" i="101"/>
  <c r="K29" i="101"/>
  <c r="K29" i="99" s="1"/>
  <c r="K28" i="101"/>
  <c r="K26" i="101"/>
  <c r="K35" i="101"/>
  <c r="A20" i="99"/>
  <c r="K41" i="99" l="1"/>
  <c r="K30" i="99"/>
  <c r="K31" i="99"/>
  <c r="K32" i="99"/>
  <c r="K37" i="99"/>
  <c r="K35" i="99"/>
  <c r="K38" i="99"/>
  <c r="K26" i="99"/>
  <c r="K39" i="99"/>
  <c r="P53" i="75"/>
  <c r="K28" i="99"/>
  <c r="K20" i="101"/>
  <c r="K20" i="99" s="1"/>
  <c r="A15" i="99"/>
  <c r="A33" i="99"/>
  <c r="A34" i="99"/>
  <c r="A14" i="99"/>
  <c r="A36" i="99"/>
  <c r="A16" i="99"/>
  <c r="A17" i="99"/>
  <c r="A18" i="99"/>
  <c r="A19" i="99"/>
  <c r="O58" i="58" l="1"/>
  <c r="P58" i="58"/>
  <c r="K19" i="101"/>
  <c r="K19" i="99" s="1"/>
  <c r="K18" i="101"/>
  <c r="K18" i="99" s="1"/>
  <c r="K17" i="101"/>
  <c r="K17" i="99" s="1"/>
  <c r="K34" i="101"/>
  <c r="K34" i="99" s="1"/>
  <c r="K33" i="101"/>
  <c r="K15" i="101"/>
  <c r="K15" i="99" s="1"/>
  <c r="K16" i="101"/>
  <c r="K16" i="99" s="1"/>
  <c r="K36" i="101"/>
  <c r="K36" i="99" s="1"/>
  <c r="K14" i="101"/>
  <c r="K14" i="99" s="1"/>
  <c r="Q58" i="58" l="1"/>
  <c r="K43" i="101"/>
  <c r="K33" i="99"/>
  <c r="J87" i="73" l="1"/>
  <c r="J86" i="73"/>
  <c r="J85" i="73"/>
  <c r="J84" i="73"/>
  <c r="J83" i="73"/>
  <c r="J82" i="73"/>
  <c r="J81" i="73"/>
  <c r="J80" i="73"/>
  <c r="J79" i="73"/>
  <c r="J77" i="73"/>
  <c r="J76" i="73"/>
  <c r="J75" i="73"/>
  <c r="J73" i="73"/>
  <c r="J72" i="73"/>
  <c r="J74" i="73"/>
  <c r="J67" i="73"/>
  <c r="J66" i="73"/>
  <c r="J65" i="73"/>
  <c r="J64" i="73"/>
  <c r="J63" i="73"/>
  <c r="J62" i="73"/>
  <c r="J61" i="73"/>
  <c r="O124" i="88" l="1"/>
  <c r="O144" i="88"/>
  <c r="O146" i="88" l="1"/>
  <c r="I73" i="113" l="1"/>
  <c r="Q405" i="82" l="1"/>
  <c r="G397" i="82"/>
  <c r="G396" i="82"/>
  <c r="G393" i="82"/>
  <c r="G392" i="82"/>
  <c r="Q353" i="82"/>
  <c r="Q354" i="82"/>
  <c r="Q357" i="82"/>
  <c r="Q358" i="82"/>
  <c r="Q363" i="82"/>
  <c r="G363" i="82"/>
  <c r="G357" i="82"/>
  <c r="L257" i="82"/>
  <c r="K257" i="82"/>
  <c r="F257" i="82"/>
  <c r="L256" i="82"/>
  <c r="K256" i="82"/>
  <c r="F256" i="82"/>
  <c r="L255" i="82"/>
  <c r="K255" i="82"/>
  <c r="F255" i="82"/>
  <c r="L254" i="82"/>
  <c r="K254" i="82"/>
  <c r="F254" i="82"/>
  <c r="L253" i="82"/>
  <c r="K253" i="82"/>
  <c r="F253" i="82"/>
  <c r="L252" i="82"/>
  <c r="K252" i="82"/>
  <c r="F252" i="82"/>
  <c r="L251" i="82"/>
  <c r="K251" i="82"/>
  <c r="F251" i="82"/>
  <c r="N250" i="82"/>
  <c r="L250" i="82"/>
  <c r="K250" i="82"/>
  <c r="F250" i="82"/>
  <c r="L249" i="82"/>
  <c r="K249" i="82"/>
  <c r="P248" i="82"/>
  <c r="O248" i="82"/>
  <c r="N248" i="82"/>
  <c r="L248" i="82"/>
  <c r="K248" i="82"/>
  <c r="L247" i="82"/>
  <c r="K247" i="82"/>
  <c r="P246" i="82"/>
  <c r="O246" i="82"/>
  <c r="N246" i="82"/>
  <c r="L246" i="82"/>
  <c r="K246" i="82"/>
  <c r="L245" i="82"/>
  <c r="K245" i="82"/>
  <c r="L244" i="82"/>
  <c r="K244" i="82"/>
  <c r="L243" i="82"/>
  <c r="K243" i="82"/>
  <c r="L242" i="82"/>
  <c r="K242" i="82"/>
  <c r="L241" i="82"/>
  <c r="K241" i="82"/>
  <c r="P240" i="82"/>
  <c r="O240" i="82"/>
  <c r="L240" i="82"/>
  <c r="K240" i="82"/>
  <c r="L237" i="82"/>
  <c r="L234" i="82"/>
  <c r="K234" i="82"/>
  <c r="O233" i="82"/>
  <c r="L233" i="82"/>
  <c r="Q248" i="82" l="1"/>
  <c r="Q246" i="82"/>
  <c r="G326" i="82" l="1"/>
  <c r="G325" i="82"/>
  <c r="G324" i="82"/>
  <c r="G323" i="82"/>
  <c r="G322" i="82"/>
  <c r="G321" i="82"/>
  <c r="G320" i="82"/>
  <c r="G319" i="82"/>
  <c r="G318" i="82"/>
  <c r="G309" i="82"/>
  <c r="G307" i="82"/>
  <c r="G306" i="82"/>
  <c r="G304" i="82"/>
  <c r="G303" i="82"/>
  <c r="P180" i="117"/>
  <c r="L355" i="117"/>
  <c r="L180" i="117" s="1"/>
  <c r="K355" i="117"/>
  <c r="K180" i="117" s="1"/>
  <c r="J355" i="117"/>
  <c r="J180" i="117" s="1"/>
  <c r="I355" i="117"/>
  <c r="I180" i="117" s="1"/>
  <c r="H355" i="117"/>
  <c r="H180" i="117" s="1"/>
  <c r="G355" i="117"/>
  <c r="G180" i="117" s="1"/>
  <c r="F355" i="117"/>
  <c r="F180" i="117" s="1"/>
  <c r="E355" i="117"/>
  <c r="E180" i="117" s="1"/>
  <c r="M355" i="117"/>
  <c r="M180" i="117" s="1"/>
  <c r="P355" i="117"/>
  <c r="O355" i="117"/>
  <c r="O180" i="117" s="1"/>
  <c r="N355" i="117"/>
  <c r="N180" i="117" s="1"/>
  <c r="E178" i="117"/>
  <c r="F178" i="117"/>
  <c r="G178" i="117"/>
  <c r="H178" i="117"/>
  <c r="I178" i="117"/>
  <c r="J178" i="117"/>
  <c r="K178" i="117"/>
  <c r="L178" i="117"/>
  <c r="M178" i="117"/>
  <c r="E179" i="117"/>
  <c r="F179" i="117"/>
  <c r="G179" i="117"/>
  <c r="H179" i="117"/>
  <c r="I179" i="117"/>
  <c r="J179" i="117"/>
  <c r="K179" i="117"/>
  <c r="L179" i="117"/>
  <c r="M179" i="117"/>
  <c r="P354" i="117"/>
  <c r="P179" i="117" s="1"/>
  <c r="N354" i="117"/>
  <c r="N179" i="117" s="1"/>
  <c r="O353" i="117"/>
  <c r="O178" i="117" s="1"/>
  <c r="P353" i="117"/>
  <c r="P178" i="117" s="1"/>
  <c r="N353" i="117"/>
  <c r="N178" i="117" s="1"/>
  <c r="D354" i="117"/>
  <c r="O354" i="117" s="1"/>
  <c r="O179" i="117" s="1"/>
  <c r="P138" i="117"/>
  <c r="O138" i="117"/>
  <c r="O139" i="117"/>
  <c r="Q141" i="117"/>
  <c r="P151" i="117"/>
  <c r="O151" i="117"/>
  <c r="M146" i="117"/>
  <c r="L146" i="117"/>
  <c r="K146" i="117"/>
  <c r="J146" i="117"/>
  <c r="I146" i="117"/>
  <c r="H146" i="117"/>
  <c r="G146" i="117"/>
  <c r="F146" i="117"/>
  <c r="E146" i="117"/>
  <c r="Q180" i="117" l="1"/>
  <c r="F403" i="82" s="1"/>
  <c r="G403" i="82" s="1"/>
  <c r="Q179" i="117"/>
  <c r="F402" i="82" s="1"/>
  <c r="G402" i="82" s="1"/>
  <c r="Q178" i="117"/>
  <c r="F401" i="82" s="1"/>
  <c r="G401" i="82" s="1"/>
  <c r="Q355" i="117"/>
  <c r="Q354" i="117"/>
  <c r="Q353" i="117"/>
  <c r="S28" i="122" l="1"/>
  <c r="S29" i="122"/>
  <c r="S30" i="122"/>
  <c r="P347" i="117"/>
  <c r="P172" i="117" s="1"/>
  <c r="O347" i="117"/>
  <c r="O172" i="117" s="1"/>
  <c r="N347" i="117"/>
  <c r="N172" i="117" s="1"/>
  <c r="M347" i="117"/>
  <c r="M172" i="117" s="1"/>
  <c r="L347" i="117"/>
  <c r="L172" i="117" s="1"/>
  <c r="K347" i="117"/>
  <c r="K172" i="117" s="1"/>
  <c r="J347" i="117"/>
  <c r="J172" i="117" s="1"/>
  <c r="I347" i="117"/>
  <c r="I172" i="117" s="1"/>
  <c r="H347" i="117"/>
  <c r="H172" i="117" s="1"/>
  <c r="G347" i="117"/>
  <c r="G172" i="117" s="1"/>
  <c r="F347" i="117"/>
  <c r="F172" i="117" s="1"/>
  <c r="E347" i="117"/>
  <c r="E172" i="117" s="1"/>
  <c r="P346" i="117"/>
  <c r="P171" i="117" s="1"/>
  <c r="O346" i="117"/>
  <c r="O171" i="117" s="1"/>
  <c r="N346" i="117"/>
  <c r="N171" i="117" s="1"/>
  <c r="M346" i="117"/>
  <c r="M171" i="117" s="1"/>
  <c r="L346" i="117"/>
  <c r="L171" i="117" s="1"/>
  <c r="K346" i="117"/>
  <c r="K171" i="117" s="1"/>
  <c r="J346" i="117"/>
  <c r="J171" i="117" s="1"/>
  <c r="I346" i="117"/>
  <c r="I171" i="117" s="1"/>
  <c r="H346" i="117"/>
  <c r="H171" i="117" s="1"/>
  <c r="G346" i="117"/>
  <c r="G171" i="117" s="1"/>
  <c r="F346" i="117"/>
  <c r="F171" i="117" s="1"/>
  <c r="E346" i="117"/>
  <c r="E171" i="117" s="1"/>
  <c r="Q312" i="117"/>
  <c r="N331" i="117"/>
  <c r="N151" i="117" s="1"/>
  <c r="M331" i="117"/>
  <c r="M151" i="117" s="1"/>
  <c r="L331" i="117"/>
  <c r="L151" i="117" s="1"/>
  <c r="K331" i="117"/>
  <c r="K151" i="117" s="1"/>
  <c r="J331" i="117"/>
  <c r="J151" i="117" s="1"/>
  <c r="I331" i="117"/>
  <c r="I151" i="117" s="1"/>
  <c r="H331" i="117"/>
  <c r="H151" i="117" s="1"/>
  <c r="G331" i="117"/>
  <c r="G151" i="117" s="1"/>
  <c r="F331" i="117"/>
  <c r="F151" i="117" s="1"/>
  <c r="E331" i="117"/>
  <c r="E151" i="117" s="1"/>
  <c r="A320" i="117"/>
  <c r="E320" i="117" s="1"/>
  <c r="E140" i="117" s="1"/>
  <c r="M320" i="117"/>
  <c r="M140" i="117" s="1"/>
  <c r="L320" i="117"/>
  <c r="L140" i="117" s="1"/>
  <c r="P319" i="117"/>
  <c r="P139" i="117" s="1"/>
  <c r="N319" i="117"/>
  <c r="N139" i="117" s="1"/>
  <c r="M319" i="117"/>
  <c r="M139" i="117" s="1"/>
  <c r="L319" i="117"/>
  <c r="L139" i="117" s="1"/>
  <c r="K319" i="117"/>
  <c r="K139" i="117" s="1"/>
  <c r="J319" i="117"/>
  <c r="J139" i="117" s="1"/>
  <c r="I319" i="117"/>
  <c r="I139" i="117" s="1"/>
  <c r="H319" i="117"/>
  <c r="H139" i="117" s="1"/>
  <c r="G319" i="117"/>
  <c r="G139" i="117" s="1"/>
  <c r="F319" i="117"/>
  <c r="E319" i="117"/>
  <c r="E139" i="117" s="1"/>
  <c r="N318" i="117"/>
  <c r="N138" i="117" s="1"/>
  <c r="M318" i="117"/>
  <c r="M138" i="117" s="1"/>
  <c r="L318" i="117"/>
  <c r="L138" i="117" s="1"/>
  <c r="K318" i="117"/>
  <c r="K138" i="117" s="1"/>
  <c r="J318" i="117"/>
  <c r="J138" i="117" s="1"/>
  <c r="I318" i="117"/>
  <c r="I138" i="117" s="1"/>
  <c r="H318" i="117"/>
  <c r="H138" i="117" s="1"/>
  <c r="G318" i="117"/>
  <c r="G138" i="117" s="1"/>
  <c r="F318" i="117"/>
  <c r="F138" i="117" s="1"/>
  <c r="E318" i="117"/>
  <c r="Q321" i="117"/>
  <c r="P317" i="117"/>
  <c r="P137" i="117" s="1"/>
  <c r="O317" i="117"/>
  <c r="O137" i="117" s="1"/>
  <c r="N317" i="117"/>
  <c r="N137" i="117" s="1"/>
  <c r="M317" i="117"/>
  <c r="M137" i="117" s="1"/>
  <c r="L317" i="117"/>
  <c r="L137" i="117" s="1"/>
  <c r="K317" i="117"/>
  <c r="K137" i="117" s="1"/>
  <c r="J317" i="117"/>
  <c r="J137" i="117" s="1"/>
  <c r="I317" i="117"/>
  <c r="I137" i="117" s="1"/>
  <c r="H317" i="117"/>
  <c r="H137" i="117" s="1"/>
  <c r="G317" i="117"/>
  <c r="G137" i="117" s="1"/>
  <c r="F317" i="117"/>
  <c r="F137" i="117" s="1"/>
  <c r="E317" i="117"/>
  <c r="E137" i="117" s="1"/>
  <c r="P326" i="117"/>
  <c r="P146" i="117" s="1"/>
  <c r="O326" i="117"/>
  <c r="O146" i="117" s="1"/>
  <c r="N326" i="117"/>
  <c r="N146" i="117" s="1"/>
  <c r="P325" i="117"/>
  <c r="P145" i="117" s="1"/>
  <c r="O325" i="117"/>
  <c r="O145" i="117" s="1"/>
  <c r="N325" i="117"/>
  <c r="N145" i="117" s="1"/>
  <c r="M325" i="117"/>
  <c r="M145" i="117" s="1"/>
  <c r="L325" i="117"/>
  <c r="L145" i="117" s="1"/>
  <c r="K325" i="117"/>
  <c r="K145" i="117" s="1"/>
  <c r="J325" i="117"/>
  <c r="J145" i="117" s="1"/>
  <c r="I325" i="117"/>
  <c r="I145" i="117" s="1"/>
  <c r="H325" i="117"/>
  <c r="H145" i="117" s="1"/>
  <c r="G325" i="117"/>
  <c r="G145" i="117" s="1"/>
  <c r="F325" i="117"/>
  <c r="F145" i="117" s="1"/>
  <c r="E325" i="117"/>
  <c r="E145" i="117" s="1"/>
  <c r="P343" i="117"/>
  <c r="P168" i="117" s="1"/>
  <c r="O343" i="117"/>
  <c r="O168" i="117" s="1"/>
  <c r="N343" i="117"/>
  <c r="N168" i="117" s="1"/>
  <c r="M343" i="117"/>
  <c r="M168" i="117" s="1"/>
  <c r="L343" i="117"/>
  <c r="L168" i="117" s="1"/>
  <c r="K343" i="117"/>
  <c r="K168" i="117" s="1"/>
  <c r="J343" i="117"/>
  <c r="J168" i="117" s="1"/>
  <c r="I343" i="117"/>
  <c r="I168" i="117" s="1"/>
  <c r="H343" i="117"/>
  <c r="H168" i="117" s="1"/>
  <c r="G343" i="117"/>
  <c r="G168" i="117" s="1"/>
  <c r="F343" i="117"/>
  <c r="F168" i="117" s="1"/>
  <c r="E343" i="117"/>
  <c r="E168" i="117" s="1"/>
  <c r="L104" i="117"/>
  <c r="K104" i="117"/>
  <c r="M104" i="117"/>
  <c r="P104" i="117"/>
  <c r="O104" i="117"/>
  <c r="N104" i="117"/>
  <c r="O111" i="117"/>
  <c r="P111" i="117"/>
  <c r="N111" i="117"/>
  <c r="M111" i="117"/>
  <c r="L111" i="117"/>
  <c r="K111" i="117"/>
  <c r="F317" i="82"/>
  <c r="G317" i="82" s="1"/>
  <c r="F316" i="82"/>
  <c r="G316" i="82" s="1"/>
  <c r="F315" i="82"/>
  <c r="G315" i="82" s="1"/>
  <c r="F314" i="82"/>
  <c r="G314" i="82" s="1"/>
  <c r="Q319" i="117" l="1"/>
  <c r="F139" i="117"/>
  <c r="Q139" i="117" s="1"/>
  <c r="G136" i="117"/>
  <c r="I320" i="117"/>
  <c r="I140" i="117" s="1"/>
  <c r="I136" i="117" s="1"/>
  <c r="A342" i="117"/>
  <c r="Q317" i="117"/>
  <c r="Q151" i="117"/>
  <c r="F361" i="82" s="1"/>
  <c r="G361" i="82" s="1"/>
  <c r="K136" i="117"/>
  <c r="Q318" i="117"/>
  <c r="E138" i="117"/>
  <c r="Q138" i="117" s="1"/>
  <c r="H320" i="117"/>
  <c r="H140" i="117" s="1"/>
  <c r="H136" i="117" s="1"/>
  <c r="Q331" i="117"/>
  <c r="L136" i="117"/>
  <c r="J320" i="117"/>
  <c r="J140" i="117" s="1"/>
  <c r="J136" i="117" s="1"/>
  <c r="F320" i="117"/>
  <c r="F140" i="117" s="1"/>
  <c r="F308" i="82"/>
  <c r="G308" i="82" s="1"/>
  <c r="G320" i="117"/>
  <c r="G140" i="117" s="1"/>
  <c r="Q137" i="117"/>
  <c r="M136" i="117"/>
  <c r="K320" i="117"/>
  <c r="K140" i="117" s="1"/>
  <c r="N320" i="117"/>
  <c r="N140" i="117" s="1"/>
  <c r="N136" i="117" s="1"/>
  <c r="O320" i="117"/>
  <c r="O140" i="117" s="1"/>
  <c r="O136" i="117" s="1"/>
  <c r="P320" i="117"/>
  <c r="P140" i="117" s="1"/>
  <c r="P136" i="117" s="1"/>
  <c r="F311" i="82"/>
  <c r="G311" i="82" s="1"/>
  <c r="F310" i="82"/>
  <c r="G310" i="82" s="1"/>
  <c r="F302" i="82"/>
  <c r="G302" i="82" s="1"/>
  <c r="N255" i="82"/>
  <c r="O255" i="82"/>
  <c r="P255" i="82"/>
  <c r="N256" i="82"/>
  <c r="O256" i="82"/>
  <c r="P256" i="82"/>
  <c r="N257" i="82"/>
  <c r="O257" i="82"/>
  <c r="P257" i="82"/>
  <c r="N254" i="82"/>
  <c r="O254" i="82"/>
  <c r="P254" i="82"/>
  <c r="N253" i="82"/>
  <c r="O253" i="82"/>
  <c r="P253" i="82"/>
  <c r="N252" i="82"/>
  <c r="O252" i="82"/>
  <c r="P252" i="82"/>
  <c r="N251" i="82"/>
  <c r="O251" i="82"/>
  <c r="P251" i="82"/>
  <c r="O250" i="82"/>
  <c r="N249" i="82"/>
  <c r="O249" i="82"/>
  <c r="P249" i="82"/>
  <c r="N247" i="82"/>
  <c r="O247" i="82"/>
  <c r="P247" i="82"/>
  <c r="O245" i="82"/>
  <c r="P245" i="82"/>
  <c r="O244" i="82"/>
  <c r="P244" i="82"/>
  <c r="N243" i="82"/>
  <c r="O243" i="82"/>
  <c r="P243" i="82"/>
  <c r="N242" i="82"/>
  <c r="P242" i="82"/>
  <c r="N241" i="82"/>
  <c r="O241" i="82"/>
  <c r="P241" i="82"/>
  <c r="O237" i="82"/>
  <c r="P237" i="82"/>
  <c r="O234" i="82"/>
  <c r="P234" i="82"/>
  <c r="P233" i="82"/>
  <c r="Q140" i="117" l="1"/>
  <c r="Q27" i="122"/>
  <c r="E136" i="117"/>
  <c r="F136" i="117"/>
  <c r="Q251" i="82"/>
  <c r="Q255" i="82"/>
  <c r="Q247" i="82"/>
  <c r="Q252" i="82"/>
  <c r="Q257" i="82"/>
  <c r="Q243" i="82"/>
  <c r="Q249" i="82"/>
  <c r="Q254" i="82"/>
  <c r="O293" i="82"/>
  <c r="O242" i="82"/>
  <c r="Q242" i="82" s="1"/>
  <c r="Q253" i="82"/>
  <c r="Q241" i="82"/>
  <c r="Q256" i="82"/>
  <c r="Q320" i="117"/>
  <c r="M273" i="82" l="1"/>
  <c r="G284" i="82"/>
  <c r="G250" i="82" s="1"/>
  <c r="G285" i="82"/>
  <c r="G286" i="82"/>
  <c r="G287" i="82"/>
  <c r="G288" i="82"/>
  <c r="G254" i="82" s="1"/>
  <c r="G289" i="82"/>
  <c r="G290" i="82"/>
  <c r="G256" i="82" s="1"/>
  <c r="G291" i="82"/>
  <c r="G292" i="82"/>
  <c r="M292" i="82" s="1"/>
  <c r="E307" i="82"/>
  <c r="D307" i="82"/>
  <c r="E306" i="82"/>
  <c r="D306" i="82"/>
  <c r="E304" i="82"/>
  <c r="D304" i="82"/>
  <c r="E303" i="82"/>
  <c r="D303" i="82"/>
  <c r="C307" i="82"/>
  <c r="C306" i="82"/>
  <c r="C304" i="82"/>
  <c r="C303" i="82"/>
  <c r="Q303" i="82"/>
  <c r="R303" i="82" s="1"/>
  <c r="Q304" i="82"/>
  <c r="R304" i="82" s="1"/>
  <c r="Q306" i="82"/>
  <c r="Q307" i="82"/>
  <c r="R307" i="82" s="1"/>
  <c r="Q309" i="82"/>
  <c r="R309" i="82" s="1"/>
  <c r="Q310" i="82"/>
  <c r="R310" i="82" s="1"/>
  <c r="Q311" i="82"/>
  <c r="R311" i="82" s="1"/>
  <c r="Q314" i="82"/>
  <c r="R314" i="82" s="1"/>
  <c r="Q315" i="82"/>
  <c r="R315" i="82" s="1"/>
  <c r="Q316" i="82"/>
  <c r="R316" i="82" s="1"/>
  <c r="Q317" i="82"/>
  <c r="R317" i="82" s="1"/>
  <c r="Q319" i="82"/>
  <c r="R319" i="82" s="1"/>
  <c r="Q320" i="82"/>
  <c r="R320" i="82" s="1"/>
  <c r="Q321" i="82"/>
  <c r="R321" i="82" s="1"/>
  <c r="Q322" i="82"/>
  <c r="R322" i="82" s="1"/>
  <c r="Q323" i="82"/>
  <c r="R323" i="82" s="1"/>
  <c r="Q324" i="82"/>
  <c r="R324" i="82" s="1"/>
  <c r="Q325" i="82"/>
  <c r="R325" i="82" s="1"/>
  <c r="Q326" i="82"/>
  <c r="R326" i="82" s="1"/>
  <c r="R306" i="82"/>
  <c r="M326" i="82"/>
  <c r="M325" i="82"/>
  <c r="M324" i="82"/>
  <c r="M323" i="82"/>
  <c r="M322" i="82"/>
  <c r="M321" i="82"/>
  <c r="M320" i="82"/>
  <c r="M319" i="82"/>
  <c r="M318" i="82"/>
  <c r="M317" i="82"/>
  <c r="M316" i="82"/>
  <c r="M315" i="82"/>
  <c r="M314" i="82"/>
  <c r="M311" i="82"/>
  <c r="M310" i="82"/>
  <c r="M309" i="82"/>
  <c r="M307" i="82"/>
  <c r="M306" i="82"/>
  <c r="M304" i="82"/>
  <c r="M303" i="82"/>
  <c r="M272" i="82"/>
  <c r="M270" i="82"/>
  <c r="M269" i="82"/>
  <c r="Q269" i="82"/>
  <c r="R269" i="82" s="1"/>
  <c r="Q270" i="82"/>
  <c r="R270" i="82" s="1"/>
  <c r="Q271" i="82"/>
  <c r="Q272" i="82"/>
  <c r="R272" i="82" s="1"/>
  <c r="Q273" i="82"/>
  <c r="R273" i="82" s="1"/>
  <c r="Q274" i="82"/>
  <c r="Q275" i="82"/>
  <c r="Q276" i="82"/>
  <c r="Q277" i="82"/>
  <c r="Q278" i="82"/>
  <c r="Q279" i="82"/>
  <c r="Q280" i="82"/>
  <c r="Q281" i="82"/>
  <c r="Q282" i="82"/>
  <c r="Q283" i="82"/>
  <c r="Q284" i="82"/>
  <c r="Q285" i="82"/>
  <c r="Q286" i="82"/>
  <c r="Q287" i="82"/>
  <c r="Q288" i="82"/>
  <c r="Q289" i="82"/>
  <c r="Q290" i="82"/>
  <c r="Q291" i="82"/>
  <c r="Q292" i="82"/>
  <c r="E291" i="82"/>
  <c r="E325" i="82" s="1"/>
  <c r="E290" i="82"/>
  <c r="E324" i="82" s="1"/>
  <c r="E289" i="82"/>
  <c r="E323" i="82" s="1"/>
  <c r="E288" i="82"/>
  <c r="E322" i="82" s="1"/>
  <c r="E287" i="82"/>
  <c r="E321" i="82" s="1"/>
  <c r="E286" i="82"/>
  <c r="E320" i="82" s="1"/>
  <c r="E285" i="82"/>
  <c r="E319" i="82" s="1"/>
  <c r="E284" i="82"/>
  <c r="E318" i="82" s="1"/>
  <c r="D291" i="82"/>
  <c r="D325" i="82" s="1"/>
  <c r="D290" i="82"/>
  <c r="D324" i="82" s="1"/>
  <c r="D289" i="82"/>
  <c r="D323" i="82" s="1"/>
  <c r="D288" i="82"/>
  <c r="D322" i="82" s="1"/>
  <c r="D287" i="82"/>
  <c r="D321" i="82" s="1"/>
  <c r="D286" i="82"/>
  <c r="D320" i="82" s="1"/>
  <c r="D285" i="82"/>
  <c r="D319" i="82" s="1"/>
  <c r="D284" i="82"/>
  <c r="D318" i="82" s="1"/>
  <c r="C291" i="82"/>
  <c r="C325" i="82" s="1"/>
  <c r="C290" i="82"/>
  <c r="C324" i="82" s="1"/>
  <c r="C289" i="82"/>
  <c r="C323" i="82" s="1"/>
  <c r="C288" i="82"/>
  <c r="C322" i="82" s="1"/>
  <c r="C287" i="82"/>
  <c r="C321" i="82" s="1"/>
  <c r="C286" i="82"/>
  <c r="C320" i="82" s="1"/>
  <c r="C285" i="82"/>
  <c r="C319" i="82" s="1"/>
  <c r="C284" i="82"/>
  <c r="C318" i="82" s="1"/>
  <c r="L327" i="82"/>
  <c r="J327" i="82"/>
  <c r="I327" i="82"/>
  <c r="H327" i="82"/>
  <c r="L293" i="82"/>
  <c r="Q268" i="82"/>
  <c r="P293" i="82"/>
  <c r="N293" i="82"/>
  <c r="J293" i="82"/>
  <c r="I293" i="82"/>
  <c r="H293" i="82"/>
  <c r="M287" i="82" l="1"/>
  <c r="G253" i="82"/>
  <c r="R289" i="82"/>
  <c r="M284" i="82"/>
  <c r="M286" i="82"/>
  <c r="G252" i="82"/>
  <c r="M291" i="82"/>
  <c r="G257" i="82"/>
  <c r="R292" i="82"/>
  <c r="M289" i="82"/>
  <c r="G255" i="82"/>
  <c r="M285" i="82"/>
  <c r="G251" i="82"/>
  <c r="R284" i="82"/>
  <c r="R286" i="82"/>
  <c r="R290" i="82"/>
  <c r="R285" i="82"/>
  <c r="R288" i="82"/>
  <c r="R287" i="82"/>
  <c r="R291" i="82"/>
  <c r="M288" i="82"/>
  <c r="M290" i="82"/>
  <c r="K293" i="82"/>
  <c r="Q267" i="82"/>
  <c r="U108" i="159"/>
  <c r="AA38" i="159" l="1"/>
  <c r="U73" i="159"/>
  <c r="Q293" i="82"/>
  <c r="O40" i="58" s="1"/>
  <c r="V108" i="159" l="1"/>
  <c r="V73" i="159"/>
  <c r="AB38" i="159"/>
  <c r="AC38" i="159" l="1"/>
  <c r="W73" i="159"/>
  <c r="W108" i="159"/>
  <c r="X108" i="159" l="1"/>
  <c r="X73" i="159"/>
  <c r="AD38" i="159"/>
  <c r="Y108" i="159" l="1"/>
  <c r="AE38" i="159"/>
  <c r="Y73" i="159"/>
  <c r="P38" i="159" l="1"/>
  <c r="N62" i="122" s="1"/>
  <c r="AF38" i="159"/>
  <c r="AG38" i="159" s="1"/>
  <c r="Z73" i="159"/>
  <c r="Z108" i="159"/>
  <c r="AA108" i="159" l="1"/>
  <c r="AA73" i="159"/>
  <c r="AB73" i="159" l="1"/>
  <c r="AB108" i="159"/>
  <c r="AC108" i="159" l="1"/>
  <c r="AC73" i="159"/>
  <c r="AD73" i="159" l="1"/>
  <c r="AD108" i="159"/>
  <c r="AE108" i="159" l="1"/>
  <c r="AE73" i="159"/>
  <c r="P108" i="159" l="1"/>
  <c r="S62" i="122" s="1"/>
  <c r="AF108" i="159"/>
  <c r="AG108" i="159" s="1"/>
  <c r="AF73" i="159"/>
  <c r="AG73" i="159" s="1"/>
  <c r="P73" i="159"/>
  <c r="Q62" i="122" s="1"/>
  <c r="AN38" i="159"/>
  <c r="AN36" i="159"/>
  <c r="AN20" i="159"/>
  <c r="AN19" i="159"/>
  <c r="AN17" i="159"/>
  <c r="AN16" i="159"/>
  <c r="AM19" i="159"/>
  <c r="AL38" i="159"/>
  <c r="AK38" i="159"/>
  <c r="AM38" i="159" s="1"/>
  <c r="AL36" i="159"/>
  <c r="AK36" i="159"/>
  <c r="AL22" i="159"/>
  <c r="AK22" i="159"/>
  <c r="AM22" i="159" s="1"/>
  <c r="AL20" i="159"/>
  <c r="AM20" i="159" s="1"/>
  <c r="AK20" i="159"/>
  <c r="AL19" i="159"/>
  <c r="AK19" i="159"/>
  <c r="AL17" i="159"/>
  <c r="AK17" i="159"/>
  <c r="AM17" i="159" s="1"/>
  <c r="AM12" i="159" l="1"/>
  <c r="AM13" i="159"/>
  <c r="AM21" i="159"/>
  <c r="AM25" i="159"/>
  <c r="AM29" i="159"/>
  <c r="AM33" i="159"/>
  <c r="AM14" i="159"/>
  <c r="AM23" i="159"/>
  <c r="AM27" i="159"/>
  <c r="AM31" i="159"/>
  <c r="AM11" i="159"/>
  <c r="AM15" i="159"/>
  <c r="AM24" i="159"/>
  <c r="AM28" i="159"/>
  <c r="AM32" i="159"/>
  <c r="AM36" i="159"/>
  <c r="AM16" i="159"/>
  <c r="AL37" i="159"/>
  <c r="AM26" i="159"/>
  <c r="AM30" i="159"/>
  <c r="AM34" i="159"/>
  <c r="AM35" i="159"/>
  <c r="AL18" i="159"/>
  <c r="AK18" i="159"/>
  <c r="AK37" i="159"/>
  <c r="AM10" i="159"/>
  <c r="AL39" i="159" l="1"/>
  <c r="AM18" i="159"/>
  <c r="AM37" i="159"/>
  <c r="AK39" i="159"/>
  <c r="Q27" i="166"/>
  <c r="Q26" i="166"/>
  <c r="Q25" i="166"/>
  <c r="Q24" i="166"/>
  <c r="Q23" i="166"/>
  <c r="Q22" i="166"/>
  <c r="Q21" i="166"/>
  <c r="Q20" i="166"/>
  <c r="Q19" i="166"/>
  <c r="Q18" i="166"/>
  <c r="Q17" i="166"/>
  <c r="Q11" i="166"/>
  <c r="Q10" i="166"/>
  <c r="Q9" i="166"/>
  <c r="Q8" i="166"/>
  <c r="Q6" i="166"/>
  <c r="AM39" i="159" l="1"/>
  <c r="AG87" i="159"/>
  <c r="AG52" i="159"/>
  <c r="AF51" i="159"/>
  <c r="AE51" i="159"/>
  <c r="AD51" i="159"/>
  <c r="AC51" i="159"/>
  <c r="AB51" i="159"/>
  <c r="AB86" i="159" s="1"/>
  <c r="AA51" i="159"/>
  <c r="AA86" i="159" s="1"/>
  <c r="X27" i="166"/>
  <c r="W27" i="166"/>
  <c r="V27" i="166"/>
  <c r="U27" i="166"/>
  <c r="T27" i="166"/>
  <c r="S27" i="166"/>
  <c r="X26" i="166"/>
  <c r="W26" i="166"/>
  <c r="V26" i="166"/>
  <c r="U26" i="166"/>
  <c r="T26" i="166"/>
  <c r="S26" i="166"/>
  <c r="X25" i="166"/>
  <c r="W25" i="166"/>
  <c r="V25" i="166"/>
  <c r="U25" i="166"/>
  <c r="T25" i="166"/>
  <c r="S25" i="166"/>
  <c r="X24" i="166"/>
  <c r="S24" i="166"/>
  <c r="H24" i="166"/>
  <c r="T24" i="166" s="1"/>
  <c r="G24" i="166"/>
  <c r="U24" i="166" s="1"/>
  <c r="F24" i="166"/>
  <c r="V24" i="166" s="1"/>
  <c r="E24" i="166"/>
  <c r="W24" i="166" s="1"/>
  <c r="D24" i="166"/>
  <c r="S23" i="166"/>
  <c r="H23" i="166"/>
  <c r="T23" i="166" s="1"/>
  <c r="G23" i="166"/>
  <c r="U23" i="166" s="1"/>
  <c r="F23" i="166"/>
  <c r="V23" i="166" s="1"/>
  <c r="E23" i="166"/>
  <c r="W23" i="166" s="1"/>
  <c r="D23" i="166"/>
  <c r="C23" i="166"/>
  <c r="X23" i="166" s="1"/>
  <c r="X22" i="166"/>
  <c r="W22" i="166"/>
  <c r="U22" i="166"/>
  <c r="S22" i="166"/>
  <c r="H22" i="166"/>
  <c r="T22" i="166" s="1"/>
  <c r="F22" i="166"/>
  <c r="V22" i="166" s="1"/>
  <c r="X21" i="166"/>
  <c r="W21" i="166"/>
  <c r="V21" i="166"/>
  <c r="U21" i="166"/>
  <c r="T21" i="166"/>
  <c r="I21" i="166"/>
  <c r="S21" i="166" s="1"/>
  <c r="J20" i="166"/>
  <c r="I20" i="166"/>
  <c r="H20" i="166"/>
  <c r="G20" i="166"/>
  <c r="F20" i="166"/>
  <c r="E20" i="166"/>
  <c r="D20" i="166"/>
  <c r="C20" i="166"/>
  <c r="X19" i="166"/>
  <c r="W19" i="166"/>
  <c r="V19" i="166"/>
  <c r="U19" i="166"/>
  <c r="T19" i="166"/>
  <c r="S19" i="166"/>
  <c r="J18" i="166"/>
  <c r="I18" i="166"/>
  <c r="H18" i="166"/>
  <c r="G18" i="166"/>
  <c r="F18" i="166"/>
  <c r="E18" i="166"/>
  <c r="D18" i="166"/>
  <c r="C18" i="166"/>
  <c r="X17" i="166"/>
  <c r="W17" i="166"/>
  <c r="V17" i="166"/>
  <c r="U17" i="166"/>
  <c r="T17" i="166"/>
  <c r="S17" i="166"/>
  <c r="K28" i="166"/>
  <c r="K13" i="166"/>
  <c r="X12" i="166"/>
  <c r="W12" i="166"/>
  <c r="V12" i="166"/>
  <c r="U12" i="166"/>
  <c r="T12" i="166"/>
  <c r="S12" i="166"/>
  <c r="J11" i="166"/>
  <c r="U11" i="166" s="1"/>
  <c r="I11" i="166"/>
  <c r="H11" i="166"/>
  <c r="X10" i="166"/>
  <c r="W10" i="166"/>
  <c r="V10" i="166"/>
  <c r="U10" i="166"/>
  <c r="T10" i="166"/>
  <c r="S10" i="166"/>
  <c r="X9" i="166"/>
  <c r="W9" i="166"/>
  <c r="V9" i="166"/>
  <c r="U9" i="166"/>
  <c r="T9" i="166"/>
  <c r="S9" i="166"/>
  <c r="X8" i="166"/>
  <c r="W8" i="166"/>
  <c r="V8" i="166"/>
  <c r="U8" i="166"/>
  <c r="T8" i="166"/>
  <c r="S8" i="166"/>
  <c r="J7" i="166"/>
  <c r="I7" i="166"/>
  <c r="H7" i="166"/>
  <c r="G7" i="166"/>
  <c r="G13" i="166" s="1"/>
  <c r="F7" i="166"/>
  <c r="F13" i="166" s="1"/>
  <c r="E7" i="166"/>
  <c r="E13" i="166" s="1"/>
  <c r="D7" i="166"/>
  <c r="D13" i="166" s="1"/>
  <c r="C7" i="166"/>
  <c r="C13" i="166" s="1"/>
  <c r="X6" i="166"/>
  <c r="W6" i="166"/>
  <c r="V6" i="166"/>
  <c r="U6" i="166"/>
  <c r="T6" i="166"/>
  <c r="S6" i="166"/>
  <c r="Q105" i="159"/>
  <c r="Z27" i="166" s="1"/>
  <c r="Q104" i="159"/>
  <c r="Z26" i="166" s="1"/>
  <c r="Q103" i="159"/>
  <c r="Z25" i="166" s="1"/>
  <c r="Q102" i="159"/>
  <c r="Z24" i="166" s="1"/>
  <c r="Q101" i="159"/>
  <c r="Z23" i="166" s="1"/>
  <c r="Q100" i="159"/>
  <c r="Z22" i="166" s="1"/>
  <c r="Q99" i="159"/>
  <c r="Z21" i="166" s="1"/>
  <c r="Q98" i="159"/>
  <c r="Z20" i="166" s="1"/>
  <c r="Q97" i="159"/>
  <c r="Z19" i="166" s="1"/>
  <c r="Q96" i="159"/>
  <c r="Q95" i="159"/>
  <c r="Q94" i="159"/>
  <c r="Q93" i="159"/>
  <c r="Z18" i="166" s="1"/>
  <c r="Q92" i="159"/>
  <c r="Q91" i="159"/>
  <c r="Z17" i="166" s="1"/>
  <c r="Q86" i="159"/>
  <c r="Z12" i="166" s="1"/>
  <c r="Q85" i="159"/>
  <c r="Z11" i="166" s="1"/>
  <c r="Q84" i="159"/>
  <c r="Z10" i="166" s="1"/>
  <c r="Q83" i="159"/>
  <c r="Z9" i="166" s="1"/>
  <c r="Q82" i="159"/>
  <c r="Z8" i="166" s="1"/>
  <c r="Q80" i="159"/>
  <c r="Z6" i="166" s="1"/>
  <c r="I57" i="159"/>
  <c r="I92" i="159" s="1"/>
  <c r="H57" i="159"/>
  <c r="G57" i="159"/>
  <c r="G92" i="159" s="1"/>
  <c r="F57" i="159"/>
  <c r="F92" i="159" s="1"/>
  <c r="E57" i="159"/>
  <c r="E92" i="159" s="1"/>
  <c r="D57" i="159"/>
  <c r="D92" i="159" s="1"/>
  <c r="H92" i="159" l="1"/>
  <c r="W18" i="166"/>
  <c r="G28" i="166"/>
  <c r="K30" i="166"/>
  <c r="I13" i="166"/>
  <c r="AE86" i="159"/>
  <c r="G30" i="166"/>
  <c r="I28" i="166"/>
  <c r="AD86" i="159"/>
  <c r="V7" i="166"/>
  <c r="AF86" i="159"/>
  <c r="X11" i="166"/>
  <c r="AC86" i="159"/>
  <c r="S20" i="166"/>
  <c r="X7" i="166"/>
  <c r="T11" i="166"/>
  <c r="D28" i="166"/>
  <c r="W20" i="166"/>
  <c r="X20" i="166"/>
  <c r="S11" i="166"/>
  <c r="T20" i="166"/>
  <c r="V11" i="166"/>
  <c r="E28" i="166"/>
  <c r="V20" i="166"/>
  <c r="W7" i="166"/>
  <c r="U20" i="166"/>
  <c r="H13" i="166"/>
  <c r="W11" i="166"/>
  <c r="F28" i="166"/>
  <c r="F30" i="166" s="1"/>
  <c r="D30" i="166"/>
  <c r="E30" i="166"/>
  <c r="I30" i="166"/>
  <c r="U7" i="166"/>
  <c r="X18" i="166"/>
  <c r="S18" i="166"/>
  <c r="H28" i="166"/>
  <c r="H30" i="166" s="1"/>
  <c r="T18" i="166"/>
  <c r="U18" i="166"/>
  <c r="J28" i="166"/>
  <c r="S7" i="166"/>
  <c r="J13" i="166"/>
  <c r="V18" i="166"/>
  <c r="C28" i="166"/>
  <c r="C30" i="166" s="1"/>
  <c r="T7" i="166"/>
  <c r="S28" i="166" l="1"/>
  <c r="J30" i="166"/>
  <c r="X28" i="166"/>
  <c r="W28" i="166"/>
  <c r="V28" i="166"/>
  <c r="U28" i="166"/>
  <c r="T28" i="166"/>
  <c r="X13" i="166"/>
  <c r="W13" i="166"/>
  <c r="V13" i="166"/>
  <c r="U13" i="166"/>
  <c r="T13" i="166"/>
  <c r="S13" i="166"/>
  <c r="W30" i="166" l="1"/>
  <c r="V30" i="166"/>
  <c r="U30" i="166"/>
  <c r="T30" i="166"/>
  <c r="S30" i="166"/>
  <c r="X30" i="166"/>
  <c r="R38" i="159" l="1"/>
  <c r="U133" i="159"/>
  <c r="U134" i="159"/>
  <c r="V134" i="159" s="1"/>
  <c r="U136" i="159"/>
  <c r="U137" i="159"/>
  <c r="W137" i="159" s="1"/>
  <c r="U139" i="159"/>
  <c r="U151" i="159"/>
  <c r="U152" i="159"/>
  <c r="U154" i="159"/>
  <c r="V154" i="159"/>
  <c r="U156" i="159"/>
  <c r="V156" i="159" s="1"/>
  <c r="G154" i="159"/>
  <c r="H154" i="159"/>
  <c r="G156" i="159"/>
  <c r="H156" i="159"/>
  <c r="G134" i="159"/>
  <c r="H134" i="159"/>
  <c r="G136" i="159"/>
  <c r="H136" i="159"/>
  <c r="G137" i="159"/>
  <c r="H137" i="159"/>
  <c r="D152" i="159"/>
  <c r="G152" i="159" s="1"/>
  <c r="D151" i="159"/>
  <c r="G151" i="159" s="1"/>
  <c r="D139" i="159"/>
  <c r="G139" i="159" s="1"/>
  <c r="D133" i="159"/>
  <c r="G133" i="159" s="1"/>
  <c r="D140" i="159" l="1"/>
  <c r="D130" i="159"/>
  <c r="G130" i="159" s="1"/>
  <c r="D148" i="159"/>
  <c r="G148" i="159" s="1"/>
  <c r="Q155" i="159"/>
  <c r="U145" i="159"/>
  <c r="U128" i="159"/>
  <c r="Z128" i="159" s="1"/>
  <c r="O135" i="159"/>
  <c r="D145" i="159"/>
  <c r="H145" i="159" s="1"/>
  <c r="D131" i="159"/>
  <c r="H131" i="159" s="1"/>
  <c r="P135" i="159"/>
  <c r="V133" i="159"/>
  <c r="L155" i="159"/>
  <c r="T155" i="159"/>
  <c r="D129" i="159"/>
  <c r="H129" i="159" s="1"/>
  <c r="D141" i="159"/>
  <c r="G141" i="159" s="1"/>
  <c r="D153" i="159"/>
  <c r="H153" i="159" s="1"/>
  <c r="I135" i="159"/>
  <c r="Q135" i="159"/>
  <c r="M155" i="159"/>
  <c r="N135" i="159"/>
  <c r="J135" i="159"/>
  <c r="R135" i="159"/>
  <c r="N155" i="159"/>
  <c r="D147" i="159"/>
  <c r="G147" i="159" s="1"/>
  <c r="K135" i="159"/>
  <c r="S135" i="159"/>
  <c r="V139" i="159"/>
  <c r="O155" i="159"/>
  <c r="H130" i="159"/>
  <c r="U129" i="159"/>
  <c r="T135" i="159"/>
  <c r="V137" i="159"/>
  <c r="P155" i="159"/>
  <c r="K155" i="159"/>
  <c r="S155" i="159"/>
  <c r="U147" i="159"/>
  <c r="J155" i="159"/>
  <c r="R155" i="159"/>
  <c r="I155" i="159"/>
  <c r="U153" i="159"/>
  <c r="M135" i="159"/>
  <c r="G140" i="159"/>
  <c r="H152" i="159"/>
  <c r="U140" i="159"/>
  <c r="U149" i="159"/>
  <c r="H133" i="159"/>
  <c r="H151" i="159"/>
  <c r="H140" i="159"/>
  <c r="U144" i="159"/>
  <c r="U148" i="159"/>
  <c r="U138" i="159"/>
  <c r="U142" i="159"/>
  <c r="V136" i="159"/>
  <c r="W136" i="159"/>
  <c r="D143" i="159"/>
  <c r="H143" i="159" s="1"/>
  <c r="U146" i="159"/>
  <c r="H139" i="159"/>
  <c r="M22" i="159" s="1"/>
  <c r="M57" i="159" s="1"/>
  <c r="M92" i="159" s="1"/>
  <c r="U127" i="159"/>
  <c r="V152" i="159"/>
  <c r="U141" i="159"/>
  <c r="L135" i="159"/>
  <c r="D149" i="159"/>
  <c r="H149" i="159" s="1"/>
  <c r="D146" i="159"/>
  <c r="V151" i="159"/>
  <c r="U150" i="159"/>
  <c r="U143" i="159"/>
  <c r="U132" i="159"/>
  <c r="U131" i="159"/>
  <c r="U130" i="159"/>
  <c r="D142" i="159"/>
  <c r="G142" i="159" s="1"/>
  <c r="D150" i="159"/>
  <c r="D144" i="159"/>
  <c r="E155" i="159"/>
  <c r="F155" i="159"/>
  <c r="D138" i="159"/>
  <c r="G138" i="159" s="1"/>
  <c r="D132" i="159"/>
  <c r="G132" i="159" s="1"/>
  <c r="D128" i="159"/>
  <c r="G128" i="159" s="1"/>
  <c r="D127" i="159"/>
  <c r="G127" i="159" s="1"/>
  <c r="F135" i="159"/>
  <c r="E135" i="159"/>
  <c r="V148" i="159" l="1"/>
  <c r="V140" i="159"/>
  <c r="H148" i="159"/>
  <c r="V130" i="159"/>
  <c r="Q157" i="159"/>
  <c r="V131" i="159"/>
  <c r="G145" i="159"/>
  <c r="V141" i="159"/>
  <c r="O157" i="159"/>
  <c r="V147" i="159"/>
  <c r="Y128" i="159"/>
  <c r="H147" i="159"/>
  <c r="I157" i="159"/>
  <c r="G143" i="159"/>
  <c r="S157" i="159"/>
  <c r="V153" i="159"/>
  <c r="G153" i="159"/>
  <c r="V146" i="159"/>
  <c r="V145" i="159"/>
  <c r="W153" i="159"/>
  <c r="N157" i="159"/>
  <c r="G131" i="159"/>
  <c r="P157" i="159"/>
  <c r="M157" i="159"/>
  <c r="T157" i="159"/>
  <c r="H132" i="159"/>
  <c r="U155" i="159"/>
  <c r="W155" i="159" s="1"/>
  <c r="R157" i="159"/>
  <c r="J157" i="159"/>
  <c r="K157" i="159"/>
  <c r="V127" i="159"/>
  <c r="G129" i="159"/>
  <c r="V129" i="159"/>
  <c r="U135" i="159"/>
  <c r="N22" i="159"/>
  <c r="N57" i="159" s="1"/>
  <c r="N92" i="159" s="1"/>
  <c r="V128" i="159"/>
  <c r="H141" i="159"/>
  <c r="Q7" i="166"/>
  <c r="Q81" i="159"/>
  <c r="Z7" i="166" s="1"/>
  <c r="G149" i="159"/>
  <c r="J22" i="159"/>
  <c r="J57" i="159" s="1"/>
  <c r="J92" i="159" s="1"/>
  <c r="K22" i="159"/>
  <c r="K57" i="159" s="1"/>
  <c r="K92" i="159" s="1"/>
  <c r="H128" i="159"/>
  <c r="V143" i="159"/>
  <c r="H127" i="159"/>
  <c r="D135" i="159"/>
  <c r="G135" i="159" s="1"/>
  <c r="H142" i="159"/>
  <c r="L22" i="159"/>
  <c r="L57" i="159" s="1"/>
  <c r="L92" i="159" s="1"/>
  <c r="V142" i="159"/>
  <c r="H138" i="159"/>
  <c r="L157" i="159"/>
  <c r="H146" i="159"/>
  <c r="G146" i="159"/>
  <c r="V132" i="159"/>
  <c r="O22" i="159"/>
  <c r="O57" i="159" s="1"/>
  <c r="O92" i="159" s="1"/>
  <c r="V144" i="159"/>
  <c r="V138" i="159"/>
  <c r="V149" i="159"/>
  <c r="G150" i="159"/>
  <c r="V150" i="159"/>
  <c r="H150" i="159"/>
  <c r="H144" i="159"/>
  <c r="G144" i="159"/>
  <c r="D155" i="159"/>
  <c r="F157" i="159"/>
  <c r="E157" i="159"/>
  <c r="U157" i="159" l="1"/>
  <c r="V135" i="159"/>
  <c r="H135" i="159"/>
  <c r="D157" i="159"/>
  <c r="G157" i="159" s="1"/>
  <c r="H155" i="159"/>
  <c r="V155" i="159"/>
  <c r="G155" i="159"/>
  <c r="H157" i="159" l="1"/>
  <c r="V157" i="159"/>
  <c r="D174" i="117" l="1"/>
  <c r="D173" i="117"/>
  <c r="D170" i="117"/>
  <c r="D169" i="117"/>
  <c r="D148" i="117"/>
  <c r="D147" i="117"/>
  <c r="D144" i="117"/>
  <c r="D143" i="117"/>
  <c r="N98" i="88" l="1"/>
  <c r="M98" i="88"/>
  <c r="L98" i="88"/>
  <c r="K98" i="88"/>
  <c r="J98" i="88"/>
  <c r="I98" i="88"/>
  <c r="H98" i="88"/>
  <c r="G98" i="88"/>
  <c r="F98" i="88"/>
  <c r="E98" i="88"/>
  <c r="D98" i="88"/>
  <c r="N97" i="88"/>
  <c r="M97" i="88"/>
  <c r="L97" i="88"/>
  <c r="K97" i="88"/>
  <c r="J97" i="88"/>
  <c r="I97" i="88"/>
  <c r="H97" i="88"/>
  <c r="G97" i="88"/>
  <c r="F97" i="88"/>
  <c r="E97" i="88"/>
  <c r="D97" i="88"/>
  <c r="N79" i="88"/>
  <c r="M79" i="88"/>
  <c r="L79" i="88"/>
  <c r="K79" i="88"/>
  <c r="J79" i="88"/>
  <c r="I79" i="88"/>
  <c r="H79" i="88"/>
  <c r="G79" i="88"/>
  <c r="F79" i="88"/>
  <c r="E79" i="88"/>
  <c r="D79" i="88"/>
  <c r="C98" i="88"/>
  <c r="C97" i="88"/>
  <c r="C79" i="88"/>
  <c r="O74" i="88"/>
  <c r="O97" i="88" l="1"/>
  <c r="O98" i="88"/>
  <c r="D75" i="88"/>
  <c r="F75" i="88"/>
  <c r="J101" i="88"/>
  <c r="N75" i="88"/>
  <c r="G101" i="88"/>
  <c r="G103" i="88" s="1"/>
  <c r="E101" i="88"/>
  <c r="M101" i="88"/>
  <c r="H101" i="88"/>
  <c r="C101" i="88"/>
  <c r="K101" i="88"/>
  <c r="F101" i="88"/>
  <c r="N101" i="88"/>
  <c r="N103" i="88" s="1"/>
  <c r="I101" i="88"/>
  <c r="D101" i="88"/>
  <c r="L101" i="88"/>
  <c r="K75" i="88"/>
  <c r="O94" i="88"/>
  <c r="D37" i="72" s="1"/>
  <c r="G75" i="88"/>
  <c r="J75" i="88"/>
  <c r="O69" i="88"/>
  <c r="D16" i="88" s="1"/>
  <c r="L75" i="88"/>
  <c r="E75" i="88"/>
  <c r="M75" i="88"/>
  <c r="H75" i="88"/>
  <c r="I75" i="88"/>
  <c r="O93" i="88"/>
  <c r="D36" i="72" s="1"/>
  <c r="O99" i="88"/>
  <c r="D42" i="72" s="1"/>
  <c r="O91" i="88"/>
  <c r="D34" i="72" s="1"/>
  <c r="O92" i="88"/>
  <c r="D35" i="72" s="1"/>
  <c r="O95" i="88"/>
  <c r="D38" i="72" s="1"/>
  <c r="I103" i="88" l="1"/>
  <c r="D103" i="88"/>
  <c r="J103" i="88"/>
  <c r="F103" i="88"/>
  <c r="K103" i="88"/>
  <c r="E103" i="88"/>
  <c r="L103" i="88"/>
  <c r="M103" i="88"/>
  <c r="H103" i="88"/>
  <c r="D15" i="72"/>
  <c r="K27" i="102"/>
  <c r="K20" i="102"/>
  <c r="I52" i="103"/>
  <c r="F52" i="103"/>
  <c r="E52" i="103"/>
  <c r="D52" i="103"/>
  <c r="I52" i="102"/>
  <c r="F52" i="102"/>
  <c r="E52" i="102"/>
  <c r="D52" i="102"/>
  <c r="J52" i="99"/>
  <c r="I52" i="99"/>
  <c r="H52" i="99"/>
  <c r="G52" i="99"/>
  <c r="F52" i="99"/>
  <c r="E52" i="99"/>
  <c r="D52" i="99"/>
  <c r="H52" i="101"/>
  <c r="L27" i="99"/>
  <c r="L27" i="101" l="1"/>
  <c r="L20" i="101"/>
  <c r="Q84" i="73"/>
  <c r="N208" i="88" l="1"/>
  <c r="M208" i="88"/>
  <c r="L208" i="88"/>
  <c r="K208" i="88"/>
  <c r="J208" i="88"/>
  <c r="I86" i="72" l="1"/>
  <c r="I208" i="88"/>
  <c r="S81" i="159"/>
  <c r="S82" i="159" s="1"/>
  <c r="S83" i="159" s="1"/>
  <c r="S84" i="159" s="1"/>
  <c r="S85" i="159" s="1"/>
  <c r="S86" i="159" s="1"/>
  <c r="S91" i="159" s="1"/>
  <c r="S92" i="159" s="1"/>
  <c r="S93" i="159" s="1"/>
  <c r="S94" i="159" s="1"/>
  <c r="S95" i="159" s="1"/>
  <c r="S96" i="159" s="1"/>
  <c r="S97" i="159" s="1"/>
  <c r="S98" i="159" s="1"/>
  <c r="S99" i="159" s="1"/>
  <c r="S100" i="159" s="1"/>
  <c r="S101" i="159" s="1"/>
  <c r="S102" i="159" s="1"/>
  <c r="S103" i="159" s="1"/>
  <c r="S104" i="159" s="1"/>
  <c r="S105" i="159" s="1"/>
  <c r="S106" i="159" s="1"/>
  <c r="S46" i="159"/>
  <c r="S47" i="159" s="1"/>
  <c r="S48" i="159" s="1"/>
  <c r="S49" i="159" s="1"/>
  <c r="S50" i="159" s="1"/>
  <c r="S51" i="159" s="1"/>
  <c r="S56" i="159" s="1"/>
  <c r="S57" i="159" s="1"/>
  <c r="S58" i="159" s="1"/>
  <c r="S59" i="159" s="1"/>
  <c r="S60" i="159" s="1"/>
  <c r="S61" i="159" s="1"/>
  <c r="S62" i="159" s="1"/>
  <c r="S63" i="159" s="1"/>
  <c r="S64" i="159" s="1"/>
  <c r="S65" i="159" s="1"/>
  <c r="S66" i="159" s="1"/>
  <c r="S67" i="159" s="1"/>
  <c r="S68" i="159" s="1"/>
  <c r="S69" i="159" s="1"/>
  <c r="S70" i="159" s="1"/>
  <c r="AF22" i="159"/>
  <c r="AF57" i="159" s="1"/>
  <c r="AF92" i="159" s="1"/>
  <c r="AE22" i="159"/>
  <c r="AE57" i="159" s="1"/>
  <c r="AE92" i="159" s="1"/>
  <c r="AD22" i="159"/>
  <c r="AD57" i="159" s="1"/>
  <c r="AD92" i="159" s="1"/>
  <c r="AC22" i="159"/>
  <c r="AC57" i="159" s="1"/>
  <c r="AC92" i="159" s="1"/>
  <c r="AB22" i="159"/>
  <c r="AB57" i="159" s="1"/>
  <c r="AB92" i="159" s="1"/>
  <c r="AA22" i="159"/>
  <c r="Z22" i="159"/>
  <c r="Z57" i="159" s="1"/>
  <c r="Z92" i="159" s="1"/>
  <c r="Y22" i="159"/>
  <c r="Y57" i="159" s="1"/>
  <c r="Y92" i="159" s="1"/>
  <c r="X22" i="159"/>
  <c r="X57" i="159" s="1"/>
  <c r="X92" i="159" s="1"/>
  <c r="W22" i="159"/>
  <c r="W57" i="159" s="1"/>
  <c r="W92" i="159" s="1"/>
  <c r="V22" i="159"/>
  <c r="V57" i="159" s="1"/>
  <c r="V92" i="159" s="1"/>
  <c r="U22" i="159"/>
  <c r="U57" i="159" s="1"/>
  <c r="AG17" i="159"/>
  <c r="S11" i="159"/>
  <c r="S12" i="159" s="1"/>
  <c r="S13" i="159" s="1"/>
  <c r="S14" i="159" s="1"/>
  <c r="S15" i="159" s="1"/>
  <c r="S16" i="159" s="1"/>
  <c r="S21" i="159" s="1"/>
  <c r="S22" i="159" s="1"/>
  <c r="S23" i="159" s="1"/>
  <c r="S24" i="159" s="1"/>
  <c r="S25" i="159" s="1"/>
  <c r="S26" i="159" s="1"/>
  <c r="S27" i="159" s="1"/>
  <c r="S28" i="159" s="1"/>
  <c r="S29" i="159" s="1"/>
  <c r="S30" i="159" s="1"/>
  <c r="S31" i="159" s="1"/>
  <c r="S32" i="159" s="1"/>
  <c r="S33" i="159" s="1"/>
  <c r="S34" i="159" s="1"/>
  <c r="S35" i="159" s="1"/>
  <c r="I214" i="88" l="1"/>
  <c r="AN22" i="159"/>
  <c r="AA57" i="159"/>
  <c r="AA92" i="159" s="1"/>
  <c r="U92" i="159"/>
  <c r="E214" i="88"/>
  <c r="M214" i="88"/>
  <c r="F214" i="88"/>
  <c r="N214" i="88"/>
  <c r="G214" i="88"/>
  <c r="H214" i="88"/>
  <c r="J214" i="88"/>
  <c r="C214" i="88"/>
  <c r="K214" i="88"/>
  <c r="D214" i="88"/>
  <c r="L214" i="88"/>
  <c r="AG92" i="159" l="1"/>
  <c r="AG57" i="159"/>
  <c r="K26" i="88"/>
  <c r="I51" i="159"/>
  <c r="I86" i="159" s="1"/>
  <c r="I50" i="159"/>
  <c r="I85" i="159" s="1"/>
  <c r="I49" i="159"/>
  <c r="I84" i="159" s="1"/>
  <c r="I48" i="159"/>
  <c r="I83" i="159" s="1"/>
  <c r="I47" i="159"/>
  <c r="I82" i="159" s="1"/>
  <c r="I46" i="159"/>
  <c r="I81" i="159" s="1"/>
  <c r="I45" i="159"/>
  <c r="I80" i="159" s="1"/>
  <c r="H51" i="159"/>
  <c r="H86" i="159" s="1"/>
  <c r="H50" i="159"/>
  <c r="H85" i="159" s="1"/>
  <c r="H49" i="159"/>
  <c r="H84" i="159" s="1"/>
  <c r="H48" i="159"/>
  <c r="H83" i="159" s="1"/>
  <c r="H47" i="159"/>
  <c r="H82" i="159" s="1"/>
  <c r="H46" i="159"/>
  <c r="H81" i="159" s="1"/>
  <c r="H45" i="159"/>
  <c r="H80" i="159" s="1"/>
  <c r="G51" i="159"/>
  <c r="G86" i="159" s="1"/>
  <c r="G50" i="159"/>
  <c r="G85" i="159" s="1"/>
  <c r="G49" i="159"/>
  <c r="G84" i="159" s="1"/>
  <c r="G48" i="159"/>
  <c r="G83" i="159" s="1"/>
  <c r="G47" i="159"/>
  <c r="G82" i="159" s="1"/>
  <c r="G46" i="159"/>
  <c r="G81" i="159" s="1"/>
  <c r="G45" i="159"/>
  <c r="G80" i="159" s="1"/>
  <c r="F51" i="159"/>
  <c r="F86" i="159" s="1"/>
  <c r="F50" i="159"/>
  <c r="F85" i="159" s="1"/>
  <c r="F49" i="159"/>
  <c r="F84" i="159" s="1"/>
  <c r="F48" i="159"/>
  <c r="F83" i="159" s="1"/>
  <c r="F47" i="159"/>
  <c r="F82" i="159" s="1"/>
  <c r="F46" i="159"/>
  <c r="F81" i="159" s="1"/>
  <c r="F45" i="159"/>
  <c r="F80" i="159" s="1"/>
  <c r="E51" i="159"/>
  <c r="E86" i="159" s="1"/>
  <c r="E50" i="159"/>
  <c r="E85" i="159" s="1"/>
  <c r="E49" i="159"/>
  <c r="E84" i="159" s="1"/>
  <c r="E48" i="159"/>
  <c r="E83" i="159" s="1"/>
  <c r="E47" i="159"/>
  <c r="E82" i="159" s="1"/>
  <c r="E46" i="159"/>
  <c r="E81" i="159" s="1"/>
  <c r="E45" i="159"/>
  <c r="E80" i="159" s="1"/>
  <c r="D46" i="159" l="1"/>
  <c r="D81" i="159" s="1"/>
  <c r="O11" i="159"/>
  <c r="O46" i="159" s="1"/>
  <c r="O81" i="159" s="1"/>
  <c r="L11" i="159"/>
  <c r="L46" i="159" s="1"/>
  <c r="L81" i="159" s="1"/>
  <c r="K11" i="159"/>
  <c r="K46" i="159" s="1"/>
  <c r="K81" i="159" s="1"/>
  <c r="N11" i="159"/>
  <c r="N46" i="159" s="1"/>
  <c r="N81" i="159" s="1"/>
  <c r="J11" i="159"/>
  <c r="J46" i="159" s="1"/>
  <c r="J81" i="159" s="1"/>
  <c r="M11" i="159"/>
  <c r="M46" i="159" s="1"/>
  <c r="M81" i="159" s="1"/>
  <c r="D50" i="159"/>
  <c r="D85" i="159" s="1"/>
  <c r="O15" i="159"/>
  <c r="O50" i="159" s="1"/>
  <c r="O85" i="159" s="1"/>
  <c r="K15" i="159"/>
  <c r="K50" i="159" s="1"/>
  <c r="K85" i="159" s="1"/>
  <c r="N15" i="159"/>
  <c r="N50" i="159" s="1"/>
  <c r="N85" i="159" s="1"/>
  <c r="J15" i="159"/>
  <c r="J50" i="159" s="1"/>
  <c r="J85" i="159" s="1"/>
  <c r="M15" i="159"/>
  <c r="M50" i="159" s="1"/>
  <c r="M85" i="159" s="1"/>
  <c r="L15" i="159"/>
  <c r="L50" i="159" s="1"/>
  <c r="L85" i="159" s="1"/>
  <c r="D47" i="159"/>
  <c r="D82" i="159" s="1"/>
  <c r="J12" i="159"/>
  <c r="J47" i="159" s="1"/>
  <c r="J82" i="159" s="1"/>
  <c r="M12" i="159"/>
  <c r="M47" i="159" s="1"/>
  <c r="M82" i="159" s="1"/>
  <c r="N12" i="159"/>
  <c r="N47" i="159" s="1"/>
  <c r="N82" i="159" s="1"/>
  <c r="O12" i="159"/>
  <c r="O47" i="159" s="1"/>
  <c r="O82" i="159" s="1"/>
  <c r="L12" i="159"/>
  <c r="L47" i="159" s="1"/>
  <c r="L82" i="159" s="1"/>
  <c r="K12" i="159"/>
  <c r="K47" i="159" s="1"/>
  <c r="K82" i="159" s="1"/>
  <c r="D51" i="159"/>
  <c r="D86" i="159" s="1"/>
  <c r="L16" i="159"/>
  <c r="L51" i="159" s="1"/>
  <c r="L86" i="159" s="1"/>
  <c r="N16" i="159"/>
  <c r="N51" i="159" s="1"/>
  <c r="N86" i="159" s="1"/>
  <c r="M16" i="159"/>
  <c r="M51" i="159" s="1"/>
  <c r="M86" i="159" s="1"/>
  <c r="K16" i="159"/>
  <c r="K51" i="159" s="1"/>
  <c r="K86" i="159" s="1"/>
  <c r="J16" i="159"/>
  <c r="J51" i="159" s="1"/>
  <c r="J86" i="159" s="1"/>
  <c r="O16" i="159"/>
  <c r="O51" i="159" s="1"/>
  <c r="O86" i="159" s="1"/>
  <c r="D45" i="159"/>
  <c r="N10" i="159"/>
  <c r="M10" i="159"/>
  <c r="O10" i="159"/>
  <c r="L10" i="159"/>
  <c r="K10" i="159"/>
  <c r="J10" i="159"/>
  <c r="D48" i="159"/>
  <c r="D83" i="159" s="1"/>
  <c r="L13" i="159"/>
  <c r="L48" i="159" s="1"/>
  <c r="L83" i="159" s="1"/>
  <c r="N13" i="159"/>
  <c r="N48" i="159" s="1"/>
  <c r="N83" i="159" s="1"/>
  <c r="M13" i="159"/>
  <c r="M48" i="159" s="1"/>
  <c r="M83" i="159" s="1"/>
  <c r="K13" i="159"/>
  <c r="K48" i="159" s="1"/>
  <c r="K83" i="159" s="1"/>
  <c r="J13" i="159"/>
  <c r="J48" i="159" s="1"/>
  <c r="J83" i="159" s="1"/>
  <c r="O13" i="159"/>
  <c r="O48" i="159" s="1"/>
  <c r="O83" i="159" s="1"/>
  <c r="D49" i="159"/>
  <c r="D84" i="159" s="1"/>
  <c r="N14" i="159"/>
  <c r="N49" i="159" s="1"/>
  <c r="N84" i="159" s="1"/>
  <c r="J14" i="159"/>
  <c r="J49" i="159" s="1"/>
  <c r="J84" i="159" s="1"/>
  <c r="M14" i="159"/>
  <c r="M49" i="159" s="1"/>
  <c r="M84" i="159" s="1"/>
  <c r="O14" i="159"/>
  <c r="O49" i="159" s="1"/>
  <c r="O84" i="159" s="1"/>
  <c r="L14" i="159"/>
  <c r="L49" i="159" s="1"/>
  <c r="L84" i="159" s="1"/>
  <c r="K14" i="159"/>
  <c r="K49" i="159" s="1"/>
  <c r="K84" i="159" s="1"/>
  <c r="H18" i="159"/>
  <c r="E18" i="159"/>
  <c r="G18" i="159"/>
  <c r="F18" i="159"/>
  <c r="I18" i="159"/>
  <c r="D80" i="159" l="1"/>
  <c r="D53" i="159"/>
  <c r="Z48" i="159"/>
  <c r="Z83" i="159" s="1"/>
  <c r="Y47" i="159"/>
  <c r="Z50" i="159"/>
  <c r="Z85" i="159" s="1"/>
  <c r="Y48" i="159"/>
  <c r="Y83" i="159" s="1"/>
  <c r="X47" i="159"/>
  <c r="X82" i="159" s="1"/>
  <c r="X51" i="159"/>
  <c r="X86" i="159" s="1"/>
  <c r="Z49" i="159"/>
  <c r="Z84" i="159" s="1"/>
  <c r="X46" i="159"/>
  <c r="X81" i="159" s="1"/>
  <c r="Z51" i="159"/>
  <c r="Z86" i="159" s="1"/>
  <c r="X48" i="159"/>
  <c r="X83" i="159" s="1"/>
  <c r="Y50" i="159"/>
  <c r="Y85" i="159" s="1"/>
  <c r="J45" i="159"/>
  <c r="J80" i="159" s="1"/>
  <c r="J18" i="159"/>
  <c r="O45" i="159"/>
  <c r="O80" i="159" s="1"/>
  <c r="O18" i="159"/>
  <c r="Y49" i="159"/>
  <c r="Y84" i="159" s="1"/>
  <c r="X49" i="159"/>
  <c r="Y51" i="159"/>
  <c r="Y86" i="159" s="1"/>
  <c r="Z46" i="159"/>
  <c r="Z81" i="159" s="1"/>
  <c r="K45" i="159"/>
  <c r="K80" i="159" s="1"/>
  <c r="K18" i="159"/>
  <c r="Y46" i="159"/>
  <c r="Y81" i="159" s="1"/>
  <c r="M45" i="159"/>
  <c r="M80" i="159" s="1"/>
  <c r="M18" i="159"/>
  <c r="N45" i="159"/>
  <c r="N80" i="159" s="1"/>
  <c r="N18" i="159"/>
  <c r="X50" i="159"/>
  <c r="X85" i="159" s="1"/>
  <c r="Z47" i="159"/>
  <c r="L45" i="159"/>
  <c r="L80" i="159" s="1"/>
  <c r="L18" i="159"/>
  <c r="G208" i="88"/>
  <c r="H203" i="88"/>
  <c r="H204" i="88"/>
  <c r="F206" i="88"/>
  <c r="Z45" i="159"/>
  <c r="Z80" i="159" s="1"/>
  <c r="F207" i="88"/>
  <c r="F208" i="88"/>
  <c r="G203" i="88"/>
  <c r="H205" i="88"/>
  <c r="H208" i="88"/>
  <c r="G204" i="88"/>
  <c r="H206" i="88"/>
  <c r="F203" i="88"/>
  <c r="G205" i="88"/>
  <c r="H207" i="88"/>
  <c r="F204" i="88"/>
  <c r="G206" i="88"/>
  <c r="F205" i="88"/>
  <c r="G207" i="88"/>
  <c r="X45" i="159" l="1"/>
  <c r="X80" i="159" s="1"/>
  <c r="Y45" i="159"/>
  <c r="Y80" i="159" s="1"/>
  <c r="W48" i="159"/>
  <c r="W83" i="159" s="1"/>
  <c r="Y82" i="159"/>
  <c r="X84" i="159"/>
  <c r="W46" i="159"/>
  <c r="W81" i="159" s="1"/>
  <c r="W49" i="159"/>
  <c r="Z53" i="159"/>
  <c r="Z82" i="159"/>
  <c r="Z88" i="159" s="1"/>
  <c r="W47" i="159"/>
  <c r="W82" i="159" s="1"/>
  <c r="W50" i="159"/>
  <c r="W85" i="159" s="1"/>
  <c r="W51" i="159"/>
  <c r="W86" i="159" s="1"/>
  <c r="X18" i="159"/>
  <c r="Z18" i="159"/>
  <c r="E204" i="88"/>
  <c r="E205" i="88"/>
  <c r="E206" i="88"/>
  <c r="G202" i="88"/>
  <c r="G210" i="88" s="1"/>
  <c r="Y18" i="159"/>
  <c r="E203" i="88"/>
  <c r="E207" i="88"/>
  <c r="E208" i="88"/>
  <c r="H202" i="88"/>
  <c r="H210" i="88" s="1"/>
  <c r="F202" i="88"/>
  <c r="F210" i="88" s="1"/>
  <c r="Y88" i="159" l="1"/>
  <c r="Y53" i="159"/>
  <c r="X88" i="159"/>
  <c r="X53" i="159"/>
  <c r="V49" i="159"/>
  <c r="V84" i="159" s="1"/>
  <c r="V48" i="159"/>
  <c r="V83" i="159" s="1"/>
  <c r="V50" i="159"/>
  <c r="V85" i="159" s="1"/>
  <c r="W84" i="159"/>
  <c r="V51" i="159"/>
  <c r="V86" i="159" s="1"/>
  <c r="W45" i="159"/>
  <c r="V46" i="159"/>
  <c r="V47" i="159"/>
  <c r="V82" i="159" s="1"/>
  <c r="D207" i="88"/>
  <c r="W18" i="159"/>
  <c r="E202" i="88"/>
  <c r="E210" i="88" s="1"/>
  <c r="D204" i="88"/>
  <c r="D208" i="88"/>
  <c r="D203" i="88"/>
  <c r="D205" i="88"/>
  <c r="D206" i="88"/>
  <c r="U51" i="159" l="1"/>
  <c r="V81" i="159"/>
  <c r="V45" i="159"/>
  <c r="U50" i="159"/>
  <c r="W80" i="159"/>
  <c r="W88" i="159" s="1"/>
  <c r="W53" i="159"/>
  <c r="U46" i="159"/>
  <c r="U81" i="159" s="1"/>
  <c r="U48" i="159"/>
  <c r="U49" i="159"/>
  <c r="U47" i="159"/>
  <c r="C203" i="88"/>
  <c r="AH11" i="159"/>
  <c r="C204" i="88"/>
  <c r="AH12" i="159"/>
  <c r="C205" i="88"/>
  <c r="AH13" i="159"/>
  <c r="C206" i="88"/>
  <c r="AH14" i="159"/>
  <c r="V18" i="159"/>
  <c r="D202" i="88"/>
  <c r="D210" i="88" s="1"/>
  <c r="C207" i="88"/>
  <c r="AH15" i="159"/>
  <c r="C208" i="88"/>
  <c r="AG16" i="159"/>
  <c r="V53" i="159" l="1"/>
  <c r="V80" i="159"/>
  <c r="V88" i="159" s="1"/>
  <c r="U85" i="159"/>
  <c r="U83" i="159"/>
  <c r="U45" i="159"/>
  <c r="U82" i="159"/>
  <c r="AG51" i="159"/>
  <c r="U86" i="159"/>
  <c r="AG86" i="159" s="1"/>
  <c r="U84" i="159"/>
  <c r="N167" i="88"/>
  <c r="C202" i="88"/>
  <c r="C210" i="88" s="1"/>
  <c r="AH10" i="159"/>
  <c r="U18" i="159"/>
  <c r="J34" i="159"/>
  <c r="K34" i="159" s="1"/>
  <c r="L34" i="159" s="1"/>
  <c r="M34" i="159" s="1"/>
  <c r="N34" i="159" s="1"/>
  <c r="O34" i="159" s="1"/>
  <c r="N187" i="88" l="1"/>
  <c r="V23" i="159"/>
  <c r="D215" i="88" s="1"/>
  <c r="E58" i="159"/>
  <c r="E93" i="159" s="1"/>
  <c r="V31" i="159"/>
  <c r="D223" i="88" s="1"/>
  <c r="E66" i="159"/>
  <c r="E101" i="159" s="1"/>
  <c r="U26" i="159"/>
  <c r="C218" i="88" s="1"/>
  <c r="D61" i="159"/>
  <c r="D96" i="159" s="1"/>
  <c r="L26" i="159"/>
  <c r="L61" i="159" s="1"/>
  <c r="L96" i="159" s="1"/>
  <c r="O26" i="159"/>
  <c r="O61" i="159" s="1"/>
  <c r="O96" i="159" s="1"/>
  <c r="K26" i="159"/>
  <c r="K61" i="159" s="1"/>
  <c r="K96" i="159" s="1"/>
  <c r="J26" i="159"/>
  <c r="J61" i="159" s="1"/>
  <c r="J96" i="159" s="1"/>
  <c r="N26" i="159"/>
  <c r="N61" i="159" s="1"/>
  <c r="N96" i="159" s="1"/>
  <c r="M26" i="159"/>
  <c r="M61" i="159" s="1"/>
  <c r="M96" i="159" s="1"/>
  <c r="W31" i="159"/>
  <c r="E223" i="88" s="1"/>
  <c r="F66" i="159"/>
  <c r="F101" i="159" s="1"/>
  <c r="V26" i="159"/>
  <c r="E61" i="159"/>
  <c r="E96" i="159" s="1"/>
  <c r="X31" i="159"/>
  <c r="F223" i="88" s="1"/>
  <c r="G66" i="159"/>
  <c r="G101" i="159" s="1"/>
  <c r="U25" i="159"/>
  <c r="C217" i="88" s="1"/>
  <c r="D60" i="159"/>
  <c r="D95" i="159" s="1"/>
  <c r="J25" i="159"/>
  <c r="J60" i="159" s="1"/>
  <c r="J95" i="159" s="1"/>
  <c r="K25" i="159"/>
  <c r="K60" i="159" s="1"/>
  <c r="K95" i="159" s="1"/>
  <c r="L25" i="159"/>
  <c r="L60" i="159" s="1"/>
  <c r="L95" i="159" s="1"/>
  <c r="O25" i="159"/>
  <c r="O60" i="159" s="1"/>
  <c r="O95" i="159" s="1"/>
  <c r="N25" i="159"/>
  <c r="N60" i="159" s="1"/>
  <c r="N95" i="159" s="1"/>
  <c r="M25" i="159"/>
  <c r="M60" i="159" s="1"/>
  <c r="M95" i="159" s="1"/>
  <c r="W30" i="159"/>
  <c r="E222" i="88" s="1"/>
  <c r="F65" i="159"/>
  <c r="F100" i="159" s="1"/>
  <c r="Z23" i="159"/>
  <c r="H215" i="88" s="1"/>
  <c r="I58" i="159"/>
  <c r="I93" i="159" s="1"/>
  <c r="V25" i="159"/>
  <c r="D217" i="88" s="1"/>
  <c r="E60" i="159"/>
  <c r="E95" i="159" s="1"/>
  <c r="X26" i="159"/>
  <c r="G61" i="159"/>
  <c r="G96" i="159" s="1"/>
  <c r="Z27" i="159"/>
  <c r="H219" i="88" s="1"/>
  <c r="I62" i="159"/>
  <c r="I97" i="159" s="1"/>
  <c r="V29" i="159"/>
  <c r="E64" i="159"/>
  <c r="E99" i="159" s="1"/>
  <c r="X30" i="159"/>
  <c r="G65" i="159"/>
  <c r="G100" i="159" s="1"/>
  <c r="Z31" i="159"/>
  <c r="H223" i="88" s="1"/>
  <c r="I66" i="159"/>
  <c r="I101" i="159" s="1"/>
  <c r="V33" i="159"/>
  <c r="D225" i="88" s="1"/>
  <c r="E68" i="159"/>
  <c r="E103" i="159" s="1"/>
  <c r="Z34" i="159"/>
  <c r="H227" i="88" s="1"/>
  <c r="I69" i="159"/>
  <c r="I104" i="159" s="1"/>
  <c r="U53" i="159"/>
  <c r="U80" i="159"/>
  <c r="X28" i="159"/>
  <c r="F220" i="88" s="1"/>
  <c r="G63" i="159"/>
  <c r="G98" i="159" s="1"/>
  <c r="V34" i="159"/>
  <c r="D227" i="88" s="1"/>
  <c r="E69" i="159"/>
  <c r="E104" i="159" s="1"/>
  <c r="Y24" i="159"/>
  <c r="G216" i="88" s="1"/>
  <c r="H59" i="159"/>
  <c r="H94" i="159" s="1"/>
  <c r="U30" i="159"/>
  <c r="D65" i="159"/>
  <c r="D100" i="159" s="1"/>
  <c r="L30" i="159"/>
  <c r="L65" i="159" s="1"/>
  <c r="L100" i="159" s="1"/>
  <c r="N30" i="159"/>
  <c r="N65" i="159" s="1"/>
  <c r="N100" i="159" s="1"/>
  <c r="K30" i="159"/>
  <c r="K65" i="159" s="1"/>
  <c r="K100" i="159" s="1"/>
  <c r="M30" i="159"/>
  <c r="M65" i="159" s="1"/>
  <c r="M100" i="159" s="1"/>
  <c r="J30" i="159"/>
  <c r="J65" i="159" s="1"/>
  <c r="J100" i="159" s="1"/>
  <c r="O30" i="159"/>
  <c r="O65" i="159" s="1"/>
  <c r="O100" i="159" s="1"/>
  <c r="Y35" i="159"/>
  <c r="H70" i="159"/>
  <c r="H105" i="159" s="1"/>
  <c r="X23" i="159"/>
  <c r="F215" i="88" s="1"/>
  <c r="G58" i="159"/>
  <c r="G93" i="159" s="1"/>
  <c r="X27" i="159"/>
  <c r="F219" i="88" s="1"/>
  <c r="G62" i="159"/>
  <c r="G97" i="159" s="1"/>
  <c r="Z32" i="159"/>
  <c r="I67" i="159"/>
  <c r="I102" i="159" s="1"/>
  <c r="Y27" i="159"/>
  <c r="H62" i="159"/>
  <c r="H97" i="159" s="1"/>
  <c r="Y31" i="159"/>
  <c r="G223" i="88" s="1"/>
  <c r="H66" i="159"/>
  <c r="H101" i="159" s="1"/>
  <c r="U24" i="159"/>
  <c r="C216" i="88" s="1"/>
  <c r="D59" i="159"/>
  <c r="D94" i="159" s="1"/>
  <c r="L24" i="159"/>
  <c r="L59" i="159" s="1"/>
  <c r="L94" i="159" s="1"/>
  <c r="J24" i="159"/>
  <c r="J59" i="159" s="1"/>
  <c r="J94" i="159" s="1"/>
  <c r="O24" i="159"/>
  <c r="O59" i="159" s="1"/>
  <c r="O94" i="159" s="1"/>
  <c r="K24" i="159"/>
  <c r="K59" i="159" s="1"/>
  <c r="K94" i="159" s="1"/>
  <c r="N24" i="159"/>
  <c r="N59" i="159" s="1"/>
  <c r="N94" i="159" s="1"/>
  <c r="M24" i="159"/>
  <c r="M59" i="159" s="1"/>
  <c r="M94" i="159" s="1"/>
  <c r="W25" i="159"/>
  <c r="E217" i="88" s="1"/>
  <c r="F60" i="159"/>
  <c r="F95" i="159" s="1"/>
  <c r="Y26" i="159"/>
  <c r="G218" i="88" s="1"/>
  <c r="H61" i="159"/>
  <c r="H96" i="159" s="1"/>
  <c r="U28" i="159"/>
  <c r="C220" i="88" s="1"/>
  <c r="D63" i="159"/>
  <c r="D98" i="159" s="1"/>
  <c r="O28" i="159"/>
  <c r="O63" i="159" s="1"/>
  <c r="O98" i="159" s="1"/>
  <c r="L28" i="159"/>
  <c r="L63" i="159" s="1"/>
  <c r="L98" i="159" s="1"/>
  <c r="J28" i="159"/>
  <c r="J63" i="159" s="1"/>
  <c r="J98" i="159" s="1"/>
  <c r="N28" i="159"/>
  <c r="N63" i="159" s="1"/>
  <c r="N98" i="159" s="1"/>
  <c r="K28" i="159"/>
  <c r="K63" i="159" s="1"/>
  <c r="K98" i="159" s="1"/>
  <c r="M28" i="159"/>
  <c r="M63" i="159" s="1"/>
  <c r="M98" i="159" s="1"/>
  <c r="W29" i="159"/>
  <c r="F64" i="159"/>
  <c r="F99" i="159" s="1"/>
  <c r="Y30" i="159"/>
  <c r="H65" i="159"/>
  <c r="H100" i="159" s="1"/>
  <c r="U32" i="159"/>
  <c r="C224" i="88" s="1"/>
  <c r="D67" i="159"/>
  <c r="D102" i="159" s="1"/>
  <c r="O32" i="159"/>
  <c r="O67" i="159" s="1"/>
  <c r="O102" i="159" s="1"/>
  <c r="N32" i="159"/>
  <c r="N67" i="159" s="1"/>
  <c r="N102" i="159" s="1"/>
  <c r="L32" i="159"/>
  <c r="L67" i="159" s="1"/>
  <c r="L102" i="159" s="1"/>
  <c r="K32" i="159"/>
  <c r="K67" i="159" s="1"/>
  <c r="K102" i="159" s="1"/>
  <c r="M32" i="159"/>
  <c r="M67" i="159" s="1"/>
  <c r="M102" i="159" s="1"/>
  <c r="J32" i="159"/>
  <c r="J67" i="159" s="1"/>
  <c r="J102" i="159" s="1"/>
  <c r="W33" i="159"/>
  <c r="E225" i="88" s="1"/>
  <c r="F68" i="159"/>
  <c r="F103" i="159" s="1"/>
  <c r="U35" i="159"/>
  <c r="C228" i="88" s="1"/>
  <c r="D70" i="159"/>
  <c r="D105" i="159" s="1"/>
  <c r="X24" i="159"/>
  <c r="G59" i="159"/>
  <c r="G94" i="159" s="1"/>
  <c r="V27" i="159"/>
  <c r="D219" i="88" s="1"/>
  <c r="E62" i="159"/>
  <c r="E97" i="159" s="1"/>
  <c r="Z29" i="159"/>
  <c r="H221" i="88" s="1"/>
  <c r="I64" i="159"/>
  <c r="I99" i="159" s="1"/>
  <c r="X32" i="159"/>
  <c r="G67" i="159"/>
  <c r="G102" i="159" s="1"/>
  <c r="X35" i="159"/>
  <c r="F228" i="88" s="1"/>
  <c r="G70" i="159"/>
  <c r="G105" i="159" s="1"/>
  <c r="W23" i="159"/>
  <c r="E215" i="88" s="1"/>
  <c r="F58" i="159"/>
  <c r="F93" i="159" s="1"/>
  <c r="Y28" i="159"/>
  <c r="G220" i="88" s="1"/>
  <c r="H63" i="159"/>
  <c r="H98" i="159" s="1"/>
  <c r="Y32" i="159"/>
  <c r="G224" i="88" s="1"/>
  <c r="H67" i="159"/>
  <c r="H102" i="159" s="1"/>
  <c r="Z28" i="159"/>
  <c r="I63" i="159"/>
  <c r="I98" i="159" s="1"/>
  <c r="Z35" i="159"/>
  <c r="H228" i="88" s="1"/>
  <c r="I70" i="159"/>
  <c r="I105" i="159" s="1"/>
  <c r="J35" i="159"/>
  <c r="Y23" i="159"/>
  <c r="G215" i="88" s="1"/>
  <c r="H58" i="159"/>
  <c r="H93" i="159" s="1"/>
  <c r="U29" i="159"/>
  <c r="D64" i="159"/>
  <c r="D99" i="159" s="1"/>
  <c r="J29" i="159"/>
  <c r="J64" i="159" s="1"/>
  <c r="J99" i="159" s="1"/>
  <c r="N29" i="159"/>
  <c r="N64" i="159" s="1"/>
  <c r="N99" i="159" s="1"/>
  <c r="K29" i="159"/>
  <c r="K64" i="159" s="1"/>
  <c r="K99" i="159" s="1"/>
  <c r="M29" i="159"/>
  <c r="M64" i="159" s="1"/>
  <c r="M99" i="159" s="1"/>
  <c r="L29" i="159"/>
  <c r="L64" i="159" s="1"/>
  <c r="L99" i="159" s="1"/>
  <c r="O29" i="159"/>
  <c r="O64" i="159" s="1"/>
  <c r="O99" i="159" s="1"/>
  <c r="Y34" i="159"/>
  <c r="G227" i="88" s="1"/>
  <c r="H69" i="159"/>
  <c r="H104" i="159" s="1"/>
  <c r="V24" i="159"/>
  <c r="E59" i="159"/>
  <c r="E94" i="159" s="1"/>
  <c r="X25" i="159"/>
  <c r="F217" i="88" s="1"/>
  <c r="G60" i="159"/>
  <c r="G95" i="159" s="1"/>
  <c r="Z26" i="159"/>
  <c r="I61" i="159"/>
  <c r="I96" i="159" s="1"/>
  <c r="V28" i="159"/>
  <c r="E63" i="159"/>
  <c r="E98" i="159" s="1"/>
  <c r="X29" i="159"/>
  <c r="F221" i="88" s="1"/>
  <c r="G64" i="159"/>
  <c r="G99" i="159" s="1"/>
  <c r="Z30" i="159"/>
  <c r="H222" i="88" s="1"/>
  <c r="I65" i="159"/>
  <c r="I100" i="159" s="1"/>
  <c r="V32" i="159"/>
  <c r="D224" i="88" s="1"/>
  <c r="E67" i="159"/>
  <c r="E102" i="159" s="1"/>
  <c r="X33" i="159"/>
  <c r="G68" i="159"/>
  <c r="G103" i="159" s="1"/>
  <c r="V35" i="159"/>
  <c r="E70" i="159"/>
  <c r="E105" i="159" s="1"/>
  <c r="Z25" i="159"/>
  <c r="H217" i="88" s="1"/>
  <c r="I60" i="159"/>
  <c r="I95" i="159" s="1"/>
  <c r="W27" i="159"/>
  <c r="E219" i="88" s="1"/>
  <c r="F62" i="159"/>
  <c r="F97" i="159" s="1"/>
  <c r="W34" i="159"/>
  <c r="E227" i="88" s="1"/>
  <c r="F69" i="159"/>
  <c r="F104" i="159" s="1"/>
  <c r="Z24" i="159"/>
  <c r="I59" i="159"/>
  <c r="I94" i="159" s="1"/>
  <c r="V30" i="159"/>
  <c r="E65" i="159"/>
  <c r="E100" i="159" s="1"/>
  <c r="X34" i="159"/>
  <c r="F227" i="88" s="1"/>
  <c r="G69" i="159"/>
  <c r="G104" i="159" s="1"/>
  <c r="W26" i="159"/>
  <c r="E218" i="88" s="1"/>
  <c r="F61" i="159"/>
  <c r="F96" i="159" s="1"/>
  <c r="U33" i="159"/>
  <c r="D68" i="159"/>
  <c r="D103" i="159" s="1"/>
  <c r="U23" i="159"/>
  <c r="C215" i="88" s="1"/>
  <c r="D58" i="159"/>
  <c r="D93" i="159" s="1"/>
  <c r="N23" i="159"/>
  <c r="N58" i="159" s="1"/>
  <c r="N93" i="159" s="1"/>
  <c r="O23" i="159"/>
  <c r="O58" i="159" s="1"/>
  <c r="O93" i="159" s="1"/>
  <c r="M23" i="159"/>
  <c r="M58" i="159" s="1"/>
  <c r="M93" i="159" s="1"/>
  <c r="L23" i="159"/>
  <c r="L58" i="159" s="1"/>
  <c r="L93" i="159" s="1"/>
  <c r="J23" i="159"/>
  <c r="J58" i="159" s="1"/>
  <c r="J93" i="159" s="1"/>
  <c r="K23" i="159"/>
  <c r="K58" i="159" s="1"/>
  <c r="K93" i="159" s="1"/>
  <c r="W24" i="159"/>
  <c r="F59" i="159"/>
  <c r="F94" i="159" s="1"/>
  <c r="Y25" i="159"/>
  <c r="H60" i="159"/>
  <c r="H95" i="159" s="1"/>
  <c r="U27" i="159"/>
  <c r="C219" i="88" s="1"/>
  <c r="D62" i="159"/>
  <c r="D97" i="159" s="1"/>
  <c r="N27" i="159"/>
  <c r="N62" i="159" s="1"/>
  <c r="N97" i="159" s="1"/>
  <c r="M27" i="159"/>
  <c r="M62" i="159" s="1"/>
  <c r="M97" i="159" s="1"/>
  <c r="L27" i="159"/>
  <c r="L62" i="159" s="1"/>
  <c r="L97" i="159" s="1"/>
  <c r="J27" i="159"/>
  <c r="J62" i="159" s="1"/>
  <c r="J97" i="159" s="1"/>
  <c r="O27" i="159"/>
  <c r="O62" i="159" s="1"/>
  <c r="O97" i="159" s="1"/>
  <c r="K27" i="159"/>
  <c r="K62" i="159" s="1"/>
  <c r="K97" i="159" s="1"/>
  <c r="W28" i="159"/>
  <c r="E220" i="88" s="1"/>
  <c r="F63" i="159"/>
  <c r="F98" i="159" s="1"/>
  <c r="Y29" i="159"/>
  <c r="G221" i="88" s="1"/>
  <c r="H64" i="159"/>
  <c r="H99" i="159" s="1"/>
  <c r="U31" i="159"/>
  <c r="C223" i="88" s="1"/>
  <c r="D66" i="159"/>
  <c r="D101" i="159" s="1"/>
  <c r="N31" i="159"/>
  <c r="N66" i="159" s="1"/>
  <c r="N101" i="159" s="1"/>
  <c r="M31" i="159"/>
  <c r="M66" i="159" s="1"/>
  <c r="M101" i="159" s="1"/>
  <c r="L31" i="159"/>
  <c r="L66" i="159" s="1"/>
  <c r="L101" i="159" s="1"/>
  <c r="K31" i="159"/>
  <c r="K66" i="159" s="1"/>
  <c r="K101" i="159" s="1"/>
  <c r="J31" i="159"/>
  <c r="J66" i="159" s="1"/>
  <c r="J101" i="159" s="1"/>
  <c r="O31" i="159"/>
  <c r="O66" i="159" s="1"/>
  <c r="O101" i="159" s="1"/>
  <c r="W32" i="159"/>
  <c r="E224" i="88" s="1"/>
  <c r="F67" i="159"/>
  <c r="F102" i="159" s="1"/>
  <c r="U34" i="159"/>
  <c r="C227" i="88" s="1"/>
  <c r="D69" i="159"/>
  <c r="D104" i="159" s="1"/>
  <c r="L69" i="159"/>
  <c r="L104" i="159" s="1"/>
  <c r="K69" i="159"/>
  <c r="K104" i="159" s="1"/>
  <c r="M69" i="159"/>
  <c r="M104" i="159" s="1"/>
  <c r="J69" i="159"/>
  <c r="J104" i="159" s="1"/>
  <c r="O69" i="159"/>
  <c r="O104" i="159" s="1"/>
  <c r="N69" i="159"/>
  <c r="N104" i="159" s="1"/>
  <c r="W35" i="159"/>
  <c r="E228" i="88" s="1"/>
  <c r="F70" i="159"/>
  <c r="F105" i="159" s="1"/>
  <c r="I56" i="159"/>
  <c r="I91" i="159" s="1"/>
  <c r="H56" i="159"/>
  <c r="H91" i="159" s="1"/>
  <c r="H216" i="88"/>
  <c r="E56" i="159"/>
  <c r="E91" i="159" s="1"/>
  <c r="D216" i="88"/>
  <c r="D228" i="88"/>
  <c r="N189" i="88"/>
  <c r="F56" i="159"/>
  <c r="F91" i="159" s="1"/>
  <c r="G56" i="159"/>
  <c r="G91" i="159" s="1"/>
  <c r="F218" i="88"/>
  <c r="G222" i="88"/>
  <c r="C225" i="88"/>
  <c r="M33" i="159" l="1"/>
  <c r="M68" i="159" s="1"/>
  <c r="M103" i="159" s="1"/>
  <c r="J33" i="159"/>
  <c r="J68" i="159" s="1"/>
  <c r="J103" i="159" s="1"/>
  <c r="V63" i="159"/>
  <c r="V98" i="159" s="1"/>
  <c r="U65" i="159"/>
  <c r="V65" i="159"/>
  <c r="V100" i="159" s="1"/>
  <c r="Z61" i="159"/>
  <c r="Z96" i="159" s="1"/>
  <c r="Y61" i="159"/>
  <c r="Z67" i="159"/>
  <c r="Z102" i="159" s="1"/>
  <c r="W59" i="159"/>
  <c r="W94" i="159" s="1"/>
  <c r="Z69" i="159"/>
  <c r="Z104" i="159" s="1"/>
  <c r="V64" i="159"/>
  <c r="V99" i="159" s="1"/>
  <c r="Z58" i="159"/>
  <c r="Z93" i="159" s="1"/>
  <c r="H218" i="88"/>
  <c r="D222" i="88"/>
  <c r="Y33" i="159"/>
  <c r="H68" i="159"/>
  <c r="H103" i="159" s="1"/>
  <c r="O33" i="159"/>
  <c r="O68" i="159" s="1"/>
  <c r="O103" i="159" s="1"/>
  <c r="Z59" i="159"/>
  <c r="Z94" i="159" s="1"/>
  <c r="Z65" i="159"/>
  <c r="Z100" i="159" s="1"/>
  <c r="X60" i="159"/>
  <c r="X95" i="159" s="1"/>
  <c r="J70" i="159"/>
  <c r="J105" i="159" s="1"/>
  <c r="K35" i="159"/>
  <c r="AA35" i="159"/>
  <c r="Y63" i="159"/>
  <c r="Y98" i="159" s="1"/>
  <c r="Z64" i="159"/>
  <c r="Z99" i="159" s="1"/>
  <c r="W68" i="159"/>
  <c r="W103" i="159" s="1"/>
  <c r="U67" i="159"/>
  <c r="W60" i="159"/>
  <c r="W95" i="159" s="1"/>
  <c r="U59" i="159"/>
  <c r="X62" i="159"/>
  <c r="X97" i="159" s="1"/>
  <c r="V69" i="159"/>
  <c r="V104" i="159" s="1"/>
  <c r="X68" i="159"/>
  <c r="X103" i="159" s="1"/>
  <c r="Z63" i="159"/>
  <c r="Z98" i="159" s="1"/>
  <c r="X59" i="159"/>
  <c r="X94" i="159" s="1"/>
  <c r="W64" i="159"/>
  <c r="W99" i="159" s="1"/>
  <c r="Y70" i="159"/>
  <c r="Y105" i="159" s="1"/>
  <c r="U69" i="159"/>
  <c r="U104" i="159" s="1"/>
  <c r="V61" i="159"/>
  <c r="V96" i="159" s="1"/>
  <c r="X67" i="159"/>
  <c r="X102" i="159" s="1"/>
  <c r="H224" i="88"/>
  <c r="W67" i="159"/>
  <c r="W102" i="159" s="1"/>
  <c r="U58" i="159"/>
  <c r="E221" i="88"/>
  <c r="F225" i="88"/>
  <c r="Y64" i="159"/>
  <c r="Y99" i="159" s="1"/>
  <c r="K33" i="159"/>
  <c r="K68" i="159" s="1"/>
  <c r="K103" i="159" s="1"/>
  <c r="W61" i="159"/>
  <c r="W96" i="159" s="1"/>
  <c r="V68" i="159"/>
  <c r="Z62" i="159"/>
  <c r="Z97" i="159" s="1"/>
  <c r="W65" i="159"/>
  <c r="W100" i="159" s="1"/>
  <c r="U60" i="159"/>
  <c r="U95" i="159" s="1"/>
  <c r="V66" i="159"/>
  <c r="V101" i="159" s="1"/>
  <c r="U21" i="159"/>
  <c r="C213" i="88" s="1"/>
  <c r="D56" i="159"/>
  <c r="D91" i="159" s="1"/>
  <c r="J21" i="159"/>
  <c r="M21" i="159"/>
  <c r="N21" i="159"/>
  <c r="O21" i="159"/>
  <c r="O56" i="159" s="1"/>
  <c r="O91" i="159" s="1"/>
  <c r="L21" i="159"/>
  <c r="K21" i="159"/>
  <c r="K56" i="159" s="1"/>
  <c r="K91" i="159" s="1"/>
  <c r="W62" i="159"/>
  <c r="W97" i="159" s="1"/>
  <c r="Y62" i="159"/>
  <c r="Y97" i="159" s="1"/>
  <c r="U88" i="159"/>
  <c r="W70" i="159"/>
  <c r="W105" i="159" s="1"/>
  <c r="U64" i="159"/>
  <c r="X65" i="159"/>
  <c r="X100" i="159" s="1"/>
  <c r="V60" i="159"/>
  <c r="U68" i="159"/>
  <c r="U103" i="159" s="1"/>
  <c r="Z60" i="159"/>
  <c r="Z95" i="159" s="1"/>
  <c r="Y58" i="159"/>
  <c r="U61" i="159"/>
  <c r="U96" i="159" s="1"/>
  <c r="C221" i="88"/>
  <c r="C222" i="88"/>
  <c r="F222" i="88"/>
  <c r="E216" i="88"/>
  <c r="D220" i="88"/>
  <c r="D221" i="88"/>
  <c r="L33" i="159"/>
  <c r="L68" i="159" s="1"/>
  <c r="L103" i="159" s="1"/>
  <c r="W69" i="159"/>
  <c r="W104" i="159" s="1"/>
  <c r="V70" i="159"/>
  <c r="V105" i="159" s="1"/>
  <c r="X64" i="159"/>
  <c r="X99" i="159" s="1"/>
  <c r="V59" i="159"/>
  <c r="V94" i="159" s="1"/>
  <c r="Z70" i="159"/>
  <c r="Z105" i="159" s="1"/>
  <c r="W58" i="159"/>
  <c r="W93" i="159" s="1"/>
  <c r="V62" i="159"/>
  <c r="V97" i="159" s="1"/>
  <c r="Y65" i="159"/>
  <c r="Y100" i="159" s="1"/>
  <c r="Y66" i="159"/>
  <c r="Y101" i="159" s="1"/>
  <c r="X58" i="159"/>
  <c r="X63" i="159"/>
  <c r="X98" i="159" s="1"/>
  <c r="X69" i="159"/>
  <c r="X104" i="159" s="1"/>
  <c r="X70" i="159"/>
  <c r="X105" i="159" s="1"/>
  <c r="U63" i="159"/>
  <c r="F216" i="88"/>
  <c r="Z33" i="159"/>
  <c r="I68" i="159"/>
  <c r="I103" i="159" s="1"/>
  <c r="Y60" i="159"/>
  <c r="Y95" i="159" s="1"/>
  <c r="Y69" i="159"/>
  <c r="V67" i="159"/>
  <c r="V102" i="159" s="1"/>
  <c r="Y67" i="159"/>
  <c r="Y102" i="159" s="1"/>
  <c r="U70" i="159"/>
  <c r="Y59" i="159"/>
  <c r="Y94" i="159" s="1"/>
  <c r="U66" i="159"/>
  <c r="U101" i="159" s="1"/>
  <c r="W66" i="159"/>
  <c r="W101" i="159" s="1"/>
  <c r="F224" i="88"/>
  <c r="G228" i="88"/>
  <c r="H220" i="88"/>
  <c r="G217" i="88"/>
  <c r="D218" i="88"/>
  <c r="G219" i="88"/>
  <c r="W63" i="159"/>
  <c r="W98" i="159" s="1"/>
  <c r="U62" i="159"/>
  <c r="N33" i="159"/>
  <c r="N68" i="159" s="1"/>
  <c r="N103" i="159" s="1"/>
  <c r="Z66" i="159"/>
  <c r="Z101" i="159" s="1"/>
  <c r="X61" i="159"/>
  <c r="X96" i="159" s="1"/>
  <c r="X66" i="159"/>
  <c r="V58" i="159"/>
  <c r="V93" i="159" s="1"/>
  <c r="K38" i="88"/>
  <c r="X21" i="159"/>
  <c r="G37" i="159"/>
  <c r="G39" i="159" s="1"/>
  <c r="V21" i="159"/>
  <c r="E37" i="159"/>
  <c r="E39" i="159" s="1"/>
  <c r="Y21" i="159"/>
  <c r="H37" i="159"/>
  <c r="H39" i="159" s="1"/>
  <c r="M167" i="88"/>
  <c r="W21" i="159"/>
  <c r="F37" i="159"/>
  <c r="F39" i="159" s="1"/>
  <c r="Z21" i="159"/>
  <c r="I37" i="159"/>
  <c r="I39" i="159" s="1"/>
  <c r="U37" i="159" l="1"/>
  <c r="U39" i="159" s="1"/>
  <c r="M187" i="88"/>
  <c r="M189" i="88" s="1"/>
  <c r="C230" i="88"/>
  <c r="C232" i="88" s="1"/>
  <c r="Y68" i="159"/>
  <c r="Y103" i="159" s="1"/>
  <c r="U98" i="159"/>
  <c r="X93" i="159"/>
  <c r="J56" i="159"/>
  <c r="J91" i="159" s="1"/>
  <c r="J37" i="159"/>
  <c r="J39" i="159" s="1"/>
  <c r="K98" i="117" s="1"/>
  <c r="U93" i="159"/>
  <c r="Y93" i="159"/>
  <c r="Z68" i="159"/>
  <c r="Z103" i="159" s="1"/>
  <c r="M56" i="159"/>
  <c r="M91" i="159" s="1"/>
  <c r="U100" i="159"/>
  <c r="Z56" i="159"/>
  <c r="Y56" i="159"/>
  <c r="Y91" i="159" s="1"/>
  <c r="G225" i="88"/>
  <c r="Y104" i="159"/>
  <c r="U99" i="159"/>
  <c r="U102" i="159"/>
  <c r="AA70" i="159"/>
  <c r="AA105" i="159" s="1"/>
  <c r="I228" i="88"/>
  <c r="Y96" i="159"/>
  <c r="X56" i="159"/>
  <c r="X91" i="159" s="1"/>
  <c r="L56" i="159"/>
  <c r="L91" i="159" s="1"/>
  <c r="U94" i="159"/>
  <c r="N56" i="159"/>
  <c r="N91" i="159" s="1"/>
  <c r="H225" i="88"/>
  <c r="U97" i="159"/>
  <c r="U56" i="159"/>
  <c r="K37" i="159"/>
  <c r="K39" i="159" s="1"/>
  <c r="L98" i="117" s="1"/>
  <c r="K70" i="159"/>
  <c r="K105" i="159" s="1"/>
  <c r="L35" i="159"/>
  <c r="AB35" i="159"/>
  <c r="AN35" i="159" s="1"/>
  <c r="AO35" i="159" s="1"/>
  <c r="W56" i="159"/>
  <c r="V56" i="159"/>
  <c r="X101" i="159"/>
  <c r="U105" i="159"/>
  <c r="V95" i="159"/>
  <c r="V103" i="159"/>
  <c r="H213" i="88"/>
  <c r="Z37" i="159"/>
  <c r="Z39" i="159" s="1"/>
  <c r="D213" i="88"/>
  <c r="D230" i="88" s="1"/>
  <c r="D232" i="88" s="1"/>
  <c r="V37" i="159"/>
  <c r="V39" i="159" s="1"/>
  <c r="F213" i="88"/>
  <c r="F230" i="88" s="1"/>
  <c r="F232" i="88" s="1"/>
  <c r="X37" i="159"/>
  <c r="X39" i="159" s="1"/>
  <c r="Y37" i="159"/>
  <c r="Y39" i="159" s="1"/>
  <c r="G213" i="88"/>
  <c r="E213" i="88"/>
  <c r="E230" i="88" s="1"/>
  <c r="E232" i="88" s="1"/>
  <c r="W37" i="159"/>
  <c r="W39" i="159" s="1"/>
  <c r="L167" i="88"/>
  <c r="L187" i="88" l="1"/>
  <c r="Y72" i="159"/>
  <c r="Y74" i="159" s="1"/>
  <c r="X107" i="159"/>
  <c r="X109" i="159" s="1"/>
  <c r="L70" i="159"/>
  <c r="L105" i="159" s="1"/>
  <c r="M35" i="159"/>
  <c r="AC35" i="159"/>
  <c r="Z72" i="159"/>
  <c r="Z74" i="159" s="1"/>
  <c r="Z91" i="159"/>
  <c r="Z107" i="159" s="1"/>
  <c r="Z109" i="159" s="1"/>
  <c r="U91" i="159"/>
  <c r="U72" i="159"/>
  <c r="U74" i="159" s="1"/>
  <c r="H230" i="88"/>
  <c r="H232" i="88" s="1"/>
  <c r="X72" i="159"/>
  <c r="X74" i="159" s="1"/>
  <c r="V72" i="159"/>
  <c r="V74" i="159" s="1"/>
  <c r="V91" i="159"/>
  <c r="V107" i="159" s="1"/>
  <c r="V109" i="159" s="1"/>
  <c r="W91" i="159"/>
  <c r="W107" i="159" s="1"/>
  <c r="W109" i="159" s="1"/>
  <c r="W72" i="159"/>
  <c r="W74" i="159" s="1"/>
  <c r="Y107" i="159"/>
  <c r="Y109" i="159" s="1"/>
  <c r="G230" i="88"/>
  <c r="G232" i="88" s="1"/>
  <c r="AB70" i="159"/>
  <c r="J228" i="88"/>
  <c r="L37" i="159"/>
  <c r="L39" i="159" s="1"/>
  <c r="M98" i="117" s="1"/>
  <c r="K167" i="88"/>
  <c r="L189" i="88" l="1"/>
  <c r="K187" i="88"/>
  <c r="AC70" i="159"/>
  <c r="AC105" i="159" s="1"/>
  <c r="K228" i="88"/>
  <c r="M70" i="159"/>
  <c r="M105" i="159" s="1"/>
  <c r="N35" i="159"/>
  <c r="AD35" i="159"/>
  <c r="M37" i="159"/>
  <c r="M39" i="159" s="1"/>
  <c r="N98" i="117" s="1"/>
  <c r="U107" i="159"/>
  <c r="U109" i="159" s="1"/>
  <c r="AB105" i="159"/>
  <c r="I167" i="88"/>
  <c r="D167" i="88"/>
  <c r="E167" i="88"/>
  <c r="F167" i="88"/>
  <c r="G167" i="88"/>
  <c r="J167" i="88"/>
  <c r="H167" i="88"/>
  <c r="K189" i="88" l="1"/>
  <c r="J187" i="88"/>
  <c r="AD70" i="159"/>
  <c r="L228" i="88"/>
  <c r="N70" i="159"/>
  <c r="N105" i="159" s="1"/>
  <c r="O35" i="159"/>
  <c r="AE35" i="159"/>
  <c r="N37" i="159"/>
  <c r="N39" i="159" s="1"/>
  <c r="O98" i="117" s="1"/>
  <c r="J189" i="88" l="1"/>
  <c r="I187" i="88"/>
  <c r="O37" i="159"/>
  <c r="O39" i="159" s="1"/>
  <c r="P98" i="117" s="1"/>
  <c r="O70" i="159"/>
  <c r="O105" i="159" s="1"/>
  <c r="AF35" i="159"/>
  <c r="AD105" i="159"/>
  <c r="AE70" i="159"/>
  <c r="AE105" i="159" s="1"/>
  <c r="M228" i="88"/>
  <c r="I189" i="88"/>
  <c r="H187" i="88" l="1"/>
  <c r="H189" i="88" s="1"/>
  <c r="AF70" i="159"/>
  <c r="AF105" i="159" s="1"/>
  <c r="AG105" i="159" s="1"/>
  <c r="N228" i="88"/>
  <c r="AG35" i="159"/>
  <c r="AG70" i="159" l="1"/>
  <c r="G187" i="88"/>
  <c r="G189" i="88" s="1"/>
  <c r="F187" i="88" l="1"/>
  <c r="F189" i="88" s="1"/>
  <c r="E187" i="88" l="1"/>
  <c r="E189" i="88" s="1"/>
  <c r="D187" i="88" l="1"/>
  <c r="D189" i="88" l="1"/>
  <c r="C187" i="88"/>
  <c r="N144" i="88" l="1"/>
  <c r="M144" i="88" l="1"/>
  <c r="L144" i="88"/>
  <c r="K144" i="88" l="1"/>
  <c r="P119" i="88"/>
  <c r="D69" i="72" s="1"/>
  <c r="P120" i="88" l="1"/>
  <c r="D70" i="72" s="1"/>
  <c r="P121" i="88"/>
  <c r="D71" i="72" s="1"/>
  <c r="P122" i="88"/>
  <c r="D72" i="72" s="1"/>
  <c r="P117" i="88"/>
  <c r="D67" i="72" s="1"/>
  <c r="P118" i="88"/>
  <c r="D68" i="72" s="1"/>
  <c r="J144" i="88"/>
  <c r="P142" i="88"/>
  <c r="P137" i="88" l="1"/>
  <c r="P132" i="88"/>
  <c r="P134" i="88"/>
  <c r="P136" i="88"/>
  <c r="P133" i="88"/>
  <c r="D80" i="72" s="1"/>
  <c r="P138" i="88"/>
  <c r="P139" i="88"/>
  <c r="D86" i="72" s="1"/>
  <c r="P130" i="88"/>
  <c r="P131" i="88"/>
  <c r="P135" i="88"/>
  <c r="D82" i="72" s="1"/>
  <c r="P129" i="88"/>
  <c r="D87" i="72"/>
  <c r="D81" i="72"/>
  <c r="D84" i="72"/>
  <c r="D83" i="72"/>
  <c r="D85" i="72"/>
  <c r="P127" i="88"/>
  <c r="F144" i="88"/>
  <c r="D144" i="88"/>
  <c r="H144" i="88"/>
  <c r="I144" i="88"/>
  <c r="E144" i="88"/>
  <c r="G144" i="88"/>
  <c r="D79" i="72" l="1"/>
  <c r="D78" i="72"/>
  <c r="P144" i="88"/>
  <c r="G37" i="114"/>
  <c r="E143" i="61"/>
  <c r="H47" i="58"/>
  <c r="G18" i="114"/>
  <c r="D89" i="72" l="1"/>
  <c r="H12" i="98" l="1"/>
  <c r="I12" i="98"/>
  <c r="AD27" i="82" l="1"/>
  <c r="P24" i="111" l="1"/>
  <c r="P25" i="111"/>
  <c r="P26" i="111"/>
  <c r="P27" i="111"/>
  <c r="P28" i="111"/>
  <c r="P29" i="111"/>
  <c r="P30" i="111"/>
  <c r="P31" i="111"/>
  <c r="P32" i="111"/>
  <c r="P33" i="111"/>
  <c r="P34" i="111"/>
  <c r="P35" i="111"/>
  <c r="P36" i="111"/>
  <c r="P37" i="111"/>
  <c r="P38" i="111"/>
  <c r="N24" i="111"/>
  <c r="N25" i="111"/>
  <c r="N26" i="111"/>
  <c r="N27" i="111"/>
  <c r="N28" i="111"/>
  <c r="N29" i="111"/>
  <c r="N30" i="111"/>
  <c r="N31" i="111"/>
  <c r="N32" i="111"/>
  <c r="N33" i="111"/>
  <c r="N34" i="111"/>
  <c r="N35" i="111"/>
  <c r="N36" i="111"/>
  <c r="N37" i="111"/>
  <c r="N38" i="111"/>
  <c r="J24" i="111"/>
  <c r="J25" i="111"/>
  <c r="J26" i="111"/>
  <c r="J27" i="111"/>
  <c r="J28" i="111"/>
  <c r="J29" i="111"/>
  <c r="J30" i="111"/>
  <c r="J31" i="111"/>
  <c r="J32" i="111"/>
  <c r="J33" i="111"/>
  <c r="J34" i="111"/>
  <c r="J35" i="111"/>
  <c r="J36" i="111"/>
  <c r="J37" i="111"/>
  <c r="J38" i="111"/>
  <c r="H24" i="111"/>
  <c r="H25" i="111"/>
  <c r="H26" i="111"/>
  <c r="H27" i="111"/>
  <c r="H28" i="111"/>
  <c r="H29" i="111"/>
  <c r="H30" i="111"/>
  <c r="H31" i="111"/>
  <c r="H32" i="111"/>
  <c r="H33" i="111"/>
  <c r="H34" i="111"/>
  <c r="H35" i="111"/>
  <c r="H36" i="111"/>
  <c r="H37" i="111"/>
  <c r="H38" i="111"/>
  <c r="F24" i="111"/>
  <c r="F25" i="111"/>
  <c r="F26" i="111"/>
  <c r="F27" i="111"/>
  <c r="F28" i="111"/>
  <c r="F29" i="111"/>
  <c r="F30" i="111"/>
  <c r="F31" i="111"/>
  <c r="F32" i="111"/>
  <c r="F33" i="111"/>
  <c r="F34" i="111"/>
  <c r="F35" i="111"/>
  <c r="F36" i="111"/>
  <c r="F37" i="111"/>
  <c r="F38" i="111"/>
  <c r="F23" i="111"/>
  <c r="H23" i="111"/>
  <c r="J23" i="111"/>
  <c r="N23" i="111"/>
  <c r="P23" i="111"/>
  <c r="P14" i="111"/>
  <c r="P15" i="111"/>
  <c r="P16" i="111"/>
  <c r="P17" i="111"/>
  <c r="P18" i="111"/>
  <c r="P19" i="111"/>
  <c r="N14" i="111"/>
  <c r="N15" i="111"/>
  <c r="N16" i="111"/>
  <c r="N17" i="111"/>
  <c r="N18" i="111"/>
  <c r="N19" i="111"/>
  <c r="J14" i="111"/>
  <c r="J15" i="111"/>
  <c r="J16" i="111"/>
  <c r="J17" i="111"/>
  <c r="J18" i="111"/>
  <c r="J19" i="111"/>
  <c r="H14" i="111"/>
  <c r="H15" i="111"/>
  <c r="H16" i="111"/>
  <c r="H17" i="111"/>
  <c r="H18" i="111"/>
  <c r="H19" i="111"/>
  <c r="F14" i="111"/>
  <c r="F15" i="111"/>
  <c r="F16" i="111"/>
  <c r="F17" i="111"/>
  <c r="F18" i="111"/>
  <c r="F19" i="111"/>
  <c r="H39" i="111" l="1"/>
  <c r="J39" i="111"/>
  <c r="N39" i="111"/>
  <c r="F39" i="111"/>
  <c r="P39" i="111"/>
  <c r="K37" i="88" l="1"/>
  <c r="O17" i="121" l="1"/>
  <c r="R59" i="122"/>
  <c r="M17" i="121"/>
  <c r="P59" i="122"/>
  <c r="I17" i="121"/>
  <c r="M59" i="122"/>
  <c r="G17" i="121"/>
  <c r="J59" i="122"/>
  <c r="J20" i="88"/>
  <c r="M54" i="122" l="1"/>
  <c r="J52" i="88"/>
  <c r="I14" i="121"/>
  <c r="E17" i="121"/>
  <c r="G59" i="122"/>
  <c r="H52" i="88"/>
  <c r="G14" i="121"/>
  <c r="J54" i="122"/>
  <c r="P20" i="88" l="1"/>
  <c r="N20" i="88"/>
  <c r="F20" i="88"/>
  <c r="F52" i="88" l="1"/>
  <c r="E14" i="121"/>
  <c r="N52" i="88"/>
  <c r="M14" i="121"/>
  <c r="P54" i="122"/>
  <c r="P52" i="88"/>
  <c r="O14" i="121"/>
  <c r="R54" i="122"/>
  <c r="G54" i="122"/>
  <c r="G20" i="162" l="1"/>
  <c r="K134" i="61"/>
  <c r="T95" i="58" l="1"/>
  <c r="V95" i="58"/>
  <c r="D209" i="150"/>
  <c r="D247" i="117" l="1"/>
  <c r="D267" i="117" s="1"/>
  <c r="D292" i="117" s="1"/>
  <c r="G20" i="136" l="1"/>
  <c r="F20" i="136"/>
  <c r="E20" i="136"/>
  <c r="B20" i="136"/>
  <c r="B21" i="136" s="1"/>
  <c r="B22" i="136" s="1"/>
  <c r="B23" i="136" s="1"/>
  <c r="G17" i="136"/>
  <c r="E17" i="136"/>
  <c r="B7" i="136"/>
  <c r="B8" i="136" s="1"/>
  <c r="B9" i="136" s="1"/>
  <c r="B10" i="136" s="1"/>
  <c r="B11" i="136" s="1"/>
  <c r="B12" i="136" s="1"/>
  <c r="B13" i="136" s="1"/>
  <c r="B14" i="136" s="1"/>
  <c r="D159" i="150"/>
  <c r="M14" i="134"/>
  <c r="L14" i="134"/>
  <c r="K14" i="134"/>
  <c r="J14" i="134"/>
  <c r="I14" i="134"/>
  <c r="H14" i="134"/>
  <c r="F14" i="134"/>
  <c r="D14" i="134"/>
  <c r="M12" i="134"/>
  <c r="L12" i="134"/>
  <c r="K12" i="134"/>
  <c r="J12" i="134"/>
  <c r="I12" i="134"/>
  <c r="H12" i="134"/>
  <c r="G12" i="134"/>
  <c r="F12" i="134"/>
  <c r="E12" i="134"/>
  <c r="D12" i="134"/>
  <c r="G14" i="134"/>
  <c r="E14" i="134"/>
  <c r="F320" i="150"/>
  <c r="D318" i="150"/>
  <c r="F317" i="150"/>
  <c r="E313" i="150"/>
  <c r="E312" i="150"/>
  <c r="E311" i="150"/>
  <c r="E307" i="150"/>
  <c r="E301" i="150"/>
  <c r="D301" i="150"/>
  <c r="B292" i="150"/>
  <c r="B293" i="150" s="1"/>
  <c r="B294" i="150" s="1"/>
  <c r="B295" i="150" s="1"/>
  <c r="B296" i="150" s="1"/>
  <c r="B297" i="150" s="1"/>
  <c r="B298" i="150" s="1"/>
  <c r="B299" i="150" s="1"/>
  <c r="B300" i="150" s="1"/>
  <c r="B301" i="150" s="1"/>
  <c r="B302" i="150" s="1"/>
  <c r="B303" i="150" s="1"/>
  <c r="B304" i="150" s="1"/>
  <c r="B305" i="150" s="1"/>
  <c r="B306" i="150" s="1"/>
  <c r="B307" i="150" s="1"/>
  <c r="B308" i="150" s="1"/>
  <c r="B309" i="150" s="1"/>
  <c r="B310" i="150" s="1"/>
  <c r="B311" i="150" s="1"/>
  <c r="B312" i="150" s="1"/>
  <c r="F282" i="150"/>
  <c r="F279" i="150"/>
  <c r="D277" i="150"/>
  <c r="D313" i="150" s="1"/>
  <c r="D276" i="150"/>
  <c r="D312" i="150" s="1"/>
  <c r="D275" i="150"/>
  <c r="F275" i="150" s="1"/>
  <c r="D270" i="150"/>
  <c r="D266" i="150"/>
  <c r="F266" i="150" s="1"/>
  <c r="D258" i="150"/>
  <c r="B257" i="150"/>
  <c r="B258" i="150" s="1"/>
  <c r="B259" i="150" s="1"/>
  <c r="B260" i="150" s="1"/>
  <c r="B261" i="150" s="1"/>
  <c r="B262" i="150" s="1"/>
  <c r="B263" i="150" s="1"/>
  <c r="B264" i="150" s="1"/>
  <c r="B265" i="150" s="1"/>
  <c r="B266" i="150" s="1"/>
  <c r="B267" i="150" s="1"/>
  <c r="B268" i="150" s="1"/>
  <c r="B269" i="150" s="1"/>
  <c r="B270" i="150" s="1"/>
  <c r="B271" i="150" s="1"/>
  <c r="B272" i="150" s="1"/>
  <c r="B273" i="150" s="1"/>
  <c r="B274" i="150" s="1"/>
  <c r="B275" i="150" s="1"/>
  <c r="B276" i="150" s="1"/>
  <c r="B277" i="150" s="1"/>
  <c r="B281" i="150" s="1"/>
  <c r="F245" i="150"/>
  <c r="F242" i="150"/>
  <c r="D240" i="150"/>
  <c r="E236" i="150"/>
  <c r="D234" i="150"/>
  <c r="D231" i="150"/>
  <c r="F231" i="150" s="1"/>
  <c r="B226" i="150"/>
  <c r="B227" i="150" s="1"/>
  <c r="B228" i="150" s="1"/>
  <c r="B229" i="150" s="1"/>
  <c r="B230" i="150" s="1"/>
  <c r="B231" i="150" s="1"/>
  <c r="B232" i="150" s="1"/>
  <c r="B233" i="150" s="1"/>
  <c r="B234" i="150" s="1"/>
  <c r="B235" i="150" s="1"/>
  <c r="B236" i="150" s="1"/>
  <c r="B237" i="150" s="1"/>
  <c r="B238" i="150" s="1"/>
  <c r="B239" i="150" s="1"/>
  <c r="B240" i="150" s="1"/>
  <c r="D225" i="150"/>
  <c r="B225" i="150"/>
  <c r="F213" i="150"/>
  <c r="D211" i="150"/>
  <c r="E207" i="150"/>
  <c r="E206" i="150"/>
  <c r="E205" i="150"/>
  <c r="E201" i="150"/>
  <c r="F195" i="150"/>
  <c r="B186" i="150"/>
  <c r="B187" i="150" s="1"/>
  <c r="B188" i="150" s="1"/>
  <c r="B189" i="150" s="1"/>
  <c r="B190" i="150" s="1"/>
  <c r="B191" i="150" s="1"/>
  <c r="B192" i="150" s="1"/>
  <c r="B193" i="150" s="1"/>
  <c r="B194" i="150" s="1"/>
  <c r="B195" i="150" s="1"/>
  <c r="B196" i="150" s="1"/>
  <c r="B197" i="150" s="1"/>
  <c r="B198" i="150" s="1"/>
  <c r="B199" i="150" s="1"/>
  <c r="B200" i="150" s="1"/>
  <c r="B201" i="150" s="1"/>
  <c r="B202" i="150" s="1"/>
  <c r="B203" i="150" s="1"/>
  <c r="B204" i="150" s="1"/>
  <c r="B205" i="150" s="1"/>
  <c r="B206" i="150" s="1"/>
  <c r="B207" i="150" s="1"/>
  <c r="F175" i="150"/>
  <c r="E171" i="150"/>
  <c r="D171" i="150"/>
  <c r="D169" i="150"/>
  <c r="F169" i="150" s="1"/>
  <c r="B169" i="150"/>
  <c r="D168" i="150"/>
  <c r="F168" i="150" s="1"/>
  <c r="D167" i="150"/>
  <c r="F167" i="150" s="1"/>
  <c r="B167" i="150"/>
  <c r="B165" i="150"/>
  <c r="B163" i="150"/>
  <c r="D162" i="150"/>
  <c r="B161" i="150"/>
  <c r="B159" i="150"/>
  <c r="D158" i="150"/>
  <c r="F158" i="150" s="1"/>
  <c r="B157" i="150"/>
  <c r="B155" i="150"/>
  <c r="B153" i="150"/>
  <c r="B151" i="150"/>
  <c r="D150" i="150"/>
  <c r="B149" i="150"/>
  <c r="F137" i="150"/>
  <c r="F133" i="150"/>
  <c r="D131" i="150"/>
  <c r="F131" i="150" s="1"/>
  <c r="D125" i="150"/>
  <c r="D122" i="150"/>
  <c r="D116" i="150"/>
  <c r="B116" i="150"/>
  <c r="B117" i="150" s="1"/>
  <c r="B118" i="150" s="1"/>
  <c r="B119" i="150" s="1"/>
  <c r="B120" i="150" s="1"/>
  <c r="B121" i="150" s="1"/>
  <c r="B122" i="150" s="1"/>
  <c r="B123" i="150" s="1"/>
  <c r="B124" i="150" s="1"/>
  <c r="B125" i="150" s="1"/>
  <c r="B126" i="150" s="1"/>
  <c r="B127" i="150" s="1"/>
  <c r="B128" i="150" s="1"/>
  <c r="B129" i="150" s="1"/>
  <c r="B130" i="150" s="1"/>
  <c r="B131" i="150" s="1"/>
  <c r="B133" i="150" s="1"/>
  <c r="F104" i="150"/>
  <c r="D102" i="150"/>
  <c r="D5" i="156" s="1"/>
  <c r="D28" i="156" s="1"/>
  <c r="F101" i="150"/>
  <c r="E99" i="150"/>
  <c r="E98" i="150"/>
  <c r="E97" i="150"/>
  <c r="D96" i="150"/>
  <c r="E93" i="150"/>
  <c r="D91" i="150"/>
  <c r="D90" i="150"/>
  <c r="E87" i="150"/>
  <c r="D87" i="150"/>
  <c r="D86" i="150"/>
  <c r="D85" i="150"/>
  <c r="D84" i="150"/>
  <c r="D83" i="150"/>
  <c r="D82" i="150"/>
  <c r="D81" i="150"/>
  <c r="D80" i="150"/>
  <c r="D79" i="150"/>
  <c r="D78" i="150"/>
  <c r="B78" i="150"/>
  <c r="B79" i="150" s="1"/>
  <c r="B80" i="150" s="1"/>
  <c r="B81" i="150" s="1"/>
  <c r="B82" i="150" s="1"/>
  <c r="B83" i="150" s="1"/>
  <c r="B84" i="150" s="1"/>
  <c r="B85" i="150" s="1"/>
  <c r="B86" i="150" s="1"/>
  <c r="B87" i="150" s="1"/>
  <c r="B88" i="150" s="1"/>
  <c r="B89" i="150" s="1"/>
  <c r="B90" i="150" s="1"/>
  <c r="B91" i="150" s="1"/>
  <c r="B92" i="150" s="1"/>
  <c r="B93" i="150" s="1"/>
  <c r="B94" i="150" s="1"/>
  <c r="B95" i="150" s="1"/>
  <c r="B96" i="150" s="1"/>
  <c r="B97" i="150" s="1"/>
  <c r="B98" i="150" s="1"/>
  <c r="B99" i="150" s="1"/>
  <c r="D77" i="150"/>
  <c r="F66" i="150"/>
  <c r="F63" i="150"/>
  <c r="F61" i="150"/>
  <c r="F60" i="150"/>
  <c r="F59" i="150"/>
  <c r="B53" i="150"/>
  <c r="B54" i="150" s="1"/>
  <c r="B55" i="150" s="1"/>
  <c r="B56" i="150" s="1"/>
  <c r="B57" i="150" s="1"/>
  <c r="B58" i="150" s="1"/>
  <c r="B59" i="150" s="1"/>
  <c r="B60" i="150" s="1"/>
  <c r="B61" i="150" s="1"/>
  <c r="B65" i="150" s="1"/>
  <c r="D52" i="150"/>
  <c r="D57" i="150" s="1"/>
  <c r="D62" i="150" s="1"/>
  <c r="D67" i="150" s="1"/>
  <c r="F50" i="150"/>
  <c r="F47" i="150"/>
  <c r="B41" i="150"/>
  <c r="B42" i="150" s="1"/>
  <c r="B43" i="150" s="1"/>
  <c r="B44" i="150" s="1"/>
  <c r="B45" i="150" s="1"/>
  <c r="B46" i="150" s="1"/>
  <c r="B47" i="150" s="1"/>
  <c r="B48" i="150" s="1"/>
  <c r="B49" i="150" s="1"/>
  <c r="B50" i="150" s="1"/>
  <c r="F31" i="150"/>
  <c r="F28" i="150"/>
  <c r="F26" i="150"/>
  <c r="D18" i="150"/>
  <c r="D24" i="150" s="1"/>
  <c r="D27" i="150" s="1"/>
  <c r="D32" i="150" s="1"/>
  <c r="F17" i="150"/>
  <c r="F16" i="150"/>
  <c r="B11" i="150"/>
  <c r="B12" i="150" s="1"/>
  <c r="B13" i="150" s="1"/>
  <c r="B14" i="150" s="1"/>
  <c r="B15" i="150" s="1"/>
  <c r="B16" i="150" s="1"/>
  <c r="B17" i="150" s="1"/>
  <c r="B18" i="150" s="1"/>
  <c r="B19" i="150" s="1"/>
  <c r="B20" i="150" s="1"/>
  <c r="B21" i="150" s="1"/>
  <c r="B22" i="150" s="1"/>
  <c r="B23" i="150" s="1"/>
  <c r="B24" i="150" s="1"/>
  <c r="B25" i="150" s="1"/>
  <c r="B26" i="150" s="1"/>
  <c r="B30" i="150" s="1"/>
  <c r="B36" i="109"/>
  <c r="B37" i="109" s="1"/>
  <c r="B38" i="109" s="1"/>
  <c r="B39" i="109" s="1"/>
  <c r="B24" i="109"/>
  <c r="B25" i="109" s="1"/>
  <c r="B26" i="109" s="1"/>
  <c r="B27" i="109" s="1"/>
  <c r="B12" i="109"/>
  <c r="B13" i="109" s="1"/>
  <c r="B14" i="109" s="1"/>
  <c r="B15" i="109" s="1"/>
  <c r="C182" i="72"/>
  <c r="C40" i="73" s="1"/>
  <c r="C181" i="72"/>
  <c r="C39" i="73" s="1"/>
  <c r="C86" i="73" s="1"/>
  <c r="C40" i="101" s="1"/>
  <c r="C180" i="72"/>
  <c r="C37" i="73" s="1"/>
  <c r="C179" i="72"/>
  <c r="C36" i="73" s="1"/>
  <c r="C178" i="72"/>
  <c r="C35" i="73" s="1"/>
  <c r="C82" i="73" s="1"/>
  <c r="C36" i="101" s="1"/>
  <c r="C177" i="72"/>
  <c r="C34" i="73" s="1"/>
  <c r="C176" i="72"/>
  <c r="C33" i="73" s="1"/>
  <c r="C175" i="72"/>
  <c r="C32" i="73" s="1"/>
  <c r="C174" i="72"/>
  <c r="C31" i="73" s="1"/>
  <c r="C173" i="72"/>
  <c r="C165" i="72"/>
  <c r="C19" i="73" s="1"/>
  <c r="C164" i="72"/>
  <c r="C18" i="73" s="1"/>
  <c r="C163" i="72"/>
  <c r="C17" i="73" s="1"/>
  <c r="C162" i="72"/>
  <c r="C16" i="73" s="1"/>
  <c r="C161" i="72"/>
  <c r="C15" i="73" s="1"/>
  <c r="C160" i="72"/>
  <c r="C14" i="73" s="1"/>
  <c r="C61" i="73" s="1"/>
  <c r="C14" i="101" s="1"/>
  <c r="F168" i="113"/>
  <c r="C134" i="72"/>
  <c r="C133" i="72"/>
  <c r="F127" i="113"/>
  <c r="C86" i="72"/>
  <c r="C85" i="72"/>
  <c r="C84" i="72"/>
  <c r="C83" i="72"/>
  <c r="C82" i="72"/>
  <c r="C81" i="72"/>
  <c r="C80" i="72"/>
  <c r="C79" i="72"/>
  <c r="C78" i="72"/>
  <c r="F85" i="113"/>
  <c r="C42" i="72"/>
  <c r="C39" i="72"/>
  <c r="C38" i="72"/>
  <c r="C37" i="72"/>
  <c r="C36" i="72"/>
  <c r="C35" i="72"/>
  <c r="C34" i="72"/>
  <c r="C33" i="72"/>
  <c r="C32" i="72"/>
  <c r="C31" i="72"/>
  <c r="C29" i="72"/>
  <c r="C28" i="72"/>
  <c r="C27" i="72"/>
  <c r="I13" i="113"/>
  <c r="F45" i="113"/>
  <c r="H45" i="103"/>
  <c r="H52" i="103" s="1"/>
  <c r="G45" i="103"/>
  <c r="G52" i="103" s="1"/>
  <c r="N44" i="103"/>
  <c r="J44" i="103"/>
  <c r="M44" i="103" s="1"/>
  <c r="H44" i="103"/>
  <c r="P44" i="103" s="1"/>
  <c r="G44" i="103"/>
  <c r="O44" i="103" s="1"/>
  <c r="C44" i="103"/>
  <c r="R43" i="103"/>
  <c r="H43" i="103"/>
  <c r="G43" i="103"/>
  <c r="H28" i="103"/>
  <c r="J26" i="103"/>
  <c r="R22" i="103"/>
  <c r="C21" i="103"/>
  <c r="K44" i="102"/>
  <c r="J44" i="102"/>
  <c r="M44" i="102" s="1"/>
  <c r="C44" i="102"/>
  <c r="L44" i="102" s="1"/>
  <c r="R43" i="102"/>
  <c r="H41" i="102"/>
  <c r="H40" i="102"/>
  <c r="H38" i="102"/>
  <c r="H37" i="102"/>
  <c r="H36" i="102"/>
  <c r="H35" i="102"/>
  <c r="H34" i="102"/>
  <c r="H33" i="102"/>
  <c r="H32" i="102"/>
  <c r="H31" i="102"/>
  <c r="H30" i="102"/>
  <c r="H29" i="102"/>
  <c r="H28" i="102"/>
  <c r="J26" i="102"/>
  <c r="R22" i="102"/>
  <c r="H20" i="102"/>
  <c r="H19" i="102"/>
  <c r="H18" i="102"/>
  <c r="H17" i="102"/>
  <c r="H16" i="102"/>
  <c r="H15" i="102"/>
  <c r="H14" i="102"/>
  <c r="I65" i="160"/>
  <c r="G41" i="99" s="1"/>
  <c r="I64" i="160"/>
  <c r="G40" i="99" s="1"/>
  <c r="I63" i="160"/>
  <c r="I62" i="160"/>
  <c r="G38" i="99" s="1"/>
  <c r="I61" i="160"/>
  <c r="G37" i="99" s="1"/>
  <c r="I60" i="160"/>
  <c r="G36" i="99" s="1"/>
  <c r="I59" i="160"/>
  <c r="G35" i="99" s="1"/>
  <c r="I58" i="160"/>
  <c r="G34" i="99" s="1"/>
  <c r="I57" i="160"/>
  <c r="I56" i="160"/>
  <c r="G32" i="99" s="1"/>
  <c r="I55" i="160"/>
  <c r="I54" i="160"/>
  <c r="G30" i="99" s="1"/>
  <c r="I53" i="160"/>
  <c r="I52" i="160"/>
  <c r="G28" i="99" s="1"/>
  <c r="I50" i="160"/>
  <c r="G26" i="99" s="1"/>
  <c r="I46" i="160"/>
  <c r="G20" i="99" s="1"/>
  <c r="I45" i="160"/>
  <c r="G19" i="99" s="1"/>
  <c r="I44" i="160"/>
  <c r="G18" i="99" s="1"/>
  <c r="I43" i="160"/>
  <c r="I42" i="160"/>
  <c r="G16" i="99" s="1"/>
  <c r="I41" i="160"/>
  <c r="I40" i="160"/>
  <c r="G14" i="99" s="1"/>
  <c r="I31" i="160"/>
  <c r="G41" i="101" s="1"/>
  <c r="F31" i="160"/>
  <c r="C65" i="160" s="1"/>
  <c r="I30" i="160"/>
  <c r="I29" i="160"/>
  <c r="G39" i="101" s="1"/>
  <c r="I28" i="160"/>
  <c r="I27" i="160"/>
  <c r="I26" i="160"/>
  <c r="G36" i="101" s="1"/>
  <c r="I25" i="160"/>
  <c r="G35" i="101" s="1"/>
  <c r="I24" i="160"/>
  <c r="G34" i="101" s="1"/>
  <c r="I23" i="160"/>
  <c r="G33" i="101" s="1"/>
  <c r="I22" i="160"/>
  <c r="G32" i="101" s="1"/>
  <c r="I21" i="160"/>
  <c r="F21" i="160"/>
  <c r="I20" i="160"/>
  <c r="G30" i="101" s="1"/>
  <c r="F20" i="160"/>
  <c r="I19" i="160"/>
  <c r="F19" i="160"/>
  <c r="I18" i="160"/>
  <c r="G28" i="101" s="1"/>
  <c r="F18" i="160"/>
  <c r="I16" i="160"/>
  <c r="G26" i="101" s="1"/>
  <c r="F16" i="160"/>
  <c r="Q44" i="99"/>
  <c r="P44" i="99"/>
  <c r="O44" i="99"/>
  <c r="N44" i="99"/>
  <c r="M44" i="99"/>
  <c r="S43" i="99"/>
  <c r="I41" i="99"/>
  <c r="H41" i="103" s="1"/>
  <c r="F41" i="99"/>
  <c r="E41" i="99"/>
  <c r="I40" i="99"/>
  <c r="H40" i="103" s="1"/>
  <c r="F40" i="99"/>
  <c r="E40" i="99"/>
  <c r="J39" i="99"/>
  <c r="I39" i="99"/>
  <c r="G39" i="99"/>
  <c r="F39" i="99"/>
  <c r="E39" i="99"/>
  <c r="I38" i="99"/>
  <c r="H38" i="103" s="1"/>
  <c r="F38" i="99"/>
  <c r="D38" i="99"/>
  <c r="I37" i="99"/>
  <c r="H37" i="103" s="1"/>
  <c r="F37" i="99"/>
  <c r="D37" i="99"/>
  <c r="I36" i="99"/>
  <c r="H36" i="103" s="1"/>
  <c r="F36" i="99"/>
  <c r="E36" i="99"/>
  <c r="I35" i="99"/>
  <c r="H35" i="103" s="1"/>
  <c r="F35" i="99"/>
  <c r="D35" i="99"/>
  <c r="I34" i="99"/>
  <c r="H34" i="103" s="1"/>
  <c r="F34" i="99"/>
  <c r="E34" i="99"/>
  <c r="I33" i="99"/>
  <c r="H33" i="103" s="1"/>
  <c r="G33" i="99"/>
  <c r="F33" i="99"/>
  <c r="E33" i="99"/>
  <c r="I32" i="99"/>
  <c r="H32" i="103" s="1"/>
  <c r="F32" i="99"/>
  <c r="D32" i="99"/>
  <c r="I31" i="99"/>
  <c r="H31" i="103" s="1"/>
  <c r="G31" i="99"/>
  <c r="F31" i="99"/>
  <c r="D31" i="99"/>
  <c r="I30" i="99"/>
  <c r="F30" i="99"/>
  <c r="D30" i="99"/>
  <c r="I29" i="99"/>
  <c r="H29" i="103" s="1"/>
  <c r="G29" i="99"/>
  <c r="F29" i="99"/>
  <c r="D29" i="99"/>
  <c r="F28" i="99"/>
  <c r="D28" i="99"/>
  <c r="N26" i="99"/>
  <c r="F26" i="99"/>
  <c r="D26" i="99"/>
  <c r="I20" i="99"/>
  <c r="H20" i="103" s="1"/>
  <c r="F20" i="99"/>
  <c r="E20" i="99"/>
  <c r="I19" i="99"/>
  <c r="H19" i="103" s="1"/>
  <c r="F19" i="99"/>
  <c r="E19" i="99"/>
  <c r="I18" i="99"/>
  <c r="H18" i="103" s="1"/>
  <c r="F18" i="99"/>
  <c r="E18" i="99"/>
  <c r="I17" i="99"/>
  <c r="H17" i="103" s="1"/>
  <c r="G17" i="99"/>
  <c r="F17" i="99"/>
  <c r="E17" i="99"/>
  <c r="I16" i="99"/>
  <c r="H16" i="103" s="1"/>
  <c r="F16" i="99"/>
  <c r="E16" i="99"/>
  <c r="I15" i="99"/>
  <c r="H15" i="103" s="1"/>
  <c r="G15" i="99"/>
  <c r="F15" i="99"/>
  <c r="E15" i="99"/>
  <c r="I14" i="99"/>
  <c r="H14" i="103" s="1"/>
  <c r="F14" i="99"/>
  <c r="E14" i="99"/>
  <c r="T46" i="101"/>
  <c r="Q46" i="101"/>
  <c r="S43" i="101"/>
  <c r="F41" i="101"/>
  <c r="E41" i="101"/>
  <c r="G40" i="101"/>
  <c r="F40" i="101"/>
  <c r="E40" i="101"/>
  <c r="J39" i="102"/>
  <c r="F39" i="101"/>
  <c r="E39" i="101"/>
  <c r="G38" i="101"/>
  <c r="F38" i="101"/>
  <c r="D38" i="101"/>
  <c r="G37" i="101"/>
  <c r="F37" i="101"/>
  <c r="D37" i="101"/>
  <c r="F36" i="101"/>
  <c r="E36" i="101"/>
  <c r="F35" i="101"/>
  <c r="D35" i="101"/>
  <c r="F34" i="101"/>
  <c r="E34" i="101"/>
  <c r="F33" i="101"/>
  <c r="E33" i="101"/>
  <c r="F32" i="101"/>
  <c r="D32" i="101"/>
  <c r="G31" i="101"/>
  <c r="F31" i="101"/>
  <c r="D31" i="101"/>
  <c r="F30" i="101"/>
  <c r="D30" i="101"/>
  <c r="J29" i="102"/>
  <c r="M29" i="102" s="1"/>
  <c r="G29" i="101"/>
  <c r="F29" i="101"/>
  <c r="D29" i="101"/>
  <c r="F28" i="101"/>
  <c r="D28" i="101"/>
  <c r="D27" i="101"/>
  <c r="C27" i="101"/>
  <c r="J26" i="101"/>
  <c r="J26" i="99" s="1"/>
  <c r="I26" i="101"/>
  <c r="F26" i="101"/>
  <c r="E26" i="101"/>
  <c r="N26" i="101" s="1"/>
  <c r="D26" i="101"/>
  <c r="S22" i="101"/>
  <c r="J22" i="101"/>
  <c r="J22" i="99" s="1"/>
  <c r="I22" i="101"/>
  <c r="G22" i="101"/>
  <c r="G22" i="102" s="1"/>
  <c r="E22" i="101"/>
  <c r="D22" i="101"/>
  <c r="G20" i="101"/>
  <c r="F20" i="101"/>
  <c r="E20" i="101"/>
  <c r="G19" i="101"/>
  <c r="F19" i="101"/>
  <c r="E19" i="101"/>
  <c r="J18" i="102"/>
  <c r="G18" i="101"/>
  <c r="F18" i="101"/>
  <c r="E18" i="101"/>
  <c r="G17" i="101"/>
  <c r="F17" i="101"/>
  <c r="E17" i="101"/>
  <c r="G16" i="101"/>
  <c r="F16" i="101"/>
  <c r="E16" i="101"/>
  <c r="G15" i="101"/>
  <c r="F15" i="101"/>
  <c r="E15" i="101"/>
  <c r="G14" i="101"/>
  <c r="F14" i="101"/>
  <c r="E14" i="101"/>
  <c r="S89" i="73"/>
  <c r="G87" i="73"/>
  <c r="F87" i="73"/>
  <c r="E87" i="73"/>
  <c r="G86" i="73"/>
  <c r="F86" i="73"/>
  <c r="E86" i="73"/>
  <c r="G85" i="73"/>
  <c r="F85" i="73"/>
  <c r="D85" i="73"/>
  <c r="C85" i="73"/>
  <c r="C39" i="101" s="1"/>
  <c r="G84" i="73"/>
  <c r="F84" i="73"/>
  <c r="D84" i="73"/>
  <c r="G83" i="73"/>
  <c r="F83" i="73"/>
  <c r="D83" i="73"/>
  <c r="G82" i="73"/>
  <c r="F82" i="73"/>
  <c r="E82" i="73"/>
  <c r="G81" i="73"/>
  <c r="F81" i="73"/>
  <c r="D81" i="73"/>
  <c r="G80" i="73"/>
  <c r="F80" i="73"/>
  <c r="E80" i="73"/>
  <c r="G79" i="73"/>
  <c r="F79" i="73"/>
  <c r="E79" i="73"/>
  <c r="G78" i="73"/>
  <c r="F78" i="73"/>
  <c r="D78" i="73"/>
  <c r="G77" i="73"/>
  <c r="F77" i="73"/>
  <c r="D77" i="73"/>
  <c r="G76" i="73"/>
  <c r="F76" i="73"/>
  <c r="D76" i="73"/>
  <c r="G75" i="73"/>
  <c r="F75" i="73"/>
  <c r="D75" i="73"/>
  <c r="G74" i="73"/>
  <c r="F74" i="73"/>
  <c r="D74" i="73"/>
  <c r="G73" i="73"/>
  <c r="F73" i="73"/>
  <c r="E73" i="73"/>
  <c r="D73" i="73"/>
  <c r="C73" i="73"/>
  <c r="G72" i="73"/>
  <c r="F72" i="73"/>
  <c r="D72" i="73"/>
  <c r="S68" i="73"/>
  <c r="G67" i="73"/>
  <c r="F67" i="73"/>
  <c r="E67" i="73"/>
  <c r="C67" i="73"/>
  <c r="C20" i="101" s="1"/>
  <c r="G66" i="73"/>
  <c r="F66" i="73"/>
  <c r="E66" i="73"/>
  <c r="G65" i="73"/>
  <c r="F65" i="73"/>
  <c r="E65" i="73"/>
  <c r="C65" i="73"/>
  <c r="C18" i="101" s="1"/>
  <c r="G64" i="73"/>
  <c r="F64" i="73"/>
  <c r="E64" i="73"/>
  <c r="G63" i="73"/>
  <c r="F63" i="73"/>
  <c r="E63" i="73"/>
  <c r="G62" i="73"/>
  <c r="F62" i="73"/>
  <c r="E62" i="73"/>
  <c r="G61" i="73"/>
  <c r="F61" i="73"/>
  <c r="E61" i="73"/>
  <c r="S42" i="73"/>
  <c r="M40" i="73"/>
  <c r="M87" i="73" s="1"/>
  <c r="M39" i="73"/>
  <c r="M86" i="73" s="1"/>
  <c r="L38" i="73"/>
  <c r="L85" i="73" s="1"/>
  <c r="R85" i="73" s="1"/>
  <c r="M35" i="73"/>
  <c r="M82" i="73" s="1"/>
  <c r="M33" i="73"/>
  <c r="M80" i="73" s="1"/>
  <c r="M32" i="73"/>
  <c r="M79" i="73" s="1"/>
  <c r="Y30" i="73"/>
  <c r="C30" i="73" s="1"/>
  <c r="Y29" i="73"/>
  <c r="C29" i="73" s="1"/>
  <c r="Y28" i="73"/>
  <c r="C28" i="73" s="1"/>
  <c r="Y27" i="73"/>
  <c r="C27" i="73" s="1"/>
  <c r="S21" i="73"/>
  <c r="M20" i="73"/>
  <c r="M18" i="73"/>
  <c r="M17" i="73"/>
  <c r="M16" i="73"/>
  <c r="M15" i="73"/>
  <c r="M14" i="73"/>
  <c r="K192" i="72"/>
  <c r="K191" i="72"/>
  <c r="K190" i="72"/>
  <c r="K189" i="72"/>
  <c r="K188" i="72"/>
  <c r="K187" i="72"/>
  <c r="N185" i="72"/>
  <c r="P90" i="73"/>
  <c r="O90" i="73"/>
  <c r="N90" i="73"/>
  <c r="L90" i="73"/>
  <c r="M184" i="72"/>
  <c r="N183" i="72"/>
  <c r="Q87" i="73"/>
  <c r="Q86" i="73"/>
  <c r="Q83" i="73"/>
  <c r="Q82" i="73"/>
  <c r="Q81" i="73"/>
  <c r="Q80" i="73"/>
  <c r="Q79" i="73"/>
  <c r="Q78" i="73"/>
  <c r="Q74" i="73"/>
  <c r="Q72" i="73"/>
  <c r="Q67" i="73"/>
  <c r="Q66" i="73"/>
  <c r="Q65" i="73"/>
  <c r="Q64" i="73"/>
  <c r="Q63" i="73"/>
  <c r="Q62" i="73"/>
  <c r="Q61" i="73"/>
  <c r="I146" i="72"/>
  <c r="K144" i="72"/>
  <c r="K143" i="72"/>
  <c r="K142" i="72"/>
  <c r="K141" i="72"/>
  <c r="K140" i="72"/>
  <c r="K139" i="72"/>
  <c r="K137" i="72"/>
  <c r="K96" i="72"/>
  <c r="K95" i="72"/>
  <c r="K94" i="72"/>
  <c r="K93" i="72"/>
  <c r="K92" i="72"/>
  <c r="K90" i="72"/>
  <c r="K88" i="72"/>
  <c r="A74" i="72"/>
  <c r="N65" i="72"/>
  <c r="N64" i="72"/>
  <c r="K51" i="72"/>
  <c r="K50" i="72"/>
  <c r="K49" i="72"/>
  <c r="K48" i="72"/>
  <c r="K47" i="72"/>
  <c r="K45" i="72"/>
  <c r="K43" i="72"/>
  <c r="B95" i="76"/>
  <c r="B96" i="76" s="1"/>
  <c r="B76" i="76"/>
  <c r="B77" i="76" s="1"/>
  <c r="B78" i="76" s="1"/>
  <c r="B79" i="76" s="1"/>
  <c r="B80" i="76" s="1"/>
  <c r="B68" i="76"/>
  <c r="B69" i="76" s="1"/>
  <c r="B70" i="76" s="1"/>
  <c r="B71" i="76" s="1"/>
  <c r="B72" i="76" s="1"/>
  <c r="B73" i="76" s="1"/>
  <c r="B64" i="76"/>
  <c r="B65" i="76" s="1"/>
  <c r="B60" i="76"/>
  <c r="B44" i="76"/>
  <c r="B45" i="76" s="1"/>
  <c r="B46" i="76" s="1"/>
  <c r="B47" i="76" s="1"/>
  <c r="B48" i="76" s="1"/>
  <c r="B49" i="76" s="1"/>
  <c r="G41" i="76"/>
  <c r="G40" i="76"/>
  <c r="B40" i="76"/>
  <c r="B41" i="76" s="1"/>
  <c r="G39" i="76"/>
  <c r="G35" i="76"/>
  <c r="G34" i="76"/>
  <c r="B34" i="76"/>
  <c r="B35" i="76" s="1"/>
  <c r="G33" i="76"/>
  <c r="F10" i="76"/>
  <c r="E56" i="114"/>
  <c r="R55" i="114"/>
  <c r="P55" i="114"/>
  <c r="M55" i="114"/>
  <c r="J55" i="114"/>
  <c r="G55" i="114"/>
  <c r="D55" i="114"/>
  <c r="R54" i="114"/>
  <c r="P54" i="114"/>
  <c r="M54" i="114"/>
  <c r="J54" i="114"/>
  <c r="G54" i="114"/>
  <c r="D54" i="114"/>
  <c r="S53" i="114"/>
  <c r="R53" i="114"/>
  <c r="Q53" i="114"/>
  <c r="P53" i="114"/>
  <c r="N53" i="114"/>
  <c r="M53" i="114"/>
  <c r="K53" i="114"/>
  <c r="J53" i="114"/>
  <c r="H53" i="114"/>
  <c r="G53" i="114"/>
  <c r="E53" i="114"/>
  <c r="D53" i="114"/>
  <c r="R52" i="114"/>
  <c r="P52" i="114"/>
  <c r="M52" i="114"/>
  <c r="J52" i="114"/>
  <c r="G52" i="114"/>
  <c r="E52" i="114"/>
  <c r="D52" i="114"/>
  <c r="R51" i="114"/>
  <c r="P51" i="114"/>
  <c r="M51" i="114"/>
  <c r="J51" i="114"/>
  <c r="G51" i="114"/>
  <c r="D51" i="114"/>
  <c r="R50" i="114"/>
  <c r="P50" i="114"/>
  <c r="M50" i="114"/>
  <c r="J50" i="114"/>
  <c r="G50" i="114"/>
  <c r="D50" i="114"/>
  <c r="B50" i="114"/>
  <c r="B51" i="114" s="1"/>
  <c r="B52" i="114" s="1"/>
  <c r="B53" i="114" s="1"/>
  <c r="B54" i="114" s="1"/>
  <c r="B55" i="114" s="1"/>
  <c r="R49" i="114"/>
  <c r="P49" i="114"/>
  <c r="M49" i="114"/>
  <c r="J49" i="114"/>
  <c r="G49" i="114"/>
  <c r="D49" i="114"/>
  <c r="R37" i="114"/>
  <c r="U47" i="58" s="1"/>
  <c r="P37" i="114"/>
  <c r="S47" i="58" s="1"/>
  <c r="M37" i="114"/>
  <c r="N47" i="58" s="1"/>
  <c r="J37" i="114"/>
  <c r="K47" i="58" s="1"/>
  <c r="D263" i="150" s="1"/>
  <c r="D37" i="114"/>
  <c r="F37" i="114" s="1"/>
  <c r="L34" i="114"/>
  <c r="I34" i="114"/>
  <c r="F34" i="114"/>
  <c r="F33" i="114"/>
  <c r="B31" i="114"/>
  <c r="B32" i="114" s="1"/>
  <c r="B33" i="114" s="1"/>
  <c r="B34" i="114" s="1"/>
  <c r="B35" i="114" s="1"/>
  <c r="B36" i="114" s="1"/>
  <c r="E30" i="114"/>
  <c r="R18" i="114"/>
  <c r="R56" i="114" s="1"/>
  <c r="P18" i="114"/>
  <c r="M18" i="114"/>
  <c r="N17" i="58" s="1"/>
  <c r="J18" i="114"/>
  <c r="K17" i="58" s="1"/>
  <c r="D230" i="150" s="1"/>
  <c r="G56" i="114"/>
  <c r="D18" i="114"/>
  <c r="O15" i="114"/>
  <c r="L15" i="114"/>
  <c r="I15" i="114"/>
  <c r="F15" i="114"/>
  <c r="F14" i="114"/>
  <c r="B12" i="114"/>
  <c r="B13" i="114" s="1"/>
  <c r="B14" i="114" s="1"/>
  <c r="B15" i="114" s="1"/>
  <c r="B16" i="114" s="1"/>
  <c r="B17" i="114" s="1"/>
  <c r="E11" i="114"/>
  <c r="E16" i="114" s="1"/>
  <c r="Q47" i="96"/>
  <c r="O47" i="96"/>
  <c r="N47" i="96"/>
  <c r="Q46" i="96"/>
  <c r="T43" i="96"/>
  <c r="R43" i="96"/>
  <c r="M43" i="96"/>
  <c r="J43" i="96"/>
  <c r="G43" i="96"/>
  <c r="B43" i="96"/>
  <c r="B44" i="96" s="1"/>
  <c r="B45" i="96" s="1"/>
  <c r="B46" i="96" s="1"/>
  <c r="B47" i="96" s="1"/>
  <c r="L42" i="96"/>
  <c r="P42" i="96" s="1"/>
  <c r="I42" i="96"/>
  <c r="F42" i="96"/>
  <c r="Q31" i="96"/>
  <c r="T30" i="96"/>
  <c r="U46" i="58" s="1"/>
  <c r="R30" i="96"/>
  <c r="S46" i="58" s="1"/>
  <c r="O30" i="96"/>
  <c r="N30" i="96"/>
  <c r="M30" i="96"/>
  <c r="M28" i="96" s="1"/>
  <c r="J30" i="96"/>
  <c r="J28" i="96" s="1"/>
  <c r="G30" i="96"/>
  <c r="D30" i="96"/>
  <c r="E46" i="58" s="1"/>
  <c r="B28" i="96"/>
  <c r="B29" i="96" s="1"/>
  <c r="B30" i="96" s="1"/>
  <c r="B31" i="96" s="1"/>
  <c r="B32" i="96" s="1"/>
  <c r="L27" i="96"/>
  <c r="P27" i="96" s="1"/>
  <c r="Q27" i="96" s="1"/>
  <c r="I27" i="96"/>
  <c r="F27" i="96"/>
  <c r="P17" i="96"/>
  <c r="Q17" i="96" s="1"/>
  <c r="L17" i="96"/>
  <c r="Q16" i="96"/>
  <c r="T15" i="96"/>
  <c r="R15" i="96"/>
  <c r="O15" i="96"/>
  <c r="N15" i="96"/>
  <c r="M15" i="96"/>
  <c r="M13" i="96" s="1"/>
  <c r="J15" i="96"/>
  <c r="D229" i="150" s="1"/>
  <c r="G15" i="96"/>
  <c r="D120" i="150" s="1"/>
  <c r="D15" i="96"/>
  <c r="T13" i="96"/>
  <c r="R13" i="96"/>
  <c r="G13" i="96"/>
  <c r="D13" i="96"/>
  <c r="B13" i="96"/>
  <c r="B14" i="96" s="1"/>
  <c r="B15" i="96" s="1"/>
  <c r="B16" i="96" s="1"/>
  <c r="B17" i="96" s="1"/>
  <c r="P12" i="96"/>
  <c r="Q12" i="96" s="1"/>
  <c r="L12" i="96"/>
  <c r="I12" i="96"/>
  <c r="F12" i="96"/>
  <c r="P78" i="75"/>
  <c r="Q78" i="75" s="1"/>
  <c r="P77" i="75"/>
  <c r="Q77" i="75" s="1"/>
  <c r="P76" i="75"/>
  <c r="Q76" i="75" s="1"/>
  <c r="P75" i="75"/>
  <c r="Q75" i="75" s="1"/>
  <c r="P74" i="75"/>
  <c r="Q74" i="75" s="1"/>
  <c r="P73" i="75"/>
  <c r="Q73" i="75" s="1"/>
  <c r="P72" i="75"/>
  <c r="Q72" i="75" s="1"/>
  <c r="P71" i="75"/>
  <c r="Q71" i="75" s="1"/>
  <c r="P70" i="75"/>
  <c r="Q70" i="75" s="1"/>
  <c r="P69" i="75"/>
  <c r="Q69" i="75" s="1"/>
  <c r="P68" i="75"/>
  <c r="Q68" i="75" s="1"/>
  <c r="P67" i="75"/>
  <c r="Q67" i="75" s="1"/>
  <c r="P66" i="75"/>
  <c r="Q66" i="75" s="1"/>
  <c r="P65" i="75"/>
  <c r="Q65" i="75" s="1"/>
  <c r="P64" i="75"/>
  <c r="Q64" i="75" s="1"/>
  <c r="B64" i="75"/>
  <c r="B65" i="75" s="1"/>
  <c r="B66" i="75" s="1"/>
  <c r="B67" i="75" s="1"/>
  <c r="B68" i="75" s="1"/>
  <c r="B69" i="75" s="1"/>
  <c r="B70" i="75" s="1"/>
  <c r="B71" i="75" s="1"/>
  <c r="B72" i="75" s="1"/>
  <c r="B73" i="75" s="1"/>
  <c r="B74" i="75" s="1"/>
  <c r="B75" i="75" s="1"/>
  <c r="B76" i="75" s="1"/>
  <c r="B77" i="75" s="1"/>
  <c r="B78" i="75" s="1"/>
  <c r="P63" i="75"/>
  <c r="Q63" i="75" s="1"/>
  <c r="T53" i="75"/>
  <c r="R53" i="75"/>
  <c r="S58" i="58" s="1"/>
  <c r="M53" i="75"/>
  <c r="N58" i="58" s="1"/>
  <c r="J53" i="75"/>
  <c r="K58" i="58" s="1"/>
  <c r="D274" i="150" s="1"/>
  <c r="G53" i="75"/>
  <c r="H58" i="58" s="1"/>
  <c r="D53" i="75"/>
  <c r="E58" i="58" s="1"/>
  <c r="U52" i="75"/>
  <c r="S52" i="75"/>
  <c r="P52" i="75"/>
  <c r="Q52" i="75" s="1"/>
  <c r="U51" i="75"/>
  <c r="S51" i="75"/>
  <c r="P51" i="75"/>
  <c r="Q51" i="75" s="1"/>
  <c r="U50" i="75"/>
  <c r="S50" i="75"/>
  <c r="P50" i="75"/>
  <c r="Q50" i="75" s="1"/>
  <c r="U49" i="75"/>
  <c r="S49" i="75"/>
  <c r="P49" i="75"/>
  <c r="Q49" i="75" s="1"/>
  <c r="U48" i="75"/>
  <c r="S48" i="75"/>
  <c r="P48" i="75"/>
  <c r="Q48" i="75" s="1"/>
  <c r="U47" i="75"/>
  <c r="S47" i="75"/>
  <c r="P47" i="75"/>
  <c r="Q47" i="75" s="1"/>
  <c r="U46" i="75"/>
  <c r="S46" i="75"/>
  <c r="P46" i="75"/>
  <c r="Q46" i="75" s="1"/>
  <c r="U45" i="75"/>
  <c r="S45" i="75"/>
  <c r="P45" i="75"/>
  <c r="Q45" i="75" s="1"/>
  <c r="U44" i="75"/>
  <c r="S44" i="75"/>
  <c r="P44" i="75"/>
  <c r="Q44" i="75" s="1"/>
  <c r="U43" i="75"/>
  <c r="S43" i="75"/>
  <c r="P43" i="75"/>
  <c r="Q43" i="75" s="1"/>
  <c r="U42" i="75"/>
  <c r="S42" i="75"/>
  <c r="P42" i="75"/>
  <c r="Q42" i="75" s="1"/>
  <c r="U41" i="75"/>
  <c r="S41" i="75"/>
  <c r="P41" i="75"/>
  <c r="Q41" i="75" s="1"/>
  <c r="U40" i="75"/>
  <c r="S40" i="75"/>
  <c r="P40" i="75"/>
  <c r="Q40" i="75" s="1"/>
  <c r="U39" i="75"/>
  <c r="S39" i="75"/>
  <c r="P39" i="75"/>
  <c r="Q39" i="75" s="1"/>
  <c r="U38" i="75"/>
  <c r="S38" i="75"/>
  <c r="P38" i="75"/>
  <c r="Q38" i="75" s="1"/>
  <c r="B38" i="75"/>
  <c r="B39" i="75" s="1"/>
  <c r="B40" i="75" s="1"/>
  <c r="B41" i="75" s="1"/>
  <c r="B42" i="75" s="1"/>
  <c r="B43" i="75" s="1"/>
  <c r="B44" i="75" s="1"/>
  <c r="B45" i="75" s="1"/>
  <c r="B46" i="75" s="1"/>
  <c r="B47" i="75" s="1"/>
  <c r="B48" i="75" s="1"/>
  <c r="B49" i="75" s="1"/>
  <c r="B50" i="75" s="1"/>
  <c r="B51" i="75" s="1"/>
  <c r="B52" i="75" s="1"/>
  <c r="U37" i="75"/>
  <c r="S37" i="75"/>
  <c r="P37" i="75"/>
  <c r="Q37" i="75" s="1"/>
  <c r="T27" i="75"/>
  <c r="U26" i="58" s="1"/>
  <c r="R27" i="75"/>
  <c r="S26" i="58" s="1"/>
  <c r="M27" i="75"/>
  <c r="J27" i="75"/>
  <c r="G27" i="75"/>
  <c r="H26" i="58" s="1"/>
  <c r="D27" i="75"/>
  <c r="E26" i="58" s="1"/>
  <c r="U26" i="75"/>
  <c r="S26" i="75"/>
  <c r="P26" i="75"/>
  <c r="Q26" i="75" s="1"/>
  <c r="U25" i="75"/>
  <c r="S25" i="75"/>
  <c r="P25" i="75"/>
  <c r="Q25" i="75" s="1"/>
  <c r="U24" i="75"/>
  <c r="S24" i="75"/>
  <c r="P24" i="75"/>
  <c r="Q24" i="75" s="1"/>
  <c r="U23" i="75"/>
  <c r="S23" i="75"/>
  <c r="P23" i="75"/>
  <c r="Q23" i="75" s="1"/>
  <c r="U22" i="75"/>
  <c r="S22" i="75"/>
  <c r="P22" i="75"/>
  <c r="Q22" i="75" s="1"/>
  <c r="U21" i="75"/>
  <c r="S21" i="75"/>
  <c r="P21" i="75"/>
  <c r="Q21" i="75" s="1"/>
  <c r="U20" i="75"/>
  <c r="S20" i="75"/>
  <c r="P20" i="75"/>
  <c r="Q20" i="75" s="1"/>
  <c r="U19" i="75"/>
  <c r="S19" i="75"/>
  <c r="P19" i="75"/>
  <c r="Q19" i="75" s="1"/>
  <c r="U18" i="75"/>
  <c r="S18" i="75"/>
  <c r="P18" i="75"/>
  <c r="Q18" i="75" s="1"/>
  <c r="U17" i="75"/>
  <c r="S17" i="75"/>
  <c r="P17" i="75"/>
  <c r="Q17" i="75" s="1"/>
  <c r="U16" i="75"/>
  <c r="S16" i="75"/>
  <c r="P16" i="75"/>
  <c r="Q16" i="75" s="1"/>
  <c r="U15" i="75"/>
  <c r="S15" i="75"/>
  <c r="Q15" i="75"/>
  <c r="P15" i="75"/>
  <c r="U14" i="75"/>
  <c r="S14" i="75"/>
  <c r="P14" i="75"/>
  <c r="Q14" i="75" s="1"/>
  <c r="U13" i="75"/>
  <c r="S13" i="75"/>
  <c r="P13" i="75"/>
  <c r="Q13" i="75" s="1"/>
  <c r="U12" i="75"/>
  <c r="S12" i="75"/>
  <c r="P12" i="75"/>
  <c r="Q12" i="75" s="1"/>
  <c r="B12" i="75"/>
  <c r="B13" i="75" s="1"/>
  <c r="B14" i="75" s="1"/>
  <c r="B15" i="75" s="1"/>
  <c r="B16" i="75" s="1"/>
  <c r="B17" i="75" s="1"/>
  <c r="B18" i="75" s="1"/>
  <c r="B19" i="75" s="1"/>
  <c r="B20" i="75" s="1"/>
  <c r="B21" i="75" s="1"/>
  <c r="B22" i="75" s="1"/>
  <c r="B23" i="75" s="1"/>
  <c r="B24" i="75" s="1"/>
  <c r="B25" i="75" s="1"/>
  <c r="B26" i="75" s="1"/>
  <c r="U11" i="75"/>
  <c r="S11" i="75"/>
  <c r="P11" i="75"/>
  <c r="Q11" i="75" s="1"/>
  <c r="G166" i="55"/>
  <c r="B166" i="55"/>
  <c r="B167" i="55" s="1"/>
  <c r="G165" i="55"/>
  <c r="D165" i="55"/>
  <c r="P164" i="55"/>
  <c r="P123" i="55" s="1"/>
  <c r="N164" i="55"/>
  <c r="N123" i="55" s="1"/>
  <c r="K164" i="55"/>
  <c r="L164" i="55" s="1"/>
  <c r="G164" i="55"/>
  <c r="I164" i="55" s="1"/>
  <c r="D164" i="55"/>
  <c r="L162" i="55"/>
  <c r="G162" i="55"/>
  <c r="D162" i="55"/>
  <c r="G161" i="55"/>
  <c r="D161" i="55"/>
  <c r="G160" i="55"/>
  <c r="D159" i="55"/>
  <c r="D81" i="55" s="1"/>
  <c r="O166" i="55"/>
  <c r="G157" i="55"/>
  <c r="D157" i="55"/>
  <c r="B157" i="55"/>
  <c r="B158" i="55" s="1"/>
  <c r="B159" i="55" s="1"/>
  <c r="B160" i="55" s="1"/>
  <c r="O165" i="55"/>
  <c r="M165" i="55"/>
  <c r="J165" i="55"/>
  <c r="B137" i="55"/>
  <c r="B125" i="55"/>
  <c r="B126" i="55" s="1"/>
  <c r="D124" i="55"/>
  <c r="O123" i="55"/>
  <c r="M123" i="55"/>
  <c r="J123" i="55"/>
  <c r="H123" i="55"/>
  <c r="G123" i="55"/>
  <c r="E123" i="55"/>
  <c r="L122" i="55"/>
  <c r="I122" i="55"/>
  <c r="F122" i="55"/>
  <c r="L121" i="55"/>
  <c r="I121" i="55"/>
  <c r="F121" i="55"/>
  <c r="F120" i="55"/>
  <c r="O119" i="55"/>
  <c r="M119" i="55"/>
  <c r="J119" i="55"/>
  <c r="G119" i="55"/>
  <c r="O118" i="55"/>
  <c r="M118" i="55"/>
  <c r="J118" i="55"/>
  <c r="G118" i="55"/>
  <c r="O117" i="55"/>
  <c r="M117" i="55"/>
  <c r="J117" i="55"/>
  <c r="G117" i="55"/>
  <c r="D117" i="55"/>
  <c r="O116" i="55"/>
  <c r="M116" i="55"/>
  <c r="J116" i="55"/>
  <c r="G116" i="55"/>
  <c r="B116" i="55"/>
  <c r="B117" i="55" s="1"/>
  <c r="B118" i="55" s="1"/>
  <c r="B119" i="55" s="1"/>
  <c r="O115" i="55"/>
  <c r="M115" i="55"/>
  <c r="J115" i="55"/>
  <c r="G115" i="55"/>
  <c r="D115" i="55"/>
  <c r="U101" i="55"/>
  <c r="B101" i="55"/>
  <c r="U100" i="55"/>
  <c r="D89" i="55"/>
  <c r="B88" i="55"/>
  <c r="B89" i="55" s="1"/>
  <c r="O86" i="55"/>
  <c r="M86" i="55"/>
  <c r="J86" i="55"/>
  <c r="G86" i="55"/>
  <c r="O84" i="55"/>
  <c r="M84" i="55"/>
  <c r="J84" i="55"/>
  <c r="G84" i="55"/>
  <c r="I84" i="55" s="1"/>
  <c r="F84" i="55"/>
  <c r="O83" i="55"/>
  <c r="M83" i="55"/>
  <c r="J83" i="55"/>
  <c r="G83" i="55"/>
  <c r="I83" i="55" s="1"/>
  <c r="F83" i="55"/>
  <c r="O81" i="55"/>
  <c r="M81" i="55"/>
  <c r="J81" i="55"/>
  <c r="G81" i="55"/>
  <c r="O80" i="55"/>
  <c r="M80" i="55"/>
  <c r="J80" i="55"/>
  <c r="G80" i="55"/>
  <c r="D80" i="55"/>
  <c r="O79" i="55"/>
  <c r="M79" i="55"/>
  <c r="J79" i="55"/>
  <c r="G79" i="55"/>
  <c r="B79" i="55"/>
  <c r="B80" i="55" s="1"/>
  <c r="B81" i="55" s="1"/>
  <c r="B82" i="55" s="1"/>
  <c r="O78" i="55"/>
  <c r="M78" i="55"/>
  <c r="J78" i="55"/>
  <c r="G78" i="55"/>
  <c r="D78" i="55"/>
  <c r="D62" i="55"/>
  <c r="D61" i="55"/>
  <c r="B61" i="55"/>
  <c r="B62" i="55" s="1"/>
  <c r="D60" i="55"/>
  <c r="E59" i="55"/>
  <c r="F59" i="55" s="1"/>
  <c r="F58" i="55"/>
  <c r="D56" i="55"/>
  <c r="D18" i="55" s="1"/>
  <c r="D55" i="55"/>
  <c r="D57" i="55" s="1"/>
  <c r="B53" i="55"/>
  <c r="B54" i="55" s="1"/>
  <c r="B55" i="55" s="1"/>
  <c r="B56" i="55" s="1"/>
  <c r="B57" i="55" s="1"/>
  <c r="F52" i="55"/>
  <c r="D42" i="55"/>
  <c r="B42" i="55"/>
  <c r="B43" i="55" s="1"/>
  <c r="D41" i="55"/>
  <c r="F40" i="55"/>
  <c r="F39" i="55"/>
  <c r="B34" i="55"/>
  <c r="B35" i="55" s="1"/>
  <c r="B36" i="55" s="1"/>
  <c r="B37" i="55" s="1"/>
  <c r="B38" i="55" s="1"/>
  <c r="D29" i="55"/>
  <c r="D23" i="55"/>
  <c r="B23" i="55"/>
  <c r="B24" i="55" s="1"/>
  <c r="D22" i="55"/>
  <c r="F21" i="55"/>
  <c r="F20" i="55"/>
  <c r="D17" i="55"/>
  <c r="D16" i="55"/>
  <c r="D15" i="55"/>
  <c r="B15" i="55"/>
  <c r="B16" i="55" s="1"/>
  <c r="B17" i="55" s="1"/>
  <c r="B18" i="55" s="1"/>
  <c r="B19" i="55" s="1"/>
  <c r="D14" i="55"/>
  <c r="D10" i="55"/>
  <c r="G30" i="158"/>
  <c r="F140" i="55" s="1"/>
  <c r="J27" i="158"/>
  <c r="J28" i="158" s="1"/>
  <c r="J29" i="158" s="1"/>
  <c r="I27" i="158"/>
  <c r="I28" i="158" s="1"/>
  <c r="G27" i="158"/>
  <c r="F27" i="158"/>
  <c r="E27" i="158"/>
  <c r="E23" i="158"/>
  <c r="B23" i="158"/>
  <c r="G21" i="158"/>
  <c r="G22" i="158" s="1"/>
  <c r="F22" i="158"/>
  <c r="D21" i="158"/>
  <c r="E22" i="158" s="1"/>
  <c r="J20" i="158"/>
  <c r="J21" i="158" s="1"/>
  <c r="J22" i="158" s="1"/>
  <c r="I20" i="158"/>
  <c r="I21" i="158" s="1"/>
  <c r="I22" i="158" s="1"/>
  <c r="E6" i="158"/>
  <c r="F100" i="55" s="1"/>
  <c r="D6" i="158"/>
  <c r="E100" i="55" s="1"/>
  <c r="M5" i="158"/>
  <c r="M6" i="158" s="1"/>
  <c r="M7" i="158" s="1"/>
  <c r="M8" i="158" s="1"/>
  <c r="L5" i="158"/>
  <c r="L6" i="158" s="1"/>
  <c r="L7" i="158" s="1"/>
  <c r="L8" i="158" s="1"/>
  <c r="J5" i="158"/>
  <c r="J6" i="158" s="1"/>
  <c r="J7" i="158" s="1"/>
  <c r="J8" i="158" s="1"/>
  <c r="J9" i="158" s="1"/>
  <c r="J10" i="158" s="1"/>
  <c r="J11" i="158" s="1"/>
  <c r="J12" i="158" s="1"/>
  <c r="J13" i="158" s="1"/>
  <c r="J14" i="158" s="1"/>
  <c r="D4" i="158"/>
  <c r="I4" i="158" s="1"/>
  <c r="I5" i="158" s="1"/>
  <c r="I6" i="158" s="1"/>
  <c r="I7" i="158" s="1"/>
  <c r="I8" i="158" s="1"/>
  <c r="I9" i="158" s="1"/>
  <c r="I10" i="158" s="1"/>
  <c r="I11" i="158" s="1"/>
  <c r="I12" i="158" s="1"/>
  <c r="I13" i="158" s="1"/>
  <c r="I14" i="158" s="1"/>
  <c r="I2" i="158"/>
  <c r="B144" i="61"/>
  <c r="B145" i="61" s="1"/>
  <c r="M143" i="61"/>
  <c r="K143" i="61"/>
  <c r="I143" i="61"/>
  <c r="G143" i="61"/>
  <c r="G100" i="61" s="1"/>
  <c r="G102" i="61" s="1"/>
  <c r="K15" i="58" s="1"/>
  <c r="D228" i="150" s="1"/>
  <c r="E145" i="61"/>
  <c r="B141" i="61"/>
  <c r="B140" i="61"/>
  <c r="I136" i="61"/>
  <c r="G136" i="61"/>
  <c r="E136" i="61"/>
  <c r="M135" i="61"/>
  <c r="K135" i="61"/>
  <c r="I135" i="61"/>
  <c r="G135" i="61"/>
  <c r="E135" i="61"/>
  <c r="M134" i="61"/>
  <c r="I134" i="61"/>
  <c r="G134" i="61"/>
  <c r="E134" i="61"/>
  <c r="M133" i="61"/>
  <c r="K133" i="61"/>
  <c r="I133" i="61"/>
  <c r="G133" i="61"/>
  <c r="E133" i="61"/>
  <c r="B133" i="61"/>
  <c r="B134" i="61" s="1"/>
  <c r="B135" i="61" s="1"/>
  <c r="B136" i="61" s="1"/>
  <c r="B137" i="61" s="1"/>
  <c r="M132" i="61"/>
  <c r="K132" i="61"/>
  <c r="I132" i="61"/>
  <c r="G132" i="61"/>
  <c r="E132" i="61"/>
  <c r="B123" i="61"/>
  <c r="B124" i="61" s="1"/>
  <c r="E122" i="61"/>
  <c r="E124" i="61" s="1"/>
  <c r="H45" i="58" s="1"/>
  <c r="N121" i="61"/>
  <c r="L121" i="61"/>
  <c r="J121" i="61"/>
  <c r="H121" i="61"/>
  <c r="F121" i="61"/>
  <c r="G120" i="61"/>
  <c r="B119" i="61"/>
  <c r="B120" i="61" s="1"/>
  <c r="M116" i="61"/>
  <c r="K116" i="61"/>
  <c r="I116" i="61"/>
  <c r="G116" i="61"/>
  <c r="E116" i="61"/>
  <c r="E120" i="61" s="1"/>
  <c r="H44" i="58" s="1"/>
  <c r="B112" i="61"/>
  <c r="B113" i="61" s="1"/>
  <c r="B114" i="61" s="1"/>
  <c r="B115" i="61" s="1"/>
  <c r="B116" i="61" s="1"/>
  <c r="B101" i="61"/>
  <c r="B102" i="61" s="1"/>
  <c r="E100" i="61"/>
  <c r="E102" i="61" s="1"/>
  <c r="H15" i="58" s="1"/>
  <c r="N98" i="61"/>
  <c r="L98" i="61"/>
  <c r="J98" i="61"/>
  <c r="H98" i="61"/>
  <c r="F98" i="61"/>
  <c r="B96" i="61"/>
  <c r="B97" i="61" s="1"/>
  <c r="M93" i="61"/>
  <c r="K93" i="61"/>
  <c r="I93" i="61"/>
  <c r="G93" i="61"/>
  <c r="E93" i="61"/>
  <c r="E97" i="61" s="1"/>
  <c r="H14" i="58" s="1"/>
  <c r="B90" i="61"/>
  <c r="B91" i="61" s="1"/>
  <c r="B92" i="61" s="1"/>
  <c r="B93" i="61" s="1"/>
  <c r="B77" i="61"/>
  <c r="B78" i="61" s="1"/>
  <c r="B73" i="61"/>
  <c r="B74" i="61" s="1"/>
  <c r="E68" i="61"/>
  <c r="E67" i="61"/>
  <c r="E66" i="61"/>
  <c r="E65" i="61"/>
  <c r="B65" i="61"/>
  <c r="B66" i="61" s="1"/>
  <c r="E64" i="61"/>
  <c r="E54" i="61"/>
  <c r="E45" i="58" s="1"/>
  <c r="B53" i="61"/>
  <c r="B54" i="61" s="1"/>
  <c r="F52" i="61"/>
  <c r="E52" i="61"/>
  <c r="F50" i="61"/>
  <c r="B48" i="61"/>
  <c r="B49" i="61" s="1"/>
  <c r="E45" i="61"/>
  <c r="E49" i="61" s="1"/>
  <c r="B41" i="61"/>
  <c r="B42" i="61" s="1"/>
  <c r="B43" i="61" s="1"/>
  <c r="B44" i="61" s="1"/>
  <c r="B45" i="61" s="1"/>
  <c r="E29" i="61"/>
  <c r="E15" i="58" s="1"/>
  <c r="B28" i="61"/>
  <c r="B29" i="61" s="1"/>
  <c r="F27" i="61"/>
  <c r="F25" i="61"/>
  <c r="B23" i="61"/>
  <c r="B24" i="61" s="1"/>
  <c r="E20" i="61"/>
  <c r="E24" i="61" s="1"/>
  <c r="B20" i="61"/>
  <c r="B16" i="61"/>
  <c r="B17" i="61" s="1"/>
  <c r="E38" i="155"/>
  <c r="D37" i="155"/>
  <c r="E37" i="155" s="1"/>
  <c r="D36" i="155"/>
  <c r="E36" i="155" s="1"/>
  <c r="D35" i="155"/>
  <c r="E35" i="155" s="1"/>
  <c r="D34" i="155"/>
  <c r="E34" i="155" s="1"/>
  <c r="D33" i="155"/>
  <c r="E33" i="155" s="1"/>
  <c r="D32" i="155"/>
  <c r="E32" i="155" s="1"/>
  <c r="D31" i="155"/>
  <c r="E31" i="155" s="1"/>
  <c r="D30" i="155"/>
  <c r="E30" i="155" s="1"/>
  <c r="E29" i="155"/>
  <c r="G29" i="155" s="1"/>
  <c r="H29" i="155" s="1"/>
  <c r="H140" i="61" s="1"/>
  <c r="E28" i="155"/>
  <c r="D27" i="155"/>
  <c r="E27" i="155" s="1"/>
  <c r="F26" i="155"/>
  <c r="D26" i="155"/>
  <c r="E26" i="155" s="1"/>
  <c r="D25" i="155"/>
  <c r="E25" i="155" s="1"/>
  <c r="D24" i="155"/>
  <c r="E24" i="155" s="1"/>
  <c r="D23" i="155"/>
  <c r="E23" i="155" s="1"/>
  <c r="D22" i="155"/>
  <c r="E22" i="155" s="1"/>
  <c r="D21" i="155"/>
  <c r="E21" i="155" s="1"/>
  <c r="D20" i="155"/>
  <c r="E20" i="155" s="1"/>
  <c r="D19" i="155"/>
  <c r="E19" i="155" s="1"/>
  <c r="D18" i="155"/>
  <c r="E18" i="155" s="1"/>
  <c r="D17" i="155"/>
  <c r="E17" i="155" s="1"/>
  <c r="D16" i="155"/>
  <c r="E16" i="155" s="1"/>
  <c r="D15" i="155"/>
  <c r="E15" i="155" s="1"/>
  <c r="D14" i="155"/>
  <c r="E14" i="155" s="1"/>
  <c r="D13" i="155"/>
  <c r="E13" i="155" s="1"/>
  <c r="D12" i="155"/>
  <c r="E12" i="155" s="1"/>
  <c r="D11" i="155"/>
  <c r="E11" i="155" s="1"/>
  <c r="D10" i="155"/>
  <c r="E10" i="155" s="1"/>
  <c r="D9" i="155"/>
  <c r="E9" i="155" s="1"/>
  <c r="E8" i="155"/>
  <c r="D7" i="155"/>
  <c r="E7" i="155" s="1"/>
  <c r="D6" i="155"/>
  <c r="E6" i="155" s="1"/>
  <c r="D5" i="155"/>
  <c r="E5" i="155" s="1"/>
  <c r="D4" i="155"/>
  <c r="E4" i="155" s="1"/>
  <c r="O259" i="54"/>
  <c r="L259" i="54"/>
  <c r="I259" i="54"/>
  <c r="F259" i="54"/>
  <c r="O258" i="54"/>
  <c r="L258" i="54"/>
  <c r="I258" i="54"/>
  <c r="F258" i="54"/>
  <c r="O257" i="54"/>
  <c r="L257" i="54"/>
  <c r="I257" i="54"/>
  <c r="F257" i="54"/>
  <c r="O256" i="54"/>
  <c r="L256" i="54"/>
  <c r="I256" i="54"/>
  <c r="F256" i="54"/>
  <c r="O255" i="54"/>
  <c r="L255" i="54"/>
  <c r="I255" i="54"/>
  <c r="F255" i="54"/>
  <c r="O254" i="54"/>
  <c r="L254" i="54"/>
  <c r="I254" i="54"/>
  <c r="F254" i="54"/>
  <c r="O253" i="54"/>
  <c r="L253" i="54"/>
  <c r="I253" i="54"/>
  <c r="F253" i="54"/>
  <c r="O252" i="54"/>
  <c r="L252" i="54"/>
  <c r="I252" i="54"/>
  <c r="F252" i="54"/>
  <c r="O251" i="54"/>
  <c r="L251" i="54"/>
  <c r="I251" i="54"/>
  <c r="F251" i="54"/>
  <c r="O250" i="54"/>
  <c r="L250" i="54"/>
  <c r="I250" i="54"/>
  <c r="F250" i="54"/>
  <c r="O249" i="54"/>
  <c r="L249" i="54"/>
  <c r="I249" i="54"/>
  <c r="F249" i="54"/>
  <c r="O248" i="54"/>
  <c r="L248" i="54"/>
  <c r="I248" i="54"/>
  <c r="F248" i="54"/>
  <c r="O247" i="54"/>
  <c r="L247" i="54"/>
  <c r="I247" i="54"/>
  <c r="F247" i="54"/>
  <c r="O246" i="54"/>
  <c r="L246" i="54"/>
  <c r="I246" i="54"/>
  <c r="F246" i="54"/>
  <c r="B246" i="54"/>
  <c r="B247" i="54" s="1"/>
  <c r="B248" i="54" s="1"/>
  <c r="B249" i="54" s="1"/>
  <c r="B250" i="54" s="1"/>
  <c r="B251" i="54" s="1"/>
  <c r="B252" i="54" s="1"/>
  <c r="O245" i="54"/>
  <c r="L245" i="54"/>
  <c r="I245" i="54"/>
  <c r="F245" i="54"/>
  <c r="O244" i="54"/>
  <c r="L244" i="54"/>
  <c r="I244" i="54"/>
  <c r="F244" i="54"/>
  <c r="O243" i="54"/>
  <c r="L243" i="54"/>
  <c r="I243" i="54"/>
  <c r="F243" i="54"/>
  <c r="O242" i="54"/>
  <c r="L242" i="54"/>
  <c r="I242" i="54"/>
  <c r="F242" i="54"/>
  <c r="O241" i="54"/>
  <c r="L241" i="54"/>
  <c r="I241" i="54"/>
  <c r="F241" i="54"/>
  <c r="O240" i="54"/>
  <c r="L240" i="54"/>
  <c r="I240" i="54"/>
  <c r="F240" i="54"/>
  <c r="O239" i="54"/>
  <c r="L239" i="54"/>
  <c r="I239" i="54"/>
  <c r="F239" i="54"/>
  <c r="O238" i="54"/>
  <c r="L238" i="54"/>
  <c r="I238" i="54"/>
  <c r="F238" i="54"/>
  <c r="O237" i="54"/>
  <c r="L237" i="54"/>
  <c r="I237" i="54"/>
  <c r="F237" i="54"/>
  <c r="O236" i="54"/>
  <c r="L236" i="54"/>
  <c r="I236" i="54"/>
  <c r="F236" i="54"/>
  <c r="O235" i="54"/>
  <c r="L235" i="54"/>
  <c r="I235" i="54"/>
  <c r="F235" i="54"/>
  <c r="O234" i="54"/>
  <c r="L234" i="54"/>
  <c r="I234" i="54"/>
  <c r="F234" i="54"/>
  <c r="O233" i="54"/>
  <c r="L233" i="54"/>
  <c r="I233" i="54"/>
  <c r="F233" i="54"/>
  <c r="B233" i="54"/>
  <c r="B234" i="54" s="1"/>
  <c r="B235" i="54" s="1"/>
  <c r="B236" i="54" s="1"/>
  <c r="B237" i="54" s="1"/>
  <c r="B238" i="54" s="1"/>
  <c r="O232" i="54"/>
  <c r="L232" i="54"/>
  <c r="I232" i="54"/>
  <c r="F232" i="54"/>
  <c r="B232" i="54"/>
  <c r="O231" i="54"/>
  <c r="L231" i="54"/>
  <c r="I231" i="54"/>
  <c r="F231" i="54"/>
  <c r="O230" i="54"/>
  <c r="L230" i="54"/>
  <c r="I230" i="54"/>
  <c r="F230" i="54"/>
  <c r="O229" i="54"/>
  <c r="L229" i="54"/>
  <c r="I229" i="54"/>
  <c r="F229" i="54"/>
  <c r="O228" i="54"/>
  <c r="L228" i="54"/>
  <c r="I228" i="54"/>
  <c r="F228" i="54"/>
  <c r="O227" i="54"/>
  <c r="L227" i="54"/>
  <c r="I227" i="54"/>
  <c r="F227" i="54"/>
  <c r="O226" i="54"/>
  <c r="L226" i="54"/>
  <c r="I226" i="54"/>
  <c r="F226" i="54"/>
  <c r="O225" i="54"/>
  <c r="L225" i="54"/>
  <c r="I225" i="54"/>
  <c r="F225" i="54"/>
  <c r="O224" i="54"/>
  <c r="L224" i="54"/>
  <c r="I224" i="54"/>
  <c r="F224" i="54"/>
  <c r="O223" i="54"/>
  <c r="L223" i="54"/>
  <c r="I223" i="54"/>
  <c r="F223" i="54"/>
  <c r="B223" i="54"/>
  <c r="B224" i="54" s="1"/>
  <c r="B225" i="54" s="1"/>
  <c r="B226" i="54" s="1"/>
  <c r="B227" i="54" s="1"/>
  <c r="B228" i="54" s="1"/>
  <c r="B229" i="54" s="1"/>
  <c r="O222" i="54"/>
  <c r="L222" i="54"/>
  <c r="I222" i="54"/>
  <c r="F222" i="54"/>
  <c r="O221" i="54"/>
  <c r="L221" i="54"/>
  <c r="I221" i="54"/>
  <c r="F221" i="54"/>
  <c r="O211" i="54"/>
  <c r="L211" i="54"/>
  <c r="I211" i="54"/>
  <c r="F211" i="54"/>
  <c r="O210" i="54"/>
  <c r="L210" i="54"/>
  <c r="I210" i="54"/>
  <c r="F210" i="54"/>
  <c r="O209" i="54"/>
  <c r="L209" i="54"/>
  <c r="I209" i="54"/>
  <c r="F209" i="54"/>
  <c r="O208" i="54"/>
  <c r="L208" i="54"/>
  <c r="I208" i="54"/>
  <c r="F208" i="54"/>
  <c r="O207" i="54"/>
  <c r="L207" i="54"/>
  <c r="I207" i="54"/>
  <c r="F207" i="54"/>
  <c r="O206" i="54"/>
  <c r="L206" i="54"/>
  <c r="I206" i="54"/>
  <c r="F206" i="54"/>
  <c r="O205" i="54"/>
  <c r="L205" i="54"/>
  <c r="I205" i="54"/>
  <c r="F205" i="54"/>
  <c r="O204" i="54"/>
  <c r="L204" i="54"/>
  <c r="I204" i="54"/>
  <c r="F204" i="54"/>
  <c r="O203" i="54"/>
  <c r="L203" i="54"/>
  <c r="I203" i="54"/>
  <c r="F203" i="54"/>
  <c r="O202" i="54"/>
  <c r="L202" i="54"/>
  <c r="I202" i="54"/>
  <c r="F202" i="54"/>
  <c r="O201" i="54"/>
  <c r="L201" i="54"/>
  <c r="I201" i="54"/>
  <c r="F201" i="54"/>
  <c r="O200" i="54"/>
  <c r="L200" i="54"/>
  <c r="I200" i="54"/>
  <c r="F200" i="54"/>
  <c r="O199" i="54"/>
  <c r="L199" i="54"/>
  <c r="I199" i="54"/>
  <c r="F199" i="54"/>
  <c r="B199" i="54"/>
  <c r="B200" i="54" s="1"/>
  <c r="B201" i="54" s="1"/>
  <c r="B202" i="54" s="1"/>
  <c r="B203" i="54" s="1"/>
  <c r="B204" i="54" s="1"/>
  <c r="B205" i="54" s="1"/>
  <c r="O198" i="54"/>
  <c r="L198" i="54"/>
  <c r="I198" i="54"/>
  <c r="F198" i="54"/>
  <c r="O197" i="54"/>
  <c r="L197" i="54"/>
  <c r="I197" i="54"/>
  <c r="F197" i="54"/>
  <c r="O196" i="54"/>
  <c r="L196" i="54"/>
  <c r="I196" i="54"/>
  <c r="F196" i="54"/>
  <c r="O195" i="54"/>
  <c r="L195" i="54"/>
  <c r="I195" i="54"/>
  <c r="F195" i="54"/>
  <c r="O194" i="54"/>
  <c r="L194" i="54"/>
  <c r="I194" i="54"/>
  <c r="F194" i="54"/>
  <c r="O193" i="54"/>
  <c r="L193" i="54"/>
  <c r="I193" i="54"/>
  <c r="F193" i="54"/>
  <c r="O192" i="54"/>
  <c r="L192" i="54"/>
  <c r="I192" i="54"/>
  <c r="F192" i="54"/>
  <c r="O191" i="54"/>
  <c r="L191" i="54"/>
  <c r="I191" i="54"/>
  <c r="F191" i="54"/>
  <c r="O190" i="54"/>
  <c r="L190" i="54"/>
  <c r="I190" i="54"/>
  <c r="F190" i="54"/>
  <c r="O189" i="54"/>
  <c r="L189" i="54"/>
  <c r="I189" i="54"/>
  <c r="F189" i="54"/>
  <c r="O188" i="54"/>
  <c r="L188" i="54"/>
  <c r="I188" i="54"/>
  <c r="F188" i="54"/>
  <c r="O187" i="54"/>
  <c r="L187" i="54"/>
  <c r="I187" i="54"/>
  <c r="F187" i="54"/>
  <c r="O186" i="54"/>
  <c r="L186" i="54"/>
  <c r="I186" i="54"/>
  <c r="F186" i="54"/>
  <c r="O185" i="54"/>
  <c r="L185" i="54"/>
  <c r="I185" i="54"/>
  <c r="F185" i="54"/>
  <c r="B185" i="54"/>
  <c r="B186" i="54" s="1"/>
  <c r="B187" i="54" s="1"/>
  <c r="B188" i="54" s="1"/>
  <c r="B189" i="54" s="1"/>
  <c r="B190" i="54" s="1"/>
  <c r="B191" i="54" s="1"/>
  <c r="O184" i="54"/>
  <c r="L184" i="54"/>
  <c r="I184" i="54"/>
  <c r="F184" i="54"/>
  <c r="O183" i="54"/>
  <c r="L183" i="54"/>
  <c r="I183" i="54"/>
  <c r="F183" i="54"/>
  <c r="O182" i="54"/>
  <c r="L182" i="54"/>
  <c r="I182" i="54"/>
  <c r="F182" i="54"/>
  <c r="O181" i="54"/>
  <c r="L181" i="54"/>
  <c r="I181" i="54"/>
  <c r="F181" i="54"/>
  <c r="O180" i="54"/>
  <c r="L180" i="54"/>
  <c r="I180" i="54"/>
  <c r="F180" i="54"/>
  <c r="O179" i="54"/>
  <c r="L179" i="54"/>
  <c r="I179" i="54"/>
  <c r="F179" i="54"/>
  <c r="O178" i="54"/>
  <c r="L178" i="54"/>
  <c r="I178" i="54"/>
  <c r="F178" i="54"/>
  <c r="O177" i="54"/>
  <c r="L177" i="54"/>
  <c r="I177" i="54"/>
  <c r="F177" i="54"/>
  <c r="O176" i="54"/>
  <c r="L176" i="54"/>
  <c r="I176" i="54"/>
  <c r="F176" i="54"/>
  <c r="B176" i="54"/>
  <c r="B177" i="54" s="1"/>
  <c r="B178" i="54" s="1"/>
  <c r="B179" i="54" s="1"/>
  <c r="B180" i="54" s="1"/>
  <c r="B181" i="54" s="1"/>
  <c r="B182" i="54" s="1"/>
  <c r="O175" i="54"/>
  <c r="L175" i="54"/>
  <c r="I175" i="54"/>
  <c r="F175" i="54"/>
  <c r="O174" i="54"/>
  <c r="L174" i="54"/>
  <c r="I174" i="54"/>
  <c r="F174" i="54"/>
  <c r="O166" i="54"/>
  <c r="L166" i="54"/>
  <c r="I166" i="54"/>
  <c r="F166" i="54"/>
  <c r="M165" i="54"/>
  <c r="J165" i="54"/>
  <c r="G165" i="54"/>
  <c r="D165" i="54"/>
  <c r="O162" i="54"/>
  <c r="L162" i="54"/>
  <c r="I162" i="54"/>
  <c r="R160" i="54"/>
  <c r="P160" i="54"/>
  <c r="M160" i="54"/>
  <c r="J160" i="54"/>
  <c r="G160" i="54"/>
  <c r="D160" i="54"/>
  <c r="R159" i="54"/>
  <c r="P159" i="54"/>
  <c r="M159" i="54"/>
  <c r="J159" i="54"/>
  <c r="G159" i="54"/>
  <c r="D159" i="54"/>
  <c r="D158" i="54"/>
  <c r="O156" i="54"/>
  <c r="L156" i="54"/>
  <c r="I156" i="54"/>
  <c r="F156" i="54"/>
  <c r="B156" i="54"/>
  <c r="B157" i="54" s="1"/>
  <c r="B158" i="54" s="1"/>
  <c r="B159" i="54" s="1"/>
  <c r="B160" i="54" s="1"/>
  <c r="B161" i="54" s="1"/>
  <c r="B162" i="54" s="1"/>
  <c r="O155" i="54"/>
  <c r="L155" i="54"/>
  <c r="I155" i="54"/>
  <c r="O143" i="54"/>
  <c r="L143" i="54"/>
  <c r="I143" i="54"/>
  <c r="F143" i="54"/>
  <c r="O142" i="54"/>
  <c r="L142" i="54"/>
  <c r="I142" i="54"/>
  <c r="F142" i="54"/>
  <c r="O141" i="54"/>
  <c r="L141" i="54"/>
  <c r="I141" i="54"/>
  <c r="F141" i="54"/>
  <c r="O140" i="54"/>
  <c r="L140" i="54"/>
  <c r="I140" i="54"/>
  <c r="F140" i="54"/>
  <c r="O139" i="54"/>
  <c r="L139" i="54"/>
  <c r="I139" i="54"/>
  <c r="F139" i="54"/>
  <c r="O138" i="54"/>
  <c r="L138" i="54"/>
  <c r="I138" i="54"/>
  <c r="F138" i="54"/>
  <c r="O137" i="54"/>
  <c r="L137" i="54"/>
  <c r="I137" i="54"/>
  <c r="F137" i="54"/>
  <c r="O136" i="54"/>
  <c r="L136" i="54"/>
  <c r="I136" i="54"/>
  <c r="F136" i="54"/>
  <c r="O135" i="54"/>
  <c r="L135" i="54"/>
  <c r="I135" i="54"/>
  <c r="F135" i="54"/>
  <c r="O134" i="54"/>
  <c r="L134" i="54"/>
  <c r="I134" i="54"/>
  <c r="F134" i="54"/>
  <c r="O133" i="54"/>
  <c r="L133" i="54"/>
  <c r="I133" i="54"/>
  <c r="F133" i="54"/>
  <c r="O132" i="54"/>
  <c r="L132" i="54"/>
  <c r="I132" i="54"/>
  <c r="F132" i="54"/>
  <c r="O131" i="54"/>
  <c r="L131" i="54"/>
  <c r="I131" i="54"/>
  <c r="F131" i="54"/>
  <c r="O130" i="54"/>
  <c r="L130" i="54"/>
  <c r="I130" i="54"/>
  <c r="F130" i="54"/>
  <c r="B130" i="54"/>
  <c r="B131" i="54" s="1"/>
  <c r="B132" i="54" s="1"/>
  <c r="B133" i="54" s="1"/>
  <c r="B134" i="54" s="1"/>
  <c r="B135" i="54" s="1"/>
  <c r="B136" i="54" s="1"/>
  <c r="O129" i="54"/>
  <c r="L129" i="54"/>
  <c r="I129" i="54"/>
  <c r="F129" i="54"/>
  <c r="O128" i="54"/>
  <c r="L128" i="54"/>
  <c r="I128" i="54"/>
  <c r="F128" i="54"/>
  <c r="O127" i="54"/>
  <c r="L127" i="54"/>
  <c r="I127" i="54"/>
  <c r="F127" i="54"/>
  <c r="O126" i="54"/>
  <c r="L126" i="54"/>
  <c r="I126" i="54"/>
  <c r="F126" i="54"/>
  <c r="O125" i="54"/>
  <c r="L125" i="54"/>
  <c r="I125" i="54"/>
  <c r="F125" i="54"/>
  <c r="O124" i="54"/>
  <c r="L124" i="54"/>
  <c r="I124" i="54"/>
  <c r="F124" i="54"/>
  <c r="O123" i="54"/>
  <c r="L123" i="54"/>
  <c r="I123" i="54"/>
  <c r="F123" i="54"/>
  <c r="O122" i="54"/>
  <c r="L122" i="54"/>
  <c r="I122" i="54"/>
  <c r="F122" i="54"/>
  <c r="O121" i="54"/>
  <c r="L121" i="54"/>
  <c r="I121" i="54"/>
  <c r="F121" i="54"/>
  <c r="O120" i="54"/>
  <c r="L120" i="54"/>
  <c r="I120" i="54"/>
  <c r="F120" i="54"/>
  <c r="O119" i="54"/>
  <c r="L119" i="54"/>
  <c r="I119" i="54"/>
  <c r="F119" i="54"/>
  <c r="O118" i="54"/>
  <c r="L118" i="54"/>
  <c r="I118" i="54"/>
  <c r="F118" i="54"/>
  <c r="O117" i="54"/>
  <c r="L117" i="54"/>
  <c r="I117" i="54"/>
  <c r="F117" i="54"/>
  <c r="O116" i="54"/>
  <c r="L116" i="54"/>
  <c r="I116" i="54"/>
  <c r="F116" i="54"/>
  <c r="B116" i="54"/>
  <c r="B117" i="54" s="1"/>
  <c r="B118" i="54" s="1"/>
  <c r="B119" i="54" s="1"/>
  <c r="B120" i="54" s="1"/>
  <c r="B121" i="54" s="1"/>
  <c r="B122" i="54" s="1"/>
  <c r="O115" i="54"/>
  <c r="L115" i="54"/>
  <c r="I115" i="54"/>
  <c r="F115" i="54"/>
  <c r="O114" i="54"/>
  <c r="L114" i="54"/>
  <c r="I114" i="54"/>
  <c r="F114" i="54"/>
  <c r="O113" i="54"/>
  <c r="L113" i="54"/>
  <c r="I113" i="54"/>
  <c r="F113" i="54"/>
  <c r="O112" i="54"/>
  <c r="L112" i="54"/>
  <c r="I112" i="54"/>
  <c r="F112" i="54"/>
  <c r="O111" i="54"/>
  <c r="L111" i="54"/>
  <c r="I111" i="54"/>
  <c r="F111" i="54"/>
  <c r="O110" i="54"/>
  <c r="L110" i="54"/>
  <c r="I110" i="54"/>
  <c r="F110" i="54"/>
  <c r="O109" i="54"/>
  <c r="L109" i="54"/>
  <c r="I109" i="54"/>
  <c r="F109" i="54"/>
  <c r="O108" i="54"/>
  <c r="L108" i="54"/>
  <c r="I108" i="54"/>
  <c r="F108" i="54"/>
  <c r="O107" i="54"/>
  <c r="L107" i="54"/>
  <c r="I107" i="54"/>
  <c r="F107" i="54"/>
  <c r="B107" i="54"/>
  <c r="B108" i="54" s="1"/>
  <c r="B109" i="54" s="1"/>
  <c r="B110" i="54" s="1"/>
  <c r="B111" i="54" s="1"/>
  <c r="B112" i="54" s="1"/>
  <c r="B113" i="54" s="1"/>
  <c r="O106" i="54"/>
  <c r="L106" i="54"/>
  <c r="I106" i="54"/>
  <c r="F106" i="54"/>
  <c r="O105" i="54"/>
  <c r="L105" i="54"/>
  <c r="I105" i="54"/>
  <c r="F105" i="54"/>
  <c r="O95" i="54"/>
  <c r="L95" i="54"/>
  <c r="I95" i="54"/>
  <c r="F95" i="54"/>
  <c r="O93" i="54"/>
  <c r="L93" i="54"/>
  <c r="I93" i="54"/>
  <c r="F93" i="54"/>
  <c r="O92" i="54"/>
  <c r="L92" i="54"/>
  <c r="I92" i="54"/>
  <c r="F92" i="54"/>
  <c r="O91" i="54"/>
  <c r="L91" i="54"/>
  <c r="I91" i="54"/>
  <c r="F91" i="54"/>
  <c r="O90" i="54"/>
  <c r="L90" i="54"/>
  <c r="I90" i="54"/>
  <c r="F90" i="54"/>
  <c r="S84" i="54"/>
  <c r="Q84" i="54"/>
  <c r="N84" i="54"/>
  <c r="K84" i="54"/>
  <c r="S83" i="54"/>
  <c r="Q83" i="54"/>
  <c r="N83" i="54"/>
  <c r="O83" i="54" s="1"/>
  <c r="K83" i="54"/>
  <c r="L83" i="54" s="1"/>
  <c r="H83" i="54"/>
  <c r="I83" i="54" s="1"/>
  <c r="E83" i="54"/>
  <c r="F83" i="54" s="1"/>
  <c r="B82" i="54"/>
  <c r="B83" i="54" s="1"/>
  <c r="B84" i="54" s="1"/>
  <c r="B85" i="54" s="1"/>
  <c r="B86" i="54" s="1"/>
  <c r="B87" i="54" s="1"/>
  <c r="B88" i="54" s="1"/>
  <c r="B89" i="54" s="1"/>
  <c r="O81" i="54"/>
  <c r="L81" i="54"/>
  <c r="I81" i="54"/>
  <c r="F81" i="54"/>
  <c r="L79" i="54"/>
  <c r="I79" i="54"/>
  <c r="F79" i="54"/>
  <c r="N78" i="54"/>
  <c r="I78" i="54"/>
  <c r="F78" i="54"/>
  <c r="L75" i="54"/>
  <c r="I75" i="54"/>
  <c r="F75" i="54"/>
  <c r="O74" i="54"/>
  <c r="L74" i="54"/>
  <c r="I74" i="54"/>
  <c r="F74" i="54"/>
  <c r="O73" i="54"/>
  <c r="L73" i="54"/>
  <c r="I73" i="54"/>
  <c r="F73" i="54"/>
  <c r="I72" i="54"/>
  <c r="B72" i="54"/>
  <c r="B73" i="54" s="1"/>
  <c r="B74" i="54" s="1"/>
  <c r="B75" i="54" s="1"/>
  <c r="B76" i="54" s="1"/>
  <c r="B77" i="54" s="1"/>
  <c r="B78" i="54" s="1"/>
  <c r="O71" i="54"/>
  <c r="L71" i="54"/>
  <c r="I71" i="54"/>
  <c r="F71" i="54"/>
  <c r="L70" i="54"/>
  <c r="I70" i="54"/>
  <c r="F70" i="54"/>
  <c r="N69" i="54"/>
  <c r="I69" i="54"/>
  <c r="F69" i="54"/>
  <c r="L66" i="54"/>
  <c r="I66" i="54"/>
  <c r="F66" i="54"/>
  <c r="O65" i="54"/>
  <c r="L65" i="54"/>
  <c r="I65" i="54"/>
  <c r="F65" i="54"/>
  <c r="O64" i="54"/>
  <c r="L64" i="54"/>
  <c r="I64" i="54"/>
  <c r="F64" i="54"/>
  <c r="I63" i="54"/>
  <c r="F63" i="54"/>
  <c r="B63" i="54"/>
  <c r="B64" i="54" s="1"/>
  <c r="B65" i="54" s="1"/>
  <c r="B66" i="54" s="1"/>
  <c r="B67" i="54" s="1"/>
  <c r="B68" i="54" s="1"/>
  <c r="B69" i="54" s="1"/>
  <c r="O62" i="54"/>
  <c r="L62" i="54"/>
  <c r="I62" i="54"/>
  <c r="O61" i="54"/>
  <c r="L61" i="54"/>
  <c r="I61" i="54"/>
  <c r="L60" i="54"/>
  <c r="I60" i="54"/>
  <c r="F60" i="54"/>
  <c r="Q59" i="54"/>
  <c r="S59" i="54" s="1"/>
  <c r="L59" i="54"/>
  <c r="I59" i="54"/>
  <c r="F59" i="54"/>
  <c r="L56" i="54"/>
  <c r="I56" i="54"/>
  <c r="F56" i="54"/>
  <c r="O55" i="54"/>
  <c r="L55" i="54"/>
  <c r="I55" i="54"/>
  <c r="F55" i="54"/>
  <c r="O54" i="54"/>
  <c r="L54" i="54"/>
  <c r="I54" i="54"/>
  <c r="F54" i="54"/>
  <c r="I53" i="54"/>
  <c r="F53" i="54"/>
  <c r="B53" i="54"/>
  <c r="B54" i="54" s="1"/>
  <c r="B55" i="54" s="1"/>
  <c r="B56" i="54" s="1"/>
  <c r="B57" i="54" s="1"/>
  <c r="B58" i="54" s="1"/>
  <c r="B59" i="54" s="1"/>
  <c r="O52" i="54"/>
  <c r="L52" i="54"/>
  <c r="I52" i="54"/>
  <c r="O51" i="54"/>
  <c r="L51" i="54"/>
  <c r="I51" i="54"/>
  <c r="F50" i="54"/>
  <c r="L49" i="54"/>
  <c r="I49" i="54"/>
  <c r="F49" i="54"/>
  <c r="O45" i="54"/>
  <c r="L45" i="54"/>
  <c r="B45" i="54"/>
  <c r="B46" i="54" s="1"/>
  <c r="B47" i="54" s="1"/>
  <c r="B48" i="54" s="1"/>
  <c r="B49" i="54" s="1"/>
  <c r="B50" i="54" s="1"/>
  <c r="O44" i="54"/>
  <c r="L44" i="54"/>
  <c r="I44" i="54"/>
  <c r="F44" i="54"/>
  <c r="B43" i="54"/>
  <c r="B44" i="54" s="1"/>
  <c r="O42" i="54"/>
  <c r="L42" i="54"/>
  <c r="I42" i="54"/>
  <c r="F42" i="54"/>
  <c r="O41" i="54"/>
  <c r="L41" i="54"/>
  <c r="I41" i="54"/>
  <c r="F41" i="54"/>
  <c r="S39" i="54"/>
  <c r="N39" i="54"/>
  <c r="I39" i="54"/>
  <c r="F39" i="54"/>
  <c r="B34" i="54"/>
  <c r="B35" i="54" s="1"/>
  <c r="B36" i="54" s="1"/>
  <c r="B37" i="54" s="1"/>
  <c r="B38" i="54" s="1"/>
  <c r="B39" i="54" s="1"/>
  <c r="B40" i="54" s="1"/>
  <c r="O32" i="54"/>
  <c r="L32" i="54"/>
  <c r="I32" i="54"/>
  <c r="F32" i="54"/>
  <c r="O24" i="54"/>
  <c r="L24" i="54"/>
  <c r="I24" i="54"/>
  <c r="F24" i="54"/>
  <c r="R18" i="54"/>
  <c r="P18" i="54"/>
  <c r="M18" i="54"/>
  <c r="J18" i="54"/>
  <c r="G18" i="54"/>
  <c r="D18" i="54"/>
  <c r="R17" i="54"/>
  <c r="P17" i="54"/>
  <c r="M17" i="54"/>
  <c r="J17" i="54"/>
  <c r="G17" i="54"/>
  <c r="D17" i="54"/>
  <c r="R16" i="54"/>
  <c r="P16" i="54"/>
  <c r="M16" i="54"/>
  <c r="J16" i="54"/>
  <c r="G16" i="54"/>
  <c r="D16" i="54"/>
  <c r="Q15" i="54"/>
  <c r="N15" i="54"/>
  <c r="G15" i="54"/>
  <c r="D15" i="54"/>
  <c r="O14" i="54"/>
  <c r="L14" i="54"/>
  <c r="I14" i="54"/>
  <c r="F14" i="54"/>
  <c r="B14" i="54"/>
  <c r="B15" i="54" s="1"/>
  <c r="B16" i="54" s="1"/>
  <c r="B17" i="54" s="1"/>
  <c r="B18" i="54" s="1"/>
  <c r="B19" i="54" s="1"/>
  <c r="B20" i="54" s="1"/>
  <c r="O13" i="54"/>
  <c r="L13" i="54"/>
  <c r="I13" i="54"/>
  <c r="D5" i="153"/>
  <c r="D4" i="153"/>
  <c r="F3" i="153"/>
  <c r="G40" i="152"/>
  <c r="F40" i="152"/>
  <c r="E40" i="152"/>
  <c r="D40" i="152"/>
  <c r="C40" i="152"/>
  <c r="C35" i="152"/>
  <c r="C33" i="152"/>
  <c r="H32" i="152"/>
  <c r="C32" i="152"/>
  <c r="H30" i="152"/>
  <c r="H24" i="152"/>
  <c r="H26" i="152" s="1"/>
  <c r="F24" i="152"/>
  <c r="F26" i="152" s="1"/>
  <c r="E24" i="152"/>
  <c r="E26" i="152" s="1"/>
  <c r="C24" i="152"/>
  <c r="C26" i="152" s="1"/>
  <c r="G23" i="152"/>
  <c r="G24" i="152" s="1"/>
  <c r="G26" i="152" s="1"/>
  <c r="I22" i="152"/>
  <c r="I24" i="152" s="1"/>
  <c r="I26" i="152" s="1"/>
  <c r="D22" i="152"/>
  <c r="D24" i="152" s="1"/>
  <c r="D26" i="152" s="1"/>
  <c r="H15" i="152"/>
  <c r="C15" i="152"/>
  <c r="C36" i="152" s="1"/>
  <c r="E13" i="152"/>
  <c r="G12" i="152"/>
  <c r="D9" i="152"/>
  <c r="D15" i="152" s="1"/>
  <c r="D16" i="152" s="1"/>
  <c r="D27" i="152" s="1"/>
  <c r="N68" i="116"/>
  <c r="F68" i="116"/>
  <c r="F88" i="70"/>
  <c r="J67" i="116"/>
  <c r="N66" i="116"/>
  <c r="E66" i="115"/>
  <c r="F86" i="70"/>
  <c r="M65" i="115"/>
  <c r="F64" i="116"/>
  <c r="N63" i="115"/>
  <c r="J61" i="116"/>
  <c r="E80" i="70"/>
  <c r="K26" i="116"/>
  <c r="K110" i="116" s="1"/>
  <c r="I26" i="116"/>
  <c r="F26" i="116"/>
  <c r="E26" i="116"/>
  <c r="D26" i="116"/>
  <c r="F45" i="70"/>
  <c r="E221" i="174" s="1"/>
  <c r="N25" i="116"/>
  <c r="I25" i="116"/>
  <c r="F25" i="116"/>
  <c r="F44" i="70"/>
  <c r="E249" i="174" s="1"/>
  <c r="N24" i="116"/>
  <c r="K24" i="116"/>
  <c r="K108" i="116" s="1"/>
  <c r="F24" i="116"/>
  <c r="E24" i="116"/>
  <c r="F43" i="70"/>
  <c r="K23" i="116"/>
  <c r="K107" i="116" s="1"/>
  <c r="J23" i="116"/>
  <c r="D23" i="116"/>
  <c r="E22" i="116"/>
  <c r="F41" i="70"/>
  <c r="E109" i="174" s="1"/>
  <c r="J21" i="116"/>
  <c r="F21" i="116"/>
  <c r="E21" i="116"/>
  <c r="D21" i="116"/>
  <c r="O20" i="116"/>
  <c r="J20" i="116"/>
  <c r="I20" i="116"/>
  <c r="N19" i="116"/>
  <c r="I19" i="116"/>
  <c r="F19" i="116"/>
  <c r="K18" i="116"/>
  <c r="K102" i="116" s="1"/>
  <c r="I18" i="116"/>
  <c r="D18" i="116"/>
  <c r="F37" i="70"/>
  <c r="E53" i="174" s="1"/>
  <c r="N17" i="116"/>
  <c r="J17" i="116"/>
  <c r="I17" i="116"/>
  <c r="F17" i="116"/>
  <c r="F36" i="70"/>
  <c r="N16" i="116"/>
  <c r="F16" i="115"/>
  <c r="D100" i="70"/>
  <c r="D45" i="120"/>
  <c r="U44" i="120"/>
  <c r="S44" i="120"/>
  <c r="O44" i="120"/>
  <c r="N44" i="120"/>
  <c r="K44" i="120"/>
  <c r="H44" i="120"/>
  <c r="E44" i="120"/>
  <c r="T43" i="120"/>
  <c r="T14" i="120" s="1"/>
  <c r="T16" i="120" s="1"/>
  <c r="R43" i="120"/>
  <c r="M43" i="120"/>
  <c r="J43" i="120"/>
  <c r="G43" i="120"/>
  <c r="B43" i="120"/>
  <c r="B44" i="120" s="1"/>
  <c r="B45" i="120" s="1"/>
  <c r="L42" i="120"/>
  <c r="I42" i="120"/>
  <c r="F42" i="120"/>
  <c r="H37" i="120"/>
  <c r="P29" i="120"/>
  <c r="Q29" i="120" s="1"/>
  <c r="L29" i="120"/>
  <c r="I29" i="120"/>
  <c r="F29" i="120"/>
  <c r="G28" i="120"/>
  <c r="G30" i="120" s="1"/>
  <c r="D28" i="120"/>
  <c r="D30" i="120" s="1"/>
  <c r="B28" i="120"/>
  <c r="B29" i="120" s="1"/>
  <c r="B30" i="120" s="1"/>
  <c r="Q27" i="120"/>
  <c r="L27" i="120"/>
  <c r="I27" i="120"/>
  <c r="F27" i="120"/>
  <c r="T26" i="120"/>
  <c r="R26" i="120"/>
  <c r="M26" i="120"/>
  <c r="J26" i="120"/>
  <c r="G26" i="120"/>
  <c r="D26" i="120"/>
  <c r="L15" i="120"/>
  <c r="P15" i="120" s="1"/>
  <c r="I15" i="120"/>
  <c r="F15" i="120"/>
  <c r="D14" i="120"/>
  <c r="D16" i="120" s="1"/>
  <c r="B14" i="120"/>
  <c r="B15" i="120" s="1"/>
  <c r="B16" i="120" s="1"/>
  <c r="P13" i="120"/>
  <c r="P42" i="120" s="1"/>
  <c r="L13" i="120"/>
  <c r="I13" i="120"/>
  <c r="F13" i="120"/>
  <c r="T12" i="120"/>
  <c r="R12" i="120"/>
  <c r="M12" i="120"/>
  <c r="J12" i="120"/>
  <c r="G12" i="120"/>
  <c r="D12" i="120"/>
  <c r="B48" i="69"/>
  <c r="B49" i="69" s="1"/>
  <c r="B50" i="69" s="1"/>
  <c r="B51" i="69" s="1"/>
  <c r="B52" i="69" s="1"/>
  <c r="B53" i="69" s="1"/>
  <c r="B54" i="69" s="1"/>
  <c r="B55" i="69" s="1"/>
  <c r="B56" i="69" s="1"/>
  <c r="B57" i="69" s="1"/>
  <c r="B58" i="69" s="1"/>
  <c r="F38" i="69"/>
  <c r="E38" i="69"/>
  <c r="D38" i="69"/>
  <c r="G36" i="69"/>
  <c r="G35" i="69"/>
  <c r="G34" i="69"/>
  <c r="G33" i="69"/>
  <c r="G32" i="69"/>
  <c r="G31" i="69"/>
  <c r="G30" i="69"/>
  <c r="G29" i="69"/>
  <c r="B29" i="69"/>
  <c r="B30" i="69" s="1"/>
  <c r="B31" i="69" s="1"/>
  <c r="B32" i="69" s="1"/>
  <c r="B33" i="69" s="1"/>
  <c r="B34" i="69" s="1"/>
  <c r="B35" i="69" s="1"/>
  <c r="B36" i="69" s="1"/>
  <c r="B37" i="69" s="1"/>
  <c r="B38" i="69" s="1"/>
  <c r="B39" i="69" s="1"/>
  <c r="G28" i="69"/>
  <c r="G18" i="69"/>
  <c r="G17" i="69"/>
  <c r="G16" i="69"/>
  <c r="G15" i="69"/>
  <c r="G14" i="69"/>
  <c r="G13" i="69"/>
  <c r="G12" i="69"/>
  <c r="G11" i="69"/>
  <c r="B11" i="69"/>
  <c r="B12" i="69" s="1"/>
  <c r="B13" i="69" s="1"/>
  <c r="B14" i="69" s="1"/>
  <c r="B15" i="69" s="1"/>
  <c r="B16" i="69" s="1"/>
  <c r="B17" i="69" s="1"/>
  <c r="B18" i="69" s="1"/>
  <c r="B19" i="69" s="1"/>
  <c r="B20" i="69" s="1"/>
  <c r="B21" i="69" s="1"/>
  <c r="G10" i="69"/>
  <c r="I72" i="68"/>
  <c r="B59" i="68"/>
  <c r="B60" i="68" s="1"/>
  <c r="B61" i="68" s="1"/>
  <c r="B62" i="68" s="1"/>
  <c r="B63" i="68" s="1"/>
  <c r="B64" i="68" s="1"/>
  <c r="B65" i="68" s="1"/>
  <c r="B66" i="68" s="1"/>
  <c r="B67" i="68" s="1"/>
  <c r="B68" i="68" s="1"/>
  <c r="B69" i="68" s="1"/>
  <c r="B70" i="68" s="1"/>
  <c r="B71" i="68" s="1"/>
  <c r="B72" i="68" s="1"/>
  <c r="B73" i="68" s="1"/>
  <c r="B58" i="68"/>
  <c r="F49" i="68"/>
  <c r="E49" i="68"/>
  <c r="D49" i="68"/>
  <c r="G47" i="68"/>
  <c r="G46" i="68"/>
  <c r="G45" i="68"/>
  <c r="G44" i="68"/>
  <c r="G43" i="68"/>
  <c r="G42" i="68"/>
  <c r="G41" i="68"/>
  <c r="G40" i="68"/>
  <c r="G39" i="68"/>
  <c r="G38" i="68"/>
  <c r="G37" i="68"/>
  <c r="G36" i="68"/>
  <c r="G35" i="68"/>
  <c r="G34" i="68"/>
  <c r="F26" i="68"/>
  <c r="E26" i="68"/>
  <c r="D26" i="68"/>
  <c r="G24" i="68"/>
  <c r="G23" i="68"/>
  <c r="G22" i="68"/>
  <c r="G21" i="68"/>
  <c r="G20" i="68"/>
  <c r="G19" i="68"/>
  <c r="G18" i="68"/>
  <c r="G17" i="68"/>
  <c r="G16" i="68"/>
  <c r="G15" i="68"/>
  <c r="G14" i="68"/>
  <c r="G13" i="68"/>
  <c r="G12" i="68"/>
  <c r="G11" i="68"/>
  <c r="I152" i="67"/>
  <c r="H152" i="67"/>
  <c r="G152" i="67"/>
  <c r="F152" i="67"/>
  <c r="E152" i="67"/>
  <c r="D152" i="67"/>
  <c r="B148" i="67"/>
  <c r="B149" i="67" s="1"/>
  <c r="B150" i="67" s="1"/>
  <c r="B151" i="67" s="1"/>
  <c r="B142" i="67"/>
  <c r="B143" i="67" s="1"/>
  <c r="B144" i="67" s="1"/>
  <c r="B145" i="67" s="1"/>
  <c r="B136" i="67"/>
  <c r="B137" i="67" s="1"/>
  <c r="B138" i="67" s="1"/>
  <c r="B139" i="67" s="1"/>
  <c r="B130" i="67"/>
  <c r="B131" i="67" s="1"/>
  <c r="B132" i="67" s="1"/>
  <c r="B133" i="67" s="1"/>
  <c r="I115" i="67"/>
  <c r="H115" i="67"/>
  <c r="G115" i="67"/>
  <c r="F115" i="67"/>
  <c r="E115" i="67"/>
  <c r="D115" i="67"/>
  <c r="B111" i="67"/>
  <c r="B112" i="67" s="1"/>
  <c r="B113" i="67" s="1"/>
  <c r="B114" i="67" s="1"/>
  <c r="B105" i="67"/>
  <c r="B106" i="67" s="1"/>
  <c r="B107" i="67" s="1"/>
  <c r="B108" i="67" s="1"/>
  <c r="B99" i="67"/>
  <c r="B100" i="67" s="1"/>
  <c r="B101" i="67" s="1"/>
  <c r="B102" i="67" s="1"/>
  <c r="B93" i="67"/>
  <c r="B94" i="67" s="1"/>
  <c r="B95" i="67" s="1"/>
  <c r="B96" i="67" s="1"/>
  <c r="G71" i="67"/>
  <c r="B64" i="67"/>
  <c r="B65" i="67" s="1"/>
  <c r="B66" i="67" s="1"/>
  <c r="B67" i="67" s="1"/>
  <c r="B68" i="67" s="1"/>
  <c r="B69" i="67" s="1"/>
  <c r="B70" i="67" s="1"/>
  <c r="B71" i="67" s="1"/>
  <c r="B72" i="67" s="1"/>
  <c r="B73" i="67" s="1"/>
  <c r="B74" i="67" s="1"/>
  <c r="B75" i="67" s="1"/>
  <c r="B40" i="67"/>
  <c r="B41" i="67" s="1"/>
  <c r="B42" i="67" s="1"/>
  <c r="B43" i="67" s="1"/>
  <c r="B44" i="67" s="1"/>
  <c r="B45" i="67" s="1"/>
  <c r="B46" i="67" s="1"/>
  <c r="B47" i="67" s="1"/>
  <c r="B48" i="67" s="1"/>
  <c r="B49" i="67" s="1"/>
  <c r="B50" i="67" s="1"/>
  <c r="B51" i="67" s="1"/>
  <c r="B17" i="67"/>
  <c r="B18" i="67" s="1"/>
  <c r="B19" i="67" s="1"/>
  <c r="B20" i="67" s="1"/>
  <c r="B21" i="67" s="1"/>
  <c r="B22" i="67" s="1"/>
  <c r="B23" i="67" s="1"/>
  <c r="B24" i="67" s="1"/>
  <c r="B25" i="67" s="1"/>
  <c r="B26" i="67" s="1"/>
  <c r="B27" i="67" s="1"/>
  <c r="B28" i="67" s="1"/>
  <c r="R88" i="66"/>
  <c r="V45" i="65" s="1"/>
  <c r="Q88" i="66"/>
  <c r="P88" i="66"/>
  <c r="T45" i="65" s="1"/>
  <c r="O88" i="66"/>
  <c r="S45" i="65" s="1"/>
  <c r="K88" i="66"/>
  <c r="O45" i="65" s="1"/>
  <c r="J88" i="66"/>
  <c r="N45" i="65" s="1"/>
  <c r="N46" i="65" s="1"/>
  <c r="H88" i="66"/>
  <c r="L45" i="65" s="1"/>
  <c r="G88" i="66"/>
  <c r="K45" i="65" s="1"/>
  <c r="K46" i="65" s="1"/>
  <c r="E88" i="66"/>
  <c r="I45" i="65" s="1"/>
  <c r="D88" i="66"/>
  <c r="H45" i="65" s="1"/>
  <c r="H46" i="65" s="1"/>
  <c r="M86" i="66"/>
  <c r="M88" i="66" s="1"/>
  <c r="Q45" i="65" s="1"/>
  <c r="I86" i="66"/>
  <c r="I58" i="66" s="1"/>
  <c r="I60" i="66" s="1"/>
  <c r="M31" i="65" s="1"/>
  <c r="F86" i="66"/>
  <c r="F88" i="66" s="1"/>
  <c r="J45" i="65" s="1"/>
  <c r="R74" i="66"/>
  <c r="P74" i="66"/>
  <c r="M74" i="66"/>
  <c r="J74" i="66"/>
  <c r="G74" i="66"/>
  <c r="D74" i="66"/>
  <c r="J73" i="66"/>
  <c r="G73" i="66"/>
  <c r="B70" i="66"/>
  <c r="B71" i="66" s="1"/>
  <c r="B72" i="66" s="1"/>
  <c r="B73" i="66" s="1"/>
  <c r="B74" i="66" s="1"/>
  <c r="D69" i="66"/>
  <c r="D11" i="66" s="1"/>
  <c r="R58" i="66"/>
  <c r="R60" i="66" s="1"/>
  <c r="V31" i="65" s="1"/>
  <c r="Q58" i="66"/>
  <c r="Q60" i="66" s="1"/>
  <c r="U31" i="65" s="1"/>
  <c r="P58" i="66"/>
  <c r="P60" i="66" s="1"/>
  <c r="T31" i="65" s="1"/>
  <c r="O58" i="66"/>
  <c r="O60" i="66" s="1"/>
  <c r="S31" i="65" s="1"/>
  <c r="K58" i="66"/>
  <c r="K60" i="66" s="1"/>
  <c r="O31" i="65" s="1"/>
  <c r="J58" i="66"/>
  <c r="J60" i="66" s="1"/>
  <c r="N31" i="65" s="1"/>
  <c r="H58" i="66"/>
  <c r="H60" i="66" s="1"/>
  <c r="L31" i="65" s="1"/>
  <c r="G58" i="66"/>
  <c r="G60" i="66" s="1"/>
  <c r="K31" i="65" s="1"/>
  <c r="E58" i="66"/>
  <c r="E60" i="66" s="1"/>
  <c r="I31" i="65" s="1"/>
  <c r="D58" i="66"/>
  <c r="D60" i="66" s="1"/>
  <c r="B42" i="66"/>
  <c r="B43" i="66" s="1"/>
  <c r="B44" i="66" s="1"/>
  <c r="B45" i="66" s="1"/>
  <c r="B46" i="66" s="1"/>
  <c r="R41" i="66"/>
  <c r="P41" i="66"/>
  <c r="P44" i="66" s="1"/>
  <c r="M41" i="66"/>
  <c r="M44" i="66" s="1"/>
  <c r="M46" i="66" s="1"/>
  <c r="J41" i="66"/>
  <c r="J44" i="66" s="1"/>
  <c r="J46" i="66" s="1"/>
  <c r="G41" i="66"/>
  <c r="G44" i="66" s="1"/>
  <c r="R30" i="66"/>
  <c r="V16" i="65" s="1"/>
  <c r="Q30" i="66"/>
  <c r="U16" i="65" s="1"/>
  <c r="P30" i="66"/>
  <c r="O30" i="66"/>
  <c r="L30" i="66"/>
  <c r="P16" i="65" s="1"/>
  <c r="K30" i="66"/>
  <c r="J30" i="66"/>
  <c r="N16" i="65" s="1"/>
  <c r="H30" i="66"/>
  <c r="L16" i="65" s="1"/>
  <c r="G30" i="66"/>
  <c r="K16" i="65" s="1"/>
  <c r="E30" i="66"/>
  <c r="I16" i="65" s="1"/>
  <c r="D30" i="66"/>
  <c r="H16" i="65" s="1"/>
  <c r="M28" i="66"/>
  <c r="N28" i="66" s="1"/>
  <c r="N30" i="66" s="1"/>
  <c r="R16" i="65" s="1"/>
  <c r="I28" i="66"/>
  <c r="I30" i="66" s="1"/>
  <c r="M16" i="65" s="1"/>
  <c r="F28" i="66"/>
  <c r="F30" i="66" s="1"/>
  <c r="J16" i="65" s="1"/>
  <c r="J14" i="66"/>
  <c r="J16" i="66" s="1"/>
  <c r="D14" i="66"/>
  <c r="B12" i="66"/>
  <c r="B13" i="66" s="1"/>
  <c r="B14" i="66" s="1"/>
  <c r="B15" i="66" s="1"/>
  <c r="B16" i="66" s="1"/>
  <c r="R11" i="66"/>
  <c r="R14" i="66" s="1"/>
  <c r="R16" i="66" s="1"/>
  <c r="P11" i="66"/>
  <c r="P14" i="66" s="1"/>
  <c r="M11" i="66"/>
  <c r="M14" i="66" s="1"/>
  <c r="J11" i="66"/>
  <c r="G11" i="66"/>
  <c r="G14" i="66" s="1"/>
  <c r="G16" i="66" s="1"/>
  <c r="E46" i="65"/>
  <c r="U45" i="65"/>
  <c r="U46" i="65" s="1"/>
  <c r="B42" i="65"/>
  <c r="B43" i="65" s="1"/>
  <c r="B44" i="65" s="1"/>
  <c r="H31" i="65"/>
  <c r="U28" i="65"/>
  <c r="S28" i="65"/>
  <c r="N28" i="65"/>
  <c r="K28" i="65"/>
  <c r="H28" i="65"/>
  <c r="E28" i="65"/>
  <c r="E32" i="65" s="1"/>
  <c r="E41" i="58" s="1"/>
  <c r="B28" i="65"/>
  <c r="B29" i="65" s="1"/>
  <c r="B30" i="65" s="1"/>
  <c r="T16" i="65"/>
  <c r="S16" i="65"/>
  <c r="O16" i="65"/>
  <c r="U13" i="65"/>
  <c r="S13" i="65"/>
  <c r="N13" i="65"/>
  <c r="K13" i="65"/>
  <c r="H13" i="65"/>
  <c r="E13" i="65"/>
  <c r="E17" i="65" s="1"/>
  <c r="E11" i="58" s="1"/>
  <c r="B13" i="65"/>
  <c r="B14" i="65" s="1"/>
  <c r="B15" i="65" s="1"/>
  <c r="D125" i="132"/>
  <c r="E125" i="132" s="1"/>
  <c r="D124" i="132"/>
  <c r="E124" i="132" s="1"/>
  <c r="D123" i="132"/>
  <c r="E123" i="132" s="1"/>
  <c r="D122" i="132"/>
  <c r="E122" i="132" s="1"/>
  <c r="G122" i="132" s="1"/>
  <c r="D121" i="132"/>
  <c r="E121" i="132" s="1"/>
  <c r="D120" i="132"/>
  <c r="E120" i="132" s="1"/>
  <c r="G120" i="132" s="1"/>
  <c r="D119" i="132"/>
  <c r="E119" i="132" s="1"/>
  <c r="D118" i="132"/>
  <c r="E118" i="132" s="1"/>
  <c r="D117" i="132"/>
  <c r="E117" i="132" s="1"/>
  <c r="D116" i="132"/>
  <c r="E116" i="132" s="1"/>
  <c r="D115" i="132"/>
  <c r="E115" i="132" s="1"/>
  <c r="D114" i="132"/>
  <c r="E114" i="132" s="1"/>
  <c r="F110" i="132"/>
  <c r="F109" i="132"/>
  <c r="F108" i="132"/>
  <c r="F107" i="132"/>
  <c r="F106" i="132"/>
  <c r="F105" i="132"/>
  <c r="F104" i="132"/>
  <c r="D103" i="132"/>
  <c r="D102" i="132"/>
  <c r="D101" i="132"/>
  <c r="D100" i="132"/>
  <c r="D99" i="132"/>
  <c r="G89" i="132"/>
  <c r="F89" i="132"/>
  <c r="D89" i="132"/>
  <c r="F88" i="132"/>
  <c r="D88" i="132"/>
  <c r="F87" i="132"/>
  <c r="D87" i="132"/>
  <c r="F86" i="132"/>
  <c r="D86" i="132"/>
  <c r="F85" i="132"/>
  <c r="D85" i="132"/>
  <c r="F76" i="132"/>
  <c r="D76" i="132"/>
  <c r="F75" i="132"/>
  <c r="D75" i="132"/>
  <c r="F74" i="132"/>
  <c r="D74" i="132"/>
  <c r="F73" i="132"/>
  <c r="D73" i="132"/>
  <c r="F72" i="132"/>
  <c r="D72" i="132"/>
  <c r="F63" i="132"/>
  <c r="D63" i="132"/>
  <c r="G62" i="132" s="1"/>
  <c r="F62" i="132"/>
  <c r="D62" i="132"/>
  <c r="G61" i="132" s="1"/>
  <c r="F61" i="132"/>
  <c r="D61" i="132"/>
  <c r="G60" i="132" s="1"/>
  <c r="F60" i="132"/>
  <c r="D60" i="132"/>
  <c r="F59" i="132"/>
  <c r="D59" i="132"/>
  <c r="P41" i="132"/>
  <c r="P36" i="132"/>
  <c r="P31" i="132"/>
  <c r="N29" i="132"/>
  <c r="N28" i="132"/>
  <c r="N27" i="132"/>
  <c r="N26" i="132"/>
  <c r="U25" i="132"/>
  <c r="X25" i="132" s="1"/>
  <c r="N25" i="132"/>
  <c r="U24" i="132"/>
  <c r="X24" i="132" s="1"/>
  <c r="N24" i="132"/>
  <c r="W23" i="132"/>
  <c r="Q23" i="132"/>
  <c r="N23" i="132"/>
  <c r="Q22" i="132"/>
  <c r="N22" i="132"/>
  <c r="Q21" i="132"/>
  <c r="N21" i="132"/>
  <c r="N20" i="132"/>
  <c r="N19" i="132"/>
  <c r="O20" i="132" s="1"/>
  <c r="B15" i="132"/>
  <c r="B14" i="132"/>
  <c r="B13" i="132"/>
  <c r="B12" i="132"/>
  <c r="B11" i="132"/>
  <c r="B10" i="132"/>
  <c r="B9" i="132"/>
  <c r="AP8" i="132"/>
  <c r="AO8" i="132"/>
  <c r="AN8" i="132"/>
  <c r="F125" i="132" s="1"/>
  <c r="AM8" i="132"/>
  <c r="F124" i="132" s="1"/>
  <c r="AL8" i="132"/>
  <c r="F123" i="132" s="1"/>
  <c r="AK8" i="132"/>
  <c r="F122" i="132" s="1"/>
  <c r="AJ8" i="132"/>
  <c r="F121" i="132" s="1"/>
  <c r="AI8" i="132"/>
  <c r="F120" i="132" s="1"/>
  <c r="AH8" i="132"/>
  <c r="F119" i="132" s="1"/>
  <c r="AG8" i="132"/>
  <c r="F118" i="132" s="1"/>
  <c r="AF8" i="132"/>
  <c r="F117" i="132" s="1"/>
  <c r="AE8" i="132"/>
  <c r="F116" i="132" s="1"/>
  <c r="AD8" i="132"/>
  <c r="F115" i="132" s="1"/>
  <c r="AC8" i="132"/>
  <c r="F114" i="132" s="1"/>
  <c r="AB8" i="132"/>
  <c r="AA8" i="132"/>
  <c r="Z8" i="132"/>
  <c r="Y8" i="132"/>
  <c r="X8" i="132"/>
  <c r="W8" i="132"/>
  <c r="V8" i="132"/>
  <c r="B8" i="132"/>
  <c r="B7" i="132"/>
  <c r="B6" i="132"/>
  <c r="U13" i="107"/>
  <c r="S13" i="107"/>
  <c r="T49" i="58" s="1"/>
  <c r="P49" i="58"/>
  <c r="U12" i="107"/>
  <c r="S12" i="107"/>
  <c r="P48" i="58"/>
  <c r="O48" i="58"/>
  <c r="D356" i="117"/>
  <c r="D341" i="117"/>
  <c r="D340" i="117"/>
  <c r="D333" i="117"/>
  <c r="P315" i="117"/>
  <c r="O315" i="117"/>
  <c r="N315" i="117"/>
  <c r="M315" i="117"/>
  <c r="L315" i="117"/>
  <c r="K315" i="117"/>
  <c r="J315" i="117"/>
  <c r="I315" i="117"/>
  <c r="H315" i="117"/>
  <c r="G315" i="117"/>
  <c r="F315" i="117"/>
  <c r="E315" i="117"/>
  <c r="D315" i="117"/>
  <c r="D314" i="117"/>
  <c r="P308" i="117"/>
  <c r="O308" i="117"/>
  <c r="N308" i="117"/>
  <c r="M308" i="117"/>
  <c r="L308" i="117"/>
  <c r="K308" i="117"/>
  <c r="P307" i="117"/>
  <c r="O307" i="117"/>
  <c r="N307" i="117"/>
  <c r="M307" i="117"/>
  <c r="L307" i="117"/>
  <c r="K307" i="117"/>
  <c r="P306" i="117"/>
  <c r="O306" i="117"/>
  <c r="N306" i="117"/>
  <c r="M306" i="117"/>
  <c r="L306" i="117"/>
  <c r="K306" i="117"/>
  <c r="P305" i="117"/>
  <c r="O305" i="117"/>
  <c r="N305" i="117"/>
  <c r="M305" i="117"/>
  <c r="L305" i="117"/>
  <c r="K305" i="117"/>
  <c r="P303" i="117"/>
  <c r="O303" i="117"/>
  <c r="N303" i="117"/>
  <c r="M303" i="117"/>
  <c r="L303" i="117"/>
  <c r="K303" i="117"/>
  <c r="P301" i="117"/>
  <c r="O301" i="117"/>
  <c r="N301" i="117"/>
  <c r="M301" i="117"/>
  <c r="L301" i="117"/>
  <c r="K301" i="117"/>
  <c r="P296" i="117"/>
  <c r="O296" i="117"/>
  <c r="N296" i="117"/>
  <c r="M296" i="117"/>
  <c r="L296" i="117"/>
  <c r="K296" i="117"/>
  <c r="J296" i="117"/>
  <c r="I296" i="117"/>
  <c r="H296" i="117"/>
  <c r="G296" i="117"/>
  <c r="F296" i="117"/>
  <c r="E296" i="117"/>
  <c r="P295" i="117"/>
  <c r="O295" i="117"/>
  <c r="N295" i="117"/>
  <c r="M295" i="117"/>
  <c r="L295" i="117"/>
  <c r="K295" i="117"/>
  <c r="J295" i="117"/>
  <c r="I295" i="117"/>
  <c r="H295" i="117"/>
  <c r="G295" i="117"/>
  <c r="F295" i="117"/>
  <c r="E295" i="117"/>
  <c r="P293" i="117"/>
  <c r="O293" i="117"/>
  <c r="N293" i="117"/>
  <c r="M293" i="117"/>
  <c r="L293" i="117"/>
  <c r="K293" i="117"/>
  <c r="J293" i="117"/>
  <c r="I293" i="117"/>
  <c r="H293" i="117"/>
  <c r="G293" i="117"/>
  <c r="F293" i="117"/>
  <c r="E293" i="117"/>
  <c r="P292" i="117"/>
  <c r="O292" i="117"/>
  <c r="N292" i="117"/>
  <c r="M292" i="117"/>
  <c r="L292" i="117"/>
  <c r="K292" i="117"/>
  <c r="J292" i="117"/>
  <c r="I292" i="117"/>
  <c r="H292" i="117"/>
  <c r="G292" i="117"/>
  <c r="F292" i="117"/>
  <c r="E292" i="117"/>
  <c r="P250" i="117"/>
  <c r="O250" i="117"/>
  <c r="N250" i="117"/>
  <c r="M250" i="117"/>
  <c r="L250" i="117"/>
  <c r="K250" i="117"/>
  <c r="J250" i="117"/>
  <c r="I250" i="117"/>
  <c r="H250" i="117"/>
  <c r="G250" i="117"/>
  <c r="F250" i="117"/>
  <c r="E250" i="117"/>
  <c r="P249" i="117"/>
  <c r="O249" i="117"/>
  <c r="N249" i="117"/>
  <c r="M249" i="117"/>
  <c r="L249" i="117"/>
  <c r="K249" i="117"/>
  <c r="J249" i="117"/>
  <c r="I249" i="117"/>
  <c r="H249" i="117"/>
  <c r="G249" i="117"/>
  <c r="F249" i="117"/>
  <c r="E249" i="117"/>
  <c r="P247" i="117"/>
  <c r="O247" i="117"/>
  <c r="N247" i="117"/>
  <c r="M247" i="117"/>
  <c r="L247" i="117"/>
  <c r="K247" i="117"/>
  <c r="J247" i="117"/>
  <c r="I247" i="117"/>
  <c r="H247" i="117"/>
  <c r="G247" i="117"/>
  <c r="F247" i="117"/>
  <c r="E247" i="117"/>
  <c r="P231" i="117"/>
  <c r="O231" i="117"/>
  <c r="N231" i="117"/>
  <c r="M231" i="117"/>
  <c r="L231" i="117"/>
  <c r="K231" i="117"/>
  <c r="J231" i="117"/>
  <c r="I231" i="117"/>
  <c r="H231" i="117"/>
  <c r="G231" i="117"/>
  <c r="F231" i="117"/>
  <c r="E231" i="117"/>
  <c r="P230" i="117"/>
  <c r="O230" i="117"/>
  <c r="N230" i="117"/>
  <c r="M230" i="117"/>
  <c r="L230" i="117"/>
  <c r="K230" i="117"/>
  <c r="J230" i="117"/>
  <c r="I230" i="117"/>
  <c r="H230" i="117"/>
  <c r="G230" i="117"/>
  <c r="F230" i="117"/>
  <c r="E230" i="117"/>
  <c r="P228" i="117"/>
  <c r="O228" i="117"/>
  <c r="N228" i="117"/>
  <c r="M228" i="117"/>
  <c r="L228" i="117"/>
  <c r="K228" i="117"/>
  <c r="J228" i="117"/>
  <c r="I228" i="117"/>
  <c r="H228" i="117"/>
  <c r="G228" i="117"/>
  <c r="F228" i="117"/>
  <c r="E228" i="117"/>
  <c r="P356" i="117"/>
  <c r="O356" i="117"/>
  <c r="N356" i="117"/>
  <c r="M356" i="117"/>
  <c r="L356" i="117"/>
  <c r="K356" i="117"/>
  <c r="J356" i="117"/>
  <c r="I356" i="117"/>
  <c r="H356" i="117"/>
  <c r="G356" i="117"/>
  <c r="F356" i="117"/>
  <c r="P349" i="117"/>
  <c r="O349" i="117"/>
  <c r="N349" i="117"/>
  <c r="M349" i="117"/>
  <c r="L349" i="117"/>
  <c r="K349" i="117"/>
  <c r="J349" i="117"/>
  <c r="I349" i="117"/>
  <c r="H349" i="117"/>
  <c r="G349" i="117"/>
  <c r="F349" i="117"/>
  <c r="E349" i="117"/>
  <c r="D349" i="117"/>
  <c r="P348" i="117"/>
  <c r="O348" i="117"/>
  <c r="N348" i="117"/>
  <c r="M348" i="117"/>
  <c r="L348" i="117"/>
  <c r="K348" i="117"/>
  <c r="J348" i="117"/>
  <c r="I348" i="117"/>
  <c r="H348" i="117"/>
  <c r="G348" i="117"/>
  <c r="F348" i="117"/>
  <c r="E348" i="117"/>
  <c r="D348" i="117"/>
  <c r="P345" i="117"/>
  <c r="O345" i="117"/>
  <c r="N345" i="117"/>
  <c r="M345" i="117"/>
  <c r="L345" i="117"/>
  <c r="K345" i="117"/>
  <c r="J345" i="117"/>
  <c r="I345" i="117"/>
  <c r="H345" i="117"/>
  <c r="G345" i="117"/>
  <c r="F345" i="117"/>
  <c r="E345" i="117"/>
  <c r="D345" i="117"/>
  <c r="P344" i="117"/>
  <c r="O344" i="117"/>
  <c r="N344" i="117"/>
  <c r="M344" i="117"/>
  <c r="L344" i="117"/>
  <c r="K344" i="117"/>
  <c r="J344" i="117"/>
  <c r="I344" i="117"/>
  <c r="G344" i="117"/>
  <c r="F344" i="117"/>
  <c r="E344" i="117"/>
  <c r="D344" i="117"/>
  <c r="P341" i="117"/>
  <c r="O341" i="117"/>
  <c r="N341" i="117"/>
  <c r="M341" i="117"/>
  <c r="L341" i="117"/>
  <c r="K341" i="117"/>
  <c r="J341" i="117"/>
  <c r="I341" i="117"/>
  <c r="H341" i="117"/>
  <c r="G341" i="117"/>
  <c r="F341" i="117"/>
  <c r="E341" i="117"/>
  <c r="P340" i="117"/>
  <c r="O340" i="117"/>
  <c r="N340" i="117"/>
  <c r="M340" i="117"/>
  <c r="L340" i="117"/>
  <c r="K340" i="117"/>
  <c r="J340" i="117"/>
  <c r="I340" i="117"/>
  <c r="H340" i="117"/>
  <c r="G340" i="117"/>
  <c r="F340" i="117"/>
  <c r="E340" i="117"/>
  <c r="P333" i="117"/>
  <c r="O333" i="117"/>
  <c r="N333" i="117"/>
  <c r="M333" i="117"/>
  <c r="L333" i="117"/>
  <c r="K333" i="117"/>
  <c r="J333" i="117"/>
  <c r="I333" i="117"/>
  <c r="H333" i="117"/>
  <c r="G333" i="117"/>
  <c r="F333" i="117"/>
  <c r="E333" i="117"/>
  <c r="P328" i="117"/>
  <c r="O328" i="117"/>
  <c r="N328" i="117"/>
  <c r="M328" i="117"/>
  <c r="L328" i="117"/>
  <c r="K328" i="117"/>
  <c r="J328" i="117"/>
  <c r="I328" i="117"/>
  <c r="H328" i="117"/>
  <c r="G328" i="117"/>
  <c r="F328" i="117"/>
  <c r="E328" i="117"/>
  <c r="D328" i="117"/>
  <c r="P327" i="117"/>
  <c r="O327" i="117"/>
  <c r="N327" i="117"/>
  <c r="M327" i="117"/>
  <c r="L327" i="117"/>
  <c r="K327" i="117"/>
  <c r="J327" i="117"/>
  <c r="I327" i="117"/>
  <c r="H327" i="117"/>
  <c r="G327" i="117"/>
  <c r="F327" i="117"/>
  <c r="E327" i="117"/>
  <c r="D327" i="117"/>
  <c r="P323" i="117"/>
  <c r="O323" i="117"/>
  <c r="N323" i="117"/>
  <c r="M323" i="117"/>
  <c r="L323" i="117"/>
  <c r="K323" i="117"/>
  <c r="J323" i="117"/>
  <c r="I323" i="117"/>
  <c r="H323" i="117"/>
  <c r="G323" i="117"/>
  <c r="F323" i="117"/>
  <c r="E323" i="117"/>
  <c r="D323" i="117"/>
  <c r="J308" i="117"/>
  <c r="I308" i="117"/>
  <c r="H308" i="117"/>
  <c r="G308" i="117"/>
  <c r="F308" i="117"/>
  <c r="J307" i="117"/>
  <c r="I307" i="117"/>
  <c r="H307" i="117"/>
  <c r="G307" i="117"/>
  <c r="F307" i="117"/>
  <c r="J306" i="117"/>
  <c r="I306" i="117"/>
  <c r="H306" i="117"/>
  <c r="G306" i="117"/>
  <c r="F306" i="117"/>
  <c r="J305" i="117"/>
  <c r="I305" i="117"/>
  <c r="H305" i="117"/>
  <c r="G305" i="117"/>
  <c r="F305" i="117"/>
  <c r="J303" i="117"/>
  <c r="I303" i="117"/>
  <c r="H303" i="117"/>
  <c r="G303" i="117"/>
  <c r="F303" i="117"/>
  <c r="E303" i="117"/>
  <c r="J301" i="117"/>
  <c r="I301" i="117"/>
  <c r="H301" i="117"/>
  <c r="G301" i="117"/>
  <c r="F301" i="117"/>
  <c r="E301" i="117"/>
  <c r="P300" i="117"/>
  <c r="O300" i="117"/>
  <c r="N300" i="117"/>
  <c r="M300" i="117"/>
  <c r="L300" i="117"/>
  <c r="K300" i="117"/>
  <c r="J300" i="117"/>
  <c r="I300" i="117"/>
  <c r="H300" i="117"/>
  <c r="G300" i="117"/>
  <c r="F300" i="117"/>
  <c r="P299" i="117"/>
  <c r="O299" i="117"/>
  <c r="N299" i="117"/>
  <c r="M299" i="117"/>
  <c r="L299" i="117"/>
  <c r="K299" i="117"/>
  <c r="J299" i="117"/>
  <c r="I299" i="117"/>
  <c r="H299" i="117"/>
  <c r="G299" i="117"/>
  <c r="F299" i="117"/>
  <c r="P298" i="117"/>
  <c r="O298" i="117"/>
  <c r="N298" i="117"/>
  <c r="J298" i="117"/>
  <c r="I298" i="117"/>
  <c r="H298" i="117"/>
  <c r="G298" i="117"/>
  <c r="F298" i="117"/>
  <c r="O297" i="117"/>
  <c r="N297" i="117"/>
  <c r="M297" i="117"/>
  <c r="L297" i="117"/>
  <c r="J297" i="117"/>
  <c r="I297" i="117"/>
  <c r="G297" i="117"/>
  <c r="F297" i="117"/>
  <c r="J294" i="117"/>
  <c r="I294" i="117"/>
  <c r="H294" i="117"/>
  <c r="G294" i="117"/>
  <c r="F294" i="117"/>
  <c r="J291" i="117"/>
  <c r="I291" i="117"/>
  <c r="H291" i="117"/>
  <c r="G291" i="117"/>
  <c r="F291" i="117"/>
  <c r="J290" i="117"/>
  <c r="I290" i="117"/>
  <c r="H290" i="117"/>
  <c r="G290" i="117"/>
  <c r="F290" i="117"/>
  <c r="P283" i="117"/>
  <c r="O283" i="117"/>
  <c r="N283" i="117"/>
  <c r="M283" i="117"/>
  <c r="L283" i="117"/>
  <c r="K283" i="117"/>
  <c r="J283" i="117"/>
  <c r="I283" i="117"/>
  <c r="H283" i="117"/>
  <c r="G283" i="117"/>
  <c r="F283" i="117"/>
  <c r="P281" i="117"/>
  <c r="O281" i="117"/>
  <c r="N281" i="117"/>
  <c r="M281" i="117"/>
  <c r="L281" i="117"/>
  <c r="K281" i="117"/>
  <c r="J281" i="117"/>
  <c r="I281" i="117"/>
  <c r="H281" i="117"/>
  <c r="G281" i="117"/>
  <c r="F281" i="117"/>
  <c r="E281" i="117"/>
  <c r="P280" i="117"/>
  <c r="O280" i="117"/>
  <c r="N280" i="117"/>
  <c r="M280" i="117"/>
  <c r="L280" i="117"/>
  <c r="K280" i="117"/>
  <c r="J280" i="117"/>
  <c r="I280" i="117"/>
  <c r="H280" i="117"/>
  <c r="G280" i="117"/>
  <c r="F280" i="117"/>
  <c r="E280" i="117"/>
  <c r="P279" i="117"/>
  <c r="O279" i="117"/>
  <c r="N279" i="117"/>
  <c r="M279" i="117"/>
  <c r="L279" i="117"/>
  <c r="K279" i="117"/>
  <c r="J279" i="117"/>
  <c r="I279" i="117"/>
  <c r="H279" i="117"/>
  <c r="G279" i="117"/>
  <c r="F279" i="117"/>
  <c r="P278" i="117"/>
  <c r="O278" i="117"/>
  <c r="N278" i="117"/>
  <c r="M278" i="117"/>
  <c r="L278" i="117"/>
  <c r="K278" i="117"/>
  <c r="J278" i="117"/>
  <c r="I278" i="117"/>
  <c r="H278" i="117"/>
  <c r="G278" i="117"/>
  <c r="F278" i="117"/>
  <c r="E278" i="117"/>
  <c r="P277" i="117"/>
  <c r="O277" i="117"/>
  <c r="N277" i="117"/>
  <c r="M277" i="117"/>
  <c r="L277" i="117"/>
  <c r="K277" i="117"/>
  <c r="J277" i="117"/>
  <c r="I277" i="117"/>
  <c r="G277" i="117"/>
  <c r="F277" i="117"/>
  <c r="E277" i="117"/>
  <c r="P276" i="117"/>
  <c r="O276" i="117"/>
  <c r="N276" i="117"/>
  <c r="M276" i="117"/>
  <c r="L276" i="117"/>
  <c r="K276" i="117"/>
  <c r="J276" i="117"/>
  <c r="I276" i="117"/>
  <c r="H276" i="117"/>
  <c r="G276" i="117"/>
  <c r="F276" i="117"/>
  <c r="E276" i="117"/>
  <c r="P275" i="117"/>
  <c r="O275" i="117"/>
  <c r="N275" i="117"/>
  <c r="M275" i="117"/>
  <c r="L275" i="117"/>
  <c r="K275" i="117"/>
  <c r="J275" i="117"/>
  <c r="I275" i="117"/>
  <c r="H275" i="117"/>
  <c r="G275" i="117"/>
  <c r="F275" i="117"/>
  <c r="P274" i="117"/>
  <c r="O274" i="117"/>
  <c r="N274" i="117"/>
  <c r="M274" i="117"/>
  <c r="L274" i="117"/>
  <c r="K274" i="117"/>
  <c r="J274" i="117"/>
  <c r="H274" i="117"/>
  <c r="G274" i="117"/>
  <c r="F274" i="117"/>
  <c r="E274" i="117"/>
  <c r="P273" i="117"/>
  <c r="O273" i="117"/>
  <c r="N273" i="117"/>
  <c r="M273" i="117"/>
  <c r="L273" i="117"/>
  <c r="K273" i="117"/>
  <c r="J273" i="117"/>
  <c r="I273" i="117"/>
  <c r="H273" i="117"/>
  <c r="G273" i="117"/>
  <c r="F273" i="117"/>
  <c r="E273" i="117"/>
  <c r="P272" i="117"/>
  <c r="O272" i="117"/>
  <c r="N272" i="117"/>
  <c r="M272" i="117"/>
  <c r="L272" i="117"/>
  <c r="K272" i="117"/>
  <c r="J272" i="117"/>
  <c r="I272" i="117"/>
  <c r="H272" i="117"/>
  <c r="G272" i="117"/>
  <c r="F272" i="117"/>
  <c r="E272" i="117"/>
  <c r="P271" i="117"/>
  <c r="O271" i="117"/>
  <c r="N271" i="117"/>
  <c r="M271" i="117"/>
  <c r="L271" i="117"/>
  <c r="K271" i="117"/>
  <c r="J271" i="117"/>
  <c r="I271" i="117"/>
  <c r="H271" i="117"/>
  <c r="G271" i="117"/>
  <c r="F271" i="117"/>
  <c r="P270" i="117"/>
  <c r="O270" i="117"/>
  <c r="N270" i="117"/>
  <c r="M270" i="117"/>
  <c r="L270" i="117"/>
  <c r="K270" i="117"/>
  <c r="J270" i="117"/>
  <c r="I270" i="117"/>
  <c r="H270" i="117"/>
  <c r="G270" i="117"/>
  <c r="F270" i="117"/>
  <c r="E270" i="117"/>
  <c r="P269" i="117"/>
  <c r="O269" i="117"/>
  <c r="N269" i="117"/>
  <c r="M269" i="117"/>
  <c r="L269" i="117"/>
  <c r="K269" i="117"/>
  <c r="J269" i="117"/>
  <c r="I269" i="117"/>
  <c r="H269" i="117"/>
  <c r="G269" i="117"/>
  <c r="F269" i="117"/>
  <c r="E269" i="117"/>
  <c r="P268" i="117"/>
  <c r="M268" i="117"/>
  <c r="L268" i="117"/>
  <c r="K268" i="117"/>
  <c r="J268" i="117"/>
  <c r="I268" i="117"/>
  <c r="H268" i="117"/>
  <c r="E268" i="117"/>
  <c r="P267" i="117"/>
  <c r="O267" i="117"/>
  <c r="N267" i="117"/>
  <c r="M267" i="117"/>
  <c r="L267" i="117"/>
  <c r="K267" i="117"/>
  <c r="J267" i="117"/>
  <c r="I267" i="117"/>
  <c r="H267" i="117"/>
  <c r="G267" i="117"/>
  <c r="F267" i="117"/>
  <c r="P266" i="117"/>
  <c r="O266" i="117"/>
  <c r="N266" i="117"/>
  <c r="M266" i="117"/>
  <c r="L266" i="117"/>
  <c r="K266" i="117"/>
  <c r="J266" i="117"/>
  <c r="I266" i="117"/>
  <c r="H266" i="117"/>
  <c r="G266" i="117"/>
  <c r="F266" i="117"/>
  <c r="E266" i="117"/>
  <c r="P265" i="117"/>
  <c r="O265" i="117"/>
  <c r="N265" i="117"/>
  <c r="L265" i="117"/>
  <c r="K265" i="117"/>
  <c r="J265" i="117"/>
  <c r="H265" i="117"/>
  <c r="G265" i="117"/>
  <c r="F265" i="117"/>
  <c r="P255" i="117"/>
  <c r="O255" i="117"/>
  <c r="N255" i="117"/>
  <c r="M255" i="117"/>
  <c r="L255" i="117"/>
  <c r="K255" i="117"/>
  <c r="J255" i="117"/>
  <c r="H255" i="117"/>
  <c r="G255" i="117"/>
  <c r="F255" i="117"/>
  <c r="E255" i="117"/>
  <c r="P254" i="117"/>
  <c r="O254" i="117"/>
  <c r="N254" i="117"/>
  <c r="M254" i="117"/>
  <c r="L254" i="117"/>
  <c r="K254" i="117"/>
  <c r="J254" i="117"/>
  <c r="I254" i="117"/>
  <c r="H254" i="117"/>
  <c r="G254" i="117"/>
  <c r="F254" i="117"/>
  <c r="E254" i="117"/>
  <c r="P253" i="117"/>
  <c r="O253" i="117"/>
  <c r="N253" i="117"/>
  <c r="M253" i="117"/>
  <c r="L253" i="117"/>
  <c r="K253" i="117"/>
  <c r="J253" i="117"/>
  <c r="I253" i="117"/>
  <c r="H253" i="117"/>
  <c r="G253" i="117"/>
  <c r="F253" i="117"/>
  <c r="E253" i="117"/>
  <c r="P252" i="117"/>
  <c r="O252" i="117"/>
  <c r="N252" i="117"/>
  <c r="M252" i="117"/>
  <c r="L252" i="117"/>
  <c r="K252" i="117"/>
  <c r="J252" i="117"/>
  <c r="I252" i="117"/>
  <c r="H252" i="117"/>
  <c r="G252" i="117"/>
  <c r="F252" i="117"/>
  <c r="P251" i="117"/>
  <c r="O251" i="117"/>
  <c r="N251" i="117"/>
  <c r="M251" i="117"/>
  <c r="L251" i="117"/>
  <c r="K251" i="117"/>
  <c r="J251" i="117"/>
  <c r="H251" i="117"/>
  <c r="G251" i="117"/>
  <c r="F251" i="117"/>
  <c r="E251" i="117"/>
  <c r="P248" i="117"/>
  <c r="O248" i="117"/>
  <c r="N248" i="117"/>
  <c r="M248" i="117"/>
  <c r="L248" i="117"/>
  <c r="K248" i="117"/>
  <c r="J248" i="117"/>
  <c r="I248" i="117"/>
  <c r="H248" i="117"/>
  <c r="G248" i="117"/>
  <c r="F248" i="117"/>
  <c r="E248" i="117"/>
  <c r="P246" i="117"/>
  <c r="N246" i="117"/>
  <c r="M246" i="117"/>
  <c r="L246" i="117"/>
  <c r="K246" i="117"/>
  <c r="J246" i="117"/>
  <c r="I246" i="117"/>
  <c r="H246" i="117"/>
  <c r="F246" i="117"/>
  <c r="E246" i="117"/>
  <c r="P245" i="117"/>
  <c r="O245" i="117"/>
  <c r="J245" i="117"/>
  <c r="I245" i="117"/>
  <c r="H245" i="117"/>
  <c r="G245" i="117"/>
  <c r="P236" i="117"/>
  <c r="O236" i="117"/>
  <c r="N236" i="117"/>
  <c r="M236" i="117"/>
  <c r="L236" i="117"/>
  <c r="K236" i="117"/>
  <c r="J236" i="117"/>
  <c r="I236" i="117"/>
  <c r="H236" i="117"/>
  <c r="G236" i="117"/>
  <c r="F236" i="117"/>
  <c r="E236" i="117"/>
  <c r="P235" i="117"/>
  <c r="O235" i="117"/>
  <c r="N235" i="117"/>
  <c r="M235" i="117"/>
  <c r="L235" i="117"/>
  <c r="K235" i="117"/>
  <c r="J235" i="117"/>
  <c r="I235" i="117"/>
  <c r="H235" i="117"/>
  <c r="G235" i="117"/>
  <c r="F235" i="117"/>
  <c r="E235" i="117"/>
  <c r="P234" i="117"/>
  <c r="O234" i="117"/>
  <c r="N234" i="117"/>
  <c r="M234" i="117"/>
  <c r="K234" i="117"/>
  <c r="J234" i="117"/>
  <c r="I234" i="117"/>
  <c r="H234" i="117"/>
  <c r="G234" i="117"/>
  <c r="F234" i="117"/>
  <c r="P233" i="117"/>
  <c r="O233" i="117"/>
  <c r="N233" i="117"/>
  <c r="M233" i="117"/>
  <c r="L233" i="117"/>
  <c r="J233" i="117"/>
  <c r="H233" i="117"/>
  <c r="G233" i="117"/>
  <c r="F233" i="117"/>
  <c r="E233" i="117"/>
  <c r="P232" i="117"/>
  <c r="O232" i="117"/>
  <c r="N232" i="117"/>
  <c r="M232" i="117"/>
  <c r="L232" i="117"/>
  <c r="K232" i="117"/>
  <c r="J232" i="117"/>
  <c r="I232" i="117"/>
  <c r="H232" i="117"/>
  <c r="G232" i="117"/>
  <c r="F232" i="117"/>
  <c r="E232" i="117"/>
  <c r="P229" i="117"/>
  <c r="O229" i="117"/>
  <c r="N229" i="117"/>
  <c r="M229" i="117"/>
  <c r="L229" i="117"/>
  <c r="K229" i="117"/>
  <c r="J229" i="117"/>
  <c r="I229" i="117"/>
  <c r="H229" i="117"/>
  <c r="G229" i="117"/>
  <c r="F229" i="117"/>
  <c r="E229" i="117"/>
  <c r="O226" i="117"/>
  <c r="N226" i="117"/>
  <c r="M226" i="117"/>
  <c r="L226" i="117"/>
  <c r="K226" i="117"/>
  <c r="J226" i="117"/>
  <c r="I226" i="117"/>
  <c r="G226" i="117"/>
  <c r="F226" i="117"/>
  <c r="E226" i="117"/>
  <c r="P225" i="117"/>
  <c r="M225" i="117"/>
  <c r="L225" i="117"/>
  <c r="K225" i="117"/>
  <c r="J225" i="117"/>
  <c r="I225" i="117"/>
  <c r="H225" i="117"/>
  <c r="E225" i="117"/>
  <c r="Q407" i="82"/>
  <c r="G407" i="82"/>
  <c r="G406" i="82"/>
  <c r="O382" i="82"/>
  <c r="N382" i="82"/>
  <c r="L382" i="82"/>
  <c r="K382" i="82"/>
  <c r="F382" i="82"/>
  <c r="Q380" i="82"/>
  <c r="Q378" i="82"/>
  <c r="G378" i="82"/>
  <c r="Q377" i="82"/>
  <c r="G377" i="82"/>
  <c r="Q375" i="82"/>
  <c r="G375" i="82"/>
  <c r="Q374" i="82"/>
  <c r="G374" i="82"/>
  <c r="Q373" i="82"/>
  <c r="G373" i="82"/>
  <c r="A373" i="82"/>
  <c r="A374" i="82" s="1"/>
  <c r="A375" i="82" s="1"/>
  <c r="A376" i="82" s="1"/>
  <c r="A377" i="82" s="1"/>
  <c r="A378" i="82" s="1"/>
  <c r="A379" i="82" s="1"/>
  <c r="A380" i="82" s="1"/>
  <c r="Q365" i="82"/>
  <c r="G365" i="82"/>
  <c r="G364" i="82"/>
  <c r="G358" i="82"/>
  <c r="O343" i="82"/>
  <c r="N343" i="82"/>
  <c r="L343" i="82"/>
  <c r="K343" i="82"/>
  <c r="F343" i="82"/>
  <c r="Q342" i="82"/>
  <c r="Q341" i="82"/>
  <c r="Q340" i="82"/>
  <c r="Q339" i="82"/>
  <c r="G339" i="82"/>
  <c r="Q338" i="82"/>
  <c r="G338" i="82"/>
  <c r="Q337" i="82"/>
  <c r="Q336" i="82"/>
  <c r="G336" i="82"/>
  <c r="D336" i="82"/>
  <c r="D375" i="82" s="1"/>
  <c r="C336" i="82"/>
  <c r="Q335" i="82"/>
  <c r="G335" i="82"/>
  <c r="Q334" i="82"/>
  <c r="G334" i="82"/>
  <c r="A334" i="82"/>
  <c r="A335" i="82" s="1"/>
  <c r="A336" i="82" s="1"/>
  <c r="A337" i="82" s="1"/>
  <c r="A338" i="82" s="1"/>
  <c r="A339" i="82" s="1"/>
  <c r="A340" i="82" s="1"/>
  <c r="A341" i="82" s="1"/>
  <c r="E283" i="82"/>
  <c r="E317" i="82" s="1"/>
  <c r="D283" i="82"/>
  <c r="D317" i="82" s="1"/>
  <c r="C283" i="82"/>
  <c r="C317" i="82" s="1"/>
  <c r="E282" i="82"/>
  <c r="E316" i="82" s="1"/>
  <c r="D282" i="82"/>
  <c r="D316" i="82" s="1"/>
  <c r="C282" i="82"/>
  <c r="C316" i="82" s="1"/>
  <c r="E281" i="82"/>
  <c r="E315" i="82" s="1"/>
  <c r="D281" i="82"/>
  <c r="D315" i="82" s="1"/>
  <c r="C281" i="82"/>
  <c r="C315" i="82" s="1"/>
  <c r="E280" i="82"/>
  <c r="E314" i="82" s="1"/>
  <c r="D280" i="82"/>
  <c r="D314" i="82" s="1"/>
  <c r="C280" i="82"/>
  <c r="C314" i="82" s="1"/>
  <c r="E279" i="82"/>
  <c r="E313" i="82" s="1"/>
  <c r="D279" i="82"/>
  <c r="D313" i="82" s="1"/>
  <c r="C279" i="82"/>
  <c r="C313" i="82" s="1"/>
  <c r="E278" i="82"/>
  <c r="E312" i="82" s="1"/>
  <c r="D278" i="82"/>
  <c r="D312" i="82" s="1"/>
  <c r="C278" i="82"/>
  <c r="C312" i="82" s="1"/>
  <c r="E277" i="82"/>
  <c r="E311" i="82" s="1"/>
  <c r="D277" i="82"/>
  <c r="D311" i="82" s="1"/>
  <c r="C277" i="82"/>
  <c r="C311" i="82" s="1"/>
  <c r="E276" i="82"/>
  <c r="D276" i="82"/>
  <c r="D310" i="82" s="1"/>
  <c r="C276" i="82"/>
  <c r="C310" i="82" s="1"/>
  <c r="E275" i="82"/>
  <c r="E309" i="82" s="1"/>
  <c r="D275" i="82"/>
  <c r="D309" i="82" s="1"/>
  <c r="C275" i="82"/>
  <c r="C309" i="82" s="1"/>
  <c r="E274" i="82"/>
  <c r="E308" i="82" s="1"/>
  <c r="D274" i="82"/>
  <c r="D308" i="82" s="1"/>
  <c r="C274" i="82"/>
  <c r="C308" i="82" s="1"/>
  <c r="E271" i="82"/>
  <c r="E305" i="82" s="1"/>
  <c r="D271" i="82"/>
  <c r="D305" i="82" s="1"/>
  <c r="C271" i="82"/>
  <c r="C305" i="82" s="1"/>
  <c r="E268" i="82"/>
  <c r="E302" i="82" s="1"/>
  <c r="E267" i="82"/>
  <c r="E301" i="82" s="1"/>
  <c r="N224" i="82"/>
  <c r="P222" i="82"/>
  <c r="O222" i="82"/>
  <c r="L222" i="82"/>
  <c r="J222" i="82"/>
  <c r="I222" i="82"/>
  <c r="H222" i="82"/>
  <c r="G224" i="82"/>
  <c r="J186" i="82"/>
  <c r="I186" i="82"/>
  <c r="H186" i="82"/>
  <c r="Q185" i="82"/>
  <c r="Q184" i="82"/>
  <c r="Q183" i="82"/>
  <c r="G168" i="82"/>
  <c r="G166" i="82"/>
  <c r="F212" i="117"/>
  <c r="G163" i="82"/>
  <c r="F210" i="117"/>
  <c r="G161" i="82"/>
  <c r="G160" i="82"/>
  <c r="G156" i="82"/>
  <c r="G155" i="82"/>
  <c r="N143" i="82"/>
  <c r="L143" i="82"/>
  <c r="K143" i="82"/>
  <c r="P143" i="82"/>
  <c r="O141" i="82"/>
  <c r="Q141" i="82" s="1"/>
  <c r="G141" i="82"/>
  <c r="G140" i="82"/>
  <c r="Q139" i="82"/>
  <c r="M139" i="82"/>
  <c r="G139" i="82"/>
  <c r="Q138" i="82"/>
  <c r="M138" i="82"/>
  <c r="G138" i="82"/>
  <c r="Q137" i="82"/>
  <c r="M137" i="82"/>
  <c r="G137" i="82"/>
  <c r="G136" i="82"/>
  <c r="Q135" i="82"/>
  <c r="G135" i="82"/>
  <c r="D135" i="82"/>
  <c r="C135" i="82"/>
  <c r="Q134" i="82"/>
  <c r="G134" i="82"/>
  <c r="Q133" i="82"/>
  <c r="G133" i="82"/>
  <c r="E133" i="82"/>
  <c r="A133" i="82"/>
  <c r="A134" i="82" s="1"/>
  <c r="A135" i="82" s="1"/>
  <c r="A136" i="82" s="1"/>
  <c r="A137" i="82" s="1"/>
  <c r="A138" i="82" s="1"/>
  <c r="A139" i="82" s="1"/>
  <c r="A140" i="82" s="1"/>
  <c r="A141" i="82" s="1"/>
  <c r="E93" i="82"/>
  <c r="O83" i="82"/>
  <c r="N83" i="82"/>
  <c r="L83" i="82"/>
  <c r="K83" i="82"/>
  <c r="F83" i="82"/>
  <c r="Q81" i="82"/>
  <c r="F81" i="82"/>
  <c r="G81" i="82" s="1"/>
  <c r="Q79" i="82"/>
  <c r="G79" i="82"/>
  <c r="Q78" i="82"/>
  <c r="G78" i="82"/>
  <c r="Q77" i="82"/>
  <c r="G77" i="82"/>
  <c r="M77" i="82" s="1"/>
  <c r="Q75" i="82"/>
  <c r="G75" i="82"/>
  <c r="M75" i="82" s="1"/>
  <c r="E75" i="82"/>
  <c r="E135" i="82" s="1"/>
  <c r="Q74" i="82"/>
  <c r="G74" i="82"/>
  <c r="M74" i="82" s="1"/>
  <c r="E74" i="82"/>
  <c r="E134" i="82" s="1"/>
  <c r="D74" i="82"/>
  <c r="D134" i="82" s="1"/>
  <c r="C74" i="82"/>
  <c r="C134" i="82" s="1"/>
  <c r="R73" i="82"/>
  <c r="Q72" i="82"/>
  <c r="G72" i="82"/>
  <c r="M72" i="82" s="1"/>
  <c r="C72" i="82"/>
  <c r="D72" i="82" s="1"/>
  <c r="D133" i="82" s="1"/>
  <c r="A72" i="82"/>
  <c r="A73" i="82" s="1"/>
  <c r="A74" i="82" s="1"/>
  <c r="A75" i="82" s="1"/>
  <c r="A76" i="82" s="1"/>
  <c r="A77" i="82" s="1"/>
  <c r="A78" i="82" s="1"/>
  <c r="A79" i="82" s="1"/>
  <c r="A80" i="82" s="1"/>
  <c r="A81" i="82" s="1"/>
  <c r="A84" i="82" s="1"/>
  <c r="G62" i="82"/>
  <c r="G61" i="82"/>
  <c r="G60" i="82"/>
  <c r="G59" i="82"/>
  <c r="G58" i="82"/>
  <c r="G57" i="82"/>
  <c r="G56" i="82"/>
  <c r="G55" i="82"/>
  <c r="G54" i="82"/>
  <c r="G53" i="82"/>
  <c r="G52" i="82"/>
  <c r="G51" i="82"/>
  <c r="G50" i="82"/>
  <c r="R49" i="82"/>
  <c r="G49" i="82"/>
  <c r="R48" i="82"/>
  <c r="G48" i="82"/>
  <c r="G47" i="82"/>
  <c r="G46" i="82"/>
  <c r="G42" i="82"/>
  <c r="Q38" i="82"/>
  <c r="G38" i="82"/>
  <c r="R37" i="82"/>
  <c r="G37" i="82"/>
  <c r="R36" i="82"/>
  <c r="G36" i="82"/>
  <c r="O25" i="82"/>
  <c r="N25" i="82"/>
  <c r="L25" i="82"/>
  <c r="K25" i="82"/>
  <c r="F25" i="82"/>
  <c r="P25" i="82"/>
  <c r="Q23" i="82"/>
  <c r="G23" i="82"/>
  <c r="Q22" i="82"/>
  <c r="G22" i="82"/>
  <c r="Q21" i="82"/>
  <c r="G21" i="82"/>
  <c r="Q19" i="82"/>
  <c r="G19" i="82"/>
  <c r="M19" i="82" s="1"/>
  <c r="Q18" i="82"/>
  <c r="G18" i="82"/>
  <c r="Q17" i="82"/>
  <c r="G17" i="82"/>
  <c r="Q16" i="82"/>
  <c r="G16" i="82"/>
  <c r="Q14" i="82"/>
  <c r="G14" i="82"/>
  <c r="Q13" i="82"/>
  <c r="G13" i="82"/>
  <c r="D229" i="117"/>
  <c r="D248" i="117" s="1"/>
  <c r="D268" i="117" s="1"/>
  <c r="D294" i="117" s="1"/>
  <c r="D235" i="117"/>
  <c r="D226" i="117"/>
  <c r="D246" i="117" s="1"/>
  <c r="D266" i="117" s="1"/>
  <c r="D291" i="117" s="1"/>
  <c r="D322" i="117" s="1"/>
  <c r="B17" i="110"/>
  <c r="B18" i="110" s="1"/>
  <c r="B19" i="110" s="1"/>
  <c r="D342" i="117"/>
  <c r="D225" i="117"/>
  <c r="D245" i="117" s="1"/>
  <c r="D265" i="117" s="1"/>
  <c r="D290" i="117" s="1"/>
  <c r="O61" i="122"/>
  <c r="L61" i="122"/>
  <c r="I61" i="122"/>
  <c r="F61" i="122"/>
  <c r="O60" i="122"/>
  <c r="L60" i="122"/>
  <c r="I60" i="122"/>
  <c r="F60" i="122"/>
  <c r="A59" i="122"/>
  <c r="A60" i="122" s="1"/>
  <c r="A61" i="122" s="1"/>
  <c r="A62" i="122" s="1"/>
  <c r="O57" i="122"/>
  <c r="L57" i="122"/>
  <c r="I57" i="122"/>
  <c r="F57" i="122"/>
  <c r="O56" i="122"/>
  <c r="L56" i="122"/>
  <c r="I56" i="122"/>
  <c r="F56" i="122"/>
  <c r="O55" i="122"/>
  <c r="L55" i="122"/>
  <c r="I55" i="122"/>
  <c r="F55" i="122"/>
  <c r="A54" i="122"/>
  <c r="A55" i="122" s="1"/>
  <c r="A56" i="122" s="1"/>
  <c r="A57" i="122" s="1"/>
  <c r="O47" i="122"/>
  <c r="L47" i="122"/>
  <c r="I47" i="122"/>
  <c r="F47" i="122"/>
  <c r="O46" i="122"/>
  <c r="L46" i="122"/>
  <c r="I46" i="122"/>
  <c r="F46" i="122"/>
  <c r="A46" i="122"/>
  <c r="A47" i="122" s="1"/>
  <c r="A48" i="122" s="1"/>
  <c r="O45" i="122"/>
  <c r="L45" i="122"/>
  <c r="I45" i="122"/>
  <c r="F45" i="122"/>
  <c r="O43" i="122"/>
  <c r="O41" i="122"/>
  <c r="L41" i="122"/>
  <c r="I41" i="122"/>
  <c r="F41" i="122"/>
  <c r="O39" i="122"/>
  <c r="L39" i="122"/>
  <c r="I39" i="122"/>
  <c r="F39" i="122"/>
  <c r="R37" i="122"/>
  <c r="P37" i="122"/>
  <c r="M37" i="122"/>
  <c r="G37" i="122"/>
  <c r="D37" i="122"/>
  <c r="O36" i="122"/>
  <c r="L36" i="122"/>
  <c r="I36" i="122"/>
  <c r="F36" i="122"/>
  <c r="O32" i="122"/>
  <c r="K32" i="122"/>
  <c r="L32" i="122" s="1"/>
  <c r="O31" i="122"/>
  <c r="K31" i="122"/>
  <c r="L31" i="122" s="1"/>
  <c r="I25" i="122"/>
  <c r="F25" i="122"/>
  <c r="J20" i="122"/>
  <c r="J37" i="122" s="1"/>
  <c r="O19" i="122"/>
  <c r="L19" i="122"/>
  <c r="I19" i="122"/>
  <c r="F19" i="122"/>
  <c r="O18" i="122"/>
  <c r="L18" i="122"/>
  <c r="I18" i="122"/>
  <c r="F18" i="122"/>
  <c r="O15" i="122"/>
  <c r="L15" i="122"/>
  <c r="I15" i="122"/>
  <c r="F15" i="122"/>
  <c r="S14" i="122"/>
  <c r="S16" i="122" s="1"/>
  <c r="S17" i="122" s="1"/>
  <c r="R14" i="122"/>
  <c r="R16" i="122" s="1"/>
  <c r="R17" i="122" s="1"/>
  <c r="Q14" i="122"/>
  <c r="Q16" i="122" s="1"/>
  <c r="Q17" i="122" s="1"/>
  <c r="P14" i="122"/>
  <c r="N14" i="122"/>
  <c r="M14" i="122"/>
  <c r="K14" i="122"/>
  <c r="J14" i="122"/>
  <c r="J16" i="122" s="1"/>
  <c r="J17" i="122" s="1"/>
  <c r="H14" i="122"/>
  <c r="G14" i="122"/>
  <c r="E14" i="122"/>
  <c r="D14" i="122"/>
  <c r="D16" i="122" s="1"/>
  <c r="D17" i="122" s="1"/>
  <c r="O12" i="122"/>
  <c r="L12" i="122"/>
  <c r="I12" i="122"/>
  <c r="F12" i="122"/>
  <c r="O11" i="122"/>
  <c r="L11" i="122"/>
  <c r="I11" i="122"/>
  <c r="F11" i="122"/>
  <c r="O10" i="122"/>
  <c r="L10" i="122"/>
  <c r="I10" i="122"/>
  <c r="F10" i="122"/>
  <c r="M52" i="90"/>
  <c r="M46" i="90"/>
  <c r="M40" i="90"/>
  <c r="M31" i="90"/>
  <c r="M22" i="90"/>
  <c r="M13" i="90"/>
  <c r="P12" i="121"/>
  <c r="O12" i="121"/>
  <c r="N12" i="121"/>
  <c r="M12" i="121"/>
  <c r="L12" i="121"/>
  <c r="K12" i="121"/>
  <c r="J12" i="121"/>
  <c r="I12" i="121"/>
  <c r="H12" i="121"/>
  <c r="G12" i="121"/>
  <c r="F12" i="121"/>
  <c r="E12" i="121"/>
  <c r="D12" i="121"/>
  <c r="C12" i="121"/>
  <c r="C46" i="111"/>
  <c r="C45" i="111"/>
  <c r="C44" i="111"/>
  <c r="C43" i="111"/>
  <c r="C42" i="111"/>
  <c r="C41" i="111"/>
  <c r="C40" i="111"/>
  <c r="C39" i="111"/>
  <c r="C38" i="111"/>
  <c r="C37" i="111"/>
  <c r="C36" i="111"/>
  <c r="C35" i="111"/>
  <c r="C34" i="111"/>
  <c r="C33" i="111"/>
  <c r="C32" i="111"/>
  <c r="C31" i="111"/>
  <c r="C30" i="111"/>
  <c r="C28" i="111"/>
  <c r="C27" i="111"/>
  <c r="C26" i="111"/>
  <c r="C25" i="111"/>
  <c r="C23" i="111"/>
  <c r="C20" i="111"/>
  <c r="C19" i="111"/>
  <c r="C18" i="111"/>
  <c r="C17" i="111"/>
  <c r="C16" i="111"/>
  <c r="C15" i="111"/>
  <c r="C14" i="111"/>
  <c r="P13" i="111"/>
  <c r="P20" i="111" s="1"/>
  <c r="P40" i="111" s="1"/>
  <c r="N13" i="111"/>
  <c r="N20" i="111" s="1"/>
  <c r="N40" i="111" s="1"/>
  <c r="J13" i="111"/>
  <c r="J20" i="111" s="1"/>
  <c r="J40" i="111" s="1"/>
  <c r="H13" i="111"/>
  <c r="H20" i="111" s="1"/>
  <c r="H40" i="111" s="1"/>
  <c r="F13" i="111"/>
  <c r="F20" i="111" s="1"/>
  <c r="F40" i="111" s="1"/>
  <c r="C13" i="111"/>
  <c r="O293" i="88"/>
  <c r="O255" i="88"/>
  <c r="O229" i="88"/>
  <c r="K36" i="88"/>
  <c r="K32" i="88"/>
  <c r="K28" i="88"/>
  <c r="O212" i="88"/>
  <c r="O211" i="88"/>
  <c r="K17" i="88"/>
  <c r="O171" i="88"/>
  <c r="I26" i="88" s="1"/>
  <c r="G26" i="88"/>
  <c r="O79" i="88"/>
  <c r="C22" i="88"/>
  <c r="P95" i="58"/>
  <c r="O95" i="58"/>
  <c r="E95" i="58"/>
  <c r="V94" i="58"/>
  <c r="U94" i="58"/>
  <c r="T94" i="58"/>
  <c r="S94" i="58"/>
  <c r="P94" i="58"/>
  <c r="O94" i="58"/>
  <c r="N94" i="58"/>
  <c r="K94" i="58"/>
  <c r="H94" i="58"/>
  <c r="E94" i="58"/>
  <c r="V93" i="58"/>
  <c r="U93" i="58"/>
  <c r="T93" i="58"/>
  <c r="S93" i="58"/>
  <c r="P93" i="58"/>
  <c r="O93" i="58"/>
  <c r="N93" i="58"/>
  <c r="K93" i="58"/>
  <c r="H93" i="58"/>
  <c r="E93" i="58"/>
  <c r="V90" i="58"/>
  <c r="U90" i="58"/>
  <c r="T90" i="58"/>
  <c r="S90" i="58"/>
  <c r="P90" i="58"/>
  <c r="O90" i="58"/>
  <c r="N90" i="58"/>
  <c r="K90" i="58"/>
  <c r="H90" i="58"/>
  <c r="E90" i="58"/>
  <c r="V89" i="58"/>
  <c r="U89" i="58"/>
  <c r="T89" i="58"/>
  <c r="S89" i="58"/>
  <c r="P89" i="58"/>
  <c r="O89" i="58"/>
  <c r="N89" i="58"/>
  <c r="K89" i="58"/>
  <c r="H89" i="58"/>
  <c r="E89" i="58"/>
  <c r="V88" i="58"/>
  <c r="U88" i="58"/>
  <c r="T88" i="58"/>
  <c r="U87" i="58"/>
  <c r="S87" i="58"/>
  <c r="N87" i="58"/>
  <c r="K87" i="58"/>
  <c r="H87" i="58"/>
  <c r="E87" i="58"/>
  <c r="U84" i="58"/>
  <c r="S84" i="58"/>
  <c r="N84" i="58"/>
  <c r="K84" i="58"/>
  <c r="H84" i="58"/>
  <c r="E84" i="58"/>
  <c r="U83" i="58"/>
  <c r="S83" i="58"/>
  <c r="P83" i="58"/>
  <c r="O83" i="58"/>
  <c r="K83" i="58"/>
  <c r="H83" i="58"/>
  <c r="U75" i="58"/>
  <c r="S75" i="58"/>
  <c r="N75" i="58"/>
  <c r="K75" i="58"/>
  <c r="H75" i="58"/>
  <c r="E75" i="58"/>
  <c r="B74" i="58"/>
  <c r="B75" i="58" s="1"/>
  <c r="B76" i="58" s="1"/>
  <c r="B77" i="58" s="1"/>
  <c r="B78" i="58" s="1"/>
  <c r="B79" i="58" s="1"/>
  <c r="B80" i="58" s="1"/>
  <c r="B81" i="58" s="1"/>
  <c r="B82" i="58" s="1"/>
  <c r="B83" i="58" s="1"/>
  <c r="R62" i="58"/>
  <c r="M62" i="58"/>
  <c r="J62" i="58"/>
  <c r="G62" i="58"/>
  <c r="R61" i="58"/>
  <c r="L61" i="58"/>
  <c r="M61" i="58" s="1"/>
  <c r="I61" i="58"/>
  <c r="F61" i="58"/>
  <c r="F95" i="58" s="1"/>
  <c r="R60" i="58"/>
  <c r="L60" i="58"/>
  <c r="M60" i="58" s="1"/>
  <c r="I60" i="58"/>
  <c r="F60" i="58"/>
  <c r="F94" i="58" s="1"/>
  <c r="R59" i="58"/>
  <c r="L59" i="58"/>
  <c r="M59" i="58" s="1"/>
  <c r="I59" i="58"/>
  <c r="F59" i="58"/>
  <c r="G59" i="58" s="1"/>
  <c r="U58" i="58"/>
  <c r="R56" i="58"/>
  <c r="R55" i="58"/>
  <c r="V54" i="58"/>
  <c r="T54" i="58"/>
  <c r="D161" i="150"/>
  <c r="R50" i="58"/>
  <c r="L50" i="58"/>
  <c r="M50" i="58" s="1"/>
  <c r="I50" i="58"/>
  <c r="F50" i="58"/>
  <c r="E50" i="58"/>
  <c r="U49" i="58"/>
  <c r="S49" i="58"/>
  <c r="N49" i="58"/>
  <c r="K49" i="58"/>
  <c r="D265" i="150" s="1"/>
  <c r="D300" i="150" s="1"/>
  <c r="H49" i="58"/>
  <c r="E49" i="58"/>
  <c r="E82" i="58" s="1"/>
  <c r="U48" i="58"/>
  <c r="S48" i="58"/>
  <c r="N48" i="58"/>
  <c r="K48" i="58"/>
  <c r="D264" i="150" s="1"/>
  <c r="D299" i="150" s="1"/>
  <c r="H48" i="58"/>
  <c r="E48" i="58"/>
  <c r="E81" i="58" s="1"/>
  <c r="D155" i="150"/>
  <c r="D153" i="150"/>
  <c r="U43" i="58"/>
  <c r="S43" i="58"/>
  <c r="K43" i="58"/>
  <c r="D259" i="150" s="1"/>
  <c r="H43" i="58"/>
  <c r="E43" i="58"/>
  <c r="B41" i="58"/>
  <c r="R29" i="58"/>
  <c r="M29" i="58"/>
  <c r="J29" i="58"/>
  <c r="G29" i="58"/>
  <c r="R27" i="58"/>
  <c r="L27" i="58"/>
  <c r="I27" i="58"/>
  <c r="F27" i="58"/>
  <c r="N26" i="58"/>
  <c r="K26" i="58"/>
  <c r="D239" i="150" s="1"/>
  <c r="R24" i="58"/>
  <c r="R23" i="58"/>
  <c r="L23" i="58"/>
  <c r="M23" i="58" s="1"/>
  <c r="P22" i="58"/>
  <c r="O22" i="58"/>
  <c r="N22" i="58"/>
  <c r="V21" i="58"/>
  <c r="T21" i="58"/>
  <c r="H20" i="58"/>
  <c r="R18" i="58"/>
  <c r="L18" i="58"/>
  <c r="M18" i="58" s="1"/>
  <c r="F18" i="58"/>
  <c r="E18" i="58"/>
  <c r="S17" i="58"/>
  <c r="H17" i="58"/>
  <c r="E17" i="58"/>
  <c r="U16" i="58"/>
  <c r="S16" i="58"/>
  <c r="H16" i="58"/>
  <c r="E16" i="58"/>
  <c r="U13" i="58"/>
  <c r="S13" i="58"/>
  <c r="N13" i="58"/>
  <c r="K13" i="58"/>
  <c r="D226" i="150" s="1"/>
  <c r="H13" i="58"/>
  <c r="E13" i="58"/>
  <c r="B12" i="58"/>
  <c r="L2" i="58"/>
  <c r="P87" i="159"/>
  <c r="B81" i="159"/>
  <c r="B82" i="159" s="1"/>
  <c r="B83" i="159" s="1"/>
  <c r="B84" i="159" s="1"/>
  <c r="B85" i="159" s="1"/>
  <c r="B86" i="159" s="1"/>
  <c r="B91" i="159" s="1"/>
  <c r="B92" i="159" s="1"/>
  <c r="B93" i="159" s="1"/>
  <c r="B94" i="159" s="1"/>
  <c r="B95" i="159" s="1"/>
  <c r="B96" i="159" s="1"/>
  <c r="B97" i="159" s="1"/>
  <c r="B98" i="159" s="1"/>
  <c r="B99" i="159" s="1"/>
  <c r="B100" i="159" s="1"/>
  <c r="B101" i="159" s="1"/>
  <c r="B102" i="159" s="1"/>
  <c r="B103" i="159" s="1"/>
  <c r="B104" i="159" s="1"/>
  <c r="B105" i="159" s="1"/>
  <c r="B106" i="159" s="1"/>
  <c r="B46" i="159"/>
  <c r="B47" i="159" s="1"/>
  <c r="B48" i="159" s="1"/>
  <c r="B49" i="159" s="1"/>
  <c r="B50" i="159" s="1"/>
  <c r="B51" i="159" s="1"/>
  <c r="B56" i="159" s="1"/>
  <c r="B57" i="159" s="1"/>
  <c r="B58" i="159" s="1"/>
  <c r="B59" i="159" s="1"/>
  <c r="B60" i="159" s="1"/>
  <c r="B61" i="159" s="1"/>
  <c r="B62" i="159" s="1"/>
  <c r="B63" i="159" s="1"/>
  <c r="B64" i="159" s="1"/>
  <c r="B65" i="159" s="1"/>
  <c r="B66" i="159" s="1"/>
  <c r="B67" i="159" s="1"/>
  <c r="B68" i="159" s="1"/>
  <c r="B69" i="159" s="1"/>
  <c r="B70" i="159" s="1"/>
  <c r="P17" i="159"/>
  <c r="W134" i="159" s="1"/>
  <c r="B11" i="159"/>
  <c r="B12" i="159" s="1"/>
  <c r="B13" i="159" s="1"/>
  <c r="B14" i="159" s="1"/>
  <c r="B15" i="159" s="1"/>
  <c r="B16" i="159" s="1"/>
  <c r="B21" i="159" s="1"/>
  <c r="B22" i="159" s="1"/>
  <c r="B23" i="159" s="1"/>
  <c r="B24" i="159" s="1"/>
  <c r="B25" i="159" s="1"/>
  <c r="B26" i="159" s="1"/>
  <c r="B27" i="159" s="1"/>
  <c r="B28" i="159" s="1"/>
  <c r="B29" i="159" s="1"/>
  <c r="B30" i="159" s="1"/>
  <c r="B31" i="159" s="1"/>
  <c r="B32" i="159" s="1"/>
  <c r="B33" i="159" s="1"/>
  <c r="B34" i="159" s="1"/>
  <c r="B35" i="159" s="1"/>
  <c r="E15" i="156"/>
  <c r="D11" i="156"/>
  <c r="D34" i="156" s="1"/>
  <c r="D9" i="156"/>
  <c r="B44" i="57"/>
  <c r="B45" i="57" s="1"/>
  <c r="B46" i="57" s="1"/>
  <c r="B47" i="57" s="1"/>
  <c r="B48" i="57" s="1"/>
  <c r="B49" i="57" s="1"/>
  <c r="B50" i="57" s="1"/>
  <c r="B51" i="57" s="1"/>
  <c r="B52" i="57" s="1"/>
  <c r="B53" i="57" s="1"/>
  <c r="B42" i="57"/>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E24" i="130"/>
  <c r="D24" i="130"/>
  <c r="C24" i="130"/>
  <c r="F23" i="130"/>
  <c r="G23" i="130" s="1"/>
  <c r="D7" i="130"/>
  <c r="C7" i="130"/>
  <c r="N166" i="113" l="1"/>
  <c r="V166" i="113"/>
  <c r="D196" i="150"/>
  <c r="L166" i="113"/>
  <c r="T166" i="113"/>
  <c r="D166" i="113"/>
  <c r="M166" i="113"/>
  <c r="J69" i="70"/>
  <c r="G166" i="113"/>
  <c r="O166" i="113"/>
  <c r="W166" i="113"/>
  <c r="H166" i="113"/>
  <c r="P166" i="113"/>
  <c r="X166" i="113"/>
  <c r="I166" i="113"/>
  <c r="Q166" i="113"/>
  <c r="Y166" i="113"/>
  <c r="J166" i="113"/>
  <c r="R166" i="113"/>
  <c r="Z166" i="113"/>
  <c r="K166" i="113"/>
  <c r="S166" i="113"/>
  <c r="F58" i="116"/>
  <c r="F69" i="70"/>
  <c r="U166" i="113"/>
  <c r="C172" i="72"/>
  <c r="C25" i="73" s="1"/>
  <c r="E166" i="113"/>
  <c r="N58" i="115"/>
  <c r="N69" i="70"/>
  <c r="D69" i="70"/>
  <c r="C79" i="73"/>
  <c r="C33" i="101" s="1"/>
  <c r="K46" i="58"/>
  <c r="D262" i="150" s="1"/>
  <c r="D297" i="150" s="1"/>
  <c r="G117" i="132"/>
  <c r="F58" i="66"/>
  <c r="F60" i="66" s="1"/>
  <c r="J31" i="65" s="1"/>
  <c r="E69" i="61"/>
  <c r="T28" i="96"/>
  <c r="K120" i="61"/>
  <c r="C90" i="132"/>
  <c r="G10" i="171" s="1"/>
  <c r="D10" i="171" s="1"/>
  <c r="D17" i="171" s="1"/>
  <c r="G116" i="132"/>
  <c r="N46" i="58"/>
  <c r="I120" i="61"/>
  <c r="E47" i="58"/>
  <c r="G47" i="58" s="1"/>
  <c r="S32" i="65"/>
  <c r="S41" i="58" s="1"/>
  <c r="D37" i="55"/>
  <c r="D86" i="55"/>
  <c r="D123" i="55"/>
  <c r="F123" i="55" s="1"/>
  <c r="D56" i="114"/>
  <c r="S45" i="99"/>
  <c r="S52" i="99" s="1"/>
  <c r="E78" i="58"/>
  <c r="D166" i="150"/>
  <c r="D152" i="150"/>
  <c r="M145" i="61"/>
  <c r="D43" i="55"/>
  <c r="M82" i="55"/>
  <c r="G88" i="55"/>
  <c r="J124" i="55"/>
  <c r="D118" i="55"/>
  <c r="F49" i="114"/>
  <c r="C20" i="99"/>
  <c r="M20" i="99" s="1"/>
  <c r="L12" i="160"/>
  <c r="C81" i="73"/>
  <c r="C35" i="101" s="1"/>
  <c r="F98" i="150"/>
  <c r="O54" i="58"/>
  <c r="O21" i="58"/>
  <c r="P54" i="58"/>
  <c r="P21" i="58"/>
  <c r="D119" i="150"/>
  <c r="D151" i="150"/>
  <c r="D157" i="150"/>
  <c r="D194" i="150" s="1"/>
  <c r="J61" i="58"/>
  <c r="O28" i="132"/>
  <c r="L83" i="55"/>
  <c r="F162" i="55"/>
  <c r="E54" i="114"/>
  <c r="D117" i="150"/>
  <c r="O88" i="58"/>
  <c r="Q22" i="58"/>
  <c r="N92" i="58"/>
  <c r="M30" i="66"/>
  <c r="Q16" i="65" s="1"/>
  <c r="I14" i="58"/>
  <c r="E118" i="150"/>
  <c r="D19" i="55"/>
  <c r="I86" i="55"/>
  <c r="P88" i="58"/>
  <c r="N82" i="58"/>
  <c r="M14" i="82"/>
  <c r="E90" i="132"/>
  <c r="D119" i="55"/>
  <c r="M78" i="82"/>
  <c r="M134" i="82"/>
  <c r="F44" i="120"/>
  <c r="E44" i="150"/>
  <c r="F44" i="58"/>
  <c r="G122" i="61"/>
  <c r="G124" i="61" s="1"/>
  <c r="K45" i="58" s="1"/>
  <c r="D261" i="150" s="1"/>
  <c r="D296" i="150" s="1"/>
  <c r="G124" i="55"/>
  <c r="I53" i="114"/>
  <c r="C66" i="73"/>
  <c r="C19" i="101" s="1"/>
  <c r="C19" i="102" s="1"/>
  <c r="K16" i="58"/>
  <c r="B42" i="58"/>
  <c r="I94" i="58"/>
  <c r="G3" i="153"/>
  <c r="D17" i="156"/>
  <c r="D40" i="156" s="1"/>
  <c r="N16" i="58"/>
  <c r="U17" i="58"/>
  <c r="O14" i="122"/>
  <c r="M79" i="82"/>
  <c r="M334" i="82"/>
  <c r="M374" i="82"/>
  <c r="G90" i="132"/>
  <c r="S17" i="65"/>
  <c r="S11" i="58" s="1"/>
  <c r="I44" i="120"/>
  <c r="F43" i="61"/>
  <c r="I44" i="58"/>
  <c r="E152" i="150"/>
  <c r="D24" i="55"/>
  <c r="O87" i="55"/>
  <c r="L84" i="55"/>
  <c r="M124" i="55"/>
  <c r="G125" i="55"/>
  <c r="K123" i="55"/>
  <c r="F164" i="55"/>
  <c r="D28" i="96"/>
  <c r="Q42" i="96"/>
  <c r="R44" i="99"/>
  <c r="T44" i="99" s="1"/>
  <c r="F99" i="150"/>
  <c r="D156" i="150"/>
  <c r="D193" i="150" s="1"/>
  <c r="J59" i="58"/>
  <c r="M13" i="82"/>
  <c r="M339" i="82"/>
  <c r="R28" i="96"/>
  <c r="J50" i="58"/>
  <c r="E10" i="171"/>
  <c r="E11" i="171" s="1"/>
  <c r="E13" i="171" s="1"/>
  <c r="E15" i="171" s="1"/>
  <c r="C84" i="73"/>
  <c r="C38" i="101" s="1"/>
  <c r="F205" i="150"/>
  <c r="S92" i="58"/>
  <c r="T45" i="120"/>
  <c r="I145" i="61"/>
  <c r="L86" i="55"/>
  <c r="I162" i="55"/>
  <c r="D124" i="150"/>
  <c r="M378" i="82"/>
  <c r="I49" i="68"/>
  <c r="I26" i="68"/>
  <c r="D118" i="150"/>
  <c r="K145" i="61"/>
  <c r="J82" i="55"/>
  <c r="I123" i="55"/>
  <c r="F207" i="150"/>
  <c r="F301" i="150"/>
  <c r="M16" i="82"/>
  <c r="G73" i="67"/>
  <c r="E14" i="58"/>
  <c r="K44" i="58"/>
  <c r="D260" i="150" s="1"/>
  <c r="V48" i="58"/>
  <c r="V49" i="58"/>
  <c r="D40" i="122"/>
  <c r="M17" i="82"/>
  <c r="M338" i="82"/>
  <c r="C13" i="132"/>
  <c r="P26" i="132" s="1"/>
  <c r="E64" i="132"/>
  <c r="D41" i="66"/>
  <c r="D73" i="66"/>
  <c r="G45" i="120"/>
  <c r="L44" i="120"/>
  <c r="E260" i="150"/>
  <c r="L44" i="58"/>
  <c r="G145" i="61"/>
  <c r="M88" i="55"/>
  <c r="O124" i="55"/>
  <c r="J125" i="55"/>
  <c r="F161" i="55"/>
  <c r="D45" i="96"/>
  <c r="M56" i="114"/>
  <c r="L53" i="114"/>
  <c r="M28" i="120"/>
  <c r="M30" i="120" s="1"/>
  <c r="F86" i="55"/>
  <c r="O125" i="55"/>
  <c r="O53" i="114"/>
  <c r="M133" i="82"/>
  <c r="M377" i="82"/>
  <c r="R14" i="120"/>
  <c r="R16" i="120" s="1"/>
  <c r="D79" i="55"/>
  <c r="F53" i="114"/>
  <c r="F93" i="150"/>
  <c r="E22" i="150"/>
  <c r="N81" i="58"/>
  <c r="Q57" i="82"/>
  <c r="E77" i="132"/>
  <c r="E227" i="150"/>
  <c r="L14" i="58"/>
  <c r="L77" i="58" s="1"/>
  <c r="G87" i="55"/>
  <c r="F206" i="150"/>
  <c r="L21" i="58"/>
  <c r="M21" i="58" s="1"/>
  <c r="E234" i="150"/>
  <c r="E270" i="150"/>
  <c r="E305" i="150" s="1"/>
  <c r="L54" i="58"/>
  <c r="M54" i="58" s="1"/>
  <c r="O21" i="132"/>
  <c r="F14" i="58"/>
  <c r="E13" i="150"/>
  <c r="E81" i="150" s="1"/>
  <c r="F97" i="150"/>
  <c r="E44" i="58"/>
  <c r="T48" i="58"/>
  <c r="F18" i="162"/>
  <c r="B13" i="58"/>
  <c r="N44" i="58"/>
  <c r="M135" i="82"/>
  <c r="M375" i="82"/>
  <c r="O24" i="132"/>
  <c r="G119" i="132"/>
  <c r="G125" i="132"/>
  <c r="J14" i="120"/>
  <c r="J16" i="120" s="1"/>
  <c r="M120" i="61"/>
  <c r="O88" i="55"/>
  <c r="M125" i="55"/>
  <c r="I161" i="55"/>
  <c r="P56" i="114"/>
  <c r="R45" i="103"/>
  <c r="R52" i="103" s="1"/>
  <c r="L31" i="73"/>
  <c r="L78" i="73" s="1"/>
  <c r="D103" i="150"/>
  <c r="E127" i="150"/>
  <c r="L49" i="58"/>
  <c r="E265" i="150"/>
  <c r="I50" i="54"/>
  <c r="F40" i="54"/>
  <c r="I46" i="54"/>
  <c r="P318" i="82"/>
  <c r="E49" i="150"/>
  <c r="F49" i="58"/>
  <c r="G49" i="58" s="1"/>
  <c r="F36" i="54"/>
  <c r="F54" i="58"/>
  <c r="E54" i="150"/>
  <c r="F21" i="58"/>
  <c r="E20" i="150"/>
  <c r="F40" i="67"/>
  <c r="F48" i="58"/>
  <c r="G48" i="58" s="1"/>
  <c r="E48" i="150"/>
  <c r="I49" i="58"/>
  <c r="E157" i="150"/>
  <c r="I54" i="58"/>
  <c r="I21" i="58"/>
  <c r="E162" i="150"/>
  <c r="E125" i="150"/>
  <c r="F45" i="54"/>
  <c r="L48" i="58"/>
  <c r="E264" i="150"/>
  <c r="I45" i="54"/>
  <c r="I48" i="58"/>
  <c r="E156" i="150"/>
  <c r="Q48" i="58"/>
  <c r="L25" i="73"/>
  <c r="L72" i="73" s="1"/>
  <c r="J36" i="70"/>
  <c r="N36" i="70" s="1"/>
  <c r="E27" i="174"/>
  <c r="J43" i="70"/>
  <c r="E194" i="174" s="1"/>
  <c r="E193" i="174"/>
  <c r="L37" i="73"/>
  <c r="L84" i="73" s="1"/>
  <c r="L34" i="73"/>
  <c r="G304" i="117"/>
  <c r="H304" i="117"/>
  <c r="I304" i="117"/>
  <c r="F302" i="117"/>
  <c r="J304" i="117"/>
  <c r="G302" i="117"/>
  <c r="H302" i="117"/>
  <c r="I302" i="117"/>
  <c r="J302" i="117"/>
  <c r="F304" i="117"/>
  <c r="L29" i="160"/>
  <c r="P82" i="58"/>
  <c r="C21" i="73"/>
  <c r="D50" i="88"/>
  <c r="L36" i="73"/>
  <c r="L83" i="73" s="1"/>
  <c r="C78" i="73"/>
  <c r="C32" i="101" s="1"/>
  <c r="Q68" i="73"/>
  <c r="C80" i="73"/>
  <c r="C34" i="101" s="1"/>
  <c r="P81" i="58"/>
  <c r="C63" i="73"/>
  <c r="C16" i="101" s="1"/>
  <c r="C87" i="73"/>
  <c r="C41" i="101" s="1"/>
  <c r="C64" i="73"/>
  <c r="C17" i="101" s="1"/>
  <c r="C62" i="73"/>
  <c r="C15" i="101" s="1"/>
  <c r="Q90" i="58"/>
  <c r="Q83" i="58"/>
  <c r="Q89" i="58"/>
  <c r="R95" i="58"/>
  <c r="E209" i="150"/>
  <c r="D19" i="172"/>
  <c r="J95" i="58"/>
  <c r="Q89" i="73"/>
  <c r="T94" i="73"/>
  <c r="R90" i="73"/>
  <c r="T95" i="73"/>
  <c r="T96" i="73"/>
  <c r="C35" i="99"/>
  <c r="C83" i="73"/>
  <c r="C37" i="101" s="1"/>
  <c r="T97" i="73"/>
  <c r="C14" i="99"/>
  <c r="L6" i="160"/>
  <c r="C18" i="99"/>
  <c r="L10" i="160"/>
  <c r="T92" i="73"/>
  <c r="C36" i="99"/>
  <c r="L26" i="160"/>
  <c r="C40" i="99"/>
  <c r="C40" i="103" s="1"/>
  <c r="L30" i="160"/>
  <c r="T93" i="73"/>
  <c r="O322" i="117"/>
  <c r="M322" i="117"/>
  <c r="S91" i="73"/>
  <c r="C39" i="99"/>
  <c r="M39" i="101"/>
  <c r="M58" i="66"/>
  <c r="M60" i="66" s="1"/>
  <c r="Q31" i="65" s="1"/>
  <c r="G48" i="68"/>
  <c r="G50" i="68" s="1"/>
  <c r="G19" i="69"/>
  <c r="G21" i="69" s="1"/>
  <c r="G25" i="68"/>
  <c r="G27" i="68" s="1"/>
  <c r="G37" i="69"/>
  <c r="G39" i="69" s="1"/>
  <c r="F14" i="122"/>
  <c r="R40" i="122"/>
  <c r="Q364" i="82"/>
  <c r="P366" i="82"/>
  <c r="F213" i="117"/>
  <c r="D83" i="117"/>
  <c r="C334" i="82"/>
  <c r="C373" i="82" s="1"/>
  <c r="C267" i="82"/>
  <c r="C301" i="82" s="1"/>
  <c r="D334" i="82"/>
  <c r="D373" i="82" s="1"/>
  <c r="D267" i="82"/>
  <c r="D301" i="82" s="1"/>
  <c r="D335" i="82"/>
  <c r="D374" i="82" s="1"/>
  <c r="D268" i="82"/>
  <c r="D302" i="82" s="1"/>
  <c r="C335" i="82"/>
  <c r="C268" i="82"/>
  <c r="C302" i="82" s="1"/>
  <c r="E293" i="82"/>
  <c r="E310" i="82"/>
  <c r="E327" i="82" s="1"/>
  <c r="I342" i="117"/>
  <c r="H342" i="117"/>
  <c r="J342" i="117"/>
  <c r="G342" i="117"/>
  <c r="F342" i="117"/>
  <c r="M342" i="117"/>
  <c r="E342" i="117"/>
  <c r="L342" i="117"/>
  <c r="K342" i="117"/>
  <c r="P342" i="117"/>
  <c r="N342" i="117"/>
  <c r="O342" i="117"/>
  <c r="D358" i="117"/>
  <c r="F276" i="82"/>
  <c r="G322" i="117"/>
  <c r="P322" i="117"/>
  <c r="F322" i="117"/>
  <c r="I322" i="117"/>
  <c r="N322" i="117"/>
  <c r="H322" i="117"/>
  <c r="E322" i="117"/>
  <c r="D334" i="117"/>
  <c r="L322" i="117"/>
  <c r="K322" i="117"/>
  <c r="J322" i="117"/>
  <c r="F279" i="82"/>
  <c r="E305" i="117"/>
  <c r="Q305" i="117" s="1"/>
  <c r="F280" i="82"/>
  <c r="E300" i="117"/>
  <c r="Q300" i="117" s="1"/>
  <c r="F277" i="82"/>
  <c r="E307" i="117"/>
  <c r="Q307" i="117" s="1"/>
  <c r="F282" i="82"/>
  <c r="E297" i="117"/>
  <c r="F274" i="82"/>
  <c r="E294" i="117"/>
  <c r="F271" i="82"/>
  <c r="E290" i="117"/>
  <c r="F267" i="82"/>
  <c r="E308" i="117"/>
  <c r="Q308" i="117" s="1"/>
  <c r="F283" i="82"/>
  <c r="E302" i="117"/>
  <c r="F278" i="82"/>
  <c r="E306" i="117"/>
  <c r="Q306" i="117" s="1"/>
  <c r="F281" i="82"/>
  <c r="K297" i="117"/>
  <c r="F268" i="82"/>
  <c r="E298" i="117"/>
  <c r="F275" i="82"/>
  <c r="K16" i="122"/>
  <c r="K17" i="122" s="1"/>
  <c r="L17" i="122" s="1"/>
  <c r="G67" i="70"/>
  <c r="H67" i="70" s="1"/>
  <c r="AD145" i="113"/>
  <c r="AF145" i="113" s="1"/>
  <c r="AD158" i="113"/>
  <c r="AF158" i="113" s="1"/>
  <c r="Q406" i="82"/>
  <c r="P408" i="82"/>
  <c r="K16" i="88"/>
  <c r="K27" i="88"/>
  <c r="K31" i="88"/>
  <c r="K35" i="88"/>
  <c r="K15" i="88"/>
  <c r="K19" i="88"/>
  <c r="K25" i="88"/>
  <c r="K30" i="88"/>
  <c r="K34" i="88"/>
  <c r="K40" i="88"/>
  <c r="K14" i="88"/>
  <c r="K18" i="88"/>
  <c r="K29" i="88"/>
  <c r="K33" i="88"/>
  <c r="K39" i="88"/>
  <c r="F329" i="88"/>
  <c r="L40" i="88"/>
  <c r="C329" i="88"/>
  <c r="C348" i="88"/>
  <c r="K13" i="88"/>
  <c r="D329" i="88"/>
  <c r="D348" i="88"/>
  <c r="E329" i="88"/>
  <c r="E348" i="88"/>
  <c r="F348" i="88"/>
  <c r="G329" i="88"/>
  <c r="G348" i="88"/>
  <c r="G28" i="96"/>
  <c r="H46" i="58"/>
  <c r="H79" i="58" s="1"/>
  <c r="R13" i="82"/>
  <c r="R137" i="82"/>
  <c r="R74" i="82"/>
  <c r="R378" i="82"/>
  <c r="R133" i="82"/>
  <c r="R17" i="82"/>
  <c r="R18" i="82"/>
  <c r="R72" i="82"/>
  <c r="R138" i="82"/>
  <c r="R79" i="82"/>
  <c r="R77" i="82"/>
  <c r="R339" i="82"/>
  <c r="R135" i="82"/>
  <c r="R139" i="82"/>
  <c r="R335" i="82"/>
  <c r="R374" i="82"/>
  <c r="R134" i="82"/>
  <c r="M335" i="82"/>
  <c r="R377" i="82"/>
  <c r="I93" i="58"/>
  <c r="D190" i="150"/>
  <c r="E80" i="58"/>
  <c r="Q93" i="58"/>
  <c r="Q94" i="58"/>
  <c r="E76" i="58"/>
  <c r="E315" i="150"/>
  <c r="F83" i="58"/>
  <c r="J161" i="54"/>
  <c r="D64" i="116"/>
  <c r="D65" i="115"/>
  <c r="D62" i="116"/>
  <c r="D58" i="116"/>
  <c r="D66" i="115"/>
  <c r="F171" i="150"/>
  <c r="N80" i="58"/>
  <c r="D198" i="150"/>
  <c r="D311" i="150"/>
  <c r="E74" i="58"/>
  <c r="D293" i="150"/>
  <c r="D298" i="150"/>
  <c r="D199" i="150"/>
  <c r="Z61" i="113"/>
  <c r="I81" i="113"/>
  <c r="K81" i="113" s="1"/>
  <c r="W102" i="113"/>
  <c r="Q120" i="113"/>
  <c r="T105" i="113"/>
  <c r="D37" i="159"/>
  <c r="Q164" i="72"/>
  <c r="AD30" i="113"/>
  <c r="E17" i="113"/>
  <c r="C16" i="72" s="1"/>
  <c r="T18" i="113"/>
  <c r="T39" i="113"/>
  <c r="W41" i="113"/>
  <c r="W75" i="113"/>
  <c r="W17" i="113"/>
  <c r="T28" i="113"/>
  <c r="I29" i="113"/>
  <c r="K29" i="113" s="1"/>
  <c r="N32" i="113"/>
  <c r="I37" i="113"/>
  <c r="K37" i="113" s="1"/>
  <c r="W121" i="113"/>
  <c r="N123" i="113"/>
  <c r="AD163" i="113"/>
  <c r="AF163" i="113" s="1"/>
  <c r="Z41" i="113"/>
  <c r="Q62" i="113"/>
  <c r="H224" i="82"/>
  <c r="Q114" i="72"/>
  <c r="K12" i="75"/>
  <c r="L12" i="75" s="1"/>
  <c r="W16" i="113"/>
  <c r="Q20" i="113"/>
  <c r="Z30" i="113"/>
  <c r="Z119" i="113"/>
  <c r="AD119" i="113"/>
  <c r="N102" i="113"/>
  <c r="Q39" i="113"/>
  <c r="I76" i="113"/>
  <c r="N107" i="113"/>
  <c r="E115" i="113"/>
  <c r="C126" i="72" s="1"/>
  <c r="S98" i="73"/>
  <c r="N15" i="101"/>
  <c r="N18" i="101"/>
  <c r="D267" i="150"/>
  <c r="D302" i="150" s="1"/>
  <c r="K17" i="75"/>
  <c r="L17" i="75" s="1"/>
  <c r="H25" i="75"/>
  <c r="I25" i="75" s="1"/>
  <c r="K48" i="75"/>
  <c r="L48" i="75" s="1"/>
  <c r="AD76" i="113"/>
  <c r="W119" i="113"/>
  <c r="N121" i="113"/>
  <c r="Q17" i="113"/>
  <c r="Z28" i="113"/>
  <c r="E31" i="113"/>
  <c r="T32" i="113"/>
  <c r="I33" i="113"/>
  <c r="K33" i="113" s="1"/>
  <c r="E39" i="113"/>
  <c r="T40" i="113"/>
  <c r="AD120" i="113"/>
  <c r="T16" i="113"/>
  <c r="T29" i="113"/>
  <c r="I38" i="113"/>
  <c r="K38" i="113" s="1"/>
  <c r="W39" i="113"/>
  <c r="N41" i="113"/>
  <c r="Z75" i="113"/>
  <c r="I80" i="113"/>
  <c r="Q76" i="113"/>
  <c r="W76" i="113"/>
  <c r="N34" i="113"/>
  <c r="E37" i="113"/>
  <c r="Q14" i="113"/>
  <c r="Q27" i="113"/>
  <c r="AD34" i="113"/>
  <c r="X109" i="113"/>
  <c r="Q104" i="113"/>
  <c r="R134" i="72"/>
  <c r="I106" i="113"/>
  <c r="K106" i="113" s="1"/>
  <c r="N80" i="113"/>
  <c r="Z80" i="113"/>
  <c r="W14" i="113"/>
  <c r="N16" i="113"/>
  <c r="N78" i="113"/>
  <c r="N106" i="113"/>
  <c r="T81" i="113"/>
  <c r="W103" i="113"/>
  <c r="Q107" i="113"/>
  <c r="N105" i="113"/>
  <c r="I123" i="113"/>
  <c r="K123" i="113" s="1"/>
  <c r="G150" i="113"/>
  <c r="Z18" i="113"/>
  <c r="AD19" i="113"/>
  <c r="AD40" i="113"/>
  <c r="W64" i="113"/>
  <c r="Z72" i="113"/>
  <c r="E75" i="113"/>
  <c r="Q105" i="113"/>
  <c r="AD118" i="113"/>
  <c r="E119" i="113"/>
  <c r="C130" i="72" s="1"/>
  <c r="W122" i="113"/>
  <c r="AD143" i="113"/>
  <c r="AF143" i="113" s="1"/>
  <c r="AD156" i="113"/>
  <c r="AF156" i="113" s="1"/>
  <c r="I34" i="113"/>
  <c r="K34" i="113" s="1"/>
  <c r="N14" i="113"/>
  <c r="AD15" i="113"/>
  <c r="W33" i="113"/>
  <c r="W61" i="113"/>
  <c r="N62" i="113"/>
  <c r="T73" i="113"/>
  <c r="E103" i="113"/>
  <c r="C114" i="72" s="1"/>
  <c r="Z122" i="113"/>
  <c r="AD123" i="113"/>
  <c r="Z26" i="113"/>
  <c r="AD80" i="113"/>
  <c r="AD114" i="113"/>
  <c r="Q115" i="113"/>
  <c r="AD147" i="113"/>
  <c r="AF147" i="113" s="1"/>
  <c r="E105" i="113"/>
  <c r="C116" i="72" s="1"/>
  <c r="C30" i="72"/>
  <c r="Z106" i="113"/>
  <c r="E114" i="113"/>
  <c r="C125" i="72" s="1"/>
  <c r="E150" i="113"/>
  <c r="N150" i="113"/>
  <c r="V150" i="113"/>
  <c r="V168" i="113" s="1"/>
  <c r="R115" i="72"/>
  <c r="Q116" i="72"/>
  <c r="P43" i="113"/>
  <c r="N33" i="113"/>
  <c r="J68" i="113"/>
  <c r="V68" i="113"/>
  <c r="D83" i="113"/>
  <c r="E104" i="113"/>
  <c r="C115" i="72" s="1"/>
  <c r="T107" i="113"/>
  <c r="AD117" i="113"/>
  <c r="Q18" i="113"/>
  <c r="E34" i="113"/>
  <c r="T65" i="113"/>
  <c r="T66" i="113"/>
  <c r="G83" i="113"/>
  <c r="K73" i="113"/>
  <c r="T106" i="113"/>
  <c r="AD116" i="113"/>
  <c r="N122" i="113"/>
  <c r="T17" i="113"/>
  <c r="T20" i="113"/>
  <c r="AD32" i="113"/>
  <c r="N38" i="113"/>
  <c r="Q81" i="113"/>
  <c r="Q101" i="113"/>
  <c r="E102" i="113"/>
  <c r="C113" i="72" s="1"/>
  <c r="T104" i="113"/>
  <c r="I105" i="113"/>
  <c r="K105" i="113" s="1"/>
  <c r="W106" i="113"/>
  <c r="M125" i="113"/>
  <c r="I14" i="113"/>
  <c r="K14" i="113" s="1"/>
  <c r="I18" i="113"/>
  <c r="K18" i="113" s="1"/>
  <c r="Q31" i="113"/>
  <c r="E32" i="113"/>
  <c r="T33" i="113"/>
  <c r="W35" i="113"/>
  <c r="N37" i="113"/>
  <c r="E41" i="113"/>
  <c r="W66" i="113"/>
  <c r="J83" i="113"/>
  <c r="V83" i="113"/>
  <c r="C109" i="113"/>
  <c r="T116" i="113"/>
  <c r="W118" i="113"/>
  <c r="D109" i="113"/>
  <c r="R109" i="113"/>
  <c r="T102" i="113"/>
  <c r="W117" i="113"/>
  <c r="Q121" i="113"/>
  <c r="Q123" i="113"/>
  <c r="AD160" i="113"/>
  <c r="AF160" i="113" s="1"/>
  <c r="I172" i="72"/>
  <c r="K172" i="72" s="1"/>
  <c r="L172" i="72" s="1"/>
  <c r="N172" i="72" s="1"/>
  <c r="U22" i="113"/>
  <c r="Q29" i="113"/>
  <c r="Q38" i="113"/>
  <c r="N65" i="113"/>
  <c r="AD74" i="113"/>
  <c r="E79" i="113"/>
  <c r="S109" i="113"/>
  <c r="N104" i="113"/>
  <c r="Z118" i="113"/>
  <c r="T122" i="113"/>
  <c r="I25" i="72"/>
  <c r="K25" i="72" s="1"/>
  <c r="R42" i="72"/>
  <c r="R117" i="72"/>
  <c r="J22" i="113"/>
  <c r="N15" i="113"/>
  <c r="N18" i="113"/>
  <c r="N20" i="113"/>
  <c r="Z20" i="113"/>
  <c r="W32" i="113"/>
  <c r="I39" i="113"/>
  <c r="K39" i="113" s="1"/>
  <c r="Q65" i="113"/>
  <c r="AD72" i="113"/>
  <c r="Q73" i="113"/>
  <c r="T78" i="113"/>
  <c r="I101" i="113"/>
  <c r="K101" i="113" s="1"/>
  <c r="Z103" i="113"/>
  <c r="E107" i="113"/>
  <c r="C118" i="72" s="1"/>
  <c r="N117" i="113"/>
  <c r="E120" i="113"/>
  <c r="C131" i="72" s="1"/>
  <c r="T121" i="113"/>
  <c r="R81" i="72"/>
  <c r="R85" i="72"/>
  <c r="R118" i="72"/>
  <c r="Q19" i="113"/>
  <c r="E26" i="113"/>
  <c r="C25" i="72" s="1"/>
  <c r="W31" i="113"/>
  <c r="Z38" i="113"/>
  <c r="N40" i="113"/>
  <c r="L68" i="113"/>
  <c r="E65" i="113"/>
  <c r="C71" i="72" s="1"/>
  <c r="C83" i="113"/>
  <c r="E73" i="113"/>
  <c r="E74" i="113"/>
  <c r="T75" i="113"/>
  <c r="E76" i="113"/>
  <c r="Z76" i="113"/>
  <c r="Q77" i="113"/>
  <c r="E78" i="113"/>
  <c r="E81" i="113"/>
  <c r="C87" i="72" s="1"/>
  <c r="M109" i="113"/>
  <c r="P125" i="113"/>
  <c r="H150" i="113"/>
  <c r="H168" i="113" s="1"/>
  <c r="P150" i="113"/>
  <c r="X150" i="113"/>
  <c r="I28" i="72"/>
  <c r="K28" i="72" s="1"/>
  <c r="I115" i="72"/>
  <c r="K115" i="72" s="1"/>
  <c r="R126" i="72"/>
  <c r="G43" i="113"/>
  <c r="T27" i="113"/>
  <c r="Z33" i="113"/>
  <c r="Z35" i="113"/>
  <c r="Z39" i="113"/>
  <c r="Y68" i="113"/>
  <c r="E62" i="113"/>
  <c r="C68" i="72" s="1"/>
  <c r="E63" i="113"/>
  <c r="C69" i="72" s="1"/>
  <c r="T64" i="113"/>
  <c r="I75" i="113"/>
  <c r="AD102" i="113"/>
  <c r="AD106" i="113"/>
  <c r="C125" i="113"/>
  <c r="R125" i="113"/>
  <c r="W116" i="113"/>
  <c r="N119" i="113"/>
  <c r="I19" i="113"/>
  <c r="K19" i="113" s="1"/>
  <c r="U43" i="113"/>
  <c r="W27" i="113"/>
  <c r="W28" i="113"/>
  <c r="N30" i="113"/>
  <c r="P109" i="113"/>
  <c r="E106" i="113"/>
  <c r="C117" i="72" s="1"/>
  <c r="D125" i="113"/>
  <c r="J150" i="113"/>
  <c r="J168" i="113" s="1"/>
  <c r="AD154" i="113"/>
  <c r="AF154" i="113" s="1"/>
  <c r="AD162" i="113"/>
  <c r="AF162" i="113" s="1"/>
  <c r="N13" i="113"/>
  <c r="Z13" i="113"/>
  <c r="W19" i="113"/>
  <c r="W20" i="113"/>
  <c r="J43" i="113"/>
  <c r="N28" i="113"/>
  <c r="N29" i="113"/>
  <c r="Z29" i="113"/>
  <c r="Q35" i="113"/>
  <c r="E36" i="113"/>
  <c r="E40" i="113"/>
  <c r="T41" i="113"/>
  <c r="C68" i="113"/>
  <c r="I62" i="113"/>
  <c r="K62" i="113" s="1"/>
  <c r="T62" i="113"/>
  <c r="W74" i="113"/>
  <c r="T76" i="113"/>
  <c r="I77" i="113"/>
  <c r="W80" i="113"/>
  <c r="I113" i="113"/>
  <c r="K113" i="113" s="1"/>
  <c r="H125" i="113"/>
  <c r="U125" i="113"/>
  <c r="N116" i="113"/>
  <c r="E123" i="113"/>
  <c r="I30" i="72"/>
  <c r="K30" i="72" s="1"/>
  <c r="I117" i="72"/>
  <c r="K117" i="72" s="1"/>
  <c r="I128" i="72"/>
  <c r="K128" i="72" s="1"/>
  <c r="J125" i="113"/>
  <c r="C150" i="113"/>
  <c r="L150" i="113"/>
  <c r="T150" i="113"/>
  <c r="I84" i="72"/>
  <c r="K84" i="72" s="1"/>
  <c r="R113" i="72"/>
  <c r="E14" i="113"/>
  <c r="C13" i="72" s="1"/>
  <c r="Z17" i="113"/>
  <c r="Y43" i="113"/>
  <c r="Q34" i="113"/>
  <c r="T35" i="113"/>
  <c r="I36" i="113"/>
  <c r="K36" i="113" s="1"/>
  <c r="T36" i="113"/>
  <c r="I40" i="113"/>
  <c r="K40" i="113" s="1"/>
  <c r="S68" i="113"/>
  <c r="Z65" i="113"/>
  <c r="W78" i="113"/>
  <c r="T101" i="113"/>
  <c r="H109" i="113"/>
  <c r="I104" i="113"/>
  <c r="K104" i="113" s="1"/>
  <c r="L125" i="113"/>
  <c r="X125" i="113"/>
  <c r="E118" i="113"/>
  <c r="C129" i="72" s="1"/>
  <c r="T118" i="113"/>
  <c r="T119" i="113"/>
  <c r="T120" i="113"/>
  <c r="Q83" i="72"/>
  <c r="I124" i="72"/>
  <c r="K124" i="72" s="1"/>
  <c r="R127" i="72"/>
  <c r="I181" i="72"/>
  <c r="T85" i="73" s="1"/>
  <c r="E15" i="113"/>
  <c r="C14" i="72" s="1"/>
  <c r="Q15" i="113"/>
  <c r="E18" i="113"/>
  <c r="C17" i="72" s="1"/>
  <c r="E28" i="113"/>
  <c r="I31" i="113"/>
  <c r="K31" i="113" s="1"/>
  <c r="T31" i="113"/>
  <c r="I32" i="113"/>
  <c r="K32" i="113" s="1"/>
  <c r="W36" i="113"/>
  <c r="W40" i="113"/>
  <c r="H68" i="113"/>
  <c r="Z64" i="113"/>
  <c r="N66" i="113"/>
  <c r="Z66" i="113"/>
  <c r="Z77" i="113"/>
  <c r="N79" i="113"/>
  <c r="Z79" i="113"/>
  <c r="J109" i="113"/>
  <c r="N103" i="113"/>
  <c r="AD115" i="113"/>
  <c r="T117" i="113"/>
  <c r="I120" i="113"/>
  <c r="K120" i="113" s="1"/>
  <c r="E12" i="68"/>
  <c r="D14" i="68"/>
  <c r="D39" i="68"/>
  <c r="D18" i="68"/>
  <c r="D20" i="68"/>
  <c r="E47" i="68"/>
  <c r="D11" i="69"/>
  <c r="K38" i="75"/>
  <c r="L38" i="75" s="1"/>
  <c r="K44" i="75"/>
  <c r="L44" i="75" s="1"/>
  <c r="K46" i="75"/>
  <c r="L46" i="75" s="1"/>
  <c r="H24" i="75"/>
  <c r="I24" i="75" s="1"/>
  <c r="F20" i="67"/>
  <c r="F22" i="67"/>
  <c r="F35" i="68"/>
  <c r="E37" i="68"/>
  <c r="E39" i="68"/>
  <c r="E43" i="68"/>
  <c r="E45" i="68"/>
  <c r="E11" i="69"/>
  <c r="E31" i="69"/>
  <c r="E15" i="69"/>
  <c r="E35" i="69"/>
  <c r="K22" i="75"/>
  <c r="L22" i="75" s="1"/>
  <c r="D16" i="67"/>
  <c r="F12" i="69"/>
  <c r="E25" i="67"/>
  <c r="D11" i="68"/>
  <c r="F92" i="61"/>
  <c r="K11" i="75"/>
  <c r="L11" i="75" s="1"/>
  <c r="E39" i="75"/>
  <c r="F39" i="75" s="1"/>
  <c r="E41" i="75"/>
  <c r="F41" i="75" s="1"/>
  <c r="E43" i="75"/>
  <c r="F43" i="75" s="1"/>
  <c r="E21" i="75"/>
  <c r="F21" i="75" s="1"/>
  <c r="E30" i="96"/>
  <c r="E29" i="96" s="1"/>
  <c r="H33" i="114"/>
  <c r="I33" i="114" s="1"/>
  <c r="E36" i="67"/>
  <c r="E38" i="67"/>
  <c r="D40" i="67"/>
  <c r="D19" i="67"/>
  <c r="D21" i="67"/>
  <c r="D46" i="67"/>
  <c r="F25" i="67"/>
  <c r="H45" i="75"/>
  <c r="I45" i="75" s="1"/>
  <c r="H21" i="75"/>
  <c r="I21" i="75" s="1"/>
  <c r="E23" i="75"/>
  <c r="F23" i="75" s="1"/>
  <c r="D12" i="67"/>
  <c r="E19" i="67"/>
  <c r="E21" i="67"/>
  <c r="F34" i="68"/>
  <c r="D13" i="68"/>
  <c r="L67" i="75"/>
  <c r="K43" i="75"/>
  <c r="L43" i="75" s="1"/>
  <c r="K19" i="75"/>
  <c r="L19" i="75" s="1"/>
  <c r="H51" i="75"/>
  <c r="I51" i="75" s="1"/>
  <c r="K30" i="96"/>
  <c r="K14" i="114"/>
  <c r="L14" i="114" s="1"/>
  <c r="F40" i="68"/>
  <c r="F42" i="67"/>
  <c r="F21" i="67"/>
  <c r="F46" i="67"/>
  <c r="E42" i="68"/>
  <c r="E46" i="68"/>
  <c r="E12" i="69"/>
  <c r="E14" i="69"/>
  <c r="D37" i="67"/>
  <c r="F16" i="69"/>
  <c r="E18" i="75"/>
  <c r="F18" i="75" s="1"/>
  <c r="E39" i="67"/>
  <c r="D18" i="67"/>
  <c r="D12" i="68"/>
  <c r="D24" i="68"/>
  <c r="H40" i="75"/>
  <c r="I40" i="75" s="1"/>
  <c r="H42" i="75"/>
  <c r="I42" i="75" s="1"/>
  <c r="H20" i="75"/>
  <c r="I20" i="75" s="1"/>
  <c r="E48" i="75"/>
  <c r="F48" i="75" s="1"/>
  <c r="E26" i="75"/>
  <c r="F26" i="75" s="1"/>
  <c r="R38" i="122"/>
  <c r="M18" i="82"/>
  <c r="L14" i="122"/>
  <c r="E57" i="82"/>
  <c r="R75" i="82"/>
  <c r="C133" i="82"/>
  <c r="P224" i="82"/>
  <c r="C10" i="132"/>
  <c r="P23" i="132" s="1"/>
  <c r="C11" i="132"/>
  <c r="P24" i="132" s="1"/>
  <c r="W24" i="132"/>
  <c r="E92" i="58"/>
  <c r="L93" i="58"/>
  <c r="L94" i="58"/>
  <c r="D316" i="117"/>
  <c r="D309" i="117"/>
  <c r="R16" i="82"/>
  <c r="G83" i="82"/>
  <c r="W25" i="132"/>
  <c r="U17" i="65"/>
  <c r="U11" i="58" s="1"/>
  <c r="J38" i="122"/>
  <c r="Q25" i="82"/>
  <c r="E40" i="58" s="1"/>
  <c r="O26" i="132"/>
  <c r="O27" i="132"/>
  <c r="O167" i="55"/>
  <c r="G121" i="132"/>
  <c r="M161" i="54"/>
  <c r="R161" i="54"/>
  <c r="R163" i="54" s="1"/>
  <c r="R165" i="54" s="1"/>
  <c r="K100" i="61"/>
  <c r="K102" i="61" s="1"/>
  <c r="S15" i="58" s="1"/>
  <c r="K122" i="61"/>
  <c r="K124" i="61" s="1"/>
  <c r="S45" i="58" s="1"/>
  <c r="G167" i="55"/>
  <c r="V22" i="113"/>
  <c r="T14" i="113"/>
  <c r="I15" i="113"/>
  <c r="K15" i="113" s="1"/>
  <c r="T15" i="113"/>
  <c r="E20" i="113"/>
  <c r="C19" i="72" s="1"/>
  <c r="L43" i="113"/>
  <c r="W26" i="113"/>
  <c r="E29" i="113"/>
  <c r="Z34" i="113"/>
  <c r="Z36" i="113"/>
  <c r="W37" i="113"/>
  <c r="T38" i="113"/>
  <c r="Z40" i="113"/>
  <c r="T61" i="113"/>
  <c r="Z63" i="113"/>
  <c r="N74" i="113"/>
  <c r="N75" i="113"/>
  <c r="T77" i="113"/>
  <c r="I78" i="113"/>
  <c r="Q79" i="113"/>
  <c r="AD79" i="113"/>
  <c r="I102" i="113"/>
  <c r="K102" i="113" s="1"/>
  <c r="G109" i="113"/>
  <c r="Z104" i="113"/>
  <c r="F240" i="150"/>
  <c r="R373" i="82"/>
  <c r="C64" i="132"/>
  <c r="J15" i="66"/>
  <c r="N86" i="66"/>
  <c r="L88" i="66"/>
  <c r="P45" i="65" s="1"/>
  <c r="T28" i="120"/>
  <c r="T30" i="120" s="1"/>
  <c r="P161" i="54"/>
  <c r="P163" i="54" s="1"/>
  <c r="P165" i="54" s="1"/>
  <c r="M100" i="61"/>
  <c r="M102" i="61" s="1"/>
  <c r="U15" i="58" s="1"/>
  <c r="M122" i="61"/>
  <c r="M124" i="61" s="1"/>
  <c r="U45" i="58" s="1"/>
  <c r="J166" i="55"/>
  <c r="J167" i="55" s="1"/>
  <c r="L64" i="75"/>
  <c r="I37" i="72"/>
  <c r="K37" i="72" s="1"/>
  <c r="R38" i="72"/>
  <c r="R70" i="72"/>
  <c r="I82" i="72"/>
  <c r="K82" i="72" s="1"/>
  <c r="R83" i="72"/>
  <c r="I127" i="72"/>
  <c r="K127" i="72" s="1"/>
  <c r="I163" i="72"/>
  <c r="K163" i="72" s="1"/>
  <c r="L163" i="72" s="1"/>
  <c r="N163" i="72" s="1"/>
  <c r="I175" i="72"/>
  <c r="K175" i="72" s="1"/>
  <c r="L175" i="72" s="1"/>
  <c r="N175" i="72" s="1"/>
  <c r="M19" i="73"/>
  <c r="M21" i="73" s="1"/>
  <c r="AD17" i="113"/>
  <c r="AD20" i="113"/>
  <c r="Q30" i="113"/>
  <c r="Z107" i="113"/>
  <c r="N113" i="113"/>
  <c r="Z113" i="113"/>
  <c r="Y125" i="113"/>
  <c r="E116" i="113"/>
  <c r="C127" i="72" s="1"/>
  <c r="E117" i="113"/>
  <c r="C128" i="72" s="1"/>
  <c r="Z120" i="113"/>
  <c r="Z121" i="113"/>
  <c r="T123" i="113"/>
  <c r="D150" i="113"/>
  <c r="M150" i="113"/>
  <c r="M168" i="113" s="1"/>
  <c r="U150" i="113"/>
  <c r="AD146" i="113"/>
  <c r="AF146" i="113" s="1"/>
  <c r="C166" i="113"/>
  <c r="AD159" i="113"/>
  <c r="AF159" i="113" s="1"/>
  <c r="G118" i="132"/>
  <c r="O25" i="132"/>
  <c r="C77" i="132"/>
  <c r="C79" i="132" s="1"/>
  <c r="G123" i="132"/>
  <c r="H32" i="65"/>
  <c r="H41" i="58" s="1"/>
  <c r="G14" i="120"/>
  <c r="G16" i="120" s="1"/>
  <c r="M137" i="61"/>
  <c r="G23" i="158"/>
  <c r="F137" i="55" s="1"/>
  <c r="Q34" i="72"/>
  <c r="I162" i="72"/>
  <c r="K162" i="72" s="1"/>
  <c r="L162" i="72" s="1"/>
  <c r="N162" i="72" s="1"/>
  <c r="E13" i="113"/>
  <c r="C12" i="72" s="1"/>
  <c r="AD13" i="113"/>
  <c r="Y22" i="113"/>
  <c r="W15" i="113"/>
  <c r="I17" i="113"/>
  <c r="K17" i="113" s="1"/>
  <c r="S22" i="113"/>
  <c r="N26" i="113"/>
  <c r="I30" i="113"/>
  <c r="K30" i="113" s="1"/>
  <c r="T30" i="113"/>
  <c r="Z31" i="113"/>
  <c r="Z32" i="113"/>
  <c r="Z37" i="113"/>
  <c r="W38" i="113"/>
  <c r="W60" i="113"/>
  <c r="AD62" i="113"/>
  <c r="Z62" i="113"/>
  <c r="E64" i="113"/>
  <c r="C70" i="72" s="1"/>
  <c r="W77" i="113"/>
  <c r="I79" i="113"/>
  <c r="T79" i="113"/>
  <c r="E80" i="113"/>
  <c r="T80" i="113"/>
  <c r="Z81" i="113"/>
  <c r="AD101" i="113"/>
  <c r="U109" i="113"/>
  <c r="AD122" i="113"/>
  <c r="G124" i="132"/>
  <c r="N17" i="65"/>
  <c r="N11" i="58" s="1"/>
  <c r="D32" i="152"/>
  <c r="D33" i="55"/>
  <c r="R34" i="72"/>
  <c r="N20" i="101"/>
  <c r="S45" i="101"/>
  <c r="S52" i="101" s="1"/>
  <c r="D22" i="113"/>
  <c r="AD27" i="113"/>
  <c r="T115" i="113"/>
  <c r="I116" i="113"/>
  <c r="K116" i="113" s="1"/>
  <c r="I117" i="113"/>
  <c r="K117" i="113" s="1"/>
  <c r="I118" i="113"/>
  <c r="K118" i="113" s="1"/>
  <c r="I119" i="113"/>
  <c r="K119" i="113" s="1"/>
  <c r="E121" i="113"/>
  <c r="C132" i="72" s="1"/>
  <c r="E122" i="113"/>
  <c r="W123" i="113"/>
  <c r="O150" i="113"/>
  <c r="O168" i="113" s="1"/>
  <c r="W150" i="113"/>
  <c r="AD144" i="113"/>
  <c r="AF144" i="113" s="1"/>
  <c r="AD157" i="113"/>
  <c r="AF157" i="113" s="1"/>
  <c r="F87" i="150"/>
  <c r="C7" i="132"/>
  <c r="P20" i="132" s="1"/>
  <c r="C15" i="132"/>
  <c r="P28" i="132" s="1"/>
  <c r="G115" i="132"/>
  <c r="C16" i="152"/>
  <c r="C27" i="152" s="1"/>
  <c r="C28" i="152" s="1"/>
  <c r="D161" i="54"/>
  <c r="K137" i="61"/>
  <c r="D7" i="158"/>
  <c r="E101" i="55" s="1"/>
  <c r="Q13" i="113"/>
  <c r="Z14" i="113"/>
  <c r="E27" i="113"/>
  <c r="C26" i="72" s="1"/>
  <c r="W30" i="113"/>
  <c r="T34" i="113"/>
  <c r="I35" i="113"/>
  <c r="K35" i="113" s="1"/>
  <c r="Q37" i="113"/>
  <c r="AD37" i="113"/>
  <c r="N61" i="113"/>
  <c r="T63" i="113"/>
  <c r="I64" i="113"/>
  <c r="K64" i="113" s="1"/>
  <c r="J88" i="55"/>
  <c r="I133" i="72"/>
  <c r="K133" i="72" s="1"/>
  <c r="S44" i="73"/>
  <c r="S51" i="73" s="1"/>
  <c r="AD38" i="113"/>
  <c r="AD65" i="113"/>
  <c r="S83" i="113"/>
  <c r="N76" i="113"/>
  <c r="AD78" i="113"/>
  <c r="Z78" i="113"/>
  <c r="W79" i="113"/>
  <c r="Z101" i="113"/>
  <c r="AD103" i="113"/>
  <c r="W105" i="113"/>
  <c r="I107" i="113"/>
  <c r="K107" i="113" s="1"/>
  <c r="E113" i="113"/>
  <c r="T113" i="113"/>
  <c r="G125" i="113"/>
  <c r="S125" i="113"/>
  <c r="I115" i="113"/>
  <c r="K115" i="113" s="1"/>
  <c r="W115" i="113"/>
  <c r="I121" i="113"/>
  <c r="K121" i="113" s="1"/>
  <c r="I122" i="113"/>
  <c r="K122" i="113" s="1"/>
  <c r="Z123" i="113"/>
  <c r="I150" i="113"/>
  <c r="I168" i="113" s="1"/>
  <c r="AA168" i="113" s="1"/>
  <c r="Q150" i="113"/>
  <c r="Q168" i="113" s="1"/>
  <c r="Y150" i="113"/>
  <c r="Y168" i="113" s="1"/>
  <c r="AD155" i="113"/>
  <c r="AF155" i="113" s="1"/>
  <c r="AD164" i="113"/>
  <c r="AF164" i="113" s="1"/>
  <c r="R78" i="82"/>
  <c r="C8" i="132"/>
  <c r="P21" i="132" s="1"/>
  <c r="I88" i="66"/>
  <c r="M45" i="65" s="1"/>
  <c r="E54" i="55"/>
  <c r="F54" i="55" s="1"/>
  <c r="D35" i="55"/>
  <c r="J87" i="55"/>
  <c r="J13" i="96"/>
  <c r="J56" i="114"/>
  <c r="Q71" i="72"/>
  <c r="Q125" i="72"/>
  <c r="Q129" i="72"/>
  <c r="AD14" i="113"/>
  <c r="E16" i="113"/>
  <c r="C15" i="72" s="1"/>
  <c r="Z16" i="113"/>
  <c r="N17" i="113"/>
  <c r="Z19" i="113"/>
  <c r="I27" i="113"/>
  <c r="K27" i="113" s="1"/>
  <c r="E33" i="113"/>
  <c r="N36" i="113"/>
  <c r="I41" i="113"/>
  <c r="K41" i="113" s="1"/>
  <c r="Q60" i="113"/>
  <c r="AD60" i="113"/>
  <c r="I63" i="113"/>
  <c r="K63" i="113" s="1"/>
  <c r="I65" i="113"/>
  <c r="K65" i="113" s="1"/>
  <c r="AD104" i="113"/>
  <c r="R150" i="113"/>
  <c r="R168" i="113" s="1"/>
  <c r="Z150" i="113"/>
  <c r="Z168" i="113" s="1"/>
  <c r="O224" i="82"/>
  <c r="E336" i="82"/>
  <c r="E375" i="82" s="1"/>
  <c r="D111" i="132"/>
  <c r="J45" i="66"/>
  <c r="G25" i="155"/>
  <c r="H25" i="155" s="1"/>
  <c r="I100" i="61"/>
  <c r="I102" i="61" s="1"/>
  <c r="N15" i="58" s="1"/>
  <c r="I122" i="61"/>
  <c r="I124" i="61" s="1"/>
  <c r="N45" i="58" s="1"/>
  <c r="R87" i="72"/>
  <c r="AD29" i="113"/>
  <c r="P68" i="113"/>
  <c r="E61" i="113"/>
  <c r="C67" i="72" s="1"/>
  <c r="N64" i="113"/>
  <c r="Q66" i="113"/>
  <c r="M83" i="113"/>
  <c r="Y83" i="113"/>
  <c r="W73" i="113"/>
  <c r="AD81" i="113"/>
  <c r="W81" i="113"/>
  <c r="T103" i="113"/>
  <c r="V109" i="113"/>
  <c r="Z105" i="113"/>
  <c r="W107" i="113"/>
  <c r="W113" i="113"/>
  <c r="V125" i="113"/>
  <c r="N115" i="113"/>
  <c r="Z115" i="113"/>
  <c r="Z116" i="113"/>
  <c r="Z117" i="113"/>
  <c r="N118" i="113"/>
  <c r="N120" i="113"/>
  <c r="W120" i="113"/>
  <c r="K150" i="113"/>
  <c r="S150" i="113"/>
  <c r="AD161" i="113"/>
  <c r="AF161" i="113" s="1"/>
  <c r="F120" i="72"/>
  <c r="H120" i="72"/>
  <c r="Q128" i="72"/>
  <c r="O87" i="88"/>
  <c r="D30" i="72" s="1"/>
  <c r="Q69" i="72"/>
  <c r="Q82" i="72"/>
  <c r="G120" i="72"/>
  <c r="R124" i="72"/>
  <c r="R128" i="72"/>
  <c r="R132" i="72"/>
  <c r="R174" i="72"/>
  <c r="C75" i="88"/>
  <c r="I68" i="72"/>
  <c r="K68" i="72" s="1"/>
  <c r="R69" i="72"/>
  <c r="R82" i="72"/>
  <c r="Q86" i="72"/>
  <c r="Q117" i="72"/>
  <c r="Q118" i="72"/>
  <c r="Q127" i="72"/>
  <c r="Q131" i="72"/>
  <c r="I132" i="72"/>
  <c r="K132" i="72" s="1"/>
  <c r="Q160" i="72"/>
  <c r="I161" i="72"/>
  <c r="K161" i="72" s="1"/>
  <c r="L161" i="72" s="1"/>
  <c r="N161" i="72" s="1"/>
  <c r="Q172" i="72"/>
  <c r="Q180" i="72"/>
  <c r="I32" i="72"/>
  <c r="K32" i="72" s="1"/>
  <c r="Q35" i="72"/>
  <c r="Q68" i="72"/>
  <c r="Q81" i="72"/>
  <c r="Q115" i="72"/>
  <c r="I126" i="72"/>
  <c r="K126" i="72" s="1"/>
  <c r="I130" i="72"/>
  <c r="K130" i="72" s="1"/>
  <c r="Q166" i="72"/>
  <c r="G184" i="72"/>
  <c r="R180" i="72"/>
  <c r="R36" i="72"/>
  <c r="I80" i="72"/>
  <c r="K80" i="72" s="1"/>
  <c r="R125" i="72"/>
  <c r="Q126" i="72"/>
  <c r="Q130" i="72"/>
  <c r="Q133" i="72"/>
  <c r="Q134" i="72"/>
  <c r="I165" i="72"/>
  <c r="K165" i="72" s="1"/>
  <c r="L165" i="72" s="1"/>
  <c r="N165" i="72" s="1"/>
  <c r="R176" i="72"/>
  <c r="D136" i="72"/>
  <c r="I31" i="72"/>
  <c r="K31" i="72" s="1"/>
  <c r="R79" i="72"/>
  <c r="Q80" i="72"/>
  <c r="Q84" i="72"/>
  <c r="Q87" i="72"/>
  <c r="R114" i="72"/>
  <c r="I125" i="72"/>
  <c r="K125" i="72" s="1"/>
  <c r="R130" i="72"/>
  <c r="I164" i="72"/>
  <c r="K164" i="72" s="1"/>
  <c r="L164" i="72" s="1"/>
  <c r="N164" i="72" s="1"/>
  <c r="Q165" i="72"/>
  <c r="I176" i="72"/>
  <c r="K176" i="72" s="1"/>
  <c r="L176" i="72" s="1"/>
  <c r="N176" i="72" s="1"/>
  <c r="R182" i="72"/>
  <c r="Q295" i="117"/>
  <c r="Q315" i="117"/>
  <c r="Q247" i="117"/>
  <c r="Q230" i="117"/>
  <c r="Q250" i="117"/>
  <c r="Q292" i="117"/>
  <c r="Q296" i="117"/>
  <c r="D35" i="67"/>
  <c r="I224" i="82"/>
  <c r="E62" i="82"/>
  <c r="E17" i="69"/>
  <c r="M60" i="82"/>
  <c r="E196" i="82"/>
  <c r="E95" i="82"/>
  <c r="F114" i="61"/>
  <c r="E113" i="82"/>
  <c r="E121" i="82"/>
  <c r="E24" i="68"/>
  <c r="D29" i="69"/>
  <c r="H50" i="75"/>
  <c r="I50" i="75" s="1"/>
  <c r="E20" i="68"/>
  <c r="H16" i="75"/>
  <c r="I16" i="75" s="1"/>
  <c r="M52" i="82"/>
  <c r="D39" i="67"/>
  <c r="E17" i="75"/>
  <c r="F17" i="75" s="1"/>
  <c r="D14" i="67"/>
  <c r="E116" i="82"/>
  <c r="F19" i="67"/>
  <c r="F23" i="67"/>
  <c r="E32" i="69"/>
  <c r="F34" i="69"/>
  <c r="E13" i="69"/>
  <c r="K45" i="75"/>
  <c r="L45" i="75" s="1"/>
  <c r="H47" i="75"/>
  <c r="I47" i="75" s="1"/>
  <c r="E35" i="82"/>
  <c r="E111" i="82"/>
  <c r="E122" i="82"/>
  <c r="Q157" i="82"/>
  <c r="E169" i="82"/>
  <c r="E170" i="82"/>
  <c r="E171" i="82"/>
  <c r="E173" i="82"/>
  <c r="E174" i="82"/>
  <c r="E178" i="82"/>
  <c r="E179" i="82"/>
  <c r="E184" i="82"/>
  <c r="K18" i="75"/>
  <c r="L18" i="75" s="1"/>
  <c r="E22" i="75"/>
  <c r="F22" i="75" s="1"/>
  <c r="E15" i="96"/>
  <c r="E151" i="82"/>
  <c r="E153" i="82"/>
  <c r="C375" i="82"/>
  <c r="K15" i="75"/>
  <c r="L15" i="75" s="1"/>
  <c r="E47" i="75"/>
  <c r="F47" i="75" s="1"/>
  <c r="J224" i="82"/>
  <c r="E112" i="82"/>
  <c r="E123" i="82"/>
  <c r="E156" i="82"/>
  <c r="E158" i="82"/>
  <c r="E159" i="82"/>
  <c r="E160" i="82"/>
  <c r="E16" i="68"/>
  <c r="D58" i="115"/>
  <c r="E161" i="82"/>
  <c r="R205" i="82"/>
  <c r="H19" i="75"/>
  <c r="I19" i="75" s="1"/>
  <c r="G116" i="82"/>
  <c r="Q161" i="82"/>
  <c r="K222" i="82"/>
  <c r="K224" i="82" s="1"/>
  <c r="E16" i="67"/>
  <c r="D42" i="67"/>
  <c r="F11" i="68"/>
  <c r="D14" i="69"/>
  <c r="E30" i="69"/>
  <c r="E16" i="69"/>
  <c r="E18" i="69"/>
  <c r="N36" i="54"/>
  <c r="E11" i="75"/>
  <c r="F11" i="75" s="1"/>
  <c r="E52" i="75"/>
  <c r="F52" i="75" s="1"/>
  <c r="F65" i="75"/>
  <c r="K16" i="75"/>
  <c r="L16" i="75" s="1"/>
  <c r="L70" i="75"/>
  <c r="I72" i="75"/>
  <c r="F74" i="75"/>
  <c r="L77" i="75"/>
  <c r="G22" i="110"/>
  <c r="G24" i="110" s="1"/>
  <c r="G26" i="110" s="1"/>
  <c r="Q41" i="82"/>
  <c r="E50" i="82"/>
  <c r="E55" i="82"/>
  <c r="E60" i="82"/>
  <c r="E94" i="82"/>
  <c r="G111" i="82"/>
  <c r="M111" i="82" s="1"/>
  <c r="G122" i="82"/>
  <c r="R179" i="82"/>
  <c r="F17" i="67"/>
  <c r="E42" i="67"/>
  <c r="E44" i="67"/>
  <c r="E46" i="67"/>
  <c r="F36" i="68"/>
  <c r="F38" i="68"/>
  <c r="N75" i="54"/>
  <c r="Q75" i="54" s="1"/>
  <c r="S75" i="54" s="1"/>
  <c r="F162" i="54"/>
  <c r="F143" i="61"/>
  <c r="F122" i="61" s="1"/>
  <c r="K41" i="75"/>
  <c r="L41" i="75" s="1"/>
  <c r="I65" i="75"/>
  <c r="F67" i="75"/>
  <c r="L72" i="75"/>
  <c r="F76" i="75"/>
  <c r="I43" i="122"/>
  <c r="Q45" i="82"/>
  <c r="G107" i="82"/>
  <c r="H32" i="122" s="1"/>
  <c r="I32" i="122" s="1"/>
  <c r="G114" i="82"/>
  <c r="M114" i="82" s="1"/>
  <c r="E120" i="82"/>
  <c r="F48" i="67"/>
  <c r="F44" i="67"/>
  <c r="E22" i="68"/>
  <c r="D37" i="68"/>
  <c r="D35" i="68"/>
  <c r="F17" i="68"/>
  <c r="E19" i="68"/>
  <c r="D44" i="68"/>
  <c r="F30" i="69"/>
  <c r="D32" i="69"/>
  <c r="E12" i="75"/>
  <c r="F12" i="75" s="1"/>
  <c r="I67" i="75"/>
  <c r="F69" i="75"/>
  <c r="E19" i="75"/>
  <c r="F19" i="75" s="1"/>
  <c r="L74" i="75"/>
  <c r="I76" i="75"/>
  <c r="I45" i="96"/>
  <c r="E32" i="122"/>
  <c r="F32" i="122" s="1"/>
  <c r="G120" i="82"/>
  <c r="E35" i="67"/>
  <c r="E37" i="67"/>
  <c r="D41" i="67"/>
  <c r="E35" i="68"/>
  <c r="D16" i="68"/>
  <c r="F19" i="68"/>
  <c r="E21" i="68"/>
  <c r="E23" i="68"/>
  <c r="D31" i="69"/>
  <c r="D15" i="69"/>
  <c r="H143" i="61"/>
  <c r="H122" i="61" s="1"/>
  <c r="E51" i="75"/>
  <c r="F51" i="75" s="1"/>
  <c r="I69" i="75"/>
  <c r="I71" i="75"/>
  <c r="F73" i="75"/>
  <c r="K24" i="75"/>
  <c r="L24" i="75" s="1"/>
  <c r="F78" i="75"/>
  <c r="H14" i="114"/>
  <c r="H18" i="114" s="1"/>
  <c r="Q35" i="82"/>
  <c r="E45" i="82"/>
  <c r="E61" i="82"/>
  <c r="E110" i="82"/>
  <c r="G112" i="82"/>
  <c r="G123" i="82"/>
  <c r="M123" i="82" s="1"/>
  <c r="F37" i="67"/>
  <c r="D20" i="67"/>
  <c r="D45" i="67"/>
  <c r="D13" i="69"/>
  <c r="D17" i="69"/>
  <c r="F11" i="69"/>
  <c r="E33" i="69"/>
  <c r="E25" i="75"/>
  <c r="F25" i="75" s="1"/>
  <c r="L69" i="75"/>
  <c r="L71" i="75"/>
  <c r="I73" i="75"/>
  <c r="F75" i="75"/>
  <c r="R38" i="82"/>
  <c r="M56" i="82"/>
  <c r="G102" i="82"/>
  <c r="G110" i="82"/>
  <c r="G115" i="82"/>
  <c r="M115" i="82" s="1"/>
  <c r="E195" i="82"/>
  <c r="F18" i="67"/>
  <c r="D34" i="68"/>
  <c r="F39" i="68"/>
  <c r="D41" i="68"/>
  <c r="E29" i="69"/>
  <c r="F31" i="69"/>
  <c r="F35" i="69"/>
  <c r="I63" i="75"/>
  <c r="E14" i="75"/>
  <c r="F14" i="75" s="1"/>
  <c r="K21" i="75"/>
  <c r="L21" i="75" s="1"/>
  <c r="H49" i="75"/>
  <c r="I49" i="75" s="1"/>
  <c r="L78" i="75"/>
  <c r="I52" i="114"/>
  <c r="E59" i="82"/>
  <c r="G99" i="82"/>
  <c r="G121" i="82"/>
  <c r="E162" i="82"/>
  <c r="E163" i="82"/>
  <c r="E183" i="82"/>
  <c r="E13" i="67"/>
  <c r="D23" i="67"/>
  <c r="D44" i="67"/>
  <c r="D36" i="67"/>
  <c r="D38" i="67"/>
  <c r="F43" i="67"/>
  <c r="F45" i="67"/>
  <c r="D25" i="67"/>
  <c r="F12" i="68"/>
  <c r="E14" i="68"/>
  <c r="F16" i="68"/>
  <c r="F42" i="68"/>
  <c r="E44" i="68"/>
  <c r="E34" i="68"/>
  <c r="E41" i="68"/>
  <c r="D43" i="68"/>
  <c r="D45" i="68"/>
  <c r="D47" i="68"/>
  <c r="F17" i="69"/>
  <c r="F129" i="70"/>
  <c r="N66" i="115"/>
  <c r="L46" i="54"/>
  <c r="L63" i="75"/>
  <c r="H14" i="75"/>
  <c r="I14" i="75" s="1"/>
  <c r="F70" i="75"/>
  <c r="I75" i="75"/>
  <c r="F77" i="75"/>
  <c r="Q43" i="82"/>
  <c r="E31" i="122"/>
  <c r="F31" i="122" s="1"/>
  <c r="G106" i="82"/>
  <c r="G113" i="82"/>
  <c r="M113" i="82" s="1"/>
  <c r="E165" i="82"/>
  <c r="E166" i="82"/>
  <c r="E15" i="67"/>
  <c r="D17" i="67"/>
  <c r="E48" i="67"/>
  <c r="D36" i="68"/>
  <c r="F41" i="68"/>
  <c r="D33" i="69"/>
  <c r="D35" i="69"/>
  <c r="D36" i="69"/>
  <c r="L40" i="54"/>
  <c r="I68" i="75"/>
  <c r="E20" i="75"/>
  <c r="F20" i="75" s="1"/>
  <c r="K23" i="75"/>
  <c r="L23" i="75" s="1"/>
  <c r="I77" i="75"/>
  <c r="K33" i="114"/>
  <c r="L33" i="114" s="1"/>
  <c r="E22" i="136"/>
  <c r="E33" i="82"/>
  <c r="L64" i="82"/>
  <c r="E51" i="82"/>
  <c r="Q153" i="82"/>
  <c r="E182" i="82"/>
  <c r="D22" i="68"/>
  <c r="H17" i="75"/>
  <c r="I17" i="75" s="1"/>
  <c r="E24" i="75"/>
  <c r="F24" i="75" s="1"/>
  <c r="K25" i="75"/>
  <c r="L25" i="75" s="1"/>
  <c r="E40" i="75"/>
  <c r="F40" i="75" s="1"/>
  <c r="H43" i="75"/>
  <c r="I43" i="75" s="1"/>
  <c r="K47" i="75"/>
  <c r="L47" i="75" s="1"/>
  <c r="K51" i="75"/>
  <c r="L51" i="75" s="1"/>
  <c r="H22" i="110"/>
  <c r="H24" i="110" s="1"/>
  <c r="H26" i="110" s="1"/>
  <c r="E115" i="82"/>
  <c r="E50" i="67"/>
  <c r="E18" i="68"/>
  <c r="I101" i="70"/>
  <c r="E37" i="54"/>
  <c r="F37" i="54" s="1"/>
  <c r="O59" i="54"/>
  <c r="E45" i="75"/>
  <c r="F45" i="75" s="1"/>
  <c r="F66" i="75"/>
  <c r="F71" i="75"/>
  <c r="G22" i="136"/>
  <c r="E34" i="82"/>
  <c r="E52" i="82"/>
  <c r="M197" i="82"/>
  <c r="E12" i="67"/>
  <c r="E14" i="67"/>
  <c r="D18" i="115"/>
  <c r="E67" i="54"/>
  <c r="E68" i="54" s="1"/>
  <c r="F68" i="54" s="1"/>
  <c r="H13" i="75"/>
  <c r="I13" i="75" s="1"/>
  <c r="H23" i="75"/>
  <c r="I23" i="75" s="1"/>
  <c r="H37" i="75"/>
  <c r="I37" i="75" s="1"/>
  <c r="E41" i="82"/>
  <c r="E47" i="82"/>
  <c r="E92" i="82"/>
  <c r="Q156" i="82"/>
  <c r="M207" i="82"/>
  <c r="F14" i="67"/>
  <c r="D26" i="115"/>
  <c r="N46" i="54"/>
  <c r="H67" i="54"/>
  <c r="H68" i="54" s="1"/>
  <c r="I68" i="54" s="1"/>
  <c r="H114" i="61"/>
  <c r="E15" i="75"/>
  <c r="F15" i="75" s="1"/>
  <c r="K20" i="75"/>
  <c r="L20" i="75" s="1"/>
  <c r="H39" i="75"/>
  <c r="I39" i="75" s="1"/>
  <c r="H92" i="61"/>
  <c r="F22" i="136"/>
  <c r="N108" i="70"/>
  <c r="E175" i="82"/>
  <c r="E176" i="82"/>
  <c r="E181" i="82"/>
  <c r="R195" i="82"/>
  <c r="Q303" i="117"/>
  <c r="L78" i="54"/>
  <c r="E53" i="82"/>
  <c r="E114" i="82"/>
  <c r="H85" i="54"/>
  <c r="I85" i="54" s="1"/>
  <c r="E89" i="54"/>
  <c r="F18" i="61"/>
  <c r="H11" i="75"/>
  <c r="I11" i="75" s="1"/>
  <c r="E50" i="75"/>
  <c r="F50" i="75" s="1"/>
  <c r="H30" i="96"/>
  <c r="G17" i="135"/>
  <c r="I113" i="72"/>
  <c r="K113" i="72" s="1"/>
  <c r="H184" i="72"/>
  <c r="H21" i="72"/>
  <c r="Q15" i="72"/>
  <c r="I18" i="72"/>
  <c r="K18" i="72" s="1"/>
  <c r="G44" i="72"/>
  <c r="I29" i="72"/>
  <c r="K29" i="72" s="1"/>
  <c r="I35" i="72"/>
  <c r="K35" i="72" s="1"/>
  <c r="Q37" i="72"/>
  <c r="Q67" i="72"/>
  <c r="R68" i="72"/>
  <c r="Q72" i="72"/>
  <c r="Q78" i="72"/>
  <c r="Q79" i="72"/>
  <c r="R80" i="72"/>
  <c r="Q112" i="72"/>
  <c r="F136" i="72"/>
  <c r="D168" i="72"/>
  <c r="Q162" i="72"/>
  <c r="Q163" i="72"/>
  <c r="R164" i="72"/>
  <c r="R165" i="72"/>
  <c r="Q179" i="72"/>
  <c r="Q182" i="72"/>
  <c r="E89" i="72"/>
  <c r="O176" i="88"/>
  <c r="M19" i="166" s="1"/>
  <c r="Y19" i="166" s="1"/>
  <c r="I14" i="72"/>
  <c r="K14" i="72" s="1"/>
  <c r="R15" i="72"/>
  <c r="H44" i="72"/>
  <c r="R37" i="72"/>
  <c r="R67" i="72"/>
  <c r="R72" i="72"/>
  <c r="R78" i="72"/>
  <c r="I118" i="72"/>
  <c r="K118" i="72" s="1"/>
  <c r="Q161" i="72"/>
  <c r="R162" i="72"/>
  <c r="R163" i="72"/>
  <c r="J184" i="72"/>
  <c r="I177" i="72"/>
  <c r="K177" i="72" s="1"/>
  <c r="L177" i="72" s="1"/>
  <c r="N177" i="72" s="1"/>
  <c r="Q178" i="72"/>
  <c r="R179" i="72"/>
  <c r="I166" i="72"/>
  <c r="K166" i="72" s="1"/>
  <c r="N166" i="72" s="1"/>
  <c r="O90" i="88"/>
  <c r="D33" i="72" s="1"/>
  <c r="G38" i="88"/>
  <c r="I27" i="72"/>
  <c r="K27" i="72" s="1"/>
  <c r="I34" i="72"/>
  <c r="K34" i="72" s="1"/>
  <c r="R35" i="72"/>
  <c r="I67" i="72"/>
  <c r="K67" i="72" s="1"/>
  <c r="H89" i="72"/>
  <c r="I116" i="72"/>
  <c r="K116" i="72" s="1"/>
  <c r="H136" i="72"/>
  <c r="R178" i="72"/>
  <c r="I179" i="72"/>
  <c r="K179" i="72" s="1"/>
  <c r="L179" i="72" s="1"/>
  <c r="N179" i="72" s="1"/>
  <c r="F21" i="72"/>
  <c r="I42" i="72"/>
  <c r="K42" i="72" s="1"/>
  <c r="R71" i="72"/>
  <c r="I78" i="72"/>
  <c r="K78" i="72" s="1"/>
  <c r="D120" i="72"/>
  <c r="I114" i="72"/>
  <c r="K114" i="72" s="1"/>
  <c r="R131" i="72"/>
  <c r="G136" i="72"/>
  <c r="G168" i="72"/>
  <c r="Q175" i="72"/>
  <c r="Q176" i="72"/>
  <c r="M61" i="73"/>
  <c r="O66" i="88"/>
  <c r="I69" i="72"/>
  <c r="K69" i="72" s="1"/>
  <c r="E136" i="72"/>
  <c r="I26" i="72"/>
  <c r="K26" i="72" s="1"/>
  <c r="I33" i="72"/>
  <c r="K33" i="72" s="1"/>
  <c r="I39" i="72"/>
  <c r="K39" i="72" s="1"/>
  <c r="Q42" i="72"/>
  <c r="H74" i="72"/>
  <c r="Q70" i="72"/>
  <c r="I71" i="72"/>
  <c r="K71" i="72" s="1"/>
  <c r="Q85" i="72"/>
  <c r="K86" i="72"/>
  <c r="Q113" i="72"/>
  <c r="R116" i="72"/>
  <c r="R129" i="72"/>
  <c r="I131" i="72"/>
  <c r="K131" i="72" s="1"/>
  <c r="Q132" i="72"/>
  <c r="H168" i="72"/>
  <c r="J168" i="72"/>
  <c r="Q174" i="72"/>
  <c r="R175" i="72"/>
  <c r="O173" i="88"/>
  <c r="E21" i="72"/>
  <c r="I16" i="72"/>
  <c r="K16" i="72" s="1"/>
  <c r="I83" i="72"/>
  <c r="K83" i="72" s="1"/>
  <c r="I87" i="72"/>
  <c r="K87" i="72" s="1"/>
  <c r="I129" i="72"/>
  <c r="K129" i="72" s="1"/>
  <c r="C53" i="160"/>
  <c r="D31" i="102"/>
  <c r="F29" i="160"/>
  <c r="F23" i="160"/>
  <c r="F25" i="160"/>
  <c r="F27" i="160"/>
  <c r="F22" i="160"/>
  <c r="F24" i="160"/>
  <c r="F26" i="160"/>
  <c r="F28" i="160"/>
  <c r="F30" i="160"/>
  <c r="B65" i="160"/>
  <c r="G65" i="160" s="1"/>
  <c r="F65" i="160"/>
  <c r="F41" i="102"/>
  <c r="C50" i="160"/>
  <c r="F31" i="102"/>
  <c r="B52" i="160"/>
  <c r="F29" i="102"/>
  <c r="J23" i="58"/>
  <c r="J93" i="58"/>
  <c r="D294" i="150"/>
  <c r="S76" i="58"/>
  <c r="E79" i="58"/>
  <c r="U92" i="58"/>
  <c r="M44" i="58"/>
  <c r="U81" i="58"/>
  <c r="T82" i="58"/>
  <c r="U76" i="58"/>
  <c r="U32" i="65"/>
  <c r="U41" i="58" s="1"/>
  <c r="R19" i="54"/>
  <c r="N44" i="102"/>
  <c r="U82" i="58"/>
  <c r="C21" i="111"/>
  <c r="K17" i="65"/>
  <c r="G97" i="61"/>
  <c r="M166" i="55"/>
  <c r="M167" i="55" s="1"/>
  <c r="C18" i="102"/>
  <c r="M19" i="54"/>
  <c r="S80" i="58"/>
  <c r="J27" i="58"/>
  <c r="G94" i="58"/>
  <c r="J40" i="122"/>
  <c r="G103" i="82"/>
  <c r="H26" i="122" s="1"/>
  <c r="I26" i="122" s="1"/>
  <c r="M16" i="66"/>
  <c r="F276" i="150"/>
  <c r="S79" i="58"/>
  <c r="G50" i="58"/>
  <c r="J94" i="58"/>
  <c r="K82" i="58"/>
  <c r="G15" i="66"/>
  <c r="G19" i="54"/>
  <c r="G161" i="54"/>
  <c r="I97" i="61"/>
  <c r="C40" i="102"/>
  <c r="E163" i="150"/>
  <c r="F201" i="150"/>
  <c r="E271" i="150"/>
  <c r="C20" i="102"/>
  <c r="U79" i="58"/>
  <c r="D310" i="150"/>
  <c r="S82" i="58"/>
  <c r="P382" i="82"/>
  <c r="P19" i="54"/>
  <c r="K97" i="61"/>
  <c r="E137" i="61"/>
  <c r="L44" i="103"/>
  <c r="Q44" i="103" s="1"/>
  <c r="S44" i="103" s="1"/>
  <c r="S46" i="65"/>
  <c r="S81" i="58"/>
  <c r="M97" i="61"/>
  <c r="C36" i="102"/>
  <c r="D305" i="150"/>
  <c r="N76" i="58"/>
  <c r="G17" i="58"/>
  <c r="G95" i="58"/>
  <c r="Q13" i="120"/>
  <c r="F110" i="116"/>
  <c r="I137" i="61"/>
  <c r="D187" i="150"/>
  <c r="E39" i="82"/>
  <c r="Q40" i="82"/>
  <c r="Q163" i="82"/>
  <c r="E197" i="82"/>
  <c r="D10" i="69"/>
  <c r="D28" i="69"/>
  <c r="F33" i="69"/>
  <c r="F15" i="69"/>
  <c r="P13" i="107"/>
  <c r="Q13" i="107" s="1"/>
  <c r="O49" i="58"/>
  <c r="E10" i="69"/>
  <c r="E28" i="69"/>
  <c r="L43" i="122"/>
  <c r="I22" i="110"/>
  <c r="I24" i="110" s="1"/>
  <c r="I26" i="110" s="1"/>
  <c r="E43" i="82"/>
  <c r="E46" i="82"/>
  <c r="E56" i="82"/>
  <c r="E58" i="82"/>
  <c r="E13" i="68"/>
  <c r="E36" i="68"/>
  <c r="E15" i="68"/>
  <c r="E38" i="68"/>
  <c r="D40" i="68"/>
  <c r="D17" i="68"/>
  <c r="F43" i="68"/>
  <c r="F20" i="68"/>
  <c r="F45" i="68"/>
  <c r="F22" i="68"/>
  <c r="P64" i="82"/>
  <c r="M46" i="82"/>
  <c r="Q46" i="82"/>
  <c r="Q54" i="82"/>
  <c r="Q174" i="82"/>
  <c r="E40" i="68"/>
  <c r="E17" i="68"/>
  <c r="D42" i="68"/>
  <c r="D19" i="68"/>
  <c r="E20" i="67"/>
  <c r="E43" i="67"/>
  <c r="E22" i="67"/>
  <c r="E45" i="67"/>
  <c r="O81" i="58"/>
  <c r="Q44" i="82"/>
  <c r="E54" i="82"/>
  <c r="K125" i="82"/>
  <c r="F41" i="67"/>
  <c r="K64" i="82"/>
  <c r="M47" i="82"/>
  <c r="Q47" i="82"/>
  <c r="Q52" i="82"/>
  <c r="Q61" i="82"/>
  <c r="L125" i="82"/>
  <c r="E168" i="82"/>
  <c r="H259" i="82"/>
  <c r="D43" i="67"/>
  <c r="F13" i="68"/>
  <c r="F15" i="68"/>
  <c r="Q39" i="82"/>
  <c r="F35" i="67"/>
  <c r="F12" i="67"/>
  <c r="F39" i="67"/>
  <c r="F16" i="67"/>
  <c r="E18" i="67"/>
  <c r="E41" i="67"/>
  <c r="D50" i="67"/>
  <c r="D27" i="67"/>
  <c r="O19" i="116"/>
  <c r="O103" i="70"/>
  <c r="O22" i="116"/>
  <c r="O22" i="115"/>
  <c r="F44" i="115"/>
  <c r="J44" i="70"/>
  <c r="E42" i="75"/>
  <c r="F42" i="75" s="1"/>
  <c r="F68" i="75"/>
  <c r="E16" i="75"/>
  <c r="F16" i="75" s="1"/>
  <c r="E42" i="82"/>
  <c r="M42" i="82"/>
  <c r="Q56" i="82"/>
  <c r="R197" i="82"/>
  <c r="Q323" i="117"/>
  <c r="D18" i="69"/>
  <c r="E16" i="116"/>
  <c r="E100" i="70"/>
  <c r="E100" i="115" s="1"/>
  <c r="G18" i="70"/>
  <c r="H18" i="70" s="1"/>
  <c r="H18" i="115" s="1"/>
  <c r="E18" i="116"/>
  <c r="Q236" i="117"/>
  <c r="Q34" i="82"/>
  <c r="E44" i="82"/>
  <c r="Q60" i="82"/>
  <c r="Q62" i="82"/>
  <c r="Q155" i="82"/>
  <c r="E157" i="82"/>
  <c r="Q168" i="82"/>
  <c r="D15" i="67"/>
  <c r="E36" i="69"/>
  <c r="K13" i="75"/>
  <c r="L13" i="75" s="1"/>
  <c r="K39" i="75"/>
  <c r="L39" i="75" s="1"/>
  <c r="L65" i="75"/>
  <c r="V87" i="58"/>
  <c r="E40" i="82"/>
  <c r="Q51" i="82"/>
  <c r="Q167" i="82"/>
  <c r="Q170" i="82"/>
  <c r="Q178" i="82"/>
  <c r="M195" i="82"/>
  <c r="Q253" i="117"/>
  <c r="Q273" i="117"/>
  <c r="P26" i="120"/>
  <c r="E157" i="54"/>
  <c r="F157" i="54" s="1"/>
  <c r="F155" i="54"/>
  <c r="H38" i="75"/>
  <c r="I38" i="75" s="1"/>
  <c r="I64" i="75"/>
  <c r="H12" i="75"/>
  <c r="I12" i="75" s="1"/>
  <c r="I259" i="82"/>
  <c r="P12" i="107"/>
  <c r="Q12" i="107" s="1"/>
  <c r="L66" i="75"/>
  <c r="K14" i="75"/>
  <c r="L14" i="75" s="1"/>
  <c r="K40" i="75"/>
  <c r="L40" i="75" s="1"/>
  <c r="Q42" i="82"/>
  <c r="Q53" i="82"/>
  <c r="Q55" i="82"/>
  <c r="Q162" i="82"/>
  <c r="E164" i="82"/>
  <c r="M196" i="82"/>
  <c r="R207" i="82"/>
  <c r="Q222" i="82"/>
  <c r="Q248" i="117"/>
  <c r="Q70" i="117"/>
  <c r="F152" i="82" s="1"/>
  <c r="G152" i="82" s="1"/>
  <c r="Q343" i="117"/>
  <c r="E23" i="67"/>
  <c r="E79" i="75"/>
  <c r="E37" i="75"/>
  <c r="F37" i="75" s="1"/>
  <c r="F63" i="75"/>
  <c r="Q327" i="117"/>
  <c r="D19" i="116"/>
  <c r="G19" i="70"/>
  <c r="H19" i="70" s="1"/>
  <c r="H19" i="115" s="1"/>
  <c r="D19" i="115"/>
  <c r="Q59" i="82"/>
  <c r="E155" i="82"/>
  <c r="Q159" i="82"/>
  <c r="Q177" i="82"/>
  <c r="E185" i="82"/>
  <c r="R196" i="82"/>
  <c r="M205" i="82"/>
  <c r="I12" i="107"/>
  <c r="I13" i="107"/>
  <c r="U26" i="120"/>
  <c r="I74" i="75"/>
  <c r="H22" i="75"/>
  <c r="I22" i="75" s="1"/>
  <c r="H48" i="75"/>
  <c r="I48" i="75" s="1"/>
  <c r="G61" i="70"/>
  <c r="H61" i="70" s="1"/>
  <c r="K85" i="54"/>
  <c r="L85" i="54" s="1"/>
  <c r="D27" i="70"/>
  <c r="D110" i="70"/>
  <c r="D110" i="115" s="1"/>
  <c r="N16" i="115"/>
  <c r="F33" i="54"/>
  <c r="L36" i="54"/>
  <c r="I43" i="54"/>
  <c r="E13" i="75"/>
  <c r="F13" i="75" s="1"/>
  <c r="K26" i="75"/>
  <c r="L26" i="75" s="1"/>
  <c r="H41" i="75"/>
  <c r="I41" i="75" s="1"/>
  <c r="H46" i="75"/>
  <c r="I46" i="75" s="1"/>
  <c r="K49" i="75"/>
  <c r="L49" i="75" s="1"/>
  <c r="I66" i="75"/>
  <c r="L75" i="75"/>
  <c r="S26" i="120"/>
  <c r="G21" i="116"/>
  <c r="H21" i="116" s="1"/>
  <c r="K102" i="70"/>
  <c r="D62" i="115"/>
  <c r="H15" i="75"/>
  <c r="I15" i="75" s="1"/>
  <c r="E44" i="75"/>
  <c r="F44" i="75" s="1"/>
  <c r="H15" i="96"/>
  <c r="H14" i="96" s="1"/>
  <c r="G23" i="70"/>
  <c r="H23" i="70" s="1"/>
  <c r="L23" i="70" s="1"/>
  <c r="M23" i="70" s="1"/>
  <c r="D21" i="115"/>
  <c r="N49" i="54"/>
  <c r="E105" i="70"/>
  <c r="E105" i="115" s="1"/>
  <c r="E21" i="115"/>
  <c r="E85" i="54"/>
  <c r="F85" i="54" s="1"/>
  <c r="H47" i="54"/>
  <c r="K52" i="75"/>
  <c r="L52" i="75" s="1"/>
  <c r="G26" i="70"/>
  <c r="H26" i="70" s="1"/>
  <c r="H26" i="115" s="1"/>
  <c r="G63" i="70"/>
  <c r="H63" i="70" s="1"/>
  <c r="J107" i="70"/>
  <c r="F68" i="115"/>
  <c r="F46" i="54"/>
  <c r="N66" i="54"/>
  <c r="G137" i="61"/>
  <c r="E49" i="75"/>
  <c r="F49" i="75" s="1"/>
  <c r="L73" i="75"/>
  <c r="K107" i="70"/>
  <c r="K24" i="115"/>
  <c r="K108" i="115" s="1"/>
  <c r="K37" i="75"/>
  <c r="L37" i="75" s="1"/>
  <c r="H79" i="75"/>
  <c r="E17" i="135"/>
  <c r="H23" i="130"/>
  <c r="H24" i="130" s="1"/>
  <c r="G24" i="130"/>
  <c r="J14" i="58"/>
  <c r="F93" i="58"/>
  <c r="G27" i="58"/>
  <c r="D121" i="150"/>
  <c r="D192" i="150" s="1"/>
  <c r="H80" i="58"/>
  <c r="O164" i="88"/>
  <c r="M11" i="166" s="1"/>
  <c r="Y11" i="166" s="1"/>
  <c r="T87" i="58"/>
  <c r="O82" i="88"/>
  <c r="O84" i="88"/>
  <c r="D27" i="72" s="1"/>
  <c r="O85" i="88"/>
  <c r="D28" i="72" s="1"/>
  <c r="G29" i="88"/>
  <c r="R336" i="82"/>
  <c r="M336" i="82"/>
  <c r="F24" i="130"/>
  <c r="D130" i="150"/>
  <c r="D204" i="150" s="1"/>
  <c r="H92" i="58"/>
  <c r="P53" i="122"/>
  <c r="M16" i="121"/>
  <c r="O72" i="88"/>
  <c r="G28" i="88"/>
  <c r="D59" i="122"/>
  <c r="D58" i="122" s="1"/>
  <c r="C17" i="121"/>
  <c r="C52" i="88"/>
  <c r="E83" i="58"/>
  <c r="G18" i="58"/>
  <c r="O68" i="88"/>
  <c r="O70" i="88"/>
  <c r="O81" i="88"/>
  <c r="P35" i="159"/>
  <c r="G53" i="122"/>
  <c r="E16" i="121"/>
  <c r="O89" i="88"/>
  <c r="D32" i="72" s="1"/>
  <c r="O175" i="88"/>
  <c r="E19" i="58"/>
  <c r="O73" i="58"/>
  <c r="H78" i="58"/>
  <c r="K92" i="58"/>
  <c r="O78" i="88"/>
  <c r="G30" i="88"/>
  <c r="O161" i="88"/>
  <c r="M8" i="166" s="1"/>
  <c r="Y8" i="166" s="1"/>
  <c r="O163" i="88"/>
  <c r="M10" i="166" s="1"/>
  <c r="Y10" i="166" s="1"/>
  <c r="O165" i="88"/>
  <c r="O181" i="88"/>
  <c r="M24" i="166" s="1"/>
  <c r="Y24" i="166" s="1"/>
  <c r="O183" i="88"/>
  <c r="I38" i="88" s="1"/>
  <c r="O228" i="88"/>
  <c r="G60" i="58"/>
  <c r="G61" i="58"/>
  <c r="K80" i="58"/>
  <c r="H81" i="58"/>
  <c r="M95" i="58"/>
  <c r="G16" i="121"/>
  <c r="J53" i="122"/>
  <c r="R53" i="122"/>
  <c r="O16" i="121"/>
  <c r="G58" i="122"/>
  <c r="P58" i="122"/>
  <c r="H16" i="122"/>
  <c r="H17" i="122" s="1"/>
  <c r="I14" i="122"/>
  <c r="H76" i="58"/>
  <c r="C47" i="111"/>
  <c r="J60" i="58"/>
  <c r="L83" i="58"/>
  <c r="M53" i="122"/>
  <c r="I16" i="121"/>
  <c r="J58" i="122"/>
  <c r="R58" i="122"/>
  <c r="R63" i="122" s="1"/>
  <c r="O178" i="88"/>
  <c r="M21" i="166" s="1"/>
  <c r="Y21" i="166" s="1"/>
  <c r="O179" i="88"/>
  <c r="M22" i="166" s="1"/>
  <c r="Y22" i="166" s="1"/>
  <c r="Q169" i="82"/>
  <c r="N181" i="82"/>
  <c r="N186" i="82" s="1"/>
  <c r="R22" i="58"/>
  <c r="M27" i="58"/>
  <c r="K81" i="58"/>
  <c r="H82" i="58"/>
  <c r="H86" i="58"/>
  <c r="O71" i="88"/>
  <c r="O86" i="88"/>
  <c r="D29" i="72" s="1"/>
  <c r="K76" i="58"/>
  <c r="H77" i="58"/>
  <c r="D54" i="122"/>
  <c r="D53" i="122" s="1"/>
  <c r="C14" i="121"/>
  <c r="C16" i="121" s="1"/>
  <c r="M58" i="122"/>
  <c r="O67" i="88"/>
  <c r="O83" i="88"/>
  <c r="O96" i="88"/>
  <c r="D39" i="72" s="1"/>
  <c r="O184" i="88"/>
  <c r="Q391" i="82"/>
  <c r="O73" i="88"/>
  <c r="O80" i="88"/>
  <c r="O88" i="88"/>
  <c r="D31" i="72" s="1"/>
  <c r="C144" i="88"/>
  <c r="O160" i="88"/>
  <c r="M7" i="166" s="1"/>
  <c r="Y7" i="166" s="1"/>
  <c r="M55" i="82"/>
  <c r="E167" i="82"/>
  <c r="G382" i="82"/>
  <c r="M382" i="82" s="1"/>
  <c r="M373" i="82"/>
  <c r="R375" i="82"/>
  <c r="F28" i="69"/>
  <c r="F10" i="69"/>
  <c r="F56" i="69"/>
  <c r="D12" i="69"/>
  <c r="D30" i="69"/>
  <c r="Q340" i="117"/>
  <c r="Q173" i="117"/>
  <c r="Q50" i="82"/>
  <c r="M50" i="82"/>
  <c r="Q55" i="117"/>
  <c r="O172" i="88"/>
  <c r="O180" i="88"/>
  <c r="M23" i="166" s="1"/>
  <c r="Y23" i="166" s="1"/>
  <c r="F225" i="117"/>
  <c r="N225" i="117"/>
  <c r="Q21" i="117"/>
  <c r="F34" i="82" s="1"/>
  <c r="G34" i="82" s="1"/>
  <c r="Q24" i="117"/>
  <c r="F35" i="82" s="1"/>
  <c r="G35" i="82" s="1"/>
  <c r="Q27" i="117"/>
  <c r="F39" i="82" s="1"/>
  <c r="K233" i="117"/>
  <c r="E279" i="117"/>
  <c r="Q279" i="117" s="1"/>
  <c r="Q83" i="117"/>
  <c r="F164" i="82" s="1"/>
  <c r="G164" i="82" s="1"/>
  <c r="O162" i="88"/>
  <c r="M9" i="166" s="1"/>
  <c r="Y9" i="166" s="1"/>
  <c r="C167" i="88"/>
  <c r="O177" i="88"/>
  <c r="M20" i="166" s="1"/>
  <c r="Y20" i="166" s="1"/>
  <c r="O185" i="88"/>
  <c r="M27" i="166" s="1"/>
  <c r="Y26" i="166" s="1"/>
  <c r="E186" i="82"/>
  <c r="G225" i="117"/>
  <c r="O225" i="117"/>
  <c r="F268" i="117"/>
  <c r="N268" i="117"/>
  <c r="Q73" i="117"/>
  <c r="F153" i="82" s="1"/>
  <c r="H277" i="117"/>
  <c r="Q277" i="117" s="1"/>
  <c r="Q81" i="117"/>
  <c r="F162" i="82" s="1"/>
  <c r="G162" i="82" s="1"/>
  <c r="O159" i="88"/>
  <c r="M6" i="166" s="1"/>
  <c r="O170" i="88"/>
  <c r="O174" i="88"/>
  <c r="O182" i="88"/>
  <c r="M25" i="166" s="1"/>
  <c r="Y25" i="166" s="1"/>
  <c r="G38" i="122"/>
  <c r="G16" i="122"/>
  <c r="G17" i="122" s="1"/>
  <c r="G40" i="122" s="1"/>
  <c r="P16" i="122"/>
  <c r="P17" i="122" s="1"/>
  <c r="P40" i="122" s="1"/>
  <c r="P38" i="122"/>
  <c r="Q58" i="82"/>
  <c r="M58" i="82"/>
  <c r="K181" i="82"/>
  <c r="K186" i="82" s="1"/>
  <c r="Q151" i="82"/>
  <c r="Q173" i="82"/>
  <c r="G343" i="82"/>
  <c r="M343" i="82" s="1"/>
  <c r="R334" i="82"/>
  <c r="G268" i="117"/>
  <c r="O268" i="117"/>
  <c r="Q231" i="117"/>
  <c r="Q232" i="117"/>
  <c r="E16" i="122"/>
  <c r="F16" i="122" s="1"/>
  <c r="M16" i="122"/>
  <c r="M17" i="122" s="1"/>
  <c r="M40" i="122" s="1"/>
  <c r="M38" i="122"/>
  <c r="R14" i="82"/>
  <c r="M57" i="82"/>
  <c r="L181" i="82"/>
  <c r="L186" i="82" s="1"/>
  <c r="Q164" i="82"/>
  <c r="Q166" i="82"/>
  <c r="Q171" i="82"/>
  <c r="E177" i="82"/>
  <c r="J259" i="82"/>
  <c r="Q52" i="117"/>
  <c r="E267" i="117"/>
  <c r="Q267" i="117" s="1"/>
  <c r="Q71" i="117"/>
  <c r="Q270" i="117"/>
  <c r="E291" i="117"/>
  <c r="Q333" i="117"/>
  <c r="H226" i="117"/>
  <c r="G246" i="117"/>
  <c r="N16" i="122"/>
  <c r="M54" i="82"/>
  <c r="M62" i="82"/>
  <c r="O143" i="82"/>
  <c r="Q160" i="82"/>
  <c r="Q165" i="82"/>
  <c r="L224" i="82"/>
  <c r="E252" i="117"/>
  <c r="Q252" i="117" s="1"/>
  <c r="Q53" i="117"/>
  <c r="F100" i="82" s="1"/>
  <c r="I265" i="117"/>
  <c r="Q69" i="117"/>
  <c r="F151" i="82" s="1"/>
  <c r="Q78" i="117"/>
  <c r="F158" i="82" s="1"/>
  <c r="G158" i="82" s="1"/>
  <c r="I122" i="117"/>
  <c r="I99" i="117" s="1"/>
  <c r="Q147" i="117"/>
  <c r="Q228" i="117"/>
  <c r="F21" i="68"/>
  <c r="F44" i="68"/>
  <c r="D22" i="110"/>
  <c r="D24" i="110" s="1"/>
  <c r="D26" i="110" s="1"/>
  <c r="O64" i="82"/>
  <c r="M51" i="82"/>
  <c r="M59" i="82"/>
  <c r="Q92" i="82"/>
  <c r="Q152" i="82"/>
  <c r="Q176" i="82"/>
  <c r="L259" i="82"/>
  <c r="Q382" i="82"/>
  <c r="U40" i="58" s="1"/>
  <c r="Q229" i="117"/>
  <c r="Q235" i="117"/>
  <c r="Q49" i="117"/>
  <c r="F95" i="82" s="1"/>
  <c r="Q269" i="117"/>
  <c r="Q272" i="117"/>
  <c r="E275" i="117"/>
  <c r="Q275" i="117" s="1"/>
  <c r="Q79" i="117"/>
  <c r="F159" i="82" s="1"/>
  <c r="G159" i="82" s="1"/>
  <c r="Q278" i="117"/>
  <c r="J122" i="117"/>
  <c r="J99" i="117" s="1"/>
  <c r="D38" i="122"/>
  <c r="E22" i="110"/>
  <c r="E24" i="110" s="1"/>
  <c r="E26" i="110" s="1"/>
  <c r="G25" i="82"/>
  <c r="O125" i="82"/>
  <c r="O181" i="82"/>
  <c r="O186" i="82" s="1"/>
  <c r="F222" i="82"/>
  <c r="F224" i="82" s="1"/>
  <c r="E259" i="82"/>
  <c r="Q31" i="117"/>
  <c r="F44" i="82" s="1"/>
  <c r="O246" i="117"/>
  <c r="Q254" i="117"/>
  <c r="Q266" i="117"/>
  <c r="Q77" i="117"/>
  <c r="F157" i="82" s="1"/>
  <c r="G157" i="82" s="1"/>
  <c r="E299" i="117"/>
  <c r="Q299" i="117" s="1"/>
  <c r="Q112" i="117"/>
  <c r="H344" i="117"/>
  <c r="Q344" i="117" s="1"/>
  <c r="Q348" i="117"/>
  <c r="F86" i="116"/>
  <c r="F86" i="115"/>
  <c r="J86" i="70"/>
  <c r="F127" i="70"/>
  <c r="F22" i="110"/>
  <c r="F24" i="110" s="1"/>
  <c r="F26" i="110" s="1"/>
  <c r="R19" i="82"/>
  <c r="Q33" i="82"/>
  <c r="M53" i="82"/>
  <c r="M61" i="82"/>
  <c r="P83" i="82"/>
  <c r="P125" i="82"/>
  <c r="N125" i="82"/>
  <c r="P181" i="82"/>
  <c r="P186" i="82" s="1"/>
  <c r="Q175" i="82"/>
  <c r="P343" i="82"/>
  <c r="Q28" i="117"/>
  <c r="F40" i="82" s="1"/>
  <c r="L234" i="117"/>
  <c r="E245" i="117"/>
  <c r="Q46" i="117"/>
  <c r="F92" i="82" s="1"/>
  <c r="M245" i="117"/>
  <c r="E283" i="117"/>
  <c r="Q283" i="117" s="1"/>
  <c r="Q87" i="117"/>
  <c r="H297" i="117"/>
  <c r="H122" i="117"/>
  <c r="H99" i="117" s="1"/>
  <c r="P297" i="117"/>
  <c r="E304" i="117"/>
  <c r="Q153" i="117"/>
  <c r="E152" i="82"/>
  <c r="Q158" i="82"/>
  <c r="Q343" i="82"/>
  <c r="S40" i="58" s="1"/>
  <c r="R338" i="82"/>
  <c r="P226" i="117"/>
  <c r="E234" i="117"/>
  <c r="Q29" i="117"/>
  <c r="F41" i="82" s="1"/>
  <c r="F245" i="117"/>
  <c r="N245" i="117"/>
  <c r="Q56" i="117"/>
  <c r="F104" i="82" s="1"/>
  <c r="E271" i="117"/>
  <c r="Q271" i="117" s="1"/>
  <c r="Q75" i="117"/>
  <c r="Q85" i="117"/>
  <c r="F167" i="82" s="1"/>
  <c r="G167" i="82" s="1"/>
  <c r="Q110" i="117"/>
  <c r="Q143" i="117"/>
  <c r="Q93" i="82"/>
  <c r="Q94" i="82"/>
  <c r="Q95" i="82"/>
  <c r="Q99" i="82"/>
  <c r="Q100" i="82"/>
  <c r="Q101" i="82"/>
  <c r="Q102" i="82"/>
  <c r="Q103" i="82"/>
  <c r="Q104" i="82"/>
  <c r="Q105" i="82"/>
  <c r="Q106" i="82"/>
  <c r="Q107" i="82"/>
  <c r="Q110" i="82"/>
  <c r="Q111" i="82"/>
  <c r="Q112" i="82"/>
  <c r="Q113" i="82"/>
  <c r="Q114" i="82"/>
  <c r="Q115" i="82"/>
  <c r="Q116" i="82"/>
  <c r="Q120" i="82"/>
  <c r="Q121" i="82"/>
  <c r="Q122" i="82"/>
  <c r="Q123" i="82"/>
  <c r="G143" i="82"/>
  <c r="M143" i="82" s="1"/>
  <c r="Q47" i="117"/>
  <c r="F94" i="82" s="1"/>
  <c r="Q54" i="117"/>
  <c r="F101" i="82" s="1"/>
  <c r="Q114" i="117"/>
  <c r="Q120" i="117"/>
  <c r="Q121" i="117"/>
  <c r="Q169" i="117"/>
  <c r="K245" i="117"/>
  <c r="I255" i="117"/>
  <c r="Q255" i="117" s="1"/>
  <c r="M265" i="117"/>
  <c r="F37" i="68"/>
  <c r="F14" i="68"/>
  <c r="E59" i="115"/>
  <c r="E59" i="116"/>
  <c r="M63" i="116"/>
  <c r="M63" i="115"/>
  <c r="N64" i="82"/>
  <c r="Q20" i="117"/>
  <c r="F33" i="82" s="1"/>
  <c r="Q30" i="117"/>
  <c r="F43" i="82" s="1"/>
  <c r="Q72" i="117"/>
  <c r="Q76" i="117"/>
  <c r="Q80" i="117"/>
  <c r="Q84" i="117"/>
  <c r="F165" i="82" s="1"/>
  <c r="G165" i="82" s="1"/>
  <c r="Q113" i="117"/>
  <c r="Q118" i="117"/>
  <c r="Q119" i="117"/>
  <c r="Q324" i="117"/>
  <c r="Q328" i="117"/>
  <c r="Q349" i="117"/>
  <c r="L245" i="117"/>
  <c r="I251" i="117"/>
  <c r="R44" i="66"/>
  <c r="R46" i="66" s="1"/>
  <c r="P44" i="120"/>
  <c r="Q15" i="120"/>
  <c r="F43" i="122"/>
  <c r="Q301" i="117"/>
  <c r="E122" i="117"/>
  <c r="Q168" i="117"/>
  <c r="F391" i="82" s="1"/>
  <c r="G391" i="82" s="1"/>
  <c r="Q345" i="117"/>
  <c r="E265" i="117"/>
  <c r="N23" i="116"/>
  <c r="N23" i="115"/>
  <c r="N107" i="115" s="1"/>
  <c r="N107" i="70"/>
  <c r="Q281" i="117"/>
  <c r="F122" i="117"/>
  <c r="Q341" i="117"/>
  <c r="S36" i="132"/>
  <c r="C80" i="132"/>
  <c r="G114" i="132"/>
  <c r="D126" i="132"/>
  <c r="F41" i="116"/>
  <c r="F41" i="115"/>
  <c r="J41" i="70"/>
  <c r="E110" i="174" s="1"/>
  <c r="G122" i="117"/>
  <c r="G99" i="117" s="1"/>
  <c r="I233" i="117"/>
  <c r="I274" i="117"/>
  <c r="Q274" i="117" s="1"/>
  <c r="Q293" i="117"/>
  <c r="D16" i="66"/>
  <c r="D15" i="66"/>
  <c r="F71" i="67"/>
  <c r="F13" i="67"/>
  <c r="F36" i="67"/>
  <c r="F38" i="67"/>
  <c r="F15" i="67"/>
  <c r="E40" i="67"/>
  <c r="E17" i="67"/>
  <c r="Q74" i="117"/>
  <c r="Q276" i="117"/>
  <c r="Q82" i="117"/>
  <c r="Q280" i="117"/>
  <c r="Q144" i="117"/>
  <c r="Q148" i="117"/>
  <c r="Q174" i="117"/>
  <c r="Q249" i="117"/>
  <c r="F12" i="107"/>
  <c r="E20" i="116"/>
  <c r="E20" i="115"/>
  <c r="E104" i="70"/>
  <c r="E104" i="115" s="1"/>
  <c r="Q170" i="117"/>
  <c r="E356" i="117"/>
  <c r="Q356" i="117" s="1"/>
  <c r="Q182" i="117"/>
  <c r="C93" i="132"/>
  <c r="S32" i="132"/>
  <c r="N88" i="66"/>
  <c r="R45" i="65" s="1"/>
  <c r="N58" i="66"/>
  <c r="N60" i="66" s="1"/>
  <c r="R31" i="65" s="1"/>
  <c r="F13" i="107"/>
  <c r="C12" i="132"/>
  <c r="P25" i="132" s="1"/>
  <c r="O23" i="132"/>
  <c r="N32" i="65"/>
  <c r="N41" i="58" s="1"/>
  <c r="P46" i="66"/>
  <c r="G24" i="67"/>
  <c r="G26" i="67" s="1"/>
  <c r="G28" i="67" s="1"/>
  <c r="E27" i="67"/>
  <c r="D48" i="67"/>
  <c r="E71" i="68"/>
  <c r="E11" i="68"/>
  <c r="F13" i="69"/>
  <c r="E34" i="69"/>
  <c r="D34" i="69"/>
  <c r="D16" i="69"/>
  <c r="K27" i="70"/>
  <c r="I60" i="116"/>
  <c r="I102" i="116" s="1"/>
  <c r="I60" i="115"/>
  <c r="D71" i="67"/>
  <c r="D73" i="67" s="1"/>
  <c r="D38" i="68"/>
  <c r="D15" i="68"/>
  <c r="D25" i="116"/>
  <c r="D25" i="115"/>
  <c r="G25" i="70"/>
  <c r="H25" i="70" s="1"/>
  <c r="D109" i="70"/>
  <c r="M61" i="115"/>
  <c r="M61" i="116"/>
  <c r="N103" i="116" s="1"/>
  <c r="N103" i="70"/>
  <c r="L12" i="107"/>
  <c r="P16" i="66"/>
  <c r="G45" i="66"/>
  <c r="E71" i="67"/>
  <c r="D21" i="68"/>
  <c r="D56" i="69"/>
  <c r="F14" i="69"/>
  <c r="F32" i="69"/>
  <c r="J19" i="116"/>
  <c r="J103" i="116" s="1"/>
  <c r="J19" i="115"/>
  <c r="J103" i="70"/>
  <c r="O26" i="116"/>
  <c r="O110" i="116" s="1"/>
  <c r="O26" i="115"/>
  <c r="O110" i="70"/>
  <c r="F46" i="70"/>
  <c r="I58" i="116"/>
  <c r="I58" i="115"/>
  <c r="F66" i="116"/>
  <c r="F108" i="116" s="1"/>
  <c r="F66" i="115"/>
  <c r="L13" i="107"/>
  <c r="C14" i="132"/>
  <c r="P27" i="132" s="1"/>
  <c r="L58" i="66"/>
  <c r="L60" i="66" s="1"/>
  <c r="P31" i="65" s="1"/>
  <c r="D13" i="67"/>
  <c r="D22" i="67"/>
  <c r="F18" i="68"/>
  <c r="J45" i="120"/>
  <c r="J28" i="120"/>
  <c r="D17" i="116"/>
  <c r="D101" i="70"/>
  <c r="G17" i="70"/>
  <c r="H17" i="70" s="1"/>
  <c r="D17" i="115"/>
  <c r="F23" i="116"/>
  <c r="F23" i="115"/>
  <c r="F107" i="70"/>
  <c r="F107" i="115" s="1"/>
  <c r="J27" i="70"/>
  <c r="M59" i="116"/>
  <c r="N101" i="116" s="1"/>
  <c r="M59" i="115"/>
  <c r="E63" i="116"/>
  <c r="E105" i="116" s="1"/>
  <c r="E63" i="115"/>
  <c r="C9" i="132"/>
  <c r="P22" i="132" s="1"/>
  <c r="F36" i="69"/>
  <c r="F18" i="69"/>
  <c r="O18" i="116"/>
  <c r="O18" i="115"/>
  <c r="O27" i="70"/>
  <c r="O102" i="70"/>
  <c r="F38" i="70"/>
  <c r="E137" i="174" s="1"/>
  <c r="I24" i="116"/>
  <c r="I24" i="115"/>
  <c r="I108" i="70"/>
  <c r="I64" i="115"/>
  <c r="I64" i="116"/>
  <c r="O22" i="132"/>
  <c r="H17" i="65"/>
  <c r="D46" i="68"/>
  <c r="D23" i="68"/>
  <c r="F29" i="69"/>
  <c r="M45" i="120"/>
  <c r="M14" i="120"/>
  <c r="E61" i="116"/>
  <c r="E61" i="115"/>
  <c r="F88" i="116"/>
  <c r="J88" i="70"/>
  <c r="F88" i="115"/>
  <c r="K32" i="65"/>
  <c r="K41" i="58" s="1"/>
  <c r="G46" i="66"/>
  <c r="E56" i="69"/>
  <c r="R45" i="120"/>
  <c r="R28" i="120"/>
  <c r="R30" i="120" s="1"/>
  <c r="I16" i="116"/>
  <c r="I100" i="70"/>
  <c r="I27" i="70"/>
  <c r="I16" i="115"/>
  <c r="G20" i="70"/>
  <c r="H20" i="70" s="1"/>
  <c r="K22" i="116"/>
  <c r="K106" i="116" s="1"/>
  <c r="K22" i="115"/>
  <c r="K106" i="115" s="1"/>
  <c r="K106" i="70"/>
  <c r="G59" i="70"/>
  <c r="H59" i="70" s="1"/>
  <c r="I62" i="116"/>
  <c r="I104" i="116" s="1"/>
  <c r="I62" i="115"/>
  <c r="D68" i="116"/>
  <c r="D68" i="115"/>
  <c r="G68" i="70"/>
  <c r="H68" i="70" s="1"/>
  <c r="D71" i="68"/>
  <c r="D73" i="68" s="1"/>
  <c r="F43" i="65" s="1"/>
  <c r="J16" i="116"/>
  <c r="J16" i="115"/>
  <c r="E17" i="116"/>
  <c r="E17" i="115"/>
  <c r="E101" i="70"/>
  <c r="E101" i="115" s="1"/>
  <c r="K19" i="116"/>
  <c r="K103" i="116" s="1"/>
  <c r="K19" i="115"/>
  <c r="K103" i="115" s="1"/>
  <c r="K103" i="70"/>
  <c r="F20" i="116"/>
  <c r="F20" i="115"/>
  <c r="F104" i="70"/>
  <c r="F104" i="115" s="1"/>
  <c r="N20" i="116"/>
  <c r="N20" i="115"/>
  <c r="N104" i="70"/>
  <c r="I21" i="116"/>
  <c r="I21" i="115"/>
  <c r="I105" i="70"/>
  <c r="D22" i="116"/>
  <c r="D22" i="115"/>
  <c r="D106" i="70"/>
  <c r="O23" i="116"/>
  <c r="O23" i="115"/>
  <c r="O107" i="70"/>
  <c r="J24" i="116"/>
  <c r="J24" i="115"/>
  <c r="J108" i="70"/>
  <c r="E25" i="116"/>
  <c r="E25" i="115"/>
  <c r="F36" i="116"/>
  <c r="J37" i="70"/>
  <c r="E54" i="174" s="1"/>
  <c r="F40" i="70"/>
  <c r="E81" i="174" s="1"/>
  <c r="F42" i="70"/>
  <c r="E277" i="174" s="1"/>
  <c r="F44" i="116"/>
  <c r="J45" i="70"/>
  <c r="E222" i="174" s="1"/>
  <c r="J58" i="116"/>
  <c r="J58" i="115"/>
  <c r="F59" i="116"/>
  <c r="F101" i="116" s="1"/>
  <c r="F59" i="115"/>
  <c r="N59" i="116"/>
  <c r="N59" i="115"/>
  <c r="J60" i="115"/>
  <c r="J60" i="116"/>
  <c r="F61" i="115"/>
  <c r="F61" i="116"/>
  <c r="F103" i="116" s="1"/>
  <c r="N61" i="115"/>
  <c r="N61" i="116"/>
  <c r="J62" i="116"/>
  <c r="J104" i="116" s="1"/>
  <c r="J62" i="115"/>
  <c r="F63" i="115"/>
  <c r="F63" i="116"/>
  <c r="F105" i="116" s="1"/>
  <c r="J64" i="115"/>
  <c r="J64" i="116"/>
  <c r="I65" i="116"/>
  <c r="I65" i="115"/>
  <c r="F67" i="115"/>
  <c r="F67" i="116"/>
  <c r="F109" i="116" s="1"/>
  <c r="E68" i="115"/>
  <c r="E68" i="116"/>
  <c r="E110" i="116" s="1"/>
  <c r="N19" i="115"/>
  <c r="J21" i="115"/>
  <c r="I26" i="115"/>
  <c r="F58" i="115"/>
  <c r="K16" i="116"/>
  <c r="K100" i="70"/>
  <c r="J65" i="116"/>
  <c r="J107" i="116" s="1"/>
  <c r="J65" i="115"/>
  <c r="F82" i="70"/>
  <c r="J100" i="70"/>
  <c r="N101" i="70"/>
  <c r="D103" i="70"/>
  <c r="J105" i="70"/>
  <c r="F109" i="70"/>
  <c r="F109" i="115" s="1"/>
  <c r="I110" i="70"/>
  <c r="F17" i="115"/>
  <c r="I18" i="115"/>
  <c r="O19" i="115"/>
  <c r="N24" i="115"/>
  <c r="K26" i="115"/>
  <c r="K110" i="115" s="1"/>
  <c r="D16" i="116"/>
  <c r="D16" i="115"/>
  <c r="O17" i="115"/>
  <c r="O101" i="70"/>
  <c r="J18" i="115"/>
  <c r="J102" i="70"/>
  <c r="J18" i="116"/>
  <c r="E19" i="115"/>
  <c r="E103" i="70"/>
  <c r="E103" i="115" s="1"/>
  <c r="E19" i="116"/>
  <c r="K21" i="115"/>
  <c r="K105" i="115" s="1"/>
  <c r="K105" i="70"/>
  <c r="K21" i="116"/>
  <c r="K105" i="116" s="1"/>
  <c r="F22" i="115"/>
  <c r="F106" i="70"/>
  <c r="F106" i="115" s="1"/>
  <c r="F22" i="116"/>
  <c r="F106" i="116" s="1"/>
  <c r="N22" i="115"/>
  <c r="N106" i="70"/>
  <c r="I23" i="115"/>
  <c r="I107" i="70"/>
  <c r="I23" i="116"/>
  <c r="D24" i="115"/>
  <c r="D108" i="70"/>
  <c r="D24" i="116"/>
  <c r="O25" i="116"/>
  <c r="O25" i="115"/>
  <c r="O109" i="70"/>
  <c r="J26" i="115"/>
  <c r="J110" i="70"/>
  <c r="J26" i="116"/>
  <c r="E27" i="70"/>
  <c r="D60" i="116"/>
  <c r="D102" i="116" s="1"/>
  <c r="D60" i="115"/>
  <c r="M64" i="115"/>
  <c r="M64" i="116"/>
  <c r="J66" i="115"/>
  <c r="J66" i="116"/>
  <c r="F103" i="70"/>
  <c r="F103" i="115" s="1"/>
  <c r="I104" i="70"/>
  <c r="O106" i="70"/>
  <c r="E108" i="70"/>
  <c r="E108" i="115" s="1"/>
  <c r="K110" i="70"/>
  <c r="E16" i="115"/>
  <c r="K18" i="115"/>
  <c r="K102" i="115" s="1"/>
  <c r="J23" i="115"/>
  <c r="F25" i="115"/>
  <c r="F36" i="115"/>
  <c r="N63" i="116"/>
  <c r="G22" i="70"/>
  <c r="H22" i="70" s="1"/>
  <c r="F27" i="70"/>
  <c r="N27" i="70"/>
  <c r="E58" i="115"/>
  <c r="E58" i="116"/>
  <c r="M58" i="116"/>
  <c r="N100" i="116" s="1"/>
  <c r="M58" i="115"/>
  <c r="I59" i="115"/>
  <c r="I59" i="116"/>
  <c r="I101" i="116" s="1"/>
  <c r="E60" i="116"/>
  <c r="E60" i="115"/>
  <c r="M60" i="115"/>
  <c r="M60" i="116"/>
  <c r="I61" i="116"/>
  <c r="I103" i="116" s="1"/>
  <c r="I61" i="115"/>
  <c r="E62" i="115"/>
  <c r="E62" i="116"/>
  <c r="M62" i="116"/>
  <c r="M62" i="115"/>
  <c r="I63" i="115"/>
  <c r="I63" i="116"/>
  <c r="E64" i="116"/>
  <c r="E64" i="115"/>
  <c r="N64" i="116"/>
  <c r="N64" i="115"/>
  <c r="F85" i="70"/>
  <c r="D102" i="70"/>
  <c r="J104" i="70"/>
  <c r="F108" i="70"/>
  <c r="F108" i="115" s="1"/>
  <c r="I17" i="115"/>
  <c r="I20" i="115"/>
  <c r="E22" i="115"/>
  <c r="K23" i="115"/>
  <c r="K107" i="115" s="1"/>
  <c r="N22" i="116"/>
  <c r="E66" i="116"/>
  <c r="E108" i="116" s="1"/>
  <c r="F16" i="116"/>
  <c r="F100" i="70"/>
  <c r="G26" i="116"/>
  <c r="H26" i="116" s="1"/>
  <c r="F37" i="116"/>
  <c r="F37" i="115"/>
  <c r="F39" i="70"/>
  <c r="E165" i="174" s="1"/>
  <c r="F43" i="116"/>
  <c r="F43" i="115"/>
  <c r="F45" i="116"/>
  <c r="F45" i="115"/>
  <c r="N58" i="116"/>
  <c r="F79" i="70"/>
  <c r="J59" i="116"/>
  <c r="J101" i="116" s="1"/>
  <c r="J59" i="115"/>
  <c r="F60" i="116"/>
  <c r="F60" i="115"/>
  <c r="N60" i="116"/>
  <c r="N60" i="115"/>
  <c r="F81" i="70"/>
  <c r="F62" i="116"/>
  <c r="F62" i="115"/>
  <c r="N62" i="116"/>
  <c r="O104" i="116" s="1"/>
  <c r="N62" i="115"/>
  <c r="F83" i="70"/>
  <c r="J63" i="116"/>
  <c r="J105" i="116" s="1"/>
  <c r="J63" i="115"/>
  <c r="D65" i="116"/>
  <c r="G65" i="70"/>
  <c r="H65" i="70" s="1"/>
  <c r="N65" i="115"/>
  <c r="N65" i="116"/>
  <c r="M66" i="116"/>
  <c r="N108" i="116" s="1"/>
  <c r="M66" i="115"/>
  <c r="J68" i="115"/>
  <c r="J68" i="116"/>
  <c r="J20" i="115"/>
  <c r="I25" i="115"/>
  <c r="G16" i="70"/>
  <c r="O16" i="116"/>
  <c r="O16" i="115"/>
  <c r="O100" i="70"/>
  <c r="J17" i="115"/>
  <c r="J101" i="70"/>
  <c r="E18" i="115"/>
  <c r="E102" i="70"/>
  <c r="E102" i="115" s="1"/>
  <c r="K20" i="116"/>
  <c r="K104" i="116" s="1"/>
  <c r="K20" i="115"/>
  <c r="K104" i="115" s="1"/>
  <c r="K104" i="70"/>
  <c r="F21" i="115"/>
  <c r="F105" i="70"/>
  <c r="F105" i="115" s="1"/>
  <c r="N21" i="116"/>
  <c r="N21" i="115"/>
  <c r="N105" i="70"/>
  <c r="I22" i="116"/>
  <c r="I22" i="115"/>
  <c r="I106" i="70"/>
  <c r="D23" i="115"/>
  <c r="D107" i="70"/>
  <c r="G24" i="70"/>
  <c r="H24" i="70" s="1"/>
  <c r="O24" i="116"/>
  <c r="O108" i="116" s="1"/>
  <c r="O24" i="115"/>
  <c r="O108" i="70"/>
  <c r="J25" i="116"/>
  <c r="J109" i="116" s="1"/>
  <c r="J25" i="115"/>
  <c r="J109" i="70"/>
  <c r="E26" i="115"/>
  <c r="E110" i="70"/>
  <c r="E110" i="115" s="1"/>
  <c r="G58" i="70"/>
  <c r="G60" i="70"/>
  <c r="H60" i="70" s="1"/>
  <c r="G62" i="70"/>
  <c r="H62" i="70" s="1"/>
  <c r="G64" i="70"/>
  <c r="H64" i="70" s="1"/>
  <c r="E65" i="116"/>
  <c r="E65" i="115"/>
  <c r="D66" i="116"/>
  <c r="G66" i="70"/>
  <c r="H66" i="70" s="1"/>
  <c r="F80" i="70"/>
  <c r="F84" i="70"/>
  <c r="F125" i="70" s="1"/>
  <c r="F101" i="70"/>
  <c r="F101" i="115" s="1"/>
  <c r="I102" i="70"/>
  <c r="O104" i="70"/>
  <c r="E106" i="70"/>
  <c r="E106" i="115" s="1"/>
  <c r="K108" i="70"/>
  <c r="K16" i="115"/>
  <c r="N17" i="115"/>
  <c r="F19" i="115"/>
  <c r="O20" i="115"/>
  <c r="E24" i="115"/>
  <c r="N25" i="115"/>
  <c r="J61" i="115"/>
  <c r="D64" i="115"/>
  <c r="O17" i="116"/>
  <c r="K17" i="116"/>
  <c r="K101" i="116" s="1"/>
  <c r="K17" i="115"/>
  <c r="K101" i="115" s="1"/>
  <c r="K101" i="70"/>
  <c r="F18" i="115"/>
  <c r="F102" i="70"/>
  <c r="F102" i="115" s="1"/>
  <c r="F18" i="116"/>
  <c r="N18" i="116"/>
  <c r="N18" i="115"/>
  <c r="N102" i="70"/>
  <c r="I19" i="115"/>
  <c r="I103" i="70"/>
  <c r="D20" i="116"/>
  <c r="D20" i="115"/>
  <c r="D104" i="70"/>
  <c r="G21" i="70"/>
  <c r="H21" i="70" s="1"/>
  <c r="O21" i="116"/>
  <c r="O21" i="115"/>
  <c r="O105" i="115" s="1"/>
  <c r="O105" i="70"/>
  <c r="J22" i="116"/>
  <c r="J22" i="115"/>
  <c r="J106" i="70"/>
  <c r="E23" i="115"/>
  <c r="E107" i="70"/>
  <c r="E107" i="115" s="1"/>
  <c r="E23" i="116"/>
  <c r="K25" i="116"/>
  <c r="K109" i="116" s="1"/>
  <c r="K25" i="115"/>
  <c r="K109" i="115" s="1"/>
  <c r="K109" i="70"/>
  <c r="F26" i="115"/>
  <c r="F110" i="70"/>
  <c r="F110" i="115" s="1"/>
  <c r="N26" i="116"/>
  <c r="N26" i="115"/>
  <c r="N110" i="70"/>
  <c r="D59" i="116"/>
  <c r="D59" i="115"/>
  <c r="D61" i="116"/>
  <c r="D61" i="115"/>
  <c r="D63" i="115"/>
  <c r="D63" i="116"/>
  <c r="F65" i="116"/>
  <c r="F65" i="115"/>
  <c r="D67" i="116"/>
  <c r="N67" i="115"/>
  <c r="N67" i="116"/>
  <c r="M68" i="116"/>
  <c r="M68" i="115"/>
  <c r="D100" i="115"/>
  <c r="D105" i="70"/>
  <c r="F24" i="115"/>
  <c r="F64" i="115"/>
  <c r="D67" i="115"/>
  <c r="F87" i="70"/>
  <c r="F89" i="70"/>
  <c r="J67" i="115"/>
  <c r="N68" i="115"/>
  <c r="H33" i="152"/>
  <c r="H16" i="152"/>
  <c r="H27" i="152" s="1"/>
  <c r="H28" i="152" s="1"/>
  <c r="H29" i="152" s="1"/>
  <c r="E15" i="54"/>
  <c r="F13" i="54"/>
  <c r="I66" i="115"/>
  <c r="I66" i="116"/>
  <c r="I68" i="115"/>
  <c r="I68" i="116"/>
  <c r="I110" i="116" s="1"/>
  <c r="I9" i="152"/>
  <c r="M65" i="116"/>
  <c r="O15" i="54"/>
  <c r="Q39" i="54"/>
  <c r="O39" i="54"/>
  <c r="O69" i="54"/>
  <c r="Q69" i="54"/>
  <c r="S69" i="54" s="1"/>
  <c r="D35" i="152"/>
  <c r="D36" i="152"/>
  <c r="E9" i="152"/>
  <c r="L39" i="54"/>
  <c r="E47" i="54"/>
  <c r="F47" i="54" s="1"/>
  <c r="F43" i="54"/>
  <c r="L69" i="54"/>
  <c r="E82" i="54"/>
  <c r="K89" i="54"/>
  <c r="D19" i="54"/>
  <c r="D21" i="54" s="1"/>
  <c r="D23" i="54" s="1"/>
  <c r="H82" i="54"/>
  <c r="L50" i="54"/>
  <c r="E76" i="54"/>
  <c r="F76" i="54" s="1"/>
  <c r="F72" i="54"/>
  <c r="E84" i="54"/>
  <c r="I33" i="54"/>
  <c r="H89" i="54"/>
  <c r="I40" i="54"/>
  <c r="O78" i="54"/>
  <c r="Q78" i="54"/>
  <c r="S78" i="54" s="1"/>
  <c r="D33" i="152"/>
  <c r="J19" i="54"/>
  <c r="H37" i="54"/>
  <c r="Q56" i="54"/>
  <c r="S56" i="54" s="1"/>
  <c r="O56" i="54"/>
  <c r="I29" i="158"/>
  <c r="F30" i="158" s="1"/>
  <c r="E140" i="55" s="1"/>
  <c r="D28" i="152"/>
  <c r="E73" i="61"/>
  <c r="F118" i="150"/>
  <c r="H84" i="54"/>
  <c r="O126" i="55"/>
  <c r="D38" i="55"/>
  <c r="K46" i="96"/>
  <c r="L46" i="96" s="1"/>
  <c r="K15" i="96"/>
  <c r="L45" i="96"/>
  <c r="E57" i="54"/>
  <c r="F57" i="54" s="1"/>
  <c r="G4" i="155"/>
  <c r="H4" i="155" s="1"/>
  <c r="G14" i="155"/>
  <c r="H14" i="155" s="1"/>
  <c r="I36" i="54"/>
  <c r="H57" i="54"/>
  <c r="H58" i="54" s="1"/>
  <c r="I58" i="54" s="1"/>
  <c r="H76" i="54"/>
  <c r="H77" i="54" s="1"/>
  <c r="I77" i="54" s="1"/>
  <c r="H119" i="61"/>
  <c r="H96" i="61"/>
  <c r="E141" i="61"/>
  <c r="D82" i="55"/>
  <c r="G9" i="155"/>
  <c r="H9" i="155" s="1"/>
  <c r="G30" i="155"/>
  <c r="H30" i="155" s="1"/>
  <c r="J135" i="61"/>
  <c r="E7" i="158"/>
  <c r="F101" i="55" s="1"/>
  <c r="E33" i="55"/>
  <c r="E35" i="55"/>
  <c r="G82" i="55"/>
  <c r="O82" i="55"/>
  <c r="D87" i="55"/>
  <c r="I15" i="72"/>
  <c r="K15" i="72" s="1"/>
  <c r="I72" i="72"/>
  <c r="K72" i="72" s="1"/>
  <c r="I81" i="72"/>
  <c r="K81" i="72" s="1"/>
  <c r="I134" i="72"/>
  <c r="K134" i="72" s="1"/>
  <c r="R160" i="72"/>
  <c r="M87" i="55"/>
  <c r="D116" i="55"/>
  <c r="F54" i="114"/>
  <c r="H49" i="114"/>
  <c r="I79" i="72"/>
  <c r="K79" i="72" s="1"/>
  <c r="I112" i="72"/>
  <c r="K112" i="72" s="1"/>
  <c r="E120" i="72"/>
  <c r="C168" i="72"/>
  <c r="L27" i="73"/>
  <c r="I173" i="72"/>
  <c r="K173" i="72" s="1"/>
  <c r="L173" i="72" s="1"/>
  <c r="N173" i="72" s="1"/>
  <c r="I174" i="72"/>
  <c r="K174" i="72" s="1"/>
  <c r="L174" i="72" s="1"/>
  <c r="N174" i="72" s="1"/>
  <c r="D166" i="55"/>
  <c r="L68" i="75"/>
  <c r="K42" i="75"/>
  <c r="L42" i="75" s="1"/>
  <c r="I19" i="72"/>
  <c r="K19" i="72" s="1"/>
  <c r="F44" i="72"/>
  <c r="I66" i="72"/>
  <c r="K66" i="72" s="1"/>
  <c r="F23" i="158"/>
  <c r="E137" i="55" s="1"/>
  <c r="E14" i="55"/>
  <c r="E16" i="55"/>
  <c r="D34" i="55"/>
  <c r="D36" i="55"/>
  <c r="E60" i="55"/>
  <c r="D160" i="55"/>
  <c r="H44" i="75"/>
  <c r="I44" i="75" s="1"/>
  <c r="H18" i="75"/>
  <c r="I18" i="75" s="1"/>
  <c r="I70" i="75"/>
  <c r="L76" i="75"/>
  <c r="K50" i="75"/>
  <c r="L50" i="75" s="1"/>
  <c r="I13" i="72"/>
  <c r="K13" i="72" s="1"/>
  <c r="I160" i="72"/>
  <c r="C77" i="73"/>
  <c r="C31" i="101" s="1"/>
  <c r="F72" i="75"/>
  <c r="E46" i="75"/>
  <c r="F46" i="75" s="1"/>
  <c r="F16" i="114"/>
  <c r="Q38" i="72"/>
  <c r="I38" i="72"/>
  <c r="K38" i="72" s="1"/>
  <c r="G74" i="72"/>
  <c r="I70" i="72"/>
  <c r="K70" i="72" s="1"/>
  <c r="F44" i="150"/>
  <c r="F152" i="150"/>
  <c r="H52" i="75"/>
  <c r="I52" i="75" s="1"/>
  <c r="H26" i="75"/>
  <c r="I26" i="75" s="1"/>
  <c r="I78" i="75"/>
  <c r="E35" i="114"/>
  <c r="F30" i="114"/>
  <c r="L52" i="114"/>
  <c r="O52" i="114" s="1"/>
  <c r="I17" i="72"/>
  <c r="K17" i="72" s="1"/>
  <c r="I85" i="72"/>
  <c r="K85" i="72" s="1"/>
  <c r="E168" i="72"/>
  <c r="F64" i="75"/>
  <c r="E38" i="75"/>
  <c r="F38" i="75" s="1"/>
  <c r="F11" i="114"/>
  <c r="Q36" i="72"/>
  <c r="I36" i="72"/>
  <c r="K36" i="72" s="1"/>
  <c r="F89" i="72"/>
  <c r="C75" i="73"/>
  <c r="C29" i="101" s="1"/>
  <c r="H46" i="96"/>
  <c r="I46" i="96" s="1"/>
  <c r="G21" i="72"/>
  <c r="E74" i="72"/>
  <c r="G89" i="72"/>
  <c r="R112" i="72"/>
  <c r="F168" i="72"/>
  <c r="C184" i="72"/>
  <c r="Q173" i="72"/>
  <c r="K79" i="75"/>
  <c r="F74" i="72"/>
  <c r="D184" i="72"/>
  <c r="R173" i="72"/>
  <c r="Q177" i="72"/>
  <c r="I185" i="72"/>
  <c r="K185" i="72" s="1"/>
  <c r="E184" i="72"/>
  <c r="R177" i="72"/>
  <c r="I178" i="72"/>
  <c r="K178" i="72" s="1"/>
  <c r="L178" i="72" s="1"/>
  <c r="N178" i="72" s="1"/>
  <c r="F52" i="114"/>
  <c r="E44" i="72"/>
  <c r="R84" i="72"/>
  <c r="R86" i="72"/>
  <c r="Q124" i="72"/>
  <c r="R133" i="72"/>
  <c r="I182" i="72"/>
  <c r="K182" i="72" s="1"/>
  <c r="L182" i="72" s="1"/>
  <c r="N182" i="72" s="1"/>
  <c r="M62" i="73"/>
  <c r="J33" i="102"/>
  <c r="N33" i="101"/>
  <c r="F45" i="96"/>
  <c r="R161" i="72"/>
  <c r="R166" i="72"/>
  <c r="R172" i="72"/>
  <c r="F184" i="72"/>
  <c r="C76" i="73"/>
  <c r="C30" i="101" s="1"/>
  <c r="I12" i="72"/>
  <c r="K12" i="72" s="1"/>
  <c r="I180" i="72"/>
  <c r="K180" i="72" s="1"/>
  <c r="L180" i="72" s="1"/>
  <c r="N180" i="72" s="1"/>
  <c r="E46" i="96"/>
  <c r="C74" i="73"/>
  <c r="C28" i="101" s="1"/>
  <c r="C42" i="73"/>
  <c r="J38" i="102"/>
  <c r="M38" i="102" s="1"/>
  <c r="K22" i="101"/>
  <c r="K45" i="101" s="1"/>
  <c r="Q181" i="72"/>
  <c r="M63" i="73"/>
  <c r="M65" i="73"/>
  <c r="J21" i="73"/>
  <c r="J32" i="102"/>
  <c r="M32" i="102" s="1"/>
  <c r="J37" i="103"/>
  <c r="M37" i="103" s="1"/>
  <c r="N37" i="99"/>
  <c r="R181" i="72"/>
  <c r="J19" i="102"/>
  <c r="N19" i="101"/>
  <c r="M67" i="73"/>
  <c r="J68" i="73"/>
  <c r="C14" i="102"/>
  <c r="H30" i="103"/>
  <c r="M64" i="73"/>
  <c r="L81" i="73"/>
  <c r="J34" i="102"/>
  <c r="N34" i="101"/>
  <c r="J16" i="102"/>
  <c r="N16" i="101"/>
  <c r="N14" i="101"/>
  <c r="J17" i="102"/>
  <c r="J28" i="102"/>
  <c r="M28" i="102" s="1"/>
  <c r="J35" i="102"/>
  <c r="M35" i="102" s="1"/>
  <c r="J36" i="102"/>
  <c r="H22" i="102"/>
  <c r="I22" i="99"/>
  <c r="C52" i="160"/>
  <c r="F28" i="102"/>
  <c r="N17" i="101"/>
  <c r="J20" i="102"/>
  <c r="N36" i="101"/>
  <c r="C41" i="160"/>
  <c r="F15" i="102"/>
  <c r="F30" i="102"/>
  <c r="C54" i="160"/>
  <c r="H26" i="102"/>
  <c r="I26" i="99"/>
  <c r="B41" i="160"/>
  <c r="E15" i="102"/>
  <c r="J14" i="102"/>
  <c r="J30" i="102"/>
  <c r="M30" i="102" s="1"/>
  <c r="J15" i="102"/>
  <c r="J31" i="102"/>
  <c r="M31" i="102" s="1"/>
  <c r="J40" i="102"/>
  <c r="N40" i="101"/>
  <c r="J41" i="102"/>
  <c r="N41" i="101"/>
  <c r="B46" i="160"/>
  <c r="E20" i="102"/>
  <c r="N39" i="101"/>
  <c r="J37" i="102"/>
  <c r="M37" i="102" s="1"/>
  <c r="E41" i="102"/>
  <c r="D29" i="102"/>
  <c r="B53" i="160"/>
  <c r="F26" i="102"/>
  <c r="C55" i="160"/>
  <c r="E40" i="102"/>
  <c r="N39" i="99"/>
  <c r="C44" i="160"/>
  <c r="F18" i="102"/>
  <c r="M40" i="101"/>
  <c r="D28" i="102"/>
  <c r="R45" i="102"/>
  <c r="R52" i="102" s="1"/>
  <c r="T13" i="113"/>
  <c r="R22" i="113"/>
  <c r="M26" i="102"/>
  <c r="W13" i="113"/>
  <c r="T19" i="113"/>
  <c r="O22" i="113"/>
  <c r="C43" i="113"/>
  <c r="M43" i="113"/>
  <c r="AD28" i="113"/>
  <c r="Q28" i="113"/>
  <c r="Q63" i="113"/>
  <c r="W65" i="113"/>
  <c r="U83" i="113"/>
  <c r="W72" i="113"/>
  <c r="AD75" i="113"/>
  <c r="Q75" i="113"/>
  <c r="M26" i="103"/>
  <c r="H22" i="113"/>
  <c r="P22" i="113"/>
  <c r="X22" i="113"/>
  <c r="Z15" i="113"/>
  <c r="N19" i="113"/>
  <c r="I20" i="113"/>
  <c r="K20" i="113" s="1"/>
  <c r="D43" i="113"/>
  <c r="X43" i="113"/>
  <c r="W29" i="113"/>
  <c r="E35" i="113"/>
  <c r="Q74" i="113"/>
  <c r="P83" i="113"/>
  <c r="E19" i="113"/>
  <c r="C18" i="72" s="1"/>
  <c r="O43" i="113"/>
  <c r="N27" i="113"/>
  <c r="I28" i="113"/>
  <c r="K28" i="113" s="1"/>
  <c r="Q32" i="113"/>
  <c r="Q40" i="113"/>
  <c r="V43" i="113"/>
  <c r="Z60" i="113"/>
  <c r="X68" i="113"/>
  <c r="D68" i="113"/>
  <c r="L83" i="113"/>
  <c r="T74" i="113"/>
  <c r="N77" i="113"/>
  <c r="AD73" i="113"/>
  <c r="N73" i="113"/>
  <c r="I74" i="113"/>
  <c r="H83" i="113"/>
  <c r="K13" i="113"/>
  <c r="AD16" i="113"/>
  <c r="Q16" i="113"/>
  <c r="W18" i="113"/>
  <c r="G22" i="113"/>
  <c r="H43" i="113"/>
  <c r="Q26" i="113"/>
  <c r="AD33" i="113"/>
  <c r="Q33" i="113"/>
  <c r="AD41" i="113"/>
  <c r="Q41" i="113"/>
  <c r="O68" i="113"/>
  <c r="AD61" i="113"/>
  <c r="Q61" i="113"/>
  <c r="U68" i="113"/>
  <c r="W63" i="113"/>
  <c r="L22" i="113"/>
  <c r="I26" i="113"/>
  <c r="R43" i="113"/>
  <c r="T26" i="113"/>
  <c r="Z27" i="113"/>
  <c r="AD31" i="113"/>
  <c r="N31" i="113"/>
  <c r="W34" i="113"/>
  <c r="E38" i="113"/>
  <c r="AD39" i="113"/>
  <c r="N39" i="113"/>
  <c r="W62" i="113"/>
  <c r="E66" i="113"/>
  <c r="C72" i="72" s="1"/>
  <c r="Z73" i="113"/>
  <c r="E77" i="113"/>
  <c r="C22" i="113"/>
  <c r="M22" i="113"/>
  <c r="I16" i="113"/>
  <c r="K16" i="113" s="1"/>
  <c r="AD18" i="113"/>
  <c r="S43" i="113"/>
  <c r="E30" i="113"/>
  <c r="N35" i="113"/>
  <c r="T37" i="113"/>
  <c r="I60" i="113"/>
  <c r="T60" i="113"/>
  <c r="R83" i="113"/>
  <c r="T72" i="113"/>
  <c r="Z74" i="113"/>
  <c r="X83" i="113"/>
  <c r="AD36" i="113"/>
  <c r="Q36" i="113"/>
  <c r="G68" i="113"/>
  <c r="I61" i="113"/>
  <c r="K61" i="113" s="1"/>
  <c r="M68" i="113"/>
  <c r="N63" i="113"/>
  <c r="AD64" i="113"/>
  <c r="Q64" i="113"/>
  <c r="AD26" i="113"/>
  <c r="Q78" i="113"/>
  <c r="N81" i="113"/>
  <c r="E101" i="113"/>
  <c r="N101" i="113"/>
  <c r="Q106" i="113"/>
  <c r="Y109" i="113"/>
  <c r="I13" i="98"/>
  <c r="H13" i="98"/>
  <c r="AD35" i="113"/>
  <c r="E60" i="113"/>
  <c r="N60" i="113"/>
  <c r="AD63" i="113"/>
  <c r="AD77" i="113"/>
  <c r="W101" i="113"/>
  <c r="AD105" i="113"/>
  <c r="R68" i="113"/>
  <c r="I72" i="113"/>
  <c r="Q72" i="113"/>
  <c r="Q80" i="113"/>
  <c r="O83" i="113"/>
  <c r="L109" i="113"/>
  <c r="Q102" i="113"/>
  <c r="W104" i="113"/>
  <c r="Z102" i="113"/>
  <c r="I103" i="113"/>
  <c r="K103" i="113" s="1"/>
  <c r="Q103" i="113"/>
  <c r="O109" i="113"/>
  <c r="Q113" i="113"/>
  <c r="AD113" i="113"/>
  <c r="E72" i="113"/>
  <c r="N72" i="113"/>
  <c r="I114" i="113"/>
  <c r="Q114" i="113"/>
  <c r="Q122" i="113"/>
  <c r="O125" i="113"/>
  <c r="Z114" i="113"/>
  <c r="AD121" i="113"/>
  <c r="E84" i="150"/>
  <c r="Q116" i="113"/>
  <c r="T114" i="113"/>
  <c r="Q117" i="113"/>
  <c r="Q118" i="113"/>
  <c r="AD142" i="113"/>
  <c r="AF142" i="113" s="1"/>
  <c r="N114" i="113"/>
  <c r="Q119" i="113"/>
  <c r="D89" i="150"/>
  <c r="F312" i="150"/>
  <c r="I17" i="135"/>
  <c r="W114" i="113"/>
  <c r="F313" i="150"/>
  <c r="F277" i="150"/>
  <c r="F307" i="150"/>
  <c r="J36" i="115" l="1"/>
  <c r="T168" i="113"/>
  <c r="L168" i="113"/>
  <c r="G64" i="116"/>
  <c r="H64" i="116" s="1"/>
  <c r="N168" i="113"/>
  <c r="AD168" i="113" s="1"/>
  <c r="AF168" i="113" s="1"/>
  <c r="G168" i="113"/>
  <c r="R30" i="72"/>
  <c r="AD166" i="113"/>
  <c r="AF166" i="113" s="1"/>
  <c r="M35" i="101"/>
  <c r="S168" i="113"/>
  <c r="K168" i="113"/>
  <c r="C72" i="73"/>
  <c r="C26" i="101" s="1"/>
  <c r="C26" i="99" s="1"/>
  <c r="X168" i="113"/>
  <c r="P168" i="113"/>
  <c r="C35" i="102"/>
  <c r="L25" i="160"/>
  <c r="F54" i="150"/>
  <c r="W168" i="113"/>
  <c r="E168" i="113"/>
  <c r="C16" i="172"/>
  <c r="C54" i="172"/>
  <c r="D16" i="172"/>
  <c r="D54" i="172"/>
  <c r="E16" i="172"/>
  <c r="E54" i="172"/>
  <c r="L23" i="160"/>
  <c r="E29" i="174"/>
  <c r="U168" i="113"/>
  <c r="C33" i="99"/>
  <c r="M33" i="99" s="1"/>
  <c r="C33" i="102"/>
  <c r="G309" i="117"/>
  <c r="G69" i="70"/>
  <c r="F120" i="70"/>
  <c r="F90" i="70"/>
  <c r="Q30" i="72"/>
  <c r="E28" i="174"/>
  <c r="E69" i="70"/>
  <c r="F47" i="70"/>
  <c r="K159" i="55" s="1"/>
  <c r="J309" i="117"/>
  <c r="T5" i="162"/>
  <c r="M5" i="162"/>
  <c r="T18" i="162"/>
  <c r="M18" i="162"/>
  <c r="E77" i="58"/>
  <c r="C66" i="132"/>
  <c r="C68" i="132" s="1"/>
  <c r="D11" i="171"/>
  <c r="D13" i="171" s="1"/>
  <c r="D15" i="171" s="1"/>
  <c r="K79" i="58"/>
  <c r="D188" i="150"/>
  <c r="S44" i="58"/>
  <c r="J36" i="116"/>
  <c r="E295" i="150"/>
  <c r="G126" i="55"/>
  <c r="D21" i="156"/>
  <c r="M38" i="101"/>
  <c r="M126" i="55"/>
  <c r="S53" i="58" s="1"/>
  <c r="F260" i="150"/>
  <c r="E189" i="150"/>
  <c r="C38" i="102"/>
  <c r="L28" i="160"/>
  <c r="C92" i="132"/>
  <c r="C94" i="132" s="1"/>
  <c r="F142" i="55"/>
  <c r="G141" i="61"/>
  <c r="C38" i="99"/>
  <c r="L62" i="160" s="1"/>
  <c r="J44" i="58"/>
  <c r="V82" i="58"/>
  <c r="U80" i="58"/>
  <c r="N79" i="58"/>
  <c r="G44" i="58"/>
  <c r="Q88" i="58"/>
  <c r="D189" i="150"/>
  <c r="P87" i="58"/>
  <c r="R90" i="58"/>
  <c r="F305" i="150"/>
  <c r="B14" i="58"/>
  <c r="U53" i="58"/>
  <c r="Q39" i="72"/>
  <c r="K78" i="58"/>
  <c r="Q26" i="132"/>
  <c r="L46" i="160"/>
  <c r="Q27" i="132"/>
  <c r="M37" i="101"/>
  <c r="M32" i="101"/>
  <c r="M141" i="61"/>
  <c r="R93" i="58"/>
  <c r="D154" i="150"/>
  <c r="D191" i="150" s="1"/>
  <c r="L123" i="55"/>
  <c r="S74" i="58"/>
  <c r="F270" i="150"/>
  <c r="D167" i="55"/>
  <c r="K53" i="58"/>
  <c r="D269" i="150" s="1"/>
  <c r="O35" i="132"/>
  <c r="O30" i="132"/>
  <c r="Q31" i="72"/>
  <c r="I77" i="58"/>
  <c r="J77" i="58" s="1"/>
  <c r="M26" i="101"/>
  <c r="O89" i="55"/>
  <c r="M94" i="58"/>
  <c r="R89" i="58"/>
  <c r="C35" i="103"/>
  <c r="G21" i="54"/>
  <c r="M83" i="82"/>
  <c r="H3" i="153"/>
  <c r="Q21" i="58"/>
  <c r="O87" i="58"/>
  <c r="R83" i="58"/>
  <c r="F15" i="171"/>
  <c r="M355" i="82"/>
  <c r="Q32" i="72"/>
  <c r="R94" i="58"/>
  <c r="V81" i="58"/>
  <c r="D95" i="150"/>
  <c r="Q27" i="72"/>
  <c r="C15" i="99"/>
  <c r="E17" i="171"/>
  <c r="E18" i="171" s="1"/>
  <c r="E20" i="171" s="1"/>
  <c r="E22" i="171" s="1"/>
  <c r="D18" i="171"/>
  <c r="D20" i="171" s="1"/>
  <c r="D22" i="171" s="1"/>
  <c r="J89" i="55"/>
  <c r="P40" i="132"/>
  <c r="L87" i="58"/>
  <c r="M87" i="58" s="1"/>
  <c r="C34" i="102"/>
  <c r="K11" i="58"/>
  <c r="M93" i="58"/>
  <c r="M18" i="99"/>
  <c r="T90" i="73"/>
  <c r="E9" i="156"/>
  <c r="C41" i="99"/>
  <c r="E20" i="58"/>
  <c r="E25" i="58" s="1"/>
  <c r="E28" i="58" s="1"/>
  <c r="E30" i="58" s="1"/>
  <c r="M89" i="55"/>
  <c r="F315" i="150"/>
  <c r="Q29" i="72"/>
  <c r="U44" i="58"/>
  <c r="G89" i="55"/>
  <c r="Q54" i="58"/>
  <c r="Q28" i="72"/>
  <c r="F311" i="150"/>
  <c r="C26" i="102"/>
  <c r="Q24" i="132"/>
  <c r="C36" i="103"/>
  <c r="T81" i="58"/>
  <c r="I141" i="61"/>
  <c r="J126" i="55"/>
  <c r="Q28" i="132"/>
  <c r="C33" i="103"/>
  <c r="L11" i="160"/>
  <c r="I309" i="117"/>
  <c r="G75" i="67"/>
  <c r="C20" i="103"/>
  <c r="C37" i="102"/>
  <c r="Q33" i="72"/>
  <c r="AF120" i="113"/>
  <c r="C81" i="132"/>
  <c r="K40" i="73"/>
  <c r="O40" i="73" s="1"/>
  <c r="O87" i="73" s="1"/>
  <c r="M14" i="99"/>
  <c r="C19" i="99"/>
  <c r="D43" i="96"/>
  <c r="D44" i="66"/>
  <c r="D45" i="66" s="1"/>
  <c r="B43" i="58"/>
  <c r="E53" i="58"/>
  <c r="Q64" i="82"/>
  <c r="I51" i="58"/>
  <c r="E159" i="150"/>
  <c r="F159" i="150" s="1"/>
  <c r="H38" i="54"/>
  <c r="I38" i="54" s="1"/>
  <c r="L13" i="58"/>
  <c r="E226" i="150"/>
  <c r="L43" i="58"/>
  <c r="E259" i="150"/>
  <c r="H48" i="54"/>
  <c r="I48" i="54" s="1"/>
  <c r="M391" i="82"/>
  <c r="D168" i="117" s="1"/>
  <c r="F51" i="58"/>
  <c r="F84" i="58" s="1"/>
  <c r="E51" i="150"/>
  <c r="M152" i="82"/>
  <c r="D70" i="117" s="1"/>
  <c r="E151" i="150"/>
  <c r="I13" i="58"/>
  <c r="E117" i="150"/>
  <c r="I43" i="58"/>
  <c r="L51" i="58"/>
  <c r="E267" i="150"/>
  <c r="F89" i="54"/>
  <c r="F13" i="58"/>
  <c r="E12" i="150"/>
  <c r="F43" i="58"/>
  <c r="G43" i="58" s="1"/>
  <c r="E43" i="150"/>
  <c r="I17" i="58"/>
  <c r="E121" i="150"/>
  <c r="Q49" i="58"/>
  <c r="N44" i="70"/>
  <c r="N44" i="116" s="1"/>
  <c r="E250" i="174"/>
  <c r="C15" i="102"/>
  <c r="M41" i="101"/>
  <c r="N43" i="70"/>
  <c r="E195" i="174" s="1"/>
  <c r="E196" i="174" s="1"/>
  <c r="C14" i="103"/>
  <c r="C22" i="101"/>
  <c r="F309" i="117"/>
  <c r="E305" i="174"/>
  <c r="J43" i="116"/>
  <c r="C41" i="102"/>
  <c r="C32" i="99"/>
  <c r="L7" i="160"/>
  <c r="Q91" i="73"/>
  <c r="Q98" i="73" s="1"/>
  <c r="C32" i="102"/>
  <c r="J43" i="115"/>
  <c r="E67" i="116"/>
  <c r="C103" i="88"/>
  <c r="G46" i="160"/>
  <c r="E20" i="103" s="1"/>
  <c r="F20" i="102"/>
  <c r="G53" i="160"/>
  <c r="G52" i="160"/>
  <c r="G41" i="160"/>
  <c r="R48" i="58"/>
  <c r="C44" i="73"/>
  <c r="M121" i="82"/>
  <c r="I82" i="58"/>
  <c r="L31" i="160"/>
  <c r="L9" i="160"/>
  <c r="M158" i="82"/>
  <c r="D78" i="117" s="1"/>
  <c r="C17" i="99"/>
  <c r="M159" i="82"/>
  <c r="F209" i="117" s="1"/>
  <c r="L24" i="160"/>
  <c r="L8" i="160"/>
  <c r="AF102" i="113"/>
  <c r="C17" i="102"/>
  <c r="L69" i="72"/>
  <c r="M110" i="82"/>
  <c r="J54" i="58"/>
  <c r="C68" i="73"/>
  <c r="C34" i="99"/>
  <c r="C16" i="99"/>
  <c r="Q224" i="82"/>
  <c r="N40" i="58" s="1"/>
  <c r="L82" i="72"/>
  <c r="N82" i="72" s="1"/>
  <c r="L44" i="160"/>
  <c r="M157" i="82"/>
  <c r="F207" i="117" s="1"/>
  <c r="M162" i="82"/>
  <c r="F211" i="117" s="1"/>
  <c r="M112" i="82"/>
  <c r="I81" i="58"/>
  <c r="L22" i="160"/>
  <c r="L78" i="72"/>
  <c r="N78" i="72" s="1"/>
  <c r="J21" i="58"/>
  <c r="L40" i="160"/>
  <c r="L40" i="103"/>
  <c r="C16" i="102"/>
  <c r="C18" i="103"/>
  <c r="L128" i="72"/>
  <c r="N128" i="72" s="1"/>
  <c r="C59" i="160"/>
  <c r="C62" i="160"/>
  <c r="F36" i="102"/>
  <c r="F32" i="102"/>
  <c r="C40" i="160"/>
  <c r="C42" i="160"/>
  <c r="M19" i="99"/>
  <c r="AF32" i="113"/>
  <c r="M38" i="99"/>
  <c r="K42" i="88"/>
  <c r="J17" i="121" s="1"/>
  <c r="E335" i="82"/>
  <c r="E374" i="82" s="1"/>
  <c r="C28" i="99"/>
  <c r="L18" i="160"/>
  <c r="M36" i="99"/>
  <c r="L60" i="160"/>
  <c r="C29" i="99"/>
  <c r="L19" i="160"/>
  <c r="C37" i="99"/>
  <c r="L27" i="160"/>
  <c r="M35" i="99"/>
  <c r="L59" i="160"/>
  <c r="M17" i="166"/>
  <c r="O187" i="88"/>
  <c r="M39" i="99"/>
  <c r="L63" i="160"/>
  <c r="M40" i="99"/>
  <c r="L64" i="160"/>
  <c r="C30" i="99"/>
  <c r="L20" i="160"/>
  <c r="C31" i="99"/>
  <c r="M31" i="99" s="1"/>
  <c r="L21" i="160"/>
  <c r="D25" i="72"/>
  <c r="O101" i="88"/>
  <c r="R33" i="72"/>
  <c r="D17" i="88"/>
  <c r="D16" i="72"/>
  <c r="R28" i="72"/>
  <c r="D15" i="88"/>
  <c r="D14" i="72"/>
  <c r="D18" i="88"/>
  <c r="D17" i="72"/>
  <c r="R32" i="72"/>
  <c r="D14" i="88"/>
  <c r="D13" i="72"/>
  <c r="D19" i="88"/>
  <c r="D18" i="72"/>
  <c r="R29" i="72"/>
  <c r="D13" i="88"/>
  <c r="D12" i="72"/>
  <c r="R27" i="72"/>
  <c r="R39" i="72"/>
  <c r="D26" i="72"/>
  <c r="R31" i="72"/>
  <c r="D19" i="72"/>
  <c r="D20" i="88"/>
  <c r="C29" i="102"/>
  <c r="O16" i="122"/>
  <c r="P63" i="122"/>
  <c r="G5" i="153"/>
  <c r="L40" i="102"/>
  <c r="J51" i="73"/>
  <c r="K80" i="113"/>
  <c r="K79" i="113"/>
  <c r="K78" i="113"/>
  <c r="K77" i="113"/>
  <c r="K76" i="113"/>
  <c r="K75" i="113"/>
  <c r="K74" i="113"/>
  <c r="L16" i="122"/>
  <c r="E67" i="115"/>
  <c r="G67" i="115" s="1"/>
  <c r="E109" i="70"/>
  <c r="E109" i="115" s="1"/>
  <c r="S21" i="122"/>
  <c r="C374" i="82"/>
  <c r="G281" i="82"/>
  <c r="F247" i="82"/>
  <c r="G271" i="82"/>
  <c r="G280" i="82"/>
  <c r="F246" i="82"/>
  <c r="G278" i="82"/>
  <c r="G274" i="82"/>
  <c r="F240" i="82"/>
  <c r="G279" i="82"/>
  <c r="G276" i="82"/>
  <c r="F242" i="82"/>
  <c r="G275" i="82"/>
  <c r="F241" i="82"/>
  <c r="G283" i="82"/>
  <c r="F249" i="82"/>
  <c r="G282" i="82"/>
  <c r="F248" i="82"/>
  <c r="G268" i="82"/>
  <c r="F234" i="82"/>
  <c r="G277" i="82"/>
  <c r="F243" i="82"/>
  <c r="E334" i="82"/>
  <c r="E373" i="82" s="1"/>
  <c r="P329" i="117"/>
  <c r="P149" i="117" s="1"/>
  <c r="E329" i="117"/>
  <c r="E149" i="117" s="1"/>
  <c r="G329" i="117"/>
  <c r="G149" i="117" s="1"/>
  <c r="M329" i="117"/>
  <c r="M149" i="117" s="1"/>
  <c r="H329" i="117"/>
  <c r="H149" i="117" s="1"/>
  <c r="N329" i="117"/>
  <c r="N149" i="117" s="1"/>
  <c r="J329" i="117"/>
  <c r="J149" i="117" s="1"/>
  <c r="I329" i="117"/>
  <c r="I149" i="117" s="1"/>
  <c r="K329" i="117"/>
  <c r="K149" i="117" s="1"/>
  <c r="O329" i="117"/>
  <c r="O149" i="117" s="1"/>
  <c r="L329" i="117"/>
  <c r="L149" i="117" s="1"/>
  <c r="F329" i="117"/>
  <c r="F149" i="117" s="1"/>
  <c r="N142" i="117"/>
  <c r="J142" i="117"/>
  <c r="I142" i="117"/>
  <c r="K142" i="117"/>
  <c r="O142" i="117"/>
  <c r="L142" i="117"/>
  <c r="F142" i="117"/>
  <c r="P142" i="117"/>
  <c r="E142" i="117"/>
  <c r="G142" i="117"/>
  <c r="M142" i="117"/>
  <c r="H142" i="117"/>
  <c r="Q322" i="117"/>
  <c r="G267" i="82"/>
  <c r="F293" i="82"/>
  <c r="E99" i="117"/>
  <c r="E123" i="117" s="1"/>
  <c r="I39" i="88"/>
  <c r="M26" i="166"/>
  <c r="G40" i="88"/>
  <c r="L27" i="166"/>
  <c r="M13" i="166"/>
  <c r="Y13" i="166" s="1"/>
  <c r="G14" i="88"/>
  <c r="L7" i="166"/>
  <c r="G37" i="88"/>
  <c r="L25" i="166"/>
  <c r="G16" i="88"/>
  <c r="L9" i="166"/>
  <c r="G27" i="88"/>
  <c r="L18" i="166"/>
  <c r="G25" i="88"/>
  <c r="L17" i="166"/>
  <c r="G33" i="88"/>
  <c r="L21" i="166"/>
  <c r="Y17" i="166"/>
  <c r="G39" i="88"/>
  <c r="L26" i="166"/>
  <c r="G19" i="88"/>
  <c r="L12" i="166"/>
  <c r="G34" i="88"/>
  <c r="L22" i="166"/>
  <c r="Q35" i="159"/>
  <c r="R35" i="159" s="1"/>
  <c r="N27" i="166"/>
  <c r="W152" i="159"/>
  <c r="G18" i="88"/>
  <c r="L11" i="166"/>
  <c r="G17" i="88"/>
  <c r="L10" i="166"/>
  <c r="G32" i="88"/>
  <c r="L20" i="166"/>
  <c r="M18" i="166"/>
  <c r="Y18" i="166" s="1"/>
  <c r="G31" i="88"/>
  <c r="L19" i="166"/>
  <c r="G36" i="88"/>
  <c r="L24" i="166"/>
  <c r="I19" i="88"/>
  <c r="M12" i="166"/>
  <c r="Y12" i="166" s="1"/>
  <c r="G15" i="88"/>
  <c r="L8" i="166"/>
  <c r="G35" i="88"/>
  <c r="L23" i="166"/>
  <c r="F16" i="102"/>
  <c r="C56" i="160"/>
  <c r="F56" i="160" s="1"/>
  <c r="P85" i="113"/>
  <c r="D350" i="88"/>
  <c r="F99" i="117"/>
  <c r="F123" i="117" s="1"/>
  <c r="D145" i="117"/>
  <c r="H203" i="117"/>
  <c r="I69" i="70"/>
  <c r="AD150" i="113"/>
  <c r="AF150" i="113" s="1"/>
  <c r="G350" i="88"/>
  <c r="C350" i="88"/>
  <c r="H37" i="114"/>
  <c r="K20" i="88"/>
  <c r="I36" i="88"/>
  <c r="I40" i="88"/>
  <c r="X127" i="113"/>
  <c r="M40" i="88"/>
  <c r="K87" i="73" s="1"/>
  <c r="I32" i="88"/>
  <c r="I14" i="88"/>
  <c r="I17" i="88"/>
  <c r="I13" i="88"/>
  <c r="I33" i="88"/>
  <c r="I18" i="88"/>
  <c r="I37" i="88"/>
  <c r="I15" i="88"/>
  <c r="I30" i="88"/>
  <c r="AF20" i="113"/>
  <c r="I29" i="88"/>
  <c r="I16" i="88"/>
  <c r="I35" i="88"/>
  <c r="L45" i="113"/>
  <c r="I25" i="88"/>
  <c r="I27" i="88"/>
  <c r="I34" i="88"/>
  <c r="I28" i="88"/>
  <c r="I31" i="88"/>
  <c r="M66" i="73"/>
  <c r="K181" i="72"/>
  <c r="F350" i="88"/>
  <c r="E350" i="88"/>
  <c r="AF119" i="113"/>
  <c r="AF121" i="113"/>
  <c r="AF81" i="113"/>
  <c r="S78" i="58"/>
  <c r="U78" i="58"/>
  <c r="H63" i="115"/>
  <c r="K63" i="115" s="1"/>
  <c r="G66" i="115"/>
  <c r="K61" i="70"/>
  <c r="L61" i="70" s="1"/>
  <c r="L61" i="115" s="1"/>
  <c r="O61" i="115" s="1"/>
  <c r="P12" i="120"/>
  <c r="O12" i="120" s="1"/>
  <c r="D149" i="150"/>
  <c r="U74" i="58"/>
  <c r="AF80" i="113"/>
  <c r="G85" i="113"/>
  <c r="L18" i="70"/>
  <c r="M18" i="70" s="1"/>
  <c r="P18" i="70" s="1"/>
  <c r="D38" i="70" s="1"/>
  <c r="AF106" i="113"/>
  <c r="M85" i="113"/>
  <c r="L85" i="113"/>
  <c r="AF123" i="113"/>
  <c r="AF17" i="113"/>
  <c r="AF76" i="113"/>
  <c r="C49" i="111"/>
  <c r="N15" i="117"/>
  <c r="E18" i="121"/>
  <c r="M63" i="122"/>
  <c r="P45" i="113"/>
  <c r="M18" i="121"/>
  <c r="C18" i="121"/>
  <c r="O18" i="121"/>
  <c r="AF62" i="113"/>
  <c r="AF41" i="113"/>
  <c r="G15" i="117"/>
  <c r="AF38" i="113"/>
  <c r="L67" i="72"/>
  <c r="AF15" i="113"/>
  <c r="AF37" i="113"/>
  <c r="D127" i="113"/>
  <c r="U45" i="113"/>
  <c r="AF34" i="113"/>
  <c r="K31" i="96"/>
  <c r="R60" i="82"/>
  <c r="O36" i="54"/>
  <c r="L68" i="72"/>
  <c r="AF105" i="113"/>
  <c r="AF39" i="113"/>
  <c r="F67" i="54"/>
  <c r="M127" i="113"/>
  <c r="K63" i="54"/>
  <c r="K67" i="54" s="1"/>
  <c r="B55" i="160"/>
  <c r="C60" i="160"/>
  <c r="F38" i="102"/>
  <c r="F14" i="102"/>
  <c r="L114" i="72"/>
  <c r="L113" i="72"/>
  <c r="L117" i="72"/>
  <c r="L112" i="72"/>
  <c r="L116" i="72"/>
  <c r="L115" i="72"/>
  <c r="Q46" i="54"/>
  <c r="S46" i="54" s="1"/>
  <c r="Q36" i="54"/>
  <c r="S36" i="54" s="1"/>
  <c r="AF78" i="113"/>
  <c r="AF40" i="113"/>
  <c r="AF74" i="113"/>
  <c r="F100" i="61"/>
  <c r="J22" i="152"/>
  <c r="G100" i="70"/>
  <c r="H100" i="70" s="1"/>
  <c r="K18" i="114"/>
  <c r="I67" i="54"/>
  <c r="M106" i="82"/>
  <c r="H31" i="122"/>
  <c r="I31" i="122" s="1"/>
  <c r="C89" i="73"/>
  <c r="K17" i="135"/>
  <c r="D18" i="159"/>
  <c r="D39" i="159" s="1"/>
  <c r="AF30" i="113"/>
  <c r="G186" i="72"/>
  <c r="G193" i="72" s="1"/>
  <c r="Y45" i="113"/>
  <c r="J127" i="113"/>
  <c r="AF104" i="113"/>
  <c r="AF14" i="113"/>
  <c r="S45" i="113"/>
  <c r="AF77" i="113"/>
  <c r="AF117" i="113"/>
  <c r="AF65" i="113"/>
  <c r="AD125" i="113"/>
  <c r="L127" i="113"/>
  <c r="AF16" i="113"/>
  <c r="M116" i="82"/>
  <c r="L30" i="72"/>
  <c r="F138" i="72"/>
  <c r="F145" i="72" s="1"/>
  <c r="E193" i="150"/>
  <c r="X45" i="113"/>
  <c r="F156" i="150"/>
  <c r="J48" i="58"/>
  <c r="R85" i="113"/>
  <c r="AF75" i="113"/>
  <c r="AF29" i="113"/>
  <c r="G46" i="72"/>
  <c r="AF79" i="113"/>
  <c r="M99" i="82"/>
  <c r="E207" i="117" s="1"/>
  <c r="H45" i="113"/>
  <c r="E194" i="150"/>
  <c r="U127" i="113"/>
  <c r="G45" i="113"/>
  <c r="AF18" i="113"/>
  <c r="AF31" i="113"/>
  <c r="AF33" i="113"/>
  <c r="R127" i="113"/>
  <c r="J85" i="113"/>
  <c r="E16" i="102"/>
  <c r="B42" i="160"/>
  <c r="E14" i="102"/>
  <c r="B40" i="160"/>
  <c r="B62" i="160"/>
  <c r="B43" i="160"/>
  <c r="K109" i="113"/>
  <c r="Y85" i="113"/>
  <c r="P127" i="113"/>
  <c r="T68" i="113"/>
  <c r="AF19" i="113"/>
  <c r="AF13" i="113"/>
  <c r="AF35" i="113"/>
  <c r="D85" i="113"/>
  <c r="H186" i="72"/>
  <c r="H193" i="72" s="1"/>
  <c r="L37" i="72"/>
  <c r="S127" i="113"/>
  <c r="J45" i="113"/>
  <c r="C127" i="113"/>
  <c r="AF116" i="113"/>
  <c r="AF113" i="113"/>
  <c r="AF64" i="113"/>
  <c r="AF63" i="113"/>
  <c r="AF118" i="113"/>
  <c r="AF115" i="113"/>
  <c r="C44" i="72"/>
  <c r="AD83" i="113"/>
  <c r="AF73" i="113"/>
  <c r="Z68" i="113"/>
  <c r="D45" i="113"/>
  <c r="C168" i="113"/>
  <c r="C89" i="72"/>
  <c r="S85" i="113"/>
  <c r="C85" i="113"/>
  <c r="W83" i="113"/>
  <c r="W43" i="113"/>
  <c r="AF122" i="113"/>
  <c r="M15" i="117"/>
  <c r="V127" i="113"/>
  <c r="H127" i="113"/>
  <c r="T109" i="113"/>
  <c r="AF28" i="113"/>
  <c r="H85" i="113"/>
  <c r="V45" i="113"/>
  <c r="V85" i="113"/>
  <c r="T43" i="113"/>
  <c r="L39" i="72"/>
  <c r="L27" i="72"/>
  <c r="L127" i="72"/>
  <c r="L70" i="72"/>
  <c r="T125" i="113"/>
  <c r="AC168" i="113"/>
  <c r="L36" i="72"/>
  <c r="L33" i="72"/>
  <c r="AF103" i="113"/>
  <c r="L85" i="72"/>
  <c r="L38" i="72"/>
  <c r="L134" i="72"/>
  <c r="L129" i="72"/>
  <c r="L86" i="72"/>
  <c r="H138" i="72"/>
  <c r="H145" i="72" s="1"/>
  <c r="L124" i="72"/>
  <c r="L81" i="72"/>
  <c r="H91" i="72"/>
  <c r="H97" i="72" s="1"/>
  <c r="L32" i="72"/>
  <c r="L79" i="72"/>
  <c r="L87" i="72"/>
  <c r="L71" i="72"/>
  <c r="L35" i="72"/>
  <c r="D138" i="72"/>
  <c r="L130" i="72"/>
  <c r="L132" i="72"/>
  <c r="Z109" i="113"/>
  <c r="N125" i="113"/>
  <c r="Z22" i="113"/>
  <c r="L15" i="72"/>
  <c r="L83" i="72"/>
  <c r="J186" i="72"/>
  <c r="J193" i="72" s="1"/>
  <c r="L80" i="72"/>
  <c r="L126" i="72"/>
  <c r="L29" i="72"/>
  <c r="L125" i="72"/>
  <c r="E83" i="113"/>
  <c r="N109" i="113"/>
  <c r="L131" i="72"/>
  <c r="L42" i="72"/>
  <c r="N42" i="72" s="1"/>
  <c r="L34" i="72"/>
  <c r="L31" i="72"/>
  <c r="L133" i="72"/>
  <c r="L84" i="72"/>
  <c r="L28" i="72"/>
  <c r="R53" i="82"/>
  <c r="F157" i="150"/>
  <c r="L30" i="96"/>
  <c r="F162" i="150"/>
  <c r="M102" i="82"/>
  <c r="F30" i="96"/>
  <c r="R57" i="82"/>
  <c r="R62" i="82"/>
  <c r="M120" i="82"/>
  <c r="M122" i="82"/>
  <c r="J49" i="58"/>
  <c r="E31" i="96"/>
  <c r="R56" i="82"/>
  <c r="D38" i="102"/>
  <c r="E19" i="69"/>
  <c r="E21" i="69" s="1"/>
  <c r="I15" i="65" s="1"/>
  <c r="E17" i="102"/>
  <c r="B64" i="160"/>
  <c r="B50" i="160"/>
  <c r="H100" i="61"/>
  <c r="L26" i="70"/>
  <c r="M26" i="70" s="1"/>
  <c r="M26" i="115" s="1"/>
  <c r="P26" i="115" s="1"/>
  <c r="D47" i="67"/>
  <c r="D49" i="67" s="1"/>
  <c r="AF36" i="113"/>
  <c r="R45" i="113"/>
  <c r="X85" i="113"/>
  <c r="Y127" i="113"/>
  <c r="N22" i="101"/>
  <c r="F186" i="72"/>
  <c r="F193" i="72" s="1"/>
  <c r="K37" i="114"/>
  <c r="F80" i="58"/>
  <c r="H46" i="72"/>
  <c r="H52" i="72" s="1"/>
  <c r="N78" i="58"/>
  <c r="G127" i="113"/>
  <c r="W125" i="113"/>
  <c r="E22" i="113"/>
  <c r="N68" i="113"/>
  <c r="E43" i="113"/>
  <c r="Z83" i="113"/>
  <c r="C186" i="72"/>
  <c r="C193" i="72" s="1"/>
  <c r="J106" i="115"/>
  <c r="R25" i="82"/>
  <c r="I15" i="117"/>
  <c r="O15" i="117"/>
  <c r="L15" i="117"/>
  <c r="F140" i="61"/>
  <c r="E18" i="162"/>
  <c r="N43" i="113"/>
  <c r="Z125" i="113"/>
  <c r="T83" i="113"/>
  <c r="W68" i="113"/>
  <c r="U85" i="113"/>
  <c r="H31" i="96"/>
  <c r="O40" i="132"/>
  <c r="O42" i="132" s="1"/>
  <c r="O43" i="132" s="1"/>
  <c r="G18" i="121"/>
  <c r="G138" i="72"/>
  <c r="F46" i="72"/>
  <c r="F52" i="72" s="1"/>
  <c r="E125" i="113"/>
  <c r="C124" i="72"/>
  <c r="D103" i="116"/>
  <c r="Z43" i="113"/>
  <c r="AF61" i="113"/>
  <c r="I30" i="96"/>
  <c r="F53" i="159"/>
  <c r="D72" i="159"/>
  <c r="J15" i="117"/>
  <c r="E46" i="72"/>
  <c r="E52" i="72" s="1"/>
  <c r="C26" i="172" s="1"/>
  <c r="I136" i="72"/>
  <c r="K136" i="72" s="1"/>
  <c r="O75" i="88"/>
  <c r="H53" i="159"/>
  <c r="M103" i="82"/>
  <c r="E210" i="117" s="1"/>
  <c r="M107" i="82"/>
  <c r="G21" i="115"/>
  <c r="H61" i="115"/>
  <c r="K61" i="115" s="1"/>
  <c r="J44" i="116"/>
  <c r="I106" i="116"/>
  <c r="F125" i="150"/>
  <c r="E199" i="150"/>
  <c r="I87" i="58"/>
  <c r="G54" i="58"/>
  <c r="E37" i="69"/>
  <c r="E39" i="69" s="1"/>
  <c r="I30" i="65" s="1"/>
  <c r="E102" i="116"/>
  <c r="I14" i="114"/>
  <c r="O104" i="115"/>
  <c r="J44" i="115"/>
  <c r="G61" i="115"/>
  <c r="E38" i="54"/>
  <c r="F38" i="54" s="1"/>
  <c r="D19" i="69"/>
  <c r="D21" i="69" s="1"/>
  <c r="F15" i="65" s="1"/>
  <c r="F15" i="96"/>
  <c r="M222" i="82"/>
  <c r="M224" i="82" s="1"/>
  <c r="E16" i="96"/>
  <c r="E27" i="75"/>
  <c r="O75" i="54"/>
  <c r="K27" i="75"/>
  <c r="O108" i="115"/>
  <c r="O103" i="115"/>
  <c r="E25" i="68"/>
  <c r="E27" i="68" s="1"/>
  <c r="I14" i="65" s="1"/>
  <c r="F102" i="116"/>
  <c r="E58" i="69"/>
  <c r="E94" i="54"/>
  <c r="F94" i="54" s="1"/>
  <c r="E73" i="68"/>
  <c r="R123" i="82"/>
  <c r="R112" i="82"/>
  <c r="R102" i="82"/>
  <c r="R58" i="82"/>
  <c r="I79" i="75"/>
  <c r="R42" i="82"/>
  <c r="R155" i="82"/>
  <c r="R50" i="82"/>
  <c r="J102" i="116"/>
  <c r="E73" i="67"/>
  <c r="L19" i="70"/>
  <c r="M19" i="70" s="1"/>
  <c r="M19" i="115" s="1"/>
  <c r="P19" i="115" s="1"/>
  <c r="R122" i="82"/>
  <c r="R111" i="82"/>
  <c r="R59" i="82"/>
  <c r="R54" i="82"/>
  <c r="R161" i="82"/>
  <c r="R175" i="82"/>
  <c r="R173" i="82"/>
  <c r="R115" i="82"/>
  <c r="R177" i="82"/>
  <c r="N85" i="54"/>
  <c r="O85" i="54" s="1"/>
  <c r="K63" i="70"/>
  <c r="L63" i="70" s="1"/>
  <c r="L63" i="115" s="1"/>
  <c r="O63" i="115" s="1"/>
  <c r="R121" i="82"/>
  <c r="R100" i="82"/>
  <c r="F58" i="69"/>
  <c r="R163" i="82"/>
  <c r="R106" i="82"/>
  <c r="F46" i="96"/>
  <c r="N105" i="116"/>
  <c r="J104" i="115"/>
  <c r="F73" i="67"/>
  <c r="R120" i="82"/>
  <c r="R107" i="82"/>
  <c r="R61" i="82"/>
  <c r="R52" i="82"/>
  <c r="R116" i="82"/>
  <c r="E47" i="67"/>
  <c r="E49" i="67" s="1"/>
  <c r="I28" i="65" s="1"/>
  <c r="R114" i="82"/>
  <c r="R93" i="82"/>
  <c r="O46" i="54"/>
  <c r="R55" i="82"/>
  <c r="R178" i="82"/>
  <c r="R168" i="82"/>
  <c r="R166" i="82"/>
  <c r="F79" i="75"/>
  <c r="D58" i="69"/>
  <c r="R113" i="82"/>
  <c r="R103" i="82"/>
  <c r="R176" i="82"/>
  <c r="R160" i="82"/>
  <c r="G65" i="115"/>
  <c r="D37" i="69"/>
  <c r="D39" i="69" s="1"/>
  <c r="F30" i="65" s="1"/>
  <c r="R46" i="82"/>
  <c r="E48" i="54"/>
  <c r="F48" i="54" s="1"/>
  <c r="K64" i="116"/>
  <c r="L64" i="116" s="1"/>
  <c r="O64" i="116" s="1"/>
  <c r="D85" i="116" s="1"/>
  <c r="F47" i="67"/>
  <c r="F49" i="67" s="1"/>
  <c r="F51" i="67" s="1"/>
  <c r="R47" i="82"/>
  <c r="R171" i="82"/>
  <c r="O103" i="116"/>
  <c r="R170" i="82"/>
  <c r="R156" i="82"/>
  <c r="F107" i="116"/>
  <c r="R110" i="82"/>
  <c r="R152" i="82"/>
  <c r="R164" i="82"/>
  <c r="R174" i="82"/>
  <c r="G19" i="115"/>
  <c r="G68" i="116"/>
  <c r="H68" i="116" s="1"/>
  <c r="K68" i="116" s="1"/>
  <c r="L68" i="116" s="1"/>
  <c r="O68" i="116" s="1"/>
  <c r="D89" i="116" s="1"/>
  <c r="R99" i="82"/>
  <c r="Q233" i="117"/>
  <c r="R51" i="82"/>
  <c r="E48" i="68"/>
  <c r="E50" i="68" s="1"/>
  <c r="I29" i="65" s="1"/>
  <c r="D111" i="70"/>
  <c r="J108" i="115"/>
  <c r="H15" i="117"/>
  <c r="D186" i="72"/>
  <c r="D193" i="72" s="1"/>
  <c r="D194" i="72" s="1"/>
  <c r="F53" i="160"/>
  <c r="F39" i="102"/>
  <c r="C63" i="160"/>
  <c r="C45" i="160"/>
  <c r="E34" i="102"/>
  <c r="D26" i="102"/>
  <c r="E36" i="102"/>
  <c r="B60" i="160"/>
  <c r="E18" i="102"/>
  <c r="B44" i="160"/>
  <c r="D37" i="102"/>
  <c r="B57" i="160"/>
  <c r="E33" i="102"/>
  <c r="B56" i="160"/>
  <c r="D32" i="102"/>
  <c r="B58" i="160"/>
  <c r="E19" i="102"/>
  <c r="B45" i="160"/>
  <c r="D30" i="102"/>
  <c r="D35" i="102"/>
  <c r="B54" i="160"/>
  <c r="B59" i="160"/>
  <c r="B61" i="160"/>
  <c r="E39" i="102"/>
  <c r="B63" i="160"/>
  <c r="C43" i="160"/>
  <c r="F17" i="102"/>
  <c r="C46" i="160"/>
  <c r="F19" i="102"/>
  <c r="F40" i="102"/>
  <c r="C64" i="160"/>
  <c r="F37" i="102"/>
  <c r="C61" i="160"/>
  <c r="C58" i="160"/>
  <c r="F35" i="102"/>
  <c r="F34" i="102"/>
  <c r="F33" i="102"/>
  <c r="C57" i="160"/>
  <c r="F41" i="103"/>
  <c r="F44" i="160"/>
  <c r="F50" i="160"/>
  <c r="F55" i="160"/>
  <c r="F41" i="160"/>
  <c r="F54" i="160"/>
  <c r="F52" i="160"/>
  <c r="F81" i="150"/>
  <c r="E142" i="55"/>
  <c r="F84" i="150"/>
  <c r="F163" i="150"/>
  <c r="I55" i="58"/>
  <c r="L18" i="102"/>
  <c r="F16" i="55"/>
  <c r="I104" i="115"/>
  <c r="G92" i="82"/>
  <c r="K26" i="122"/>
  <c r="L26" i="122" s="1"/>
  <c r="O106" i="115"/>
  <c r="M83" i="58"/>
  <c r="H11" i="58"/>
  <c r="S14" i="58"/>
  <c r="I106" i="115"/>
  <c r="I101" i="115"/>
  <c r="I102" i="115"/>
  <c r="N103" i="115"/>
  <c r="E22" i="122"/>
  <c r="F22" i="122" s="1"/>
  <c r="J63" i="122"/>
  <c r="Q81" i="58"/>
  <c r="P21" i="54"/>
  <c r="L20" i="102"/>
  <c r="K141" i="61"/>
  <c r="M21" i="54"/>
  <c r="K14" i="58"/>
  <c r="F189" i="150"/>
  <c r="G59" i="116"/>
  <c r="H59" i="116" s="1"/>
  <c r="K59" i="116" s="1"/>
  <c r="L59" i="116" s="1"/>
  <c r="O59" i="116" s="1"/>
  <c r="D80" i="116" s="1"/>
  <c r="G101" i="82"/>
  <c r="R158" i="82"/>
  <c r="G95" i="82"/>
  <c r="K21" i="122"/>
  <c r="L21" i="122" s="1"/>
  <c r="K33" i="122"/>
  <c r="G94" i="82"/>
  <c r="Q143" i="82"/>
  <c r="K40" i="58" s="1"/>
  <c r="K73" i="58" s="1"/>
  <c r="C21" i="72"/>
  <c r="F127" i="116"/>
  <c r="O102" i="116"/>
  <c r="G104" i="82"/>
  <c r="Q83" i="82"/>
  <c r="G100" i="82"/>
  <c r="K25" i="122"/>
  <c r="L25" i="122" s="1"/>
  <c r="I18" i="121"/>
  <c r="F35" i="55"/>
  <c r="J21" i="54"/>
  <c r="E21" i="122"/>
  <c r="F21" i="122" s="1"/>
  <c r="G83" i="58"/>
  <c r="L19" i="102"/>
  <c r="U14" i="58"/>
  <c r="N14" i="58"/>
  <c r="H72" i="159"/>
  <c r="K74" i="58"/>
  <c r="M40" i="102"/>
  <c r="G63" i="116"/>
  <c r="H63" i="116" s="1"/>
  <c r="K63" i="116" s="1"/>
  <c r="L63" i="116" s="1"/>
  <c r="O63" i="116" s="1"/>
  <c r="D84" i="116" s="1"/>
  <c r="N110" i="116"/>
  <c r="G65" i="116"/>
  <c r="H65" i="116" s="1"/>
  <c r="K65" i="116" s="1"/>
  <c r="L65" i="116" s="1"/>
  <c r="O65" i="116" s="1"/>
  <c r="D86" i="116" s="1"/>
  <c r="E101" i="116"/>
  <c r="R162" i="82"/>
  <c r="G53" i="159"/>
  <c r="N74" i="58"/>
  <c r="L20" i="103"/>
  <c r="F271" i="150"/>
  <c r="L55" i="58"/>
  <c r="R21" i="54"/>
  <c r="H53" i="75"/>
  <c r="G20" i="115"/>
  <c r="G26" i="115"/>
  <c r="N69" i="116"/>
  <c r="E106" i="116"/>
  <c r="N69" i="115"/>
  <c r="H23" i="115"/>
  <c r="L23" i="115" s="1"/>
  <c r="Q226" i="117"/>
  <c r="R35" i="82"/>
  <c r="O66" i="54"/>
  <c r="Q66" i="54"/>
  <c r="S66" i="54" s="1"/>
  <c r="I47" i="54"/>
  <c r="K43" i="54"/>
  <c r="O82" i="58"/>
  <c r="Q225" i="117"/>
  <c r="Q297" i="117"/>
  <c r="G59" i="115"/>
  <c r="I103" i="115"/>
  <c r="D105" i="116"/>
  <c r="G105" i="116" s="1"/>
  <c r="H105" i="116" s="1"/>
  <c r="J105" i="115"/>
  <c r="F24" i="67"/>
  <c r="R165" i="82"/>
  <c r="I15" i="96"/>
  <c r="H16" i="96"/>
  <c r="F129" i="115"/>
  <c r="G24" i="115"/>
  <c r="F104" i="116"/>
  <c r="G67" i="116"/>
  <c r="H67" i="116" s="1"/>
  <c r="Q268" i="117"/>
  <c r="R34" i="82"/>
  <c r="N102" i="115"/>
  <c r="O101" i="116"/>
  <c r="G62" i="116"/>
  <c r="H62" i="116" s="1"/>
  <c r="K62" i="116" s="1"/>
  <c r="L62" i="116" s="1"/>
  <c r="O62" i="116" s="1"/>
  <c r="D83" i="116" s="1"/>
  <c r="I107" i="115"/>
  <c r="O101" i="115"/>
  <c r="O107" i="115"/>
  <c r="D25" i="68"/>
  <c r="D27" i="68" s="1"/>
  <c r="F14" i="65" s="1"/>
  <c r="R94" i="82"/>
  <c r="Q49" i="54"/>
  <c r="S49" i="54" s="1"/>
  <c r="O49" i="54"/>
  <c r="Q26" i="120"/>
  <c r="O26" i="120"/>
  <c r="N26" i="120"/>
  <c r="F27" i="115"/>
  <c r="D48" i="68"/>
  <c r="D50" i="68" s="1"/>
  <c r="F29" i="65" s="1"/>
  <c r="N27" i="116"/>
  <c r="G18" i="115"/>
  <c r="F127" i="115"/>
  <c r="O106" i="116"/>
  <c r="E24" i="67"/>
  <c r="E26" i="67" s="1"/>
  <c r="I13" i="65" s="1"/>
  <c r="Q234" i="117"/>
  <c r="Q246" i="117"/>
  <c r="M35" i="82"/>
  <c r="AD43" i="113"/>
  <c r="O45" i="113"/>
  <c r="M45" i="113"/>
  <c r="J43" i="102"/>
  <c r="J31" i="103"/>
  <c r="M31" i="103" s="1"/>
  <c r="N31" i="99"/>
  <c r="E22" i="55"/>
  <c r="F14" i="55"/>
  <c r="E58" i="54"/>
  <c r="F58" i="54" s="1"/>
  <c r="K47" i="96"/>
  <c r="E30" i="158"/>
  <c r="K94" i="54"/>
  <c r="L94" i="54" s="1"/>
  <c r="L89" i="54"/>
  <c r="E107" i="116"/>
  <c r="O105" i="116"/>
  <c r="K100" i="115"/>
  <c r="K111" i="115" s="1"/>
  <c r="K27" i="115"/>
  <c r="F80" i="116"/>
  <c r="F121" i="116" s="1"/>
  <c r="J80" i="70"/>
  <c r="F80" i="115"/>
  <c r="F121" i="115" s="1"/>
  <c r="H60" i="115"/>
  <c r="K60" i="115" s="1"/>
  <c r="K60" i="70"/>
  <c r="L60" i="70" s="1"/>
  <c r="F69" i="116"/>
  <c r="F39" i="116"/>
  <c r="F39" i="115"/>
  <c r="J39" i="70"/>
  <c r="E166" i="174" s="1"/>
  <c r="F123" i="70"/>
  <c r="N106" i="116"/>
  <c r="D102" i="115"/>
  <c r="G102" i="115" s="1"/>
  <c r="H102" i="115" s="1"/>
  <c r="G102" i="70"/>
  <c r="H102" i="70" s="1"/>
  <c r="L102" i="70" s="1"/>
  <c r="M102" i="70" s="1"/>
  <c r="P102" i="70" s="1"/>
  <c r="D122" i="70" s="1"/>
  <c r="G62" i="115"/>
  <c r="I107" i="116"/>
  <c r="J102" i="115"/>
  <c r="F82" i="116"/>
  <c r="F82" i="115"/>
  <c r="J82" i="70"/>
  <c r="J69" i="115"/>
  <c r="N36" i="116"/>
  <c r="N36" i="115"/>
  <c r="J108" i="116"/>
  <c r="I105" i="115"/>
  <c r="K68" i="70"/>
  <c r="L68" i="70" s="1"/>
  <c r="H68" i="115"/>
  <c r="K68" i="115" s="1"/>
  <c r="D257" i="150"/>
  <c r="H159" i="55"/>
  <c r="L13" i="152"/>
  <c r="O110" i="115"/>
  <c r="G25" i="115"/>
  <c r="D75" i="67"/>
  <c r="F42" i="65"/>
  <c r="F121" i="70"/>
  <c r="F49" i="150"/>
  <c r="E86" i="150"/>
  <c r="H309" i="117"/>
  <c r="R104" i="82"/>
  <c r="G41" i="82"/>
  <c r="R41" i="82"/>
  <c r="Q245" i="117"/>
  <c r="R167" i="82"/>
  <c r="M34" i="82"/>
  <c r="D63" i="122"/>
  <c r="I83" i="113"/>
  <c r="I86" i="113" s="1"/>
  <c r="K72" i="113"/>
  <c r="N101" i="115"/>
  <c r="N27" i="115"/>
  <c r="H16" i="70"/>
  <c r="G27" i="70"/>
  <c r="E69" i="116"/>
  <c r="J110" i="116"/>
  <c r="J30" i="120"/>
  <c r="G39" i="82"/>
  <c r="R39" i="82"/>
  <c r="K26" i="113"/>
  <c r="K43" i="113" s="1"/>
  <c r="I43" i="113"/>
  <c r="K22" i="113"/>
  <c r="C45" i="113"/>
  <c r="T22" i="113"/>
  <c r="N22" i="113"/>
  <c r="J36" i="103"/>
  <c r="N36" i="99"/>
  <c r="L14" i="102"/>
  <c r="J38" i="103"/>
  <c r="M38" i="103" s="1"/>
  <c r="N38" i="99"/>
  <c r="E53" i="75"/>
  <c r="F91" i="72"/>
  <c r="F97" i="72" s="1"/>
  <c r="H47" i="96"/>
  <c r="I184" i="72"/>
  <c r="F22" i="150"/>
  <c r="E55" i="150"/>
  <c r="J13" i="150"/>
  <c r="F23" i="58"/>
  <c r="I21" i="72"/>
  <c r="K53" i="75"/>
  <c r="I49" i="114"/>
  <c r="H30" i="114"/>
  <c r="H11" i="114"/>
  <c r="H54" i="114"/>
  <c r="J145" i="61"/>
  <c r="L135" i="61"/>
  <c r="J114" i="61"/>
  <c r="J92" i="61"/>
  <c r="J143" i="61"/>
  <c r="H144" i="61"/>
  <c r="H102" i="61"/>
  <c r="H124" i="61"/>
  <c r="F15" i="54"/>
  <c r="N110" i="115"/>
  <c r="H21" i="115"/>
  <c r="L21" i="115" s="1"/>
  <c r="L21" i="70"/>
  <c r="M21" i="70" s="1"/>
  <c r="N102" i="116"/>
  <c r="G64" i="115"/>
  <c r="H58" i="70"/>
  <c r="H69" i="70" s="1"/>
  <c r="N105" i="115"/>
  <c r="G23" i="116"/>
  <c r="H23" i="116" s="1"/>
  <c r="L23" i="116" s="1"/>
  <c r="M23" i="116" s="1"/>
  <c r="P23" i="116" s="1"/>
  <c r="D43" i="116" s="1"/>
  <c r="J107" i="115"/>
  <c r="J110" i="115"/>
  <c r="J69" i="116"/>
  <c r="I105" i="116"/>
  <c r="G68" i="115"/>
  <c r="I27" i="116"/>
  <c r="I100" i="116"/>
  <c r="O102" i="115"/>
  <c r="D109" i="116"/>
  <c r="G25" i="116"/>
  <c r="H25" i="116" s="1"/>
  <c r="L25" i="116" s="1"/>
  <c r="M25" i="116" s="1"/>
  <c r="P25" i="116" s="1"/>
  <c r="D45" i="116" s="1"/>
  <c r="J41" i="116"/>
  <c r="N41" i="70"/>
  <c r="E111" i="174" s="1"/>
  <c r="E112" i="174" s="1"/>
  <c r="J41" i="115"/>
  <c r="R151" i="82"/>
  <c r="Q181" i="82"/>
  <c r="O167" i="88"/>
  <c r="F19" i="69"/>
  <c r="F21" i="69" s="1"/>
  <c r="E72" i="159"/>
  <c r="I68" i="113"/>
  <c r="K60" i="113"/>
  <c r="K68" i="113" s="1"/>
  <c r="F87" i="116"/>
  <c r="F128" i="116" s="1"/>
  <c r="F87" i="115"/>
  <c r="F128" i="115" s="1"/>
  <c r="J87" i="70"/>
  <c r="J111" i="70"/>
  <c r="D101" i="116"/>
  <c r="G17" i="116"/>
  <c r="H17" i="116" s="1"/>
  <c r="L17" i="116" s="1"/>
  <c r="M17" i="116" s="1"/>
  <c r="P17" i="116" s="1"/>
  <c r="D37" i="116" s="1"/>
  <c r="AD22" i="113"/>
  <c r="J29" i="103"/>
  <c r="M29" i="103" s="1"/>
  <c r="N29" i="99"/>
  <c r="J17" i="103"/>
  <c r="N17" i="99"/>
  <c r="J34" i="103"/>
  <c r="N34" i="99"/>
  <c r="F13" i="150"/>
  <c r="I44" i="72"/>
  <c r="K44" i="72" s="1"/>
  <c r="I82" i="54"/>
  <c r="H86" i="54"/>
  <c r="I86" i="54" s="1"/>
  <c r="D104" i="115"/>
  <c r="G104" i="115" s="1"/>
  <c r="H104" i="115" s="1"/>
  <c r="G104" i="70"/>
  <c r="H104" i="70" s="1"/>
  <c r="L104" i="70" s="1"/>
  <c r="M104" i="70" s="1"/>
  <c r="P104" i="70" s="1"/>
  <c r="D124" i="70" s="1"/>
  <c r="K66" i="70"/>
  <c r="L66" i="70" s="1"/>
  <c r="H66" i="115"/>
  <c r="K66" i="115" s="1"/>
  <c r="H24" i="115"/>
  <c r="L24" i="115" s="1"/>
  <c r="L24" i="70"/>
  <c r="M24" i="70" s="1"/>
  <c r="D107" i="116"/>
  <c r="F83" i="116"/>
  <c r="F83" i="115"/>
  <c r="J83" i="70"/>
  <c r="F100" i="115"/>
  <c r="F111" i="115" s="1"/>
  <c r="F111" i="70"/>
  <c r="E56" i="55"/>
  <c r="J13" i="152"/>
  <c r="G60" i="115"/>
  <c r="J45" i="116"/>
  <c r="J129" i="70"/>
  <c r="J45" i="115"/>
  <c r="N45" i="70"/>
  <c r="E223" i="174" s="1"/>
  <c r="E224" i="174" s="1"/>
  <c r="F265" i="150"/>
  <c r="E300" i="150"/>
  <c r="L19" i="115"/>
  <c r="E104" i="116"/>
  <c r="G43" i="82"/>
  <c r="R43" i="82"/>
  <c r="R343" i="82"/>
  <c r="R33" i="82"/>
  <c r="K24" i="122"/>
  <c r="L24" i="122" s="1"/>
  <c r="E111" i="115"/>
  <c r="F37" i="69"/>
  <c r="F39" i="69" s="1"/>
  <c r="Q251" i="117"/>
  <c r="E53" i="159"/>
  <c r="P70" i="159"/>
  <c r="O27" i="166" s="1"/>
  <c r="I109" i="113"/>
  <c r="J22" i="102"/>
  <c r="J32" i="103"/>
  <c r="M32" i="103" s="1"/>
  <c r="N32" i="99"/>
  <c r="F84" i="116"/>
  <c r="F125" i="116" s="1"/>
  <c r="J84" i="70"/>
  <c r="F84" i="115"/>
  <c r="F125" i="115" s="1"/>
  <c r="J100" i="116"/>
  <c r="J27" i="116"/>
  <c r="E159" i="55"/>
  <c r="K13" i="152"/>
  <c r="I123" i="117"/>
  <c r="C189" i="88"/>
  <c r="J30" i="103"/>
  <c r="M30" i="103" s="1"/>
  <c r="N30" i="99"/>
  <c r="W109" i="113"/>
  <c r="AF27" i="113"/>
  <c r="AF101" i="113"/>
  <c r="O85" i="113"/>
  <c r="AD68" i="113"/>
  <c r="AF26" i="113"/>
  <c r="Q43" i="113"/>
  <c r="J41" i="103"/>
  <c r="N41" i="99"/>
  <c r="M15" i="102"/>
  <c r="H26" i="103"/>
  <c r="M20" i="102"/>
  <c r="J18" i="103"/>
  <c r="N18" i="99"/>
  <c r="L79" i="75"/>
  <c r="F35" i="114"/>
  <c r="C31" i="102"/>
  <c r="M31" i="101"/>
  <c r="L74" i="73"/>
  <c r="J140" i="61"/>
  <c r="G18" i="162"/>
  <c r="F72" i="61"/>
  <c r="D18" i="162"/>
  <c r="K33" i="54"/>
  <c r="I37" i="54"/>
  <c r="E77" i="54"/>
  <c r="F77" i="54" s="1"/>
  <c r="G63" i="115"/>
  <c r="G66" i="116"/>
  <c r="H66" i="116" s="1"/>
  <c r="K66" i="116" s="1"/>
  <c r="L66" i="116" s="1"/>
  <c r="O66" i="116" s="1"/>
  <c r="D87" i="116" s="1"/>
  <c r="G107" i="70"/>
  <c r="H107" i="70" s="1"/>
  <c r="L107" i="70" s="1"/>
  <c r="M107" i="70" s="1"/>
  <c r="P107" i="70" s="1"/>
  <c r="D127" i="70" s="1"/>
  <c r="D107" i="115"/>
  <c r="G107" i="115" s="1"/>
  <c r="H107" i="115" s="1"/>
  <c r="J101" i="115"/>
  <c r="F129" i="116"/>
  <c r="F100" i="116"/>
  <c r="F27" i="116"/>
  <c r="E27" i="116"/>
  <c r="E27" i="115"/>
  <c r="G60" i="116"/>
  <c r="H60" i="116" s="1"/>
  <c r="K60" i="116" s="1"/>
  <c r="L60" i="116" s="1"/>
  <c r="O60" i="116" s="1"/>
  <c r="D81" i="116" s="1"/>
  <c r="O109" i="115"/>
  <c r="E103" i="116"/>
  <c r="G16" i="115"/>
  <c r="D27" i="115"/>
  <c r="G19" i="116"/>
  <c r="H19" i="116" s="1"/>
  <c r="L19" i="116" s="1"/>
  <c r="M19" i="116" s="1"/>
  <c r="P19" i="116" s="1"/>
  <c r="D39" i="116" s="1"/>
  <c r="F128" i="70"/>
  <c r="O107" i="116"/>
  <c r="N104" i="115"/>
  <c r="N43" i="116"/>
  <c r="N43" i="115"/>
  <c r="M23" i="115"/>
  <c r="P23" i="115" s="1"/>
  <c r="P23" i="70"/>
  <c r="D43" i="70" s="1"/>
  <c r="G110" i="70"/>
  <c r="H110" i="70" s="1"/>
  <c r="L110" i="70" s="1"/>
  <c r="M110" i="70" s="1"/>
  <c r="P110" i="70" s="1"/>
  <c r="D130" i="70" s="1"/>
  <c r="E309" i="117"/>
  <c r="G33" i="82"/>
  <c r="R101" i="82"/>
  <c r="G40" i="82"/>
  <c r="R40" i="82"/>
  <c r="M25" i="82"/>
  <c r="E111" i="70"/>
  <c r="I16" i="122"/>
  <c r="K62" i="70"/>
  <c r="L62" i="70" s="1"/>
  <c r="H62" i="115"/>
  <c r="K62" i="115" s="1"/>
  <c r="J86" i="116"/>
  <c r="J86" i="115"/>
  <c r="N86" i="70"/>
  <c r="N127" i="70" s="1"/>
  <c r="J15" i="103"/>
  <c r="N15" i="99"/>
  <c r="AF114" i="113"/>
  <c r="Q125" i="113"/>
  <c r="Q68" i="113"/>
  <c r="W22" i="113"/>
  <c r="M41" i="102"/>
  <c r="J35" i="103"/>
  <c r="M35" i="103" s="1"/>
  <c r="N35" i="99"/>
  <c r="J16" i="103"/>
  <c r="N16" i="99"/>
  <c r="N19" i="99"/>
  <c r="J19" i="103"/>
  <c r="C30" i="102"/>
  <c r="M30" i="101"/>
  <c r="I74" i="72"/>
  <c r="E91" i="72"/>
  <c r="E97" i="72" s="1"/>
  <c r="D26" i="172" s="1"/>
  <c r="D48" i="172" s="1"/>
  <c r="F60" i="55"/>
  <c r="L15" i="96"/>
  <c r="K16" i="96"/>
  <c r="I89" i="54"/>
  <c r="H94" i="54"/>
  <c r="I94" i="54" s="1"/>
  <c r="D104" i="116"/>
  <c r="G20" i="116"/>
  <c r="H20" i="116" s="1"/>
  <c r="L20" i="116" s="1"/>
  <c r="M20" i="116" s="1"/>
  <c r="P20" i="116" s="1"/>
  <c r="D40" i="116" s="1"/>
  <c r="G23" i="115"/>
  <c r="O111" i="70"/>
  <c r="E100" i="116"/>
  <c r="G58" i="116"/>
  <c r="O109" i="116"/>
  <c r="N106" i="115"/>
  <c r="D27" i="116"/>
  <c r="D100" i="116"/>
  <c r="G16" i="116"/>
  <c r="F69" i="115"/>
  <c r="G106" i="70"/>
  <c r="H106" i="70" s="1"/>
  <c r="L106" i="70" s="1"/>
  <c r="M106" i="70" s="1"/>
  <c r="P106" i="70" s="1"/>
  <c r="D126" i="70" s="1"/>
  <c r="D106" i="115"/>
  <c r="G106" i="115" s="1"/>
  <c r="H106" i="115" s="1"/>
  <c r="N104" i="116"/>
  <c r="G58" i="115"/>
  <c r="N100" i="115"/>
  <c r="I108" i="115"/>
  <c r="G17" i="115"/>
  <c r="J127" i="70"/>
  <c r="G110" i="115"/>
  <c r="H110" i="115" s="1"/>
  <c r="L18" i="115"/>
  <c r="L21" i="116"/>
  <c r="M21" i="116" s="1"/>
  <c r="P21" i="116" s="1"/>
  <c r="D41" i="116" s="1"/>
  <c r="Q265" i="117"/>
  <c r="G44" i="82"/>
  <c r="R44" i="82"/>
  <c r="J123" i="117"/>
  <c r="G151" i="82"/>
  <c r="I17" i="122"/>
  <c r="I53" i="159"/>
  <c r="F81" i="116"/>
  <c r="F81" i="115"/>
  <c r="J81" i="70"/>
  <c r="E85" i="150"/>
  <c r="F48" i="150"/>
  <c r="I22" i="113"/>
  <c r="I125" i="113"/>
  <c r="K114" i="113"/>
  <c r="K125" i="113" s="1"/>
  <c r="O127" i="113"/>
  <c r="AD109" i="113"/>
  <c r="AF60" i="113"/>
  <c r="Q22" i="113"/>
  <c r="J28" i="103"/>
  <c r="N28" i="99"/>
  <c r="K43" i="99"/>
  <c r="J33" i="103"/>
  <c r="N33" i="99"/>
  <c r="E186" i="72"/>
  <c r="E193" i="72" s="1"/>
  <c r="M29" i="101"/>
  <c r="I89" i="72"/>
  <c r="K89" i="72" s="1"/>
  <c r="G91" i="72"/>
  <c r="G97" i="72" s="1"/>
  <c r="I76" i="54"/>
  <c r="K72" i="54"/>
  <c r="E15" i="152"/>
  <c r="E16" i="152" s="1"/>
  <c r="E27" i="152" s="1"/>
  <c r="E28" i="152" s="1"/>
  <c r="E32" i="152"/>
  <c r="I32" i="152"/>
  <c r="I15" i="152"/>
  <c r="J9" i="152" s="1"/>
  <c r="G61" i="116"/>
  <c r="H61" i="116" s="1"/>
  <c r="K61" i="116" s="1"/>
  <c r="L61" i="116" s="1"/>
  <c r="O61" i="116" s="1"/>
  <c r="D82" i="116" s="1"/>
  <c r="J106" i="116"/>
  <c r="J109" i="115"/>
  <c r="O100" i="115"/>
  <c r="O27" i="115"/>
  <c r="L26" i="116"/>
  <c r="M26" i="116" s="1"/>
  <c r="P26" i="116" s="1"/>
  <c r="D46" i="116" s="1"/>
  <c r="G18" i="116"/>
  <c r="H18" i="116" s="1"/>
  <c r="L18" i="116" s="1"/>
  <c r="M18" i="116" s="1"/>
  <c r="P18" i="116" s="1"/>
  <c r="D38" i="116" s="1"/>
  <c r="F85" i="116"/>
  <c r="F85" i="115"/>
  <c r="J85" i="70"/>
  <c r="D69" i="116"/>
  <c r="D108" i="116"/>
  <c r="G108" i="116" s="1"/>
  <c r="H108" i="116" s="1"/>
  <c r="G24" i="116"/>
  <c r="H24" i="116" s="1"/>
  <c r="L24" i="116" s="1"/>
  <c r="M24" i="116" s="1"/>
  <c r="P24" i="116" s="1"/>
  <c r="D44" i="116" s="1"/>
  <c r="D103" i="115"/>
  <c r="G103" i="115" s="1"/>
  <c r="H103" i="115" s="1"/>
  <c r="G103" i="70"/>
  <c r="H103" i="70" s="1"/>
  <c r="L103" i="70" s="1"/>
  <c r="M103" i="70" s="1"/>
  <c r="P103" i="70" s="1"/>
  <c r="D123" i="70" s="1"/>
  <c r="I110" i="115"/>
  <c r="F42" i="116"/>
  <c r="F126" i="70"/>
  <c r="F42" i="115"/>
  <c r="J42" i="70"/>
  <c r="E278" i="174" s="1"/>
  <c r="E109" i="116"/>
  <c r="G22" i="115"/>
  <c r="D69" i="115"/>
  <c r="H59" i="115"/>
  <c r="K59" i="115" s="1"/>
  <c r="K59" i="70"/>
  <c r="L59" i="70" s="1"/>
  <c r="H20" i="115"/>
  <c r="L20" i="115" s="1"/>
  <c r="L20" i="70"/>
  <c r="M20" i="70" s="1"/>
  <c r="L26" i="115"/>
  <c r="I108" i="116"/>
  <c r="H17" i="115"/>
  <c r="L17" i="115" s="1"/>
  <c r="L17" i="70"/>
  <c r="M17" i="70" s="1"/>
  <c r="D24" i="67"/>
  <c r="D26" i="67" s="1"/>
  <c r="J103" i="115"/>
  <c r="N107" i="116"/>
  <c r="R157" i="82"/>
  <c r="R382" i="82"/>
  <c r="Q125" i="82"/>
  <c r="R92" i="82"/>
  <c r="R153" i="82"/>
  <c r="G153" i="82"/>
  <c r="N17" i="122"/>
  <c r="R222" i="82"/>
  <c r="R391" i="82"/>
  <c r="R159" i="82"/>
  <c r="G63" i="122"/>
  <c r="E73" i="58"/>
  <c r="E52" i="58"/>
  <c r="E59" i="122"/>
  <c r="D17" i="121"/>
  <c r="I72" i="159"/>
  <c r="K97" i="150"/>
  <c r="G93" i="58"/>
  <c r="G72" i="159"/>
  <c r="E68" i="113"/>
  <c r="C66" i="72"/>
  <c r="K27" i="116"/>
  <c r="K100" i="116"/>
  <c r="K111" i="116" s="1"/>
  <c r="J37" i="116"/>
  <c r="N37" i="70"/>
  <c r="E55" i="174" s="1"/>
  <c r="E56" i="174" s="1"/>
  <c r="J37" i="115"/>
  <c r="H25" i="115"/>
  <c r="L25" i="115" s="1"/>
  <c r="L25" i="70"/>
  <c r="E91" i="150"/>
  <c r="F20" i="150"/>
  <c r="E109" i="113"/>
  <c r="C112" i="72"/>
  <c r="J20" i="103"/>
  <c r="N20" i="99"/>
  <c r="N83" i="113"/>
  <c r="AF72" i="113"/>
  <c r="Q83" i="113"/>
  <c r="Q109" i="113"/>
  <c r="J40" i="103"/>
  <c r="N40" i="99"/>
  <c r="J14" i="103"/>
  <c r="K22" i="99"/>
  <c r="N14" i="99"/>
  <c r="C28" i="102"/>
  <c r="M28" i="101"/>
  <c r="E47" i="96"/>
  <c r="I168" i="72"/>
  <c r="K160" i="72"/>
  <c r="D88" i="55"/>
  <c r="D125" i="55"/>
  <c r="I120" i="72"/>
  <c r="E138" i="72"/>
  <c r="E145" i="72" s="1"/>
  <c r="E26" i="172" s="1"/>
  <c r="E48" i="172" s="1"/>
  <c r="E41" i="55"/>
  <c r="F33" i="55"/>
  <c r="H27" i="75"/>
  <c r="I57" i="54"/>
  <c r="K53" i="54"/>
  <c r="E86" i="54"/>
  <c r="F86" i="54" s="1"/>
  <c r="F82" i="54"/>
  <c r="F89" i="116"/>
  <c r="F89" i="115"/>
  <c r="J89" i="70"/>
  <c r="G105" i="70"/>
  <c r="H105" i="70" s="1"/>
  <c r="L105" i="70" s="1"/>
  <c r="M105" i="70" s="1"/>
  <c r="P105" i="70" s="1"/>
  <c r="D125" i="70" s="1"/>
  <c r="D105" i="115"/>
  <c r="G105" i="115" s="1"/>
  <c r="H105" i="115" s="1"/>
  <c r="H67" i="115"/>
  <c r="K64" i="70"/>
  <c r="L64" i="70" s="1"/>
  <c r="H64" i="115"/>
  <c r="K64" i="115" s="1"/>
  <c r="O100" i="116"/>
  <c r="O27" i="116"/>
  <c r="H65" i="115"/>
  <c r="K65" i="115" s="1"/>
  <c r="K65" i="70"/>
  <c r="L65" i="70" s="1"/>
  <c r="F79" i="116"/>
  <c r="F79" i="115"/>
  <c r="J79" i="70"/>
  <c r="D110" i="116"/>
  <c r="G110" i="116" s="1"/>
  <c r="H110" i="116" s="1"/>
  <c r="H22" i="115"/>
  <c r="L22" i="115" s="1"/>
  <c r="L22" i="70"/>
  <c r="M22" i="70" s="1"/>
  <c r="D108" i="115"/>
  <c r="G108" i="115" s="1"/>
  <c r="H108" i="115" s="1"/>
  <c r="G108" i="70"/>
  <c r="H108" i="70" s="1"/>
  <c r="L108" i="70" s="1"/>
  <c r="M108" i="70" s="1"/>
  <c r="P108" i="70" s="1"/>
  <c r="D128" i="70" s="1"/>
  <c r="N108" i="115"/>
  <c r="K111" i="70"/>
  <c r="F40" i="116"/>
  <c r="F124" i="70"/>
  <c r="F40" i="115"/>
  <c r="J40" i="70"/>
  <c r="E82" i="174" s="1"/>
  <c r="D106" i="116"/>
  <c r="G22" i="116"/>
  <c r="H22" i="116" s="1"/>
  <c r="L22" i="116" s="1"/>
  <c r="M22" i="116" s="1"/>
  <c r="P22" i="116" s="1"/>
  <c r="D42" i="116" s="1"/>
  <c r="J100" i="115"/>
  <c r="J27" i="115"/>
  <c r="I100" i="115"/>
  <c r="I27" i="115"/>
  <c r="J88" i="116"/>
  <c r="J88" i="115"/>
  <c r="N88" i="70"/>
  <c r="M16" i="120"/>
  <c r="F38" i="116"/>
  <c r="F122" i="70"/>
  <c r="J38" i="70"/>
  <c r="E138" i="174" s="1"/>
  <c r="F38" i="115"/>
  <c r="D101" i="115"/>
  <c r="G101" i="115" s="1"/>
  <c r="H101" i="115" s="1"/>
  <c r="G101" i="70"/>
  <c r="H101" i="70" s="1"/>
  <c r="L101" i="70" s="1"/>
  <c r="M101" i="70" s="1"/>
  <c r="P101" i="70" s="1"/>
  <c r="D121" i="70" s="1"/>
  <c r="F46" i="116"/>
  <c r="F130" i="70"/>
  <c r="J46" i="70"/>
  <c r="F46" i="115"/>
  <c r="F264" i="150"/>
  <c r="E299" i="150"/>
  <c r="D109" i="115"/>
  <c r="G109" i="115" s="1"/>
  <c r="H109" i="115" s="1"/>
  <c r="G109" i="70"/>
  <c r="H109" i="70" s="1"/>
  <c r="Q25" i="132"/>
  <c r="P35" i="132"/>
  <c r="O37" i="132" s="1"/>
  <c r="O38" i="132" s="1"/>
  <c r="G123" i="117"/>
  <c r="P30" i="132"/>
  <c r="R95" i="82"/>
  <c r="H123" i="117"/>
  <c r="E17" i="122"/>
  <c r="L57" i="160" l="1"/>
  <c r="C38" i="103"/>
  <c r="C43" i="101"/>
  <c r="J127" i="116"/>
  <c r="F201" i="117"/>
  <c r="L14" i="72"/>
  <c r="M26" i="99"/>
  <c r="L15" i="102"/>
  <c r="C26" i="103"/>
  <c r="L16" i="160"/>
  <c r="L32" i="160" s="1"/>
  <c r="C41" i="103"/>
  <c r="L41" i="103" s="1"/>
  <c r="L45" i="160"/>
  <c r="E30" i="174"/>
  <c r="L50" i="160"/>
  <c r="G247" i="82"/>
  <c r="F12" i="150"/>
  <c r="G248" i="82"/>
  <c r="M248" i="82" s="1"/>
  <c r="G240" i="82"/>
  <c r="E88" i="150"/>
  <c r="F88" i="150" s="1"/>
  <c r="G249" i="82"/>
  <c r="M249" i="82" s="1"/>
  <c r="D121" i="117" s="1"/>
  <c r="R278" i="82"/>
  <c r="E196" i="150"/>
  <c r="F121" i="150"/>
  <c r="I84" i="58"/>
  <c r="M271" i="82"/>
  <c r="F43" i="150"/>
  <c r="G234" i="82"/>
  <c r="N21" i="122" s="1"/>
  <c r="O21" i="122" s="1"/>
  <c r="J22" i="103"/>
  <c r="C48" i="172"/>
  <c r="N22" i="99"/>
  <c r="N40" i="73"/>
  <c r="N87" i="73" s="1"/>
  <c r="L14" i="103"/>
  <c r="J90" i="70"/>
  <c r="J47" i="70"/>
  <c r="N159" i="55" s="1"/>
  <c r="J51" i="58"/>
  <c r="L41" i="102"/>
  <c r="O5" i="162"/>
  <c r="G5" i="172" s="1"/>
  <c r="G19" i="172" s="1"/>
  <c r="E5" i="172"/>
  <c r="E19" i="172" s="1"/>
  <c r="P5" i="162"/>
  <c r="F5" i="162"/>
  <c r="N5" i="162"/>
  <c r="W5" i="162"/>
  <c r="V5" i="162"/>
  <c r="U5" i="162"/>
  <c r="N18" i="162"/>
  <c r="U18" i="162"/>
  <c r="K18" i="162"/>
  <c r="R18" i="162"/>
  <c r="S18" i="162"/>
  <c r="L18" i="162"/>
  <c r="P40" i="73"/>
  <c r="P87" i="73" s="1"/>
  <c r="G51" i="58"/>
  <c r="F22" i="171"/>
  <c r="Q40" i="132"/>
  <c r="D74" i="159"/>
  <c r="E131" i="117" s="1"/>
  <c r="E132" i="117" s="1"/>
  <c r="D46" i="66"/>
  <c r="J127" i="115"/>
  <c r="C45" i="101"/>
  <c r="C52" i="101" s="1"/>
  <c r="R88" i="58"/>
  <c r="L12" i="72"/>
  <c r="N12" i="72" s="1"/>
  <c r="R54" i="58"/>
  <c r="N53" i="58"/>
  <c r="Q42" i="132"/>
  <c r="Q43" i="132" s="1"/>
  <c r="E36" i="132" s="1"/>
  <c r="E69" i="66" s="1"/>
  <c r="S19" i="58"/>
  <c r="S20" i="58"/>
  <c r="C22" i="99"/>
  <c r="D100" i="150"/>
  <c r="R21" i="58"/>
  <c r="D79" i="117"/>
  <c r="C15" i="103"/>
  <c r="C32" i="103"/>
  <c r="K20" i="58"/>
  <c r="E57" i="58"/>
  <c r="E63" i="58" s="1"/>
  <c r="L18" i="72"/>
  <c r="N18" i="72" s="1"/>
  <c r="Q26" i="72"/>
  <c r="L13" i="72"/>
  <c r="N13" i="72" s="1"/>
  <c r="L25" i="72"/>
  <c r="N25" i="72" s="1"/>
  <c r="M29" i="99"/>
  <c r="B15" i="58"/>
  <c r="L41" i="160"/>
  <c r="C28" i="103"/>
  <c r="L18" i="103"/>
  <c r="M15" i="99"/>
  <c r="B44" i="58"/>
  <c r="M395" i="82"/>
  <c r="M394" i="82"/>
  <c r="M48" i="122"/>
  <c r="M42" i="122" s="1"/>
  <c r="L58" i="160"/>
  <c r="L17" i="102"/>
  <c r="N52" i="58"/>
  <c r="L19" i="72"/>
  <c r="K67" i="70"/>
  <c r="L67" i="70" s="1"/>
  <c r="L67" i="115" s="1"/>
  <c r="L16" i="72"/>
  <c r="L65" i="160"/>
  <c r="E86" i="58"/>
  <c r="N20" i="58"/>
  <c r="I3" i="153"/>
  <c r="G23" i="54"/>
  <c r="L17" i="72"/>
  <c r="N17" i="72" s="1"/>
  <c r="M30" i="99"/>
  <c r="F51" i="150"/>
  <c r="O32" i="132"/>
  <c r="O33" i="132" s="1"/>
  <c r="G48" i="122"/>
  <c r="E31" i="114"/>
  <c r="E12" i="114"/>
  <c r="F65" i="61"/>
  <c r="F41" i="61"/>
  <c r="F16" i="61"/>
  <c r="R224" i="82"/>
  <c r="Q87" i="58"/>
  <c r="R87" i="58" s="1"/>
  <c r="L16" i="102"/>
  <c r="G80" i="58"/>
  <c r="M41" i="99"/>
  <c r="C19" i="103"/>
  <c r="M356" i="82"/>
  <c r="U20" i="58"/>
  <c r="J48" i="122"/>
  <c r="J42" i="122" s="1"/>
  <c r="G84" i="58"/>
  <c r="L45" i="58"/>
  <c r="E261" i="150"/>
  <c r="L46" i="58"/>
  <c r="E262" i="150"/>
  <c r="F262" i="150" s="1"/>
  <c r="J25" i="152"/>
  <c r="I40" i="58"/>
  <c r="E148" i="150"/>
  <c r="M151" i="82"/>
  <c r="D69" i="117" s="1"/>
  <c r="L15" i="58"/>
  <c r="E228" i="150"/>
  <c r="E155" i="150"/>
  <c r="I47" i="58"/>
  <c r="J82" i="58"/>
  <c r="L27" i="75"/>
  <c r="L26" i="58"/>
  <c r="E239" i="150"/>
  <c r="L47" i="58"/>
  <c r="E263" i="150"/>
  <c r="F263" i="150" s="1"/>
  <c r="L17" i="58"/>
  <c r="E230" i="150"/>
  <c r="F230" i="150" s="1"/>
  <c r="L58" i="58"/>
  <c r="E274" i="150"/>
  <c r="F26" i="58"/>
  <c r="E25" i="150"/>
  <c r="H32" i="96"/>
  <c r="I46" i="58"/>
  <c r="E154" i="150"/>
  <c r="F46" i="58"/>
  <c r="G46" i="58" s="1"/>
  <c r="E46" i="150"/>
  <c r="E130" i="150"/>
  <c r="I26" i="58"/>
  <c r="E58" i="150"/>
  <c r="F58" i="58"/>
  <c r="H17" i="96"/>
  <c r="I17" i="96" s="1"/>
  <c r="I16" i="58"/>
  <c r="E120" i="150"/>
  <c r="I58" i="58"/>
  <c r="E166" i="150"/>
  <c r="E17" i="96"/>
  <c r="F17" i="96" s="1"/>
  <c r="F16" i="58"/>
  <c r="E15" i="150"/>
  <c r="M153" i="82"/>
  <c r="D73" i="117" s="1"/>
  <c r="P51" i="58"/>
  <c r="O51" i="58"/>
  <c r="L16" i="58"/>
  <c r="E229" i="150"/>
  <c r="J81" i="58"/>
  <c r="F40" i="58"/>
  <c r="E40" i="150"/>
  <c r="F208" i="117"/>
  <c r="E306" i="174"/>
  <c r="L56" i="160"/>
  <c r="M32" i="99"/>
  <c r="N44" i="115"/>
  <c r="E251" i="174"/>
  <c r="E252" i="174" s="1"/>
  <c r="L63" i="54"/>
  <c r="C43" i="102"/>
  <c r="E69" i="115"/>
  <c r="M34" i="99"/>
  <c r="D81" i="117"/>
  <c r="D77" i="117"/>
  <c r="C91" i="73"/>
  <c r="C98" i="73" s="1"/>
  <c r="L54" i="160"/>
  <c r="L53" i="160"/>
  <c r="L13" i="160"/>
  <c r="L55" i="160"/>
  <c r="L52" i="160"/>
  <c r="L29" i="102"/>
  <c r="G59" i="160"/>
  <c r="G56" i="160"/>
  <c r="G54" i="160"/>
  <c r="M34" i="102"/>
  <c r="G64" i="160"/>
  <c r="G62" i="160"/>
  <c r="L35" i="102"/>
  <c r="L37" i="102"/>
  <c r="G55" i="160"/>
  <c r="D31" i="103" s="1"/>
  <c r="L38" i="102"/>
  <c r="G63" i="160"/>
  <c r="M39" i="102"/>
  <c r="G58" i="160"/>
  <c r="G60" i="160"/>
  <c r="G61" i="160"/>
  <c r="L32" i="102"/>
  <c r="M36" i="102"/>
  <c r="M33" i="102"/>
  <c r="G57" i="160"/>
  <c r="E33" i="103" s="1"/>
  <c r="G42" i="160"/>
  <c r="M16" i="102"/>
  <c r="G43" i="160"/>
  <c r="G44" i="160"/>
  <c r="M18" i="102"/>
  <c r="M14" i="102"/>
  <c r="G45" i="160"/>
  <c r="M19" i="102"/>
  <c r="M17" i="102"/>
  <c r="G40" i="160"/>
  <c r="F59" i="160"/>
  <c r="F62" i="160"/>
  <c r="F42" i="160"/>
  <c r="N112" i="72"/>
  <c r="N67" i="72"/>
  <c r="C51" i="73"/>
  <c r="R49" i="58"/>
  <c r="R276" i="82"/>
  <c r="C28" i="130"/>
  <c r="N71" i="72"/>
  <c r="N116" i="72"/>
  <c r="G243" i="82"/>
  <c r="G246" i="82"/>
  <c r="N113" i="72"/>
  <c r="R279" i="82"/>
  <c r="N68" i="72"/>
  <c r="G241" i="82"/>
  <c r="N114" i="72"/>
  <c r="L43" i="160"/>
  <c r="C17" i="103"/>
  <c r="M17" i="99"/>
  <c r="L42" i="160"/>
  <c r="M16" i="99"/>
  <c r="C16" i="103"/>
  <c r="C22" i="102"/>
  <c r="N83" i="72"/>
  <c r="D145" i="72"/>
  <c r="C34" i="103"/>
  <c r="N115" i="72"/>
  <c r="N73" i="58"/>
  <c r="L26" i="102"/>
  <c r="F60" i="160"/>
  <c r="L26" i="72"/>
  <c r="N26" i="72" s="1"/>
  <c r="G74" i="159"/>
  <c r="H131" i="117" s="1"/>
  <c r="H132" i="117" s="1"/>
  <c r="G42" i="88"/>
  <c r="Q25" i="72"/>
  <c r="R25" i="72"/>
  <c r="H74" i="159"/>
  <c r="I131" i="117" s="1"/>
  <c r="I132" i="117" s="1"/>
  <c r="L181" i="72"/>
  <c r="N181" i="72" s="1"/>
  <c r="D22" i="88"/>
  <c r="E54" i="122" s="1"/>
  <c r="I74" i="159"/>
  <c r="J131" i="117" s="1"/>
  <c r="J132" i="117" s="1"/>
  <c r="I42" i="88"/>
  <c r="M37" i="99"/>
  <c r="L61" i="160"/>
  <c r="C37" i="103"/>
  <c r="Q12" i="72"/>
  <c r="R12" i="72"/>
  <c r="D21" i="72"/>
  <c r="Q16" i="72"/>
  <c r="R16" i="72"/>
  <c r="R17" i="72"/>
  <c r="Q17" i="72"/>
  <c r="R18" i="72"/>
  <c r="Q18" i="72"/>
  <c r="R13" i="72"/>
  <c r="Q13" i="72"/>
  <c r="R14" i="72"/>
  <c r="Q14" i="72"/>
  <c r="D44" i="72"/>
  <c r="L44" i="72" s="1"/>
  <c r="M68" i="73"/>
  <c r="L42" i="65"/>
  <c r="F75" i="67"/>
  <c r="L15" i="65"/>
  <c r="L30" i="65"/>
  <c r="F26" i="67"/>
  <c r="F28" i="67" s="1"/>
  <c r="K83" i="113"/>
  <c r="K85" i="113" s="1"/>
  <c r="E74" i="159"/>
  <c r="F131" i="117" s="1"/>
  <c r="F132" i="117" s="1"/>
  <c r="R268" i="82"/>
  <c r="R281" i="82"/>
  <c r="R277" i="82"/>
  <c r="M277" i="82"/>
  <c r="R280" i="82"/>
  <c r="R271" i="82"/>
  <c r="M280" i="82"/>
  <c r="M268" i="82"/>
  <c r="M302" i="82" s="1"/>
  <c r="N302" i="82" s="1"/>
  <c r="N234" i="82" s="1"/>
  <c r="R275" i="82"/>
  <c r="R283" i="82"/>
  <c r="R274" i="82"/>
  <c r="M275" i="82"/>
  <c r="M274" i="82"/>
  <c r="M283" i="82"/>
  <c r="R282" i="82"/>
  <c r="M276" i="82"/>
  <c r="G242" i="82"/>
  <c r="M278" i="82"/>
  <c r="M282" i="82"/>
  <c r="R248" i="82"/>
  <c r="N34" i="122"/>
  <c r="M279" i="82"/>
  <c r="M281" i="82"/>
  <c r="M247" i="82"/>
  <c r="D119" i="117" s="1"/>
  <c r="R247" i="82"/>
  <c r="D203" i="117"/>
  <c r="D24" i="117"/>
  <c r="D201" i="117"/>
  <c r="D21" i="117"/>
  <c r="Q142" i="117"/>
  <c r="M267" i="82"/>
  <c r="G293" i="82"/>
  <c r="R293" i="82" s="1"/>
  <c r="R267" i="82"/>
  <c r="M28" i="166"/>
  <c r="L28" i="166"/>
  <c r="K52" i="88"/>
  <c r="AD85" i="113"/>
  <c r="M18" i="115"/>
  <c r="P18" i="115" s="1"/>
  <c r="H56" i="114"/>
  <c r="H262" i="88"/>
  <c r="D267" i="88"/>
  <c r="F267" i="88"/>
  <c r="E250" i="88"/>
  <c r="N271" i="88"/>
  <c r="C267" i="88"/>
  <c r="G267" i="88"/>
  <c r="D247" i="88"/>
  <c r="C257" i="88"/>
  <c r="C264" i="88"/>
  <c r="H265" i="88"/>
  <c r="D262" i="88"/>
  <c r="D248" i="88"/>
  <c r="H248" i="88"/>
  <c r="C263" i="88"/>
  <c r="F260" i="88"/>
  <c r="D264" i="88"/>
  <c r="E267" i="88"/>
  <c r="D245" i="88"/>
  <c r="G245" i="88"/>
  <c r="D256" i="88"/>
  <c r="G266" i="88"/>
  <c r="C266" i="88"/>
  <c r="F258" i="88"/>
  <c r="G260" i="88"/>
  <c r="D260" i="88"/>
  <c r="C268" i="88"/>
  <c r="C270" i="88"/>
  <c r="E258" i="88"/>
  <c r="G263" i="88"/>
  <c r="D261" i="88"/>
  <c r="C250" i="88"/>
  <c r="D250" i="88"/>
  <c r="E251" i="88"/>
  <c r="G246" i="88"/>
  <c r="G249" i="88"/>
  <c r="M271" i="88"/>
  <c r="K257" i="88"/>
  <c r="H270" i="88"/>
  <c r="H267" i="88"/>
  <c r="C249" i="88"/>
  <c r="F248" i="88"/>
  <c r="H250" i="88"/>
  <c r="H268" i="88"/>
  <c r="H261" i="88"/>
  <c r="D271" i="88"/>
  <c r="E247" i="88"/>
  <c r="N257" i="88"/>
  <c r="E270" i="88"/>
  <c r="C271" i="88"/>
  <c r="H271" i="88"/>
  <c r="H246" i="88"/>
  <c r="I257" i="88"/>
  <c r="G259" i="88"/>
  <c r="E257" i="88"/>
  <c r="G256" i="88"/>
  <c r="D268" i="88"/>
  <c r="C262" i="88"/>
  <c r="F268" i="88"/>
  <c r="F264" i="88"/>
  <c r="E263" i="88"/>
  <c r="F259" i="88"/>
  <c r="G265" i="88"/>
  <c r="E262" i="88"/>
  <c r="G270" i="88"/>
  <c r="H259" i="88"/>
  <c r="C247" i="88"/>
  <c r="H245" i="88"/>
  <c r="E246" i="88"/>
  <c r="G248" i="88"/>
  <c r="F246" i="88"/>
  <c r="F257" i="88"/>
  <c r="I271" i="88"/>
  <c r="G268" i="88"/>
  <c r="F262" i="88"/>
  <c r="F261" i="88"/>
  <c r="E245" i="88"/>
  <c r="L271" i="88"/>
  <c r="D270" i="88"/>
  <c r="H260" i="88"/>
  <c r="C246" i="88"/>
  <c r="F247" i="88"/>
  <c r="G262" i="88"/>
  <c r="F265" i="88"/>
  <c r="C248" i="88"/>
  <c r="G257" i="88"/>
  <c r="H256" i="88"/>
  <c r="G271" i="88"/>
  <c r="E268" i="88"/>
  <c r="C261" i="88"/>
  <c r="H266" i="88"/>
  <c r="D246" i="88"/>
  <c r="G250" i="88"/>
  <c r="M257" i="88"/>
  <c r="E256" i="88"/>
  <c r="E259" i="88"/>
  <c r="C258" i="88"/>
  <c r="E266" i="88"/>
  <c r="F270" i="88"/>
  <c r="E260" i="88"/>
  <c r="H258" i="88"/>
  <c r="G261" i="88"/>
  <c r="F266" i="88"/>
  <c r="H263" i="88"/>
  <c r="C245" i="88"/>
  <c r="D249" i="88"/>
  <c r="E249" i="88"/>
  <c r="G247" i="88"/>
  <c r="F251" i="88"/>
  <c r="H249" i="88"/>
  <c r="L257" i="88"/>
  <c r="D257" i="88"/>
  <c r="E265" i="88"/>
  <c r="E271" i="88"/>
  <c r="H257" i="88"/>
  <c r="G264" i="88"/>
  <c r="D263" i="88"/>
  <c r="E261" i="88"/>
  <c r="F250" i="88"/>
  <c r="J257" i="88"/>
  <c r="F256" i="88"/>
  <c r="D265" i="88"/>
  <c r="C265" i="88"/>
  <c r="E248" i="88"/>
  <c r="H264" i="88"/>
  <c r="G251" i="88"/>
  <c r="C256" i="88"/>
  <c r="D259" i="88"/>
  <c r="F263" i="88"/>
  <c r="C260" i="88"/>
  <c r="C259" i="88"/>
  <c r="D258" i="88"/>
  <c r="G258" i="88"/>
  <c r="F271" i="88"/>
  <c r="D266" i="88"/>
  <c r="E264" i="88"/>
  <c r="C251" i="88"/>
  <c r="D251" i="88"/>
  <c r="F245" i="88"/>
  <c r="H247" i="88"/>
  <c r="H251" i="88"/>
  <c r="F249" i="88"/>
  <c r="J271" i="88"/>
  <c r="K271" i="88"/>
  <c r="J14" i="121"/>
  <c r="J16" i="121" s="1"/>
  <c r="J18" i="121" s="1"/>
  <c r="AD45" i="113"/>
  <c r="Q12" i="120"/>
  <c r="E127" i="113"/>
  <c r="O61" i="70"/>
  <c r="D82" i="70" s="1"/>
  <c r="D82" i="115" s="1"/>
  <c r="I20" i="88"/>
  <c r="N12" i="120"/>
  <c r="N41" i="120" s="1"/>
  <c r="L31" i="96"/>
  <c r="P41" i="120"/>
  <c r="H91" i="61"/>
  <c r="G145" i="72"/>
  <c r="K52" i="101"/>
  <c r="E244" i="150"/>
  <c r="M7" i="162" s="1"/>
  <c r="AF22" i="113"/>
  <c r="I67" i="115"/>
  <c r="K67" i="115" s="1"/>
  <c r="I67" i="116"/>
  <c r="K67" i="116" s="1"/>
  <c r="L67" i="116" s="1"/>
  <c r="I109" i="70"/>
  <c r="I111" i="70" s="1"/>
  <c r="F17" i="61"/>
  <c r="G52" i="72"/>
  <c r="E30" i="150" s="1"/>
  <c r="H19" i="58"/>
  <c r="H74" i="58"/>
  <c r="D115" i="150"/>
  <c r="D186" i="150" s="1"/>
  <c r="Z85" i="113"/>
  <c r="M25" i="70"/>
  <c r="M25" i="115" s="1"/>
  <c r="P25" i="115" s="1"/>
  <c r="AF125" i="113"/>
  <c r="N37" i="72"/>
  <c r="N134" i="72"/>
  <c r="N30" i="72"/>
  <c r="N127" i="113"/>
  <c r="N117" i="72"/>
  <c r="N129" i="72"/>
  <c r="N85" i="113"/>
  <c r="C74" i="72"/>
  <c r="C91" i="72" s="1"/>
  <c r="N29" i="72"/>
  <c r="E32" i="96"/>
  <c r="F32" i="96" s="1"/>
  <c r="F31" i="96"/>
  <c r="M13" i="152"/>
  <c r="E51" i="67"/>
  <c r="N39" i="72"/>
  <c r="L136" i="72"/>
  <c r="N79" i="72"/>
  <c r="N70" i="72"/>
  <c r="K56" i="114"/>
  <c r="C120" i="72"/>
  <c r="G102" i="116"/>
  <c r="H102" i="116" s="1"/>
  <c r="L102" i="116" s="1"/>
  <c r="M102" i="116" s="1"/>
  <c r="P102" i="116" s="1"/>
  <c r="D122" i="116" s="1"/>
  <c r="P26" i="70"/>
  <c r="D46" i="70" s="1"/>
  <c r="D46" i="115" s="1"/>
  <c r="F16" i="96"/>
  <c r="F194" i="150"/>
  <c r="F193" i="150"/>
  <c r="I31" i="96"/>
  <c r="G103" i="116"/>
  <c r="H103" i="116" s="1"/>
  <c r="L103" i="116" s="1"/>
  <c r="M103" i="116" s="1"/>
  <c r="P103" i="116" s="1"/>
  <c r="D123" i="116" s="1"/>
  <c r="P19" i="70"/>
  <c r="D39" i="70" s="1"/>
  <c r="D39" i="115" s="1"/>
  <c r="F154" i="150"/>
  <c r="K127" i="113"/>
  <c r="AC127" i="113" s="1"/>
  <c r="F12" i="98" s="1"/>
  <c r="F13" i="98" s="1"/>
  <c r="AD127" i="113"/>
  <c r="Z127" i="113"/>
  <c r="E85" i="113"/>
  <c r="T85" i="113"/>
  <c r="E45" i="113"/>
  <c r="C46" i="72"/>
  <c r="C52" i="72" s="1"/>
  <c r="N16" i="72"/>
  <c r="N38" i="72"/>
  <c r="N33" i="72"/>
  <c r="Q85" i="54"/>
  <c r="N27" i="72"/>
  <c r="N15" i="72"/>
  <c r="M92" i="82"/>
  <c r="D46" i="117" s="1"/>
  <c r="N85" i="72"/>
  <c r="N86" i="72"/>
  <c r="W45" i="113"/>
  <c r="M95" i="82"/>
  <c r="N87" i="72"/>
  <c r="N14" i="72"/>
  <c r="N131" i="72"/>
  <c r="G50" i="160"/>
  <c r="Z45" i="113"/>
  <c r="N124" i="72"/>
  <c r="O103" i="88"/>
  <c r="W127" i="113"/>
  <c r="N125" i="72"/>
  <c r="F72" i="159"/>
  <c r="F74" i="159" s="1"/>
  <c r="G131" i="117" s="1"/>
  <c r="G132" i="117" s="1"/>
  <c r="N45" i="113"/>
  <c r="T45" i="113"/>
  <c r="N35" i="72"/>
  <c r="W85" i="113"/>
  <c r="N34" i="72"/>
  <c r="T127" i="113"/>
  <c r="N81" i="72"/>
  <c r="N69" i="72"/>
  <c r="N36" i="72"/>
  <c r="N28" i="72"/>
  <c r="N31" i="72"/>
  <c r="N80" i="72"/>
  <c r="C136" i="72"/>
  <c r="N84" i="72"/>
  <c r="N132" i="72"/>
  <c r="N32" i="72"/>
  <c r="N127" i="72"/>
  <c r="N133" i="72"/>
  <c r="N126" i="72"/>
  <c r="N130" i="72"/>
  <c r="M100" i="82"/>
  <c r="J87" i="58"/>
  <c r="F199" i="150"/>
  <c r="J84" i="58"/>
  <c r="G106" i="116"/>
  <c r="H106" i="116" s="1"/>
  <c r="L106" i="116" s="1"/>
  <c r="M106" i="116" s="1"/>
  <c r="P106" i="116" s="1"/>
  <c r="D126" i="116" s="1"/>
  <c r="S85" i="54"/>
  <c r="F96" i="61"/>
  <c r="F119" i="61"/>
  <c r="L106" i="115"/>
  <c r="M106" i="115" s="1"/>
  <c r="P106" i="115" s="1"/>
  <c r="D126" i="115" s="1"/>
  <c r="I45" i="113"/>
  <c r="AA45" i="113" s="1"/>
  <c r="F27" i="75"/>
  <c r="R143" i="82"/>
  <c r="O189" i="88"/>
  <c r="I53" i="75"/>
  <c r="G107" i="116"/>
  <c r="H107" i="116" s="1"/>
  <c r="L107" i="116" s="1"/>
  <c r="M107" i="116" s="1"/>
  <c r="P107" i="116" s="1"/>
  <c r="D127" i="116" s="1"/>
  <c r="O63" i="70"/>
  <c r="F122" i="116"/>
  <c r="L101" i="115"/>
  <c r="M101" i="115" s="1"/>
  <c r="P101" i="115" s="1"/>
  <c r="D121" i="115" s="1"/>
  <c r="I42" i="65"/>
  <c r="F239" i="150"/>
  <c r="E75" i="67"/>
  <c r="E80" i="150"/>
  <c r="L28" i="65"/>
  <c r="G13" i="58"/>
  <c r="L44" i="65"/>
  <c r="F123" i="115"/>
  <c r="J23" i="152"/>
  <c r="L47" i="96"/>
  <c r="I43" i="65"/>
  <c r="M94" i="82"/>
  <c r="I47" i="96"/>
  <c r="F47" i="96"/>
  <c r="F44" i="65"/>
  <c r="I44" i="65"/>
  <c r="F45" i="160"/>
  <c r="F123" i="116"/>
  <c r="F131" i="70"/>
  <c r="M104" i="82"/>
  <c r="L89" i="72"/>
  <c r="F29" i="103"/>
  <c r="F63" i="160"/>
  <c r="F64" i="160"/>
  <c r="F43" i="160"/>
  <c r="D38" i="103"/>
  <c r="M20" i="103"/>
  <c r="F18" i="103"/>
  <c r="F46" i="160"/>
  <c r="F57" i="160"/>
  <c r="F58" i="160"/>
  <c r="F61" i="160"/>
  <c r="F32" i="103"/>
  <c r="O41" i="120"/>
  <c r="E41" i="103"/>
  <c r="F26" i="103"/>
  <c r="F31" i="103"/>
  <c r="D29" i="103"/>
  <c r="E15" i="103"/>
  <c r="F15" i="103"/>
  <c r="D28" i="103"/>
  <c r="F30" i="103"/>
  <c r="F28" i="103"/>
  <c r="K22" i="122"/>
  <c r="G101" i="116"/>
  <c r="H101" i="116" s="1"/>
  <c r="L101" i="116" s="1"/>
  <c r="M101" i="116" s="1"/>
  <c r="P101" i="116" s="1"/>
  <c r="D121" i="116" s="1"/>
  <c r="M41" i="82"/>
  <c r="M55" i="58"/>
  <c r="L89" i="58"/>
  <c r="D224" i="150"/>
  <c r="D292" i="150" s="1"/>
  <c r="K19" i="58"/>
  <c r="R81" i="58"/>
  <c r="H18" i="162"/>
  <c r="F299" i="150"/>
  <c r="I16" i="152"/>
  <c r="I27" i="152" s="1"/>
  <c r="I28" i="152" s="1"/>
  <c r="I29" i="152" s="1"/>
  <c r="N77" i="58"/>
  <c r="N19" i="58"/>
  <c r="S77" i="58"/>
  <c r="J55" i="58"/>
  <c r="I89" i="58"/>
  <c r="L107" i="115"/>
  <c r="M107" i="115" s="1"/>
  <c r="P107" i="115" s="1"/>
  <c r="D127" i="115" s="1"/>
  <c r="R83" i="82"/>
  <c r="U77" i="58"/>
  <c r="U19" i="58"/>
  <c r="F91" i="150"/>
  <c r="E85" i="58"/>
  <c r="L110" i="116"/>
  <c r="M110" i="116" s="1"/>
  <c r="P110" i="116" s="1"/>
  <c r="D130" i="116" s="1"/>
  <c r="H33" i="122"/>
  <c r="H22" i="122"/>
  <c r="D227" i="150"/>
  <c r="K77" i="58"/>
  <c r="M14" i="58"/>
  <c r="D107" i="159"/>
  <c r="H21" i="122"/>
  <c r="I21" i="122" s="1"/>
  <c r="L28" i="102"/>
  <c r="F126" i="116"/>
  <c r="F85" i="150"/>
  <c r="G69" i="115"/>
  <c r="M40" i="82"/>
  <c r="F300" i="150"/>
  <c r="L105" i="116"/>
  <c r="M105" i="116" s="1"/>
  <c r="P105" i="116" s="1"/>
  <c r="D125" i="116" s="1"/>
  <c r="Q85" i="82"/>
  <c r="H24" i="122"/>
  <c r="I24" i="122" s="1"/>
  <c r="M101" i="82"/>
  <c r="L31" i="102"/>
  <c r="L30" i="102"/>
  <c r="H88" i="159"/>
  <c r="L104" i="115"/>
  <c r="M104" i="115" s="1"/>
  <c r="P104" i="115" s="1"/>
  <c r="D124" i="115" s="1"/>
  <c r="F86" i="150"/>
  <c r="Q82" i="58"/>
  <c r="H20" i="122"/>
  <c r="G104" i="116"/>
  <c r="H104" i="116" s="1"/>
  <c r="L104" i="116" s="1"/>
  <c r="M104" i="116" s="1"/>
  <c r="P104" i="116" s="1"/>
  <c r="D124" i="116" s="1"/>
  <c r="F122" i="115"/>
  <c r="F90" i="116"/>
  <c r="F130" i="116"/>
  <c r="F124" i="115"/>
  <c r="L105" i="115"/>
  <c r="M105" i="115" s="1"/>
  <c r="P105" i="115" s="1"/>
  <c r="D125" i="115" s="1"/>
  <c r="F126" i="115"/>
  <c r="E28" i="67"/>
  <c r="F124" i="116"/>
  <c r="O111" i="115"/>
  <c r="L102" i="115"/>
  <c r="M102" i="115" s="1"/>
  <c r="P102" i="115" s="1"/>
  <c r="D122" i="115" s="1"/>
  <c r="I16" i="96"/>
  <c r="K47" i="54"/>
  <c r="L43" i="54"/>
  <c r="O111" i="116"/>
  <c r="G27" i="115"/>
  <c r="F111" i="116"/>
  <c r="H111" i="70"/>
  <c r="L100" i="70"/>
  <c r="J84" i="116"/>
  <c r="J125" i="116" s="1"/>
  <c r="J84" i="115"/>
  <c r="J125" i="115" s="1"/>
  <c r="N84" i="70"/>
  <c r="N125" i="70" s="1"/>
  <c r="I32" i="65"/>
  <c r="H44" i="66" s="1"/>
  <c r="J28" i="65"/>
  <c r="AF83" i="113"/>
  <c r="I107" i="159"/>
  <c r="O59" i="70"/>
  <c r="L59" i="115"/>
  <c r="O59" i="115" s="1"/>
  <c r="F25" i="150"/>
  <c r="J81" i="116"/>
  <c r="N81" i="70"/>
  <c r="J81" i="115"/>
  <c r="I88" i="159"/>
  <c r="E111" i="116"/>
  <c r="E188" i="150"/>
  <c r="F117" i="150"/>
  <c r="F77" i="61"/>
  <c r="F48" i="61"/>
  <c r="F23" i="61"/>
  <c r="H158" i="54"/>
  <c r="I158" i="54" s="1"/>
  <c r="H16" i="54"/>
  <c r="E26" i="122"/>
  <c r="F26" i="122" s="1"/>
  <c r="M43" i="82"/>
  <c r="N135" i="61"/>
  <c r="L143" i="61"/>
  <c r="L114" i="61"/>
  <c r="L92" i="61"/>
  <c r="L145" i="61"/>
  <c r="L53" i="75"/>
  <c r="K45" i="113"/>
  <c r="AC45" i="113" s="1"/>
  <c r="D12" i="98" s="1"/>
  <c r="D13" i="98" s="1"/>
  <c r="E88" i="159"/>
  <c r="J87" i="116"/>
  <c r="J128" i="116" s="1"/>
  <c r="J87" i="115"/>
  <c r="J128" i="115" s="1"/>
  <c r="N87" i="70"/>
  <c r="J128" i="70"/>
  <c r="J125" i="70"/>
  <c r="J80" i="116"/>
  <c r="J121" i="116" s="1"/>
  <c r="J80" i="115"/>
  <c r="J121" i="115" s="1"/>
  <c r="N80" i="70"/>
  <c r="N121" i="70" s="1"/>
  <c r="J13" i="65"/>
  <c r="I17" i="65"/>
  <c r="F17" i="122"/>
  <c r="J38" i="116"/>
  <c r="J38" i="115"/>
  <c r="J122" i="70"/>
  <c r="N38" i="70"/>
  <c r="E139" i="174" s="1"/>
  <c r="E140" i="174" s="1"/>
  <c r="J79" i="116"/>
  <c r="J79" i="115"/>
  <c r="N79" i="70"/>
  <c r="J120" i="70"/>
  <c r="J40" i="116"/>
  <c r="J40" i="115"/>
  <c r="N40" i="70"/>
  <c r="E83" i="174" s="1"/>
  <c r="E84" i="174" s="1"/>
  <c r="J124" i="70"/>
  <c r="L108" i="115"/>
  <c r="M108" i="115" s="1"/>
  <c r="P108" i="115" s="1"/>
  <c r="D128" i="115" s="1"/>
  <c r="O64" i="70"/>
  <c r="L64" i="115"/>
  <c r="O64" i="115" s="1"/>
  <c r="N37" i="116"/>
  <c r="N37" i="115"/>
  <c r="L72" i="54"/>
  <c r="K76" i="54"/>
  <c r="K77" i="54" s="1"/>
  <c r="L77" i="54" s="1"/>
  <c r="J17" i="58"/>
  <c r="E33" i="122"/>
  <c r="F33" i="122" s="1"/>
  <c r="M44" i="82"/>
  <c r="D31" i="117" s="1"/>
  <c r="L110" i="115"/>
  <c r="M110" i="115" s="1"/>
  <c r="P110" i="115" s="1"/>
  <c r="D130" i="115" s="1"/>
  <c r="F151" i="150"/>
  <c r="D43" i="115"/>
  <c r="E118" i="55"/>
  <c r="F159" i="55"/>
  <c r="E81" i="55"/>
  <c r="F47" i="116"/>
  <c r="E158" i="54"/>
  <c r="E16" i="54"/>
  <c r="K21" i="72"/>
  <c r="I46" i="72"/>
  <c r="G88" i="159"/>
  <c r="D51" i="67"/>
  <c r="F28" i="65"/>
  <c r="C30" i="103"/>
  <c r="L81" i="58"/>
  <c r="M48" i="58"/>
  <c r="F90" i="115"/>
  <c r="L53" i="54"/>
  <c r="K57" i="54"/>
  <c r="K58" i="54" s="1"/>
  <c r="L58" i="54" s="1"/>
  <c r="J121" i="70"/>
  <c r="J85" i="116"/>
  <c r="N85" i="70"/>
  <c r="J85" i="115"/>
  <c r="G27" i="116"/>
  <c r="H16" i="116"/>
  <c r="L62" i="115"/>
  <c r="O62" i="115" s="1"/>
  <c r="O62" i="70"/>
  <c r="E20" i="122"/>
  <c r="M33" i="82"/>
  <c r="D20" i="117" s="1"/>
  <c r="D38" i="115"/>
  <c r="C31" i="103"/>
  <c r="M49" i="58"/>
  <c r="L82" i="58"/>
  <c r="F120" i="116"/>
  <c r="F56" i="55"/>
  <c r="E37" i="55"/>
  <c r="E18" i="55"/>
  <c r="L66" i="115"/>
  <c r="O66" i="115" s="1"/>
  <c r="O66" i="70"/>
  <c r="F88" i="159"/>
  <c r="H58" i="115"/>
  <c r="K58" i="70"/>
  <c r="H123" i="61"/>
  <c r="J124" i="61"/>
  <c r="J102" i="61"/>
  <c r="G23" i="58"/>
  <c r="I186" i="72"/>
  <c r="K184" i="72"/>
  <c r="K16" i="54"/>
  <c r="K158" i="54"/>
  <c r="L158" i="54" s="1"/>
  <c r="L68" i="115"/>
  <c r="O68" i="115" s="1"/>
  <c r="O68" i="70"/>
  <c r="J82" i="116"/>
  <c r="J82" i="115"/>
  <c r="N82" i="70"/>
  <c r="F22" i="55"/>
  <c r="F87" i="58"/>
  <c r="G21" i="58"/>
  <c r="M28" i="103"/>
  <c r="J43" i="103"/>
  <c r="H58" i="116"/>
  <c r="G69" i="116"/>
  <c r="K120" i="72"/>
  <c r="I138" i="72"/>
  <c r="F10" i="136"/>
  <c r="F115" i="61"/>
  <c r="Q126" i="82"/>
  <c r="L103" i="115"/>
  <c r="M103" i="115" s="1"/>
  <c r="P103" i="115" s="1"/>
  <c r="D123" i="115" s="1"/>
  <c r="E36" i="152"/>
  <c r="F9" i="152"/>
  <c r="E33" i="152"/>
  <c r="E35" i="152"/>
  <c r="G107" i="159"/>
  <c r="G100" i="116"/>
  <c r="D111" i="116"/>
  <c r="L16" i="96"/>
  <c r="Q64" i="117"/>
  <c r="J111" i="116"/>
  <c r="N45" i="116"/>
  <c r="N45" i="115"/>
  <c r="N129" i="70"/>
  <c r="J83" i="116"/>
  <c r="J83" i="115"/>
  <c r="N83" i="70"/>
  <c r="H101" i="61"/>
  <c r="K49" i="114"/>
  <c r="I54" i="114"/>
  <c r="H16" i="115"/>
  <c r="H27" i="70"/>
  <c r="L16" i="70"/>
  <c r="H81" i="55"/>
  <c r="I159" i="55"/>
  <c r="H118" i="55"/>
  <c r="F259" i="150"/>
  <c r="M43" i="58"/>
  <c r="F59" i="122"/>
  <c r="E58" i="122"/>
  <c r="L65" i="115"/>
  <c r="O65" i="115" s="1"/>
  <c r="O65" i="70"/>
  <c r="E87" i="54"/>
  <c r="I27" i="75"/>
  <c r="M43" i="101"/>
  <c r="L17" i="135"/>
  <c r="U73" i="58"/>
  <c r="U52" i="58"/>
  <c r="M17" i="115"/>
  <c r="P17" i="115" s="1"/>
  <c r="P17" i="70"/>
  <c r="D37" i="70" s="1"/>
  <c r="D88" i="159"/>
  <c r="K20" i="122"/>
  <c r="Q85" i="113"/>
  <c r="AF68" i="113"/>
  <c r="K68" i="54"/>
  <c r="L68" i="54" s="1"/>
  <c r="N63" i="54"/>
  <c r="L67" i="54"/>
  <c r="E15" i="117"/>
  <c r="F47" i="115"/>
  <c r="P105" i="159"/>
  <c r="P27" i="166" s="1"/>
  <c r="E10" i="136"/>
  <c r="F68" i="61"/>
  <c r="F44" i="61" s="1"/>
  <c r="Q65" i="82"/>
  <c r="J129" i="115"/>
  <c r="G109" i="116"/>
  <c r="H109" i="116" s="1"/>
  <c r="I11" i="114"/>
  <c r="H16" i="114"/>
  <c r="F55" i="150"/>
  <c r="F55" i="58"/>
  <c r="G55" i="58" s="1"/>
  <c r="L60" i="115"/>
  <c r="O60" i="115" s="1"/>
  <c r="O60" i="70"/>
  <c r="F226" i="150"/>
  <c r="E294" i="150"/>
  <c r="R85" i="82"/>
  <c r="N88" i="116"/>
  <c r="N88" i="115"/>
  <c r="I127" i="113"/>
  <c r="K54" i="122"/>
  <c r="E27" i="130" s="1"/>
  <c r="P24" i="70"/>
  <c r="D44" i="70" s="1"/>
  <c r="M24" i="115"/>
  <c r="P24" i="115" s="1"/>
  <c r="Q186" i="82"/>
  <c r="H107" i="159"/>
  <c r="D256" i="150"/>
  <c r="K52" i="58"/>
  <c r="K57" i="58" s="1"/>
  <c r="K63" i="58" s="1"/>
  <c r="M22" i="115"/>
  <c r="P22" i="115" s="1"/>
  <c r="P22" i="70"/>
  <c r="D42" i="70" s="1"/>
  <c r="D28" i="67"/>
  <c r="F13" i="65"/>
  <c r="F130" i="115"/>
  <c r="M28" i="99"/>
  <c r="C43" i="99"/>
  <c r="E302" i="150"/>
  <c r="F267" i="150"/>
  <c r="J42" i="116"/>
  <c r="J42" i="115"/>
  <c r="J126" i="70"/>
  <c r="N42" i="70"/>
  <c r="E279" i="174" s="1"/>
  <c r="L108" i="116"/>
  <c r="M108" i="116" s="1"/>
  <c r="P108" i="116" s="1"/>
  <c r="D128" i="116" s="1"/>
  <c r="K45" i="99"/>
  <c r="K52" i="99" s="1"/>
  <c r="F81" i="58"/>
  <c r="K74" i="72"/>
  <c r="I91" i="72"/>
  <c r="K15" i="117"/>
  <c r="L140" i="61"/>
  <c r="J96" i="61"/>
  <c r="J119" i="61"/>
  <c r="F120" i="115"/>
  <c r="S52" i="58"/>
  <c r="S73" i="58"/>
  <c r="G14" i="58"/>
  <c r="F77" i="58"/>
  <c r="E107" i="159"/>
  <c r="J100" i="61"/>
  <c r="J122" i="61"/>
  <c r="H35" i="114"/>
  <c r="I30" i="114"/>
  <c r="E96" i="150"/>
  <c r="F53" i="75"/>
  <c r="E24" i="122"/>
  <c r="F24" i="122" s="1"/>
  <c r="M39" i="82"/>
  <c r="F15" i="117"/>
  <c r="G100" i="115"/>
  <c r="J45" i="102"/>
  <c r="J52" i="102" s="1"/>
  <c r="S79" i="75"/>
  <c r="P27" i="75"/>
  <c r="P15" i="117"/>
  <c r="J46" i="116"/>
  <c r="J46" i="115"/>
  <c r="J130" i="70"/>
  <c r="N46" i="70"/>
  <c r="J111" i="115"/>
  <c r="J89" i="116"/>
  <c r="N89" i="70"/>
  <c r="J89" i="115"/>
  <c r="F41" i="55"/>
  <c r="K168" i="72"/>
  <c r="L168" i="72" s="1"/>
  <c r="N168" i="72" s="1"/>
  <c r="L160" i="72"/>
  <c r="N160" i="72" s="1"/>
  <c r="Q127" i="113"/>
  <c r="AF109" i="113"/>
  <c r="G111" i="70"/>
  <c r="O17" i="122"/>
  <c r="M20" i="115"/>
  <c r="P20" i="115" s="1"/>
  <c r="P20" i="70"/>
  <c r="D40" i="70" s="1"/>
  <c r="E136" i="150"/>
  <c r="F91" i="61"/>
  <c r="C29" i="103"/>
  <c r="N43" i="99"/>
  <c r="N86" i="116"/>
  <c r="N127" i="116" s="1"/>
  <c r="N86" i="115"/>
  <c r="N127" i="115" s="1"/>
  <c r="L33" i="54"/>
  <c r="K82" i="54"/>
  <c r="K37" i="54"/>
  <c r="AF43" i="113"/>
  <c r="Q45" i="113"/>
  <c r="J129" i="116"/>
  <c r="H87" i="54"/>
  <c r="I85" i="113"/>
  <c r="AA85" i="113" s="1"/>
  <c r="H54" i="122"/>
  <c r="D27" i="130" s="1"/>
  <c r="N41" i="116"/>
  <c r="N41" i="115"/>
  <c r="K81" i="55"/>
  <c r="L159" i="55"/>
  <c r="K118" i="55"/>
  <c r="M21" i="115"/>
  <c r="P21" i="115" s="1"/>
  <c r="P21" i="70"/>
  <c r="D41" i="70" s="1"/>
  <c r="F82" i="58"/>
  <c r="J39" i="116"/>
  <c r="J123" i="70"/>
  <c r="N39" i="70"/>
  <c r="E167" i="174" s="1"/>
  <c r="E168" i="174" s="1"/>
  <c r="J39" i="115"/>
  <c r="D111" i="115"/>
  <c r="L22" i="102" l="1"/>
  <c r="N35" i="122"/>
  <c r="R249" i="82"/>
  <c r="D52" i="88"/>
  <c r="C99" i="73"/>
  <c r="M46" i="58"/>
  <c r="F46" i="150"/>
  <c r="N57" i="58"/>
  <c r="N63" i="58" s="1"/>
  <c r="F196" i="150"/>
  <c r="M47" i="58"/>
  <c r="K69" i="70"/>
  <c r="K7" i="162"/>
  <c r="E192" i="150"/>
  <c r="E83" i="150"/>
  <c r="F83" i="150" s="1"/>
  <c r="F166" i="150"/>
  <c r="M22" i="99"/>
  <c r="N90" i="70"/>
  <c r="H14" i="66"/>
  <c r="I14" i="66" s="1"/>
  <c r="N47" i="70"/>
  <c r="D9" i="172"/>
  <c r="L7" i="162"/>
  <c r="C22" i="103"/>
  <c r="C45" i="102"/>
  <c r="C52" i="102" s="1"/>
  <c r="C53" i="102" s="1"/>
  <c r="C43" i="103"/>
  <c r="H5" i="162"/>
  <c r="H5" i="172"/>
  <c r="H19" i="172" s="1"/>
  <c r="I5" i="162"/>
  <c r="F5" i="172"/>
  <c r="F19" i="172" s="1"/>
  <c r="G5" i="162"/>
  <c r="O18" i="162"/>
  <c r="V18" i="162"/>
  <c r="K25" i="58"/>
  <c r="K28" i="58" s="1"/>
  <c r="F155" i="150"/>
  <c r="M181" i="82"/>
  <c r="M186" i="82" s="1"/>
  <c r="L47" i="160"/>
  <c r="E91" i="58"/>
  <c r="F192" i="150"/>
  <c r="N86" i="58"/>
  <c r="B45" i="58"/>
  <c r="E50" i="132"/>
  <c r="D146" i="117"/>
  <c r="H204" i="117"/>
  <c r="E43" i="132"/>
  <c r="E49" i="132" s="1"/>
  <c r="R243" i="82"/>
  <c r="D4" i="156"/>
  <c r="D105" i="150"/>
  <c r="S86" i="58"/>
  <c r="P26" i="58"/>
  <c r="O26" i="58"/>
  <c r="M243" i="82"/>
  <c r="G209" i="117" s="1"/>
  <c r="L19" i="103"/>
  <c r="L15" i="103"/>
  <c r="N25" i="58"/>
  <c r="F17" i="121"/>
  <c r="S57" i="58"/>
  <c r="F203" i="117"/>
  <c r="D233" i="150"/>
  <c r="D304" i="150" s="1"/>
  <c r="K86" i="58"/>
  <c r="U86" i="58"/>
  <c r="H25" i="58"/>
  <c r="N45" i="99"/>
  <c r="N52" i="99" s="1"/>
  <c r="H40" i="58"/>
  <c r="L66" i="160"/>
  <c r="B16" i="58"/>
  <c r="M241" i="82"/>
  <c r="G207" i="117" s="1"/>
  <c r="Q51" i="58"/>
  <c r="L40" i="58"/>
  <c r="E256" i="150"/>
  <c r="M246" i="82"/>
  <c r="P15" i="58"/>
  <c r="O15" i="58"/>
  <c r="P45" i="58"/>
  <c r="O45" i="58"/>
  <c r="I11" i="58"/>
  <c r="E115" i="150"/>
  <c r="I41" i="58"/>
  <c r="E149" i="150"/>
  <c r="N85" i="58"/>
  <c r="N33" i="122"/>
  <c r="R241" i="82"/>
  <c r="R246" i="82"/>
  <c r="E307" i="174"/>
  <c r="E308" i="174" s="1"/>
  <c r="E280" i="174"/>
  <c r="L34" i="160"/>
  <c r="L35" i="160" s="1"/>
  <c r="H14" i="121"/>
  <c r="H16" i="121" s="1"/>
  <c r="D14" i="121"/>
  <c r="D16" i="121" s="1"/>
  <c r="D18" i="121" s="1"/>
  <c r="D53" i="88"/>
  <c r="E40" i="103"/>
  <c r="M43" i="102"/>
  <c r="E16" i="103"/>
  <c r="M22" i="102"/>
  <c r="F35" i="103"/>
  <c r="F38" i="103"/>
  <c r="F36" i="103"/>
  <c r="E17" i="103"/>
  <c r="F16" i="103"/>
  <c r="K25" i="152"/>
  <c r="L17" i="103"/>
  <c r="AC85" i="113"/>
  <c r="E12" i="98" s="1"/>
  <c r="E13" i="98" s="1"/>
  <c r="J43" i="58"/>
  <c r="C97" i="72"/>
  <c r="J47" i="58"/>
  <c r="J58" i="58"/>
  <c r="N16" i="54"/>
  <c r="L16" i="103"/>
  <c r="D26" i="103"/>
  <c r="F19" i="103"/>
  <c r="I80" i="58"/>
  <c r="E109" i="159"/>
  <c r="F162" i="117" s="1"/>
  <c r="F163" i="117" s="1"/>
  <c r="C57" i="101"/>
  <c r="L184" i="72"/>
  <c r="N184" i="72" s="1"/>
  <c r="K186" i="72"/>
  <c r="K193" i="72" s="1"/>
  <c r="F30" i="150"/>
  <c r="C9" i="172"/>
  <c r="E243" i="150"/>
  <c r="E9" i="172"/>
  <c r="D46" i="72"/>
  <c r="D52" i="72" s="1"/>
  <c r="D53" i="72" s="1"/>
  <c r="N24" i="122"/>
  <c r="O24" i="122" s="1"/>
  <c r="F54" i="122"/>
  <c r="C27" i="130"/>
  <c r="C29" i="130" s="1"/>
  <c r="L13" i="65"/>
  <c r="H59" i="122"/>
  <c r="J53" i="102"/>
  <c r="H17" i="121"/>
  <c r="I52" i="88"/>
  <c r="K59" i="122"/>
  <c r="H109" i="159"/>
  <c r="I162" i="117" s="1"/>
  <c r="I163" i="117" s="1"/>
  <c r="I109" i="159"/>
  <c r="J162" i="117" s="1"/>
  <c r="J163" i="117" s="1"/>
  <c r="G109" i="159"/>
  <c r="H162" i="117" s="1"/>
  <c r="H163" i="117" s="1"/>
  <c r="D109" i="159"/>
  <c r="E162" i="117" s="1"/>
  <c r="E163" i="117" s="1"/>
  <c r="F352" i="82"/>
  <c r="G352" i="82" s="1"/>
  <c r="Q302" i="82"/>
  <c r="M293" i="82"/>
  <c r="M242" i="82"/>
  <c r="R242" i="82"/>
  <c r="M234" i="82"/>
  <c r="G201" i="117" s="1"/>
  <c r="Q234" i="82"/>
  <c r="D210" i="117"/>
  <c r="D30" i="117"/>
  <c r="E209" i="117"/>
  <c r="D54" i="117"/>
  <c r="D209" i="117"/>
  <c r="D29" i="117"/>
  <c r="E201" i="117"/>
  <c r="D47" i="117"/>
  <c r="D207" i="117"/>
  <c r="D27" i="117"/>
  <c r="E208" i="117"/>
  <c r="D53" i="117"/>
  <c r="E203" i="117"/>
  <c r="D49" i="117"/>
  <c r="D208" i="117"/>
  <c r="D28" i="117"/>
  <c r="Y27" i="166"/>
  <c r="Y28" i="166"/>
  <c r="M30" i="166"/>
  <c r="Y30" i="166" s="1"/>
  <c r="F253" i="88"/>
  <c r="C273" i="88"/>
  <c r="H253" i="88"/>
  <c r="E253" i="88"/>
  <c r="D273" i="88"/>
  <c r="C253" i="88"/>
  <c r="G273" i="88"/>
  <c r="D253" i="88"/>
  <c r="E273" i="88"/>
  <c r="H273" i="88"/>
  <c r="O271" i="88"/>
  <c r="O40" i="88" s="1"/>
  <c r="G253" i="88"/>
  <c r="F273" i="88"/>
  <c r="F288" i="88"/>
  <c r="D295" i="88"/>
  <c r="M295" i="88"/>
  <c r="E301" i="88"/>
  <c r="D286" i="88"/>
  <c r="F283" i="88"/>
  <c r="D297" i="88"/>
  <c r="D287" i="88"/>
  <c r="G309" i="88"/>
  <c r="L309" i="88"/>
  <c r="F284" i="88"/>
  <c r="N295" i="88"/>
  <c r="E305" i="88"/>
  <c r="G302" i="88"/>
  <c r="G300" i="88"/>
  <c r="F286" i="88"/>
  <c r="N309" i="88"/>
  <c r="H302" i="88"/>
  <c r="F304" i="88"/>
  <c r="E294" i="88"/>
  <c r="C286" i="88"/>
  <c r="F300" i="88"/>
  <c r="C288" i="88"/>
  <c r="D300" i="88"/>
  <c r="D305" i="88"/>
  <c r="J309" i="88"/>
  <c r="H285" i="88"/>
  <c r="D289" i="88"/>
  <c r="D304" i="88"/>
  <c r="G285" i="88"/>
  <c r="C299" i="88"/>
  <c r="G286" i="88"/>
  <c r="D306" i="88"/>
  <c r="H284" i="88"/>
  <c r="E285" i="88"/>
  <c r="H308" i="88"/>
  <c r="M309" i="88"/>
  <c r="E296" i="88"/>
  <c r="D298" i="88"/>
  <c r="D294" i="88"/>
  <c r="D302" i="88"/>
  <c r="E286" i="88"/>
  <c r="F289" i="88"/>
  <c r="C284" i="88"/>
  <c r="C300" i="88"/>
  <c r="H289" i="88"/>
  <c r="C297" i="88"/>
  <c r="E297" i="88"/>
  <c r="H297" i="88"/>
  <c r="I295" i="88"/>
  <c r="G284" i="88"/>
  <c r="G296" i="88"/>
  <c r="G303" i="88"/>
  <c r="C301" i="88"/>
  <c r="C303" i="88"/>
  <c r="E303" i="88"/>
  <c r="G288" i="88"/>
  <c r="D296" i="88"/>
  <c r="C294" i="88"/>
  <c r="H295" i="88"/>
  <c r="C283" i="88"/>
  <c r="E298" i="88"/>
  <c r="F285" i="88"/>
  <c r="G306" i="88"/>
  <c r="F297" i="88"/>
  <c r="E308" i="88"/>
  <c r="H306" i="88"/>
  <c r="E289" i="88"/>
  <c r="D299" i="88"/>
  <c r="E288" i="88"/>
  <c r="F309" i="88"/>
  <c r="F299" i="88"/>
  <c r="H301" i="88"/>
  <c r="G295" i="88"/>
  <c r="H283" i="88"/>
  <c r="H299" i="88"/>
  <c r="K295" i="88"/>
  <c r="G301" i="88"/>
  <c r="G304" i="88"/>
  <c r="F294" i="88"/>
  <c r="H296" i="88"/>
  <c r="C306" i="88"/>
  <c r="C302" i="88"/>
  <c r="C298" i="88"/>
  <c r="E299" i="88"/>
  <c r="E283" i="88"/>
  <c r="I309" i="88"/>
  <c r="G308" i="88"/>
  <c r="E295" i="88"/>
  <c r="G305" i="88"/>
  <c r="F301" i="88"/>
  <c r="D303" i="88"/>
  <c r="J295" i="88"/>
  <c r="D301" i="88"/>
  <c r="H287" i="88"/>
  <c r="G299" i="88"/>
  <c r="C296" i="88"/>
  <c r="D284" i="88"/>
  <c r="H294" i="88"/>
  <c r="F303" i="88"/>
  <c r="D308" i="88"/>
  <c r="F295" i="88"/>
  <c r="C285" i="88"/>
  <c r="F306" i="88"/>
  <c r="G294" i="88"/>
  <c r="G297" i="88"/>
  <c r="C287" i="88"/>
  <c r="C308" i="88"/>
  <c r="C304" i="88"/>
  <c r="D283" i="88"/>
  <c r="H286" i="88"/>
  <c r="C295" i="88"/>
  <c r="C305" i="88"/>
  <c r="H300" i="88"/>
  <c r="F308" i="88"/>
  <c r="F305" i="88"/>
  <c r="K309" i="88"/>
  <c r="G289" i="88"/>
  <c r="H304" i="88"/>
  <c r="H305" i="88"/>
  <c r="D285" i="88"/>
  <c r="E302" i="88"/>
  <c r="F302" i="88"/>
  <c r="C309" i="88"/>
  <c r="F296" i="88"/>
  <c r="G283" i="88"/>
  <c r="L295" i="88"/>
  <c r="E304" i="88"/>
  <c r="H298" i="88"/>
  <c r="F287" i="88"/>
  <c r="C289" i="88"/>
  <c r="E309" i="88"/>
  <c r="E287" i="88"/>
  <c r="E306" i="88"/>
  <c r="E284" i="88"/>
  <c r="E300" i="88"/>
  <c r="H309" i="88"/>
  <c r="D309" i="88"/>
  <c r="H288" i="88"/>
  <c r="G287" i="88"/>
  <c r="D288" i="88"/>
  <c r="G298" i="88"/>
  <c r="F298" i="88"/>
  <c r="H303" i="88"/>
  <c r="E53" i="122"/>
  <c r="F53" i="122" s="1"/>
  <c r="G11" i="90"/>
  <c r="G13" i="90" s="1"/>
  <c r="M69" i="70"/>
  <c r="D146" i="72"/>
  <c r="K57" i="101"/>
  <c r="E29" i="150"/>
  <c r="I109" i="115"/>
  <c r="I69" i="115"/>
  <c r="I109" i="116"/>
  <c r="I111" i="116" s="1"/>
  <c r="I69" i="116"/>
  <c r="L109" i="70"/>
  <c r="M109" i="70" s="1"/>
  <c r="D123" i="150"/>
  <c r="D129" i="150" s="1"/>
  <c r="D132" i="150" s="1"/>
  <c r="D134" i="150" s="1"/>
  <c r="D136" i="150" s="1"/>
  <c r="F136" i="150" s="1"/>
  <c r="P25" i="70"/>
  <c r="D45" i="70" s="1"/>
  <c r="D45" i="115" s="1"/>
  <c r="K85" i="58"/>
  <c r="D80" i="70"/>
  <c r="D80" i="115" s="1"/>
  <c r="D86" i="70"/>
  <c r="D86" i="115" s="1"/>
  <c r="D89" i="70"/>
  <c r="D89" i="115" s="1"/>
  <c r="D81" i="70"/>
  <c r="D81" i="115" s="1"/>
  <c r="D83" i="70"/>
  <c r="D83" i="115" s="1"/>
  <c r="D85" i="70"/>
  <c r="D85" i="115" s="1"/>
  <c r="D84" i="70"/>
  <c r="D84" i="115" s="1"/>
  <c r="D87" i="70"/>
  <c r="D87" i="115" s="1"/>
  <c r="AF45" i="113"/>
  <c r="D22" i="98" s="1"/>
  <c r="D23" i="98" s="1"/>
  <c r="K30" i="58"/>
  <c r="AF85" i="113"/>
  <c r="E22" i="98" s="1"/>
  <c r="E23" i="98" s="1"/>
  <c r="AF127" i="113"/>
  <c r="F22" i="98" s="1"/>
  <c r="N136" i="72"/>
  <c r="N158" i="54"/>
  <c r="O158" i="54" s="1"/>
  <c r="L33" i="103"/>
  <c r="L28" i="103"/>
  <c r="L38" i="103"/>
  <c r="M40" i="103"/>
  <c r="M16" i="103"/>
  <c r="M17" i="103"/>
  <c r="M15" i="103"/>
  <c r="M17" i="58"/>
  <c r="E298" i="150"/>
  <c r="J45" i="103"/>
  <c r="G42" i="65"/>
  <c r="K22" i="152"/>
  <c r="F80" i="150"/>
  <c r="F107" i="159"/>
  <c r="F109" i="159" s="1"/>
  <c r="G162" i="117" s="1"/>
  <c r="G163" i="117" s="1"/>
  <c r="E14" i="103"/>
  <c r="E36" i="103"/>
  <c r="C138" i="72"/>
  <c r="F46" i="65"/>
  <c r="F64" i="61" s="1"/>
  <c r="J24" i="152"/>
  <c r="N13" i="152"/>
  <c r="Q16" i="54" s="1"/>
  <c r="I46" i="65"/>
  <c r="M33" i="103"/>
  <c r="F15" i="150"/>
  <c r="F144" i="61"/>
  <c r="F102" i="61"/>
  <c r="F124" i="61"/>
  <c r="D232" i="150"/>
  <c r="F76" i="58"/>
  <c r="J42" i="65"/>
  <c r="G16" i="58"/>
  <c r="M26" i="58"/>
  <c r="E310" i="150"/>
  <c r="J123" i="116"/>
  <c r="J126" i="115"/>
  <c r="N89" i="72"/>
  <c r="L21" i="72"/>
  <c r="L120" i="72"/>
  <c r="N44" i="72"/>
  <c r="F39" i="103"/>
  <c r="F40" i="103"/>
  <c r="F17" i="103"/>
  <c r="D32" i="103"/>
  <c r="E18" i="103"/>
  <c r="E19" i="103"/>
  <c r="E34" i="103"/>
  <c r="D30" i="103"/>
  <c r="D37" i="103"/>
  <c r="E39" i="103"/>
  <c r="D35" i="103"/>
  <c r="F20" i="103"/>
  <c r="F34" i="103"/>
  <c r="F37" i="103"/>
  <c r="F33" i="103"/>
  <c r="M41" i="103"/>
  <c r="F28" i="61"/>
  <c r="E97" i="58"/>
  <c r="F96" i="150"/>
  <c r="G82" i="58"/>
  <c r="L81" i="55"/>
  <c r="F18" i="55"/>
  <c r="M81" i="58"/>
  <c r="F188" i="150"/>
  <c r="M77" i="58"/>
  <c r="L118" i="55"/>
  <c r="I16" i="54"/>
  <c r="U25" i="58"/>
  <c r="M89" i="58"/>
  <c r="G77" i="58"/>
  <c r="I118" i="55"/>
  <c r="F37" i="55"/>
  <c r="L31" i="103"/>
  <c r="F81" i="55"/>
  <c r="L43" i="102"/>
  <c r="L45" i="102" s="1"/>
  <c r="L52" i="102" s="1"/>
  <c r="U57" i="58"/>
  <c r="I81" i="55"/>
  <c r="R82" i="58"/>
  <c r="S85" i="58"/>
  <c r="S25" i="58"/>
  <c r="L29" i="103"/>
  <c r="G81" i="58"/>
  <c r="I20" i="122"/>
  <c r="I37" i="122" s="1"/>
  <c r="D295" i="150"/>
  <c r="F227" i="150"/>
  <c r="J123" i="115"/>
  <c r="F294" i="150"/>
  <c r="F302" i="150"/>
  <c r="U85" i="58"/>
  <c r="G87" i="58"/>
  <c r="L16" i="54"/>
  <c r="M82" i="58"/>
  <c r="F118" i="55"/>
  <c r="J89" i="58"/>
  <c r="J122" i="116"/>
  <c r="N43" i="54"/>
  <c r="L47" i="54"/>
  <c r="O13" i="152"/>
  <c r="N129" i="115"/>
  <c r="F131" i="116"/>
  <c r="N129" i="116"/>
  <c r="J126" i="116"/>
  <c r="K48" i="54"/>
  <c r="L48" i="54" s="1"/>
  <c r="F120" i="150"/>
  <c r="E191" i="150"/>
  <c r="J130" i="116"/>
  <c r="AA10" i="159"/>
  <c r="F261" i="150"/>
  <c r="M45" i="58"/>
  <c r="F20" i="122"/>
  <c r="L102" i="61"/>
  <c r="T15" i="58" s="1"/>
  <c r="L124" i="61"/>
  <c r="T45" i="58" s="1"/>
  <c r="AC30" i="159"/>
  <c r="AC65" i="159" s="1"/>
  <c r="AC100" i="159" s="1"/>
  <c r="AC31" i="159"/>
  <c r="AC66" i="159" s="1"/>
  <c r="AC101" i="159" s="1"/>
  <c r="AC32" i="159"/>
  <c r="AC67" i="159" s="1"/>
  <c r="AC102" i="159" s="1"/>
  <c r="AC24" i="159"/>
  <c r="AC59" i="159" s="1"/>
  <c r="AC94" i="159" s="1"/>
  <c r="AC25" i="159"/>
  <c r="AC60" i="159" s="1"/>
  <c r="AC95" i="159" s="1"/>
  <c r="AC29" i="159"/>
  <c r="AC64" i="159" s="1"/>
  <c r="AC99" i="159" s="1"/>
  <c r="AC21" i="159"/>
  <c r="AC56" i="159" s="1"/>
  <c r="AC26" i="159"/>
  <c r="AC61" i="159" s="1"/>
  <c r="AC96" i="159" s="1"/>
  <c r="AC34" i="159"/>
  <c r="AC27" i="159"/>
  <c r="AC62" i="159" s="1"/>
  <c r="AC97" i="159" s="1"/>
  <c r="AC28" i="159"/>
  <c r="AC63" i="159" s="1"/>
  <c r="AC98" i="159" s="1"/>
  <c r="N39" i="116"/>
  <c r="N39" i="115"/>
  <c r="N123" i="70"/>
  <c r="N33" i="54"/>
  <c r="L37" i="54"/>
  <c r="N89" i="116"/>
  <c r="N89" i="115"/>
  <c r="Q27" i="75"/>
  <c r="I35" i="114"/>
  <c r="L84" i="58"/>
  <c r="M51" i="58"/>
  <c r="AA127" i="113"/>
  <c r="G29" i="90"/>
  <c r="I16" i="114"/>
  <c r="E77" i="150"/>
  <c r="F40" i="150"/>
  <c r="N67" i="54"/>
  <c r="O63" i="54"/>
  <c r="L20" i="122"/>
  <c r="L37" i="122" s="1"/>
  <c r="N81" i="55"/>
  <c r="N118" i="55"/>
  <c r="F58" i="122"/>
  <c r="H100" i="116"/>
  <c r="G111" i="116"/>
  <c r="L58" i="70"/>
  <c r="L69" i="70" s="1"/>
  <c r="H27" i="116"/>
  <c r="L16" i="116"/>
  <c r="N40" i="116"/>
  <c r="N124" i="70"/>
  <c r="N40" i="115"/>
  <c r="D37" i="115"/>
  <c r="L49" i="114"/>
  <c r="K30" i="114"/>
  <c r="K11" i="114"/>
  <c r="K54" i="114"/>
  <c r="J90" i="116"/>
  <c r="J120" i="116"/>
  <c r="L82" i="54"/>
  <c r="K86" i="54"/>
  <c r="L86" i="54" s="1"/>
  <c r="E135" i="150"/>
  <c r="Q53" i="75"/>
  <c r="H100" i="115"/>
  <c r="G111" i="115"/>
  <c r="N140" i="61"/>
  <c r="L96" i="61"/>
  <c r="L119" i="61"/>
  <c r="N42" i="116"/>
  <c r="N126" i="70"/>
  <c r="N42" i="115"/>
  <c r="L76" i="58"/>
  <c r="M13" i="58"/>
  <c r="E204" i="150"/>
  <c r="F130" i="150"/>
  <c r="F228" i="150"/>
  <c r="E296" i="150"/>
  <c r="I193" i="72"/>
  <c r="N53" i="54"/>
  <c r="L57" i="54"/>
  <c r="J124" i="115"/>
  <c r="N38" i="116"/>
  <c r="N122" i="70"/>
  <c r="N38" i="115"/>
  <c r="D42" i="115"/>
  <c r="Q15" i="117"/>
  <c r="F87" i="54"/>
  <c r="E88" i="54"/>
  <c r="M16" i="70"/>
  <c r="L27" i="70"/>
  <c r="N83" i="116"/>
  <c r="N83" i="115"/>
  <c r="H69" i="115"/>
  <c r="K58" i="115"/>
  <c r="K69" i="115" s="1"/>
  <c r="J124" i="116"/>
  <c r="J17" i="65"/>
  <c r="L100" i="61"/>
  <c r="L122" i="61"/>
  <c r="J13" i="58"/>
  <c r="I76" i="58"/>
  <c r="G26" i="58"/>
  <c r="I44" i="66"/>
  <c r="J32" i="65"/>
  <c r="K91" i="72"/>
  <c r="I97" i="72"/>
  <c r="D41" i="115"/>
  <c r="S53" i="75"/>
  <c r="T58" i="58" s="1"/>
  <c r="S27" i="75"/>
  <c r="T26" i="58" s="1"/>
  <c r="U79" i="75"/>
  <c r="K38" i="54"/>
  <c r="L38" i="54" s="1"/>
  <c r="G13" i="65"/>
  <c r="F17" i="65"/>
  <c r="J47" i="115"/>
  <c r="F136" i="61"/>
  <c r="F89" i="58"/>
  <c r="N85" i="116"/>
  <c r="N85" i="115"/>
  <c r="J131" i="70"/>
  <c r="J122" i="115"/>
  <c r="N143" i="61"/>
  <c r="N114" i="61"/>
  <c r="N92" i="61"/>
  <c r="N145" i="61"/>
  <c r="M100" i="70"/>
  <c r="I87" i="54"/>
  <c r="H88" i="54"/>
  <c r="F31" i="114"/>
  <c r="F32" i="114" s="1"/>
  <c r="E32" i="114"/>
  <c r="E36" i="114"/>
  <c r="H69" i="116"/>
  <c r="K58" i="116"/>
  <c r="N46" i="116"/>
  <c r="N130" i="70"/>
  <c r="N46" i="115"/>
  <c r="C45" i="99"/>
  <c r="C52" i="99" s="1"/>
  <c r="G10" i="136"/>
  <c r="H115" i="61"/>
  <c r="Q187" i="82"/>
  <c r="L16" i="115"/>
  <c r="L27" i="115" s="1"/>
  <c r="H27" i="115"/>
  <c r="E297" i="150"/>
  <c r="F229" i="150"/>
  <c r="N82" i="116"/>
  <c r="N82" i="115"/>
  <c r="G28" i="65"/>
  <c r="G32" i="65" s="1"/>
  <c r="F32" i="65"/>
  <c r="I52" i="72"/>
  <c r="F66" i="61" s="1"/>
  <c r="F42" i="61" s="1"/>
  <c r="K46" i="72"/>
  <c r="K52" i="72" s="1"/>
  <c r="F16" i="54"/>
  <c r="N79" i="116"/>
  <c r="N79" i="115"/>
  <c r="N120" i="70"/>
  <c r="N80" i="115"/>
  <c r="N121" i="115" s="1"/>
  <c r="N80" i="116"/>
  <c r="N121" i="116" s="1"/>
  <c r="N87" i="116"/>
  <c r="N128" i="116" s="1"/>
  <c r="N87" i="115"/>
  <c r="N128" i="115" s="1"/>
  <c r="N128" i="70"/>
  <c r="F53" i="61"/>
  <c r="L54" i="122"/>
  <c r="K53" i="122"/>
  <c r="D291" i="150"/>
  <c r="D268" i="150"/>
  <c r="D273" i="150" s="1"/>
  <c r="D278" i="150" s="1"/>
  <c r="M17" i="135"/>
  <c r="T51" i="58"/>
  <c r="H53" i="122"/>
  <c r="I54" i="122"/>
  <c r="D40" i="115"/>
  <c r="F58" i="150"/>
  <c r="G58" i="58"/>
  <c r="F131" i="115"/>
  <c r="M43" i="99"/>
  <c r="J47" i="116"/>
  <c r="F32" i="152"/>
  <c r="F15" i="152"/>
  <c r="E185" i="150"/>
  <c r="F158" i="54"/>
  <c r="F54" i="61"/>
  <c r="F29" i="61"/>
  <c r="N81" i="116"/>
  <c r="N81" i="115"/>
  <c r="N84" i="116"/>
  <c r="N125" i="116" s="1"/>
  <c r="N84" i="115"/>
  <c r="N125" i="115" s="1"/>
  <c r="G20" i="90"/>
  <c r="F12" i="114"/>
  <c r="F13" i="114" s="1"/>
  <c r="E50" i="114"/>
  <c r="E17" i="114"/>
  <c r="F17" i="114" s="1"/>
  <c r="E13" i="114"/>
  <c r="J130" i="115"/>
  <c r="D44" i="115"/>
  <c r="K138" i="72"/>
  <c r="I145" i="72"/>
  <c r="L76" i="54"/>
  <c r="N72" i="54"/>
  <c r="J90" i="115"/>
  <c r="J120" i="115"/>
  <c r="F274" i="150"/>
  <c r="M58" i="58"/>
  <c r="M45" i="99" l="1"/>
  <c r="M52" i="99" s="1"/>
  <c r="I53" i="88"/>
  <c r="F29" i="150"/>
  <c r="C45" i="103"/>
  <c r="J46" i="65"/>
  <c r="H72" i="66"/>
  <c r="L68" i="160"/>
  <c r="L69" i="160" s="1"/>
  <c r="I53" i="122"/>
  <c r="L53" i="122"/>
  <c r="J80" i="58"/>
  <c r="D111" i="117"/>
  <c r="D113" i="117"/>
  <c r="N91" i="58"/>
  <c r="U63" i="58"/>
  <c r="B46" i="58"/>
  <c r="H52" i="58"/>
  <c r="D238" i="150"/>
  <c r="D241" i="150" s="1"/>
  <c r="D244" i="150" s="1"/>
  <c r="D243" i="150" s="1"/>
  <c r="D246" i="150" s="1"/>
  <c r="R51" i="58"/>
  <c r="D148" i="150"/>
  <c r="F148" i="150" s="1"/>
  <c r="D303" i="150"/>
  <c r="B17" i="58"/>
  <c r="Q26" i="58"/>
  <c r="R26" i="58" s="1"/>
  <c r="U91" i="58"/>
  <c r="L26" i="103"/>
  <c r="S63" i="58"/>
  <c r="K41" i="102"/>
  <c r="H28" i="58"/>
  <c r="N28" i="58"/>
  <c r="D6" i="156"/>
  <c r="D27" i="156"/>
  <c r="D29" i="156" s="1"/>
  <c r="D32" i="156" s="1"/>
  <c r="I45" i="58"/>
  <c r="E153" i="150"/>
  <c r="R234" i="82"/>
  <c r="D104" i="117" s="1"/>
  <c r="Q15" i="58"/>
  <c r="F11" i="58"/>
  <c r="E10" i="150"/>
  <c r="I15" i="58"/>
  <c r="E119" i="150"/>
  <c r="F15" i="58"/>
  <c r="E14" i="150"/>
  <c r="Q45" i="58"/>
  <c r="E45" i="150"/>
  <c r="F45" i="58"/>
  <c r="G45" i="58" s="1"/>
  <c r="E41" i="150"/>
  <c r="F41" i="58"/>
  <c r="G41" i="58" s="1"/>
  <c r="H18" i="121"/>
  <c r="E139" i="55"/>
  <c r="L186" i="72"/>
  <c r="N186" i="72" s="1"/>
  <c r="M45" i="102"/>
  <c r="M52" i="102" s="1"/>
  <c r="G26" i="172" s="1"/>
  <c r="G48" i="172" s="1"/>
  <c r="H275" i="88"/>
  <c r="L22" i="103"/>
  <c r="C145" i="72"/>
  <c r="O16" i="54"/>
  <c r="O84" i="58"/>
  <c r="P84" i="58"/>
  <c r="J46" i="58"/>
  <c r="R302" i="82"/>
  <c r="AC69" i="159"/>
  <c r="AC104" i="159" s="1"/>
  <c r="K227" i="88"/>
  <c r="H58" i="122"/>
  <c r="D28" i="130"/>
  <c r="L59" i="122"/>
  <c r="E28" i="130"/>
  <c r="E29" i="130" s="1"/>
  <c r="I59" i="122"/>
  <c r="K58" i="122"/>
  <c r="L111" i="70"/>
  <c r="Q21" i="122"/>
  <c r="D112" i="117"/>
  <c r="G208" i="117"/>
  <c r="AC91" i="159"/>
  <c r="AA45" i="159"/>
  <c r="F275" i="88"/>
  <c r="E275" i="88"/>
  <c r="L41" i="101"/>
  <c r="C275" i="88"/>
  <c r="F63" i="122"/>
  <c r="E63" i="122"/>
  <c r="D275" i="88"/>
  <c r="G275" i="88"/>
  <c r="D291" i="88"/>
  <c r="E311" i="88"/>
  <c r="D311" i="88"/>
  <c r="H311" i="88"/>
  <c r="C311" i="88"/>
  <c r="C291" i="88"/>
  <c r="O309" i="88"/>
  <c r="Q40" i="88" s="1"/>
  <c r="G311" i="88"/>
  <c r="H291" i="88"/>
  <c r="F291" i="88"/>
  <c r="G291" i="88"/>
  <c r="E291" i="88"/>
  <c r="F311" i="88"/>
  <c r="H11" i="90"/>
  <c r="H13" i="90" s="1"/>
  <c r="F79" i="58"/>
  <c r="K220" i="88"/>
  <c r="K216" i="88"/>
  <c r="F139" i="55"/>
  <c r="K219" i="88"/>
  <c r="K224" i="88"/>
  <c r="K223" i="88"/>
  <c r="K217" i="88"/>
  <c r="K218" i="88"/>
  <c r="K222" i="88"/>
  <c r="N109" i="70"/>
  <c r="N111" i="70" s="1"/>
  <c r="M67" i="116"/>
  <c r="O67" i="70"/>
  <c r="M67" i="115"/>
  <c r="K221" i="88"/>
  <c r="K213" i="88"/>
  <c r="J52" i="103"/>
  <c r="J53" i="103" s="1"/>
  <c r="I202" i="88"/>
  <c r="AC33" i="159"/>
  <c r="AC68" i="159" s="1"/>
  <c r="AC103" i="159" s="1"/>
  <c r="L109" i="116"/>
  <c r="M109" i="116" s="1"/>
  <c r="L109" i="115"/>
  <c r="M109" i="115" s="1"/>
  <c r="I111" i="115"/>
  <c r="E101" i="58"/>
  <c r="Q25" i="70"/>
  <c r="L80" i="58"/>
  <c r="F298" i="150"/>
  <c r="L36" i="103"/>
  <c r="L32" i="103"/>
  <c r="L35" i="103"/>
  <c r="M39" i="103"/>
  <c r="L30" i="103"/>
  <c r="L37" i="103"/>
  <c r="M14" i="103"/>
  <c r="M19" i="103"/>
  <c r="M18" i="103"/>
  <c r="F133" i="70"/>
  <c r="J26" i="152"/>
  <c r="E72" i="66"/>
  <c r="G46" i="65"/>
  <c r="M36" i="103"/>
  <c r="L138" i="72"/>
  <c r="L46" i="72"/>
  <c r="F310" i="150"/>
  <c r="G76" i="58"/>
  <c r="I47" i="65"/>
  <c r="F123" i="61"/>
  <c r="F101" i="61"/>
  <c r="N130" i="116"/>
  <c r="P159" i="55"/>
  <c r="P118" i="55" s="1"/>
  <c r="K23" i="152"/>
  <c r="N21" i="72"/>
  <c r="N120" i="72"/>
  <c r="L34" i="103"/>
  <c r="M34" i="103"/>
  <c r="V51" i="58"/>
  <c r="F295" i="150"/>
  <c r="J76" i="58"/>
  <c r="F296" i="150"/>
  <c r="U28" i="58"/>
  <c r="K91" i="58"/>
  <c r="S28" i="58"/>
  <c r="H73" i="58"/>
  <c r="M84" i="58"/>
  <c r="F297" i="150"/>
  <c r="N130" i="115"/>
  <c r="N122" i="116"/>
  <c r="F204" i="150"/>
  <c r="M76" i="58"/>
  <c r="T92" i="58"/>
  <c r="F191" i="150"/>
  <c r="T84" i="58"/>
  <c r="G89" i="58"/>
  <c r="S91" i="58"/>
  <c r="N124" i="115"/>
  <c r="N126" i="116"/>
  <c r="I79" i="58"/>
  <c r="J16" i="58"/>
  <c r="O78" i="58"/>
  <c r="O43" i="54"/>
  <c r="N47" i="54"/>
  <c r="AE10" i="159"/>
  <c r="AE45" i="159" s="1"/>
  <c r="AE80" i="159" s="1"/>
  <c r="AE11" i="159"/>
  <c r="AE46" i="159" s="1"/>
  <c r="AE81" i="159" s="1"/>
  <c r="AE12" i="159"/>
  <c r="AE47" i="159" s="1"/>
  <c r="AE82" i="159" s="1"/>
  <c r="AE13" i="159"/>
  <c r="AE48" i="159" s="1"/>
  <c r="AE83" i="159" s="1"/>
  <c r="AE14" i="159"/>
  <c r="AE49" i="159" s="1"/>
  <c r="AE15" i="159"/>
  <c r="AE50" i="159" s="1"/>
  <c r="AE85" i="159" s="1"/>
  <c r="AB15" i="159"/>
  <c r="AB50" i="159" s="1"/>
  <c r="AB85" i="159" s="1"/>
  <c r="AB14" i="159"/>
  <c r="AB49" i="159" s="1"/>
  <c r="AB84" i="159" s="1"/>
  <c r="AB10" i="159"/>
  <c r="AB45" i="159" s="1"/>
  <c r="AB11" i="159"/>
  <c r="AB46" i="159" s="1"/>
  <c r="AB81" i="159" s="1"/>
  <c r="AB12" i="159"/>
  <c r="AB47" i="159" s="1"/>
  <c r="AB82" i="159" s="1"/>
  <c r="AB13" i="159"/>
  <c r="AB48" i="159" s="1"/>
  <c r="AB83" i="159" s="1"/>
  <c r="AA14" i="159"/>
  <c r="AA15" i="159"/>
  <c r="AA13" i="159"/>
  <c r="AA11" i="159"/>
  <c r="AA12" i="159"/>
  <c r="P18" i="159"/>
  <c r="AD10" i="159"/>
  <c r="AD45" i="159" s="1"/>
  <c r="AD12" i="159"/>
  <c r="AD47" i="159" s="1"/>
  <c r="AD82" i="159" s="1"/>
  <c r="AD11" i="159"/>
  <c r="AD46" i="159" s="1"/>
  <c r="AD81" i="159" s="1"/>
  <c r="AD13" i="159"/>
  <c r="AD48" i="159" s="1"/>
  <c r="AD83" i="159" s="1"/>
  <c r="AD14" i="159"/>
  <c r="AD49" i="159" s="1"/>
  <c r="AD84" i="159" s="1"/>
  <c r="AD15" i="159"/>
  <c r="AD50" i="159" s="1"/>
  <c r="AD85" i="159" s="1"/>
  <c r="N57" i="54"/>
  <c r="O53" i="54"/>
  <c r="P78" i="58"/>
  <c r="K69" i="116"/>
  <c r="L58" i="116"/>
  <c r="H164" i="54"/>
  <c r="I88" i="54"/>
  <c r="H22" i="54"/>
  <c r="F92" i="58"/>
  <c r="AD31" i="159"/>
  <c r="AD66" i="159" s="1"/>
  <c r="AD101" i="159" s="1"/>
  <c r="AD32" i="159"/>
  <c r="AD67" i="159" s="1"/>
  <c r="AD102" i="159" s="1"/>
  <c r="AD24" i="159"/>
  <c r="AD59" i="159" s="1"/>
  <c r="AD94" i="159" s="1"/>
  <c r="AD25" i="159"/>
  <c r="AD60" i="159" s="1"/>
  <c r="AD95" i="159" s="1"/>
  <c r="AD26" i="159"/>
  <c r="AD61" i="159" s="1"/>
  <c r="AD96" i="159" s="1"/>
  <c r="AD30" i="159"/>
  <c r="AD65" i="159" s="1"/>
  <c r="AD100" i="159" s="1"/>
  <c r="AD34" i="159"/>
  <c r="AD27" i="159"/>
  <c r="AD62" i="159" s="1"/>
  <c r="AD97" i="159" s="1"/>
  <c r="AD28" i="159"/>
  <c r="AD63" i="159" s="1"/>
  <c r="AD98" i="159" s="1"/>
  <c r="AD29" i="159"/>
  <c r="AD64" i="159" s="1"/>
  <c r="AD99" i="159" s="1"/>
  <c r="AD21" i="159"/>
  <c r="AD56" i="159" s="1"/>
  <c r="M15" i="58"/>
  <c r="L78" i="58"/>
  <c r="R58" i="58"/>
  <c r="O58" i="70"/>
  <c r="L58" i="115"/>
  <c r="N123" i="116"/>
  <c r="T78" i="58"/>
  <c r="M16" i="58"/>
  <c r="L79" i="58"/>
  <c r="G22" i="90"/>
  <c r="H20" i="90"/>
  <c r="H22" i="90" s="1"/>
  <c r="L92" i="58"/>
  <c r="AF11" i="159"/>
  <c r="AF46" i="159" s="1"/>
  <c r="AF81" i="159" s="1"/>
  <c r="AF10" i="159"/>
  <c r="AF45" i="159" s="1"/>
  <c r="AF80" i="159" s="1"/>
  <c r="AF12" i="159"/>
  <c r="AF47" i="159" s="1"/>
  <c r="AF82" i="159" s="1"/>
  <c r="AF13" i="159"/>
  <c r="AF48" i="159" s="1"/>
  <c r="AF83" i="159" s="1"/>
  <c r="AF14" i="159"/>
  <c r="AF49" i="159" s="1"/>
  <c r="AF15" i="159"/>
  <c r="AF50" i="159" s="1"/>
  <c r="AF85" i="159" s="1"/>
  <c r="N131" i="70"/>
  <c r="F256" i="150"/>
  <c r="E291" i="150"/>
  <c r="N102" i="61"/>
  <c r="V15" i="58" s="1"/>
  <c r="N124" i="61"/>
  <c r="V45" i="58" s="1"/>
  <c r="E164" i="54"/>
  <c r="F88" i="54"/>
  <c r="E22" i="54"/>
  <c r="K87" i="54"/>
  <c r="N124" i="116"/>
  <c r="AA28" i="159"/>
  <c r="AA29" i="159"/>
  <c r="AA21" i="159"/>
  <c r="AA30" i="159"/>
  <c r="AA31" i="159"/>
  <c r="AA32" i="159"/>
  <c r="AA24" i="159"/>
  <c r="AA34" i="159"/>
  <c r="I227" i="88" s="1"/>
  <c r="AA27" i="159"/>
  <c r="AA33" i="159"/>
  <c r="AA25" i="159"/>
  <c r="AA26" i="159"/>
  <c r="P37" i="159"/>
  <c r="O72" i="54"/>
  <c r="N76" i="54"/>
  <c r="N77" i="54" s="1"/>
  <c r="H136" i="61"/>
  <c r="AB29" i="159"/>
  <c r="AB64" i="159" s="1"/>
  <c r="AB99" i="159" s="1"/>
  <c r="AB21" i="159"/>
  <c r="AB56" i="159" s="1"/>
  <c r="AB30" i="159"/>
  <c r="AB65" i="159" s="1"/>
  <c r="AB100" i="159" s="1"/>
  <c r="AB31" i="159"/>
  <c r="AB66" i="159" s="1"/>
  <c r="AB101" i="159" s="1"/>
  <c r="AB24" i="159"/>
  <c r="AB59" i="159" s="1"/>
  <c r="AB94" i="159" s="1"/>
  <c r="AB32" i="159"/>
  <c r="AB67" i="159" s="1"/>
  <c r="AB102" i="159" s="1"/>
  <c r="AB25" i="159"/>
  <c r="AB60" i="159" s="1"/>
  <c r="AB95" i="159" s="1"/>
  <c r="AB26" i="159"/>
  <c r="AB61" i="159" s="1"/>
  <c r="AB96" i="159" s="1"/>
  <c r="AB28" i="159"/>
  <c r="AB63" i="159" s="1"/>
  <c r="AB98" i="159" s="1"/>
  <c r="AB34" i="159"/>
  <c r="AB27" i="159"/>
  <c r="AB62" i="159" s="1"/>
  <c r="AB97" i="159" s="1"/>
  <c r="J131" i="115"/>
  <c r="D135" i="150"/>
  <c r="D138" i="150" s="1"/>
  <c r="D174" i="150"/>
  <c r="D173" i="150" s="1"/>
  <c r="G9" i="152"/>
  <c r="F33" i="152"/>
  <c r="F36" i="152"/>
  <c r="F35" i="152"/>
  <c r="AF25" i="159"/>
  <c r="AF60" i="159" s="1"/>
  <c r="AF95" i="159" s="1"/>
  <c r="AF26" i="159"/>
  <c r="AF61" i="159" s="1"/>
  <c r="AF96" i="159" s="1"/>
  <c r="AF34" i="159"/>
  <c r="AF27" i="159"/>
  <c r="AF62" i="159" s="1"/>
  <c r="AF97" i="159" s="1"/>
  <c r="AF28" i="159"/>
  <c r="AF63" i="159" s="1"/>
  <c r="AF98" i="159" s="1"/>
  <c r="AF29" i="159"/>
  <c r="AF64" i="159" s="1"/>
  <c r="AF99" i="159" s="1"/>
  <c r="AF21" i="159"/>
  <c r="AF56" i="159" s="1"/>
  <c r="AF91" i="159" s="1"/>
  <c r="AF30" i="159"/>
  <c r="AF65" i="159" s="1"/>
  <c r="AF100" i="159" s="1"/>
  <c r="AF24" i="159"/>
  <c r="AF59" i="159" s="1"/>
  <c r="AF94" i="159" s="1"/>
  <c r="AF31" i="159"/>
  <c r="AF66" i="159" s="1"/>
  <c r="AF101" i="159" s="1"/>
  <c r="AF32" i="159"/>
  <c r="AF67" i="159" s="1"/>
  <c r="AF102" i="159" s="1"/>
  <c r="L54" i="114"/>
  <c r="N49" i="114"/>
  <c r="F77" i="150"/>
  <c r="F15" i="61"/>
  <c r="G17" i="65"/>
  <c r="E14" i="66"/>
  <c r="F14" i="66" s="1"/>
  <c r="G40" i="58"/>
  <c r="F73" i="58"/>
  <c r="N123" i="115"/>
  <c r="K265" i="88"/>
  <c r="F16" i="152"/>
  <c r="F27" i="152" s="1"/>
  <c r="F28" i="152" s="1"/>
  <c r="N90" i="115"/>
  <c r="N120" i="115"/>
  <c r="M111" i="70"/>
  <c r="P100" i="70"/>
  <c r="F149" i="150"/>
  <c r="N122" i="115"/>
  <c r="N47" i="115"/>
  <c r="I92" i="58"/>
  <c r="J26" i="58"/>
  <c r="N126" i="115"/>
  <c r="G22" i="98"/>
  <c r="F23" i="98"/>
  <c r="L11" i="114"/>
  <c r="K16" i="114"/>
  <c r="O33" i="54"/>
  <c r="N82" i="54"/>
  <c r="N37" i="54"/>
  <c r="E51" i="114"/>
  <c r="F50" i="114"/>
  <c r="F51" i="114" s="1"/>
  <c r="E55" i="114"/>
  <c r="L100" i="115"/>
  <c r="H111" i="115"/>
  <c r="N90" i="116"/>
  <c r="N120" i="116"/>
  <c r="N100" i="61"/>
  <c r="N122" i="61"/>
  <c r="E186" i="150"/>
  <c r="F115" i="150"/>
  <c r="N96" i="61"/>
  <c r="N119" i="61"/>
  <c r="J131" i="116"/>
  <c r="L30" i="114"/>
  <c r="K35" i="114"/>
  <c r="AC10" i="159"/>
  <c r="AC45" i="159" s="1"/>
  <c r="AC11" i="159"/>
  <c r="AC46" i="159" s="1"/>
  <c r="AC81" i="159" s="1"/>
  <c r="AC12" i="159"/>
  <c r="AC47" i="159" s="1"/>
  <c r="AC82" i="159" s="1"/>
  <c r="AC13" i="159"/>
  <c r="AC48" i="159" s="1"/>
  <c r="AC83" i="159" s="1"/>
  <c r="AC15" i="159"/>
  <c r="AC50" i="159" s="1"/>
  <c r="AC85" i="159" s="1"/>
  <c r="AC14" i="159"/>
  <c r="AC49" i="159" s="1"/>
  <c r="AC84" i="159" s="1"/>
  <c r="H111" i="116"/>
  <c r="L100" i="116"/>
  <c r="S158" i="54"/>
  <c r="Q158" i="54"/>
  <c r="S16" i="54"/>
  <c r="E65" i="150"/>
  <c r="E103" i="150"/>
  <c r="G31" i="90"/>
  <c r="H29" i="90"/>
  <c r="H31" i="90" s="1"/>
  <c r="AE32" i="159"/>
  <c r="AE67" i="159" s="1"/>
  <c r="AE102" i="159" s="1"/>
  <c r="AE24" i="159"/>
  <c r="AE59" i="159" s="1"/>
  <c r="AE94" i="159" s="1"/>
  <c r="AE25" i="159"/>
  <c r="AE60" i="159" s="1"/>
  <c r="AE95" i="159" s="1"/>
  <c r="AE26" i="159"/>
  <c r="AE61" i="159" s="1"/>
  <c r="AE96" i="159" s="1"/>
  <c r="AE34" i="159"/>
  <c r="AE27" i="159"/>
  <c r="AE62" i="159" s="1"/>
  <c r="AE97" i="159" s="1"/>
  <c r="AE31" i="159"/>
  <c r="AE66" i="159" s="1"/>
  <c r="AE101" i="159" s="1"/>
  <c r="AE28" i="159"/>
  <c r="AE63" i="159" s="1"/>
  <c r="AE98" i="159" s="1"/>
  <c r="AE29" i="159"/>
  <c r="AE64" i="159" s="1"/>
  <c r="AE99" i="159" s="1"/>
  <c r="AE21" i="159"/>
  <c r="AE56" i="159" s="1"/>
  <c r="AE30" i="159"/>
  <c r="AE65" i="159" s="1"/>
  <c r="AE100" i="159" s="1"/>
  <c r="E319" i="150"/>
  <c r="E281" i="150"/>
  <c r="T7" i="162" s="1"/>
  <c r="F7" i="162" s="1"/>
  <c r="K145" i="72"/>
  <c r="E41" i="66"/>
  <c r="F69" i="66"/>
  <c r="E11" i="66"/>
  <c r="J40" i="58"/>
  <c r="I73" i="58"/>
  <c r="F40" i="61"/>
  <c r="E44" i="66"/>
  <c r="F44" i="66" s="1"/>
  <c r="D185" i="150"/>
  <c r="D160" i="150"/>
  <c r="U53" i="75"/>
  <c r="V58" i="58" s="1"/>
  <c r="U27" i="75"/>
  <c r="V26" i="58" s="1"/>
  <c r="E212" i="150"/>
  <c r="E174" i="150"/>
  <c r="K97" i="72"/>
  <c r="M16" i="115"/>
  <c r="P16" i="70"/>
  <c r="M27" i="70"/>
  <c r="L27" i="116"/>
  <c r="M16" i="116"/>
  <c r="O67" i="54"/>
  <c r="N68" i="54"/>
  <c r="Q63" i="54"/>
  <c r="Q67" i="54" s="1"/>
  <c r="N47" i="116"/>
  <c r="F45" i="150" l="1"/>
  <c r="S7" i="162"/>
  <c r="E7" i="162" s="1"/>
  <c r="R7" i="162"/>
  <c r="D7" i="162" s="1"/>
  <c r="D165" i="150"/>
  <c r="O69" i="70"/>
  <c r="F14" i="150"/>
  <c r="N97" i="58"/>
  <c r="F243" i="150"/>
  <c r="H30" i="58"/>
  <c r="H57" i="58"/>
  <c r="N30" i="58"/>
  <c r="B47" i="58"/>
  <c r="D197" i="150"/>
  <c r="D281" i="150"/>
  <c r="D280" i="150" s="1"/>
  <c r="D283" i="150" s="1"/>
  <c r="K41" i="103"/>
  <c r="H85" i="58"/>
  <c r="B18" i="58"/>
  <c r="Q41" i="101"/>
  <c r="F244" i="150"/>
  <c r="E82" i="150"/>
  <c r="F82" i="150" s="1"/>
  <c r="R15" i="58"/>
  <c r="R45" i="58"/>
  <c r="H63" i="122"/>
  <c r="I58" i="122"/>
  <c r="I63" i="122" s="1"/>
  <c r="L58" i="122"/>
  <c r="L63" i="122" s="1"/>
  <c r="Q84" i="58"/>
  <c r="J41" i="58"/>
  <c r="L25" i="152"/>
  <c r="L145" i="72"/>
  <c r="M80" i="58"/>
  <c r="G79" i="58"/>
  <c r="AB69" i="159"/>
  <c r="AB104" i="159" s="1"/>
  <c r="J227" i="88"/>
  <c r="AE69" i="159"/>
  <c r="AE104" i="159" s="1"/>
  <c r="M227" i="88"/>
  <c r="AF69" i="159"/>
  <c r="AF104" i="159" s="1"/>
  <c r="N227" i="88"/>
  <c r="AD69" i="159"/>
  <c r="AD104" i="159" s="1"/>
  <c r="L227" i="88"/>
  <c r="K63" i="122"/>
  <c r="C52" i="103"/>
  <c r="C53" i="103" s="1"/>
  <c r="O41" i="101"/>
  <c r="W135" i="159"/>
  <c r="P39" i="159"/>
  <c r="P41" i="101"/>
  <c r="E19" i="136"/>
  <c r="AN26" i="159"/>
  <c r="AO26" i="159" s="1"/>
  <c r="AA61" i="159"/>
  <c r="AF53" i="159"/>
  <c r="AF84" i="159"/>
  <c r="AF88" i="159" s="1"/>
  <c r="AC53" i="159"/>
  <c r="AC80" i="159"/>
  <c r="AC88" i="159" s="1"/>
  <c r="AN34" i="159"/>
  <c r="AA69" i="159"/>
  <c r="AN13" i="159"/>
  <c r="AO13" i="159" s="1"/>
  <c r="AA48" i="159"/>
  <c r="I248" i="88" s="1"/>
  <c r="AA80" i="159"/>
  <c r="AG45" i="159"/>
  <c r="AD53" i="159"/>
  <c r="AD80" i="159"/>
  <c r="AD88" i="159" s="1"/>
  <c r="AD91" i="159"/>
  <c r="AN12" i="159"/>
  <c r="AO12" i="159" s="1"/>
  <c r="AA47" i="159"/>
  <c r="AN28" i="159"/>
  <c r="AO28" i="159" s="1"/>
  <c r="AA63" i="159"/>
  <c r="AN24" i="159"/>
  <c r="AO24" i="159" s="1"/>
  <c r="AA59" i="159"/>
  <c r="AN15" i="159"/>
  <c r="AO15" i="159" s="1"/>
  <c r="AA50" i="159"/>
  <c r="AN10" i="159"/>
  <c r="AN30" i="159"/>
  <c r="AO30" i="159" s="1"/>
  <c r="AA65" i="159"/>
  <c r="I265" i="88" s="1"/>
  <c r="AE91" i="159"/>
  <c r="AN25" i="159"/>
  <c r="AO25" i="159" s="1"/>
  <c r="AA60" i="159"/>
  <c r="AN29" i="159"/>
  <c r="AO29" i="159" s="1"/>
  <c r="AA64" i="159"/>
  <c r="I264" i="88" s="1"/>
  <c r="AB53" i="159"/>
  <c r="AB80" i="159"/>
  <c r="AB88" i="159" s="1"/>
  <c r="AN11" i="159"/>
  <c r="AO11" i="159" s="1"/>
  <c r="AA46" i="159"/>
  <c r="I246" i="88" s="1"/>
  <c r="C313" i="88"/>
  <c r="AN32" i="159"/>
  <c r="AO32" i="159" s="1"/>
  <c r="AA67" i="159"/>
  <c r="I267" i="88" s="1"/>
  <c r="AN14" i="159"/>
  <c r="AO14" i="159" s="1"/>
  <c r="AA49" i="159"/>
  <c r="AE53" i="159"/>
  <c r="AE84" i="159"/>
  <c r="AE88" i="159" s="1"/>
  <c r="D313" i="88"/>
  <c r="AN21" i="159"/>
  <c r="AO21" i="159" s="1"/>
  <c r="AA56" i="159"/>
  <c r="I256" i="88" s="1"/>
  <c r="AB91" i="159"/>
  <c r="AA68" i="159"/>
  <c r="AN27" i="159"/>
  <c r="AO27" i="159" s="1"/>
  <c r="AA62" i="159"/>
  <c r="W154" i="159"/>
  <c r="AN31" i="159"/>
  <c r="AO31" i="159" s="1"/>
  <c r="AA66" i="159"/>
  <c r="I266" i="88" s="1"/>
  <c r="G313" i="88"/>
  <c r="M22" i="103"/>
  <c r="N59" i="122"/>
  <c r="Q37" i="159"/>
  <c r="R37" i="159" s="1"/>
  <c r="N54" i="122"/>
  <c r="F27" i="130" s="1"/>
  <c r="Q18" i="159"/>
  <c r="R18" i="159" s="1"/>
  <c r="E313" i="88"/>
  <c r="H313" i="88"/>
  <c r="K264" i="88"/>
  <c r="K260" i="88"/>
  <c r="L41" i="99"/>
  <c r="F313" i="88"/>
  <c r="H168" i="54"/>
  <c r="P109" i="70"/>
  <c r="D129" i="70" s="1"/>
  <c r="E168" i="54"/>
  <c r="K267" i="88"/>
  <c r="K266" i="88"/>
  <c r="K256" i="88"/>
  <c r="K270" i="88"/>
  <c r="K261" i="88"/>
  <c r="K263" i="88"/>
  <c r="K259" i="88"/>
  <c r="J217" i="88"/>
  <c r="L222" i="88"/>
  <c r="M213" i="88"/>
  <c r="M221" i="88"/>
  <c r="M216" i="88"/>
  <c r="K206" i="88"/>
  <c r="N222" i="88"/>
  <c r="J224" i="88"/>
  <c r="N204" i="88"/>
  <c r="L217" i="88"/>
  <c r="L204" i="88"/>
  <c r="J207" i="88"/>
  <c r="M217" i="88"/>
  <c r="M203" i="88"/>
  <c r="L218" i="88"/>
  <c r="M220" i="88"/>
  <c r="M224" i="88"/>
  <c r="K207" i="88"/>
  <c r="N213" i="88"/>
  <c r="J216" i="88"/>
  <c r="N202" i="88"/>
  <c r="L213" i="88"/>
  <c r="L202" i="88"/>
  <c r="N218" i="88"/>
  <c r="N206" i="88"/>
  <c r="L205" i="88"/>
  <c r="N217" i="88"/>
  <c r="N205" i="88"/>
  <c r="M223" i="88"/>
  <c r="K205" i="88"/>
  <c r="N221" i="88"/>
  <c r="J219" i="88"/>
  <c r="J223" i="88"/>
  <c r="N203" i="88"/>
  <c r="L221" i="88"/>
  <c r="L216" i="88"/>
  <c r="J205" i="88"/>
  <c r="M207" i="88"/>
  <c r="J206" i="88"/>
  <c r="M219" i="88"/>
  <c r="K204" i="88"/>
  <c r="N220" i="88"/>
  <c r="J222" i="88"/>
  <c r="L220" i="88"/>
  <c r="L224" i="88"/>
  <c r="J204" i="88"/>
  <c r="M206" i="88"/>
  <c r="N216" i="88"/>
  <c r="M202" i="88"/>
  <c r="O67" i="116"/>
  <c r="D88" i="116" s="1"/>
  <c r="N109" i="116"/>
  <c r="M69" i="116"/>
  <c r="K203" i="88"/>
  <c r="K262" i="88"/>
  <c r="N219" i="88"/>
  <c r="J220" i="88"/>
  <c r="J213" i="88"/>
  <c r="L219" i="88"/>
  <c r="L223" i="88"/>
  <c r="L207" i="88"/>
  <c r="J203" i="88"/>
  <c r="M205" i="88"/>
  <c r="K225" i="88"/>
  <c r="O67" i="115"/>
  <c r="M69" i="115"/>
  <c r="N109" i="115"/>
  <c r="N111" i="115" s="1"/>
  <c r="M222" i="88"/>
  <c r="N223" i="88"/>
  <c r="L203" i="88"/>
  <c r="M218" i="88"/>
  <c r="K202" i="88"/>
  <c r="N224" i="88"/>
  <c r="J218" i="88"/>
  <c r="J221" i="88"/>
  <c r="N207" i="88"/>
  <c r="L206" i="88"/>
  <c r="J202" i="88"/>
  <c r="M204" i="88"/>
  <c r="D88" i="70"/>
  <c r="D88" i="115" s="1"/>
  <c r="I219" i="88"/>
  <c r="AG27" i="159"/>
  <c r="AG34" i="159"/>
  <c r="I204" i="88"/>
  <c r="AG12" i="159"/>
  <c r="I225" i="88"/>
  <c r="I220" i="88"/>
  <c r="AG28" i="159"/>
  <c r="AE33" i="159"/>
  <c r="AE68" i="159" s="1"/>
  <c r="AE103" i="159" s="1"/>
  <c r="AC18" i="159"/>
  <c r="AB33" i="159"/>
  <c r="AB68" i="159" s="1"/>
  <c r="AB103" i="159" s="1"/>
  <c r="I216" i="88"/>
  <c r="AG24" i="159"/>
  <c r="I203" i="88"/>
  <c r="AG11" i="159"/>
  <c r="AB18" i="159"/>
  <c r="AC23" i="159"/>
  <c r="AC58" i="159" s="1"/>
  <c r="AF33" i="159"/>
  <c r="AF68" i="159" s="1"/>
  <c r="AF103" i="159" s="1"/>
  <c r="I224" i="88"/>
  <c r="AG32" i="159"/>
  <c r="I205" i="88"/>
  <c r="AG13" i="159"/>
  <c r="AG10" i="159"/>
  <c r="I223" i="88"/>
  <c r="AG31" i="159"/>
  <c r="AE18" i="159"/>
  <c r="I218" i="88"/>
  <c r="AG26" i="159"/>
  <c r="I222" i="88"/>
  <c r="AG30" i="159"/>
  <c r="AF18" i="159"/>
  <c r="I207" i="88"/>
  <c r="AG15" i="159"/>
  <c r="AA18" i="159"/>
  <c r="I221" i="88"/>
  <c r="AG29" i="159"/>
  <c r="I217" i="88"/>
  <c r="AG25" i="159"/>
  <c r="I213" i="88"/>
  <c r="AG21" i="159"/>
  <c r="AD33" i="159"/>
  <c r="AD68" i="159" s="1"/>
  <c r="AD103" i="159" s="1"/>
  <c r="AD18" i="159"/>
  <c r="I206" i="88"/>
  <c r="AG14" i="159"/>
  <c r="F135" i="150"/>
  <c r="L43" i="103"/>
  <c r="L45" i="103" s="1"/>
  <c r="L52" i="103" s="1"/>
  <c r="E73" i="66"/>
  <c r="F73" i="66" s="1"/>
  <c r="N38" i="54"/>
  <c r="N40" i="54" s="1"/>
  <c r="E74" i="66"/>
  <c r="F36" i="132"/>
  <c r="M43" i="103"/>
  <c r="F37" i="132"/>
  <c r="K24" i="152"/>
  <c r="I72" i="66"/>
  <c r="L22" i="152"/>
  <c r="F72" i="66"/>
  <c r="P81" i="55"/>
  <c r="N46" i="72"/>
  <c r="N138" i="72"/>
  <c r="V84" i="58"/>
  <c r="E190" i="150"/>
  <c r="F119" i="150"/>
  <c r="F153" i="150"/>
  <c r="J133" i="70"/>
  <c r="M78" i="58"/>
  <c r="J92" i="58"/>
  <c r="M79" i="58"/>
  <c r="N131" i="115"/>
  <c r="M92" i="58"/>
  <c r="S30" i="58"/>
  <c r="P92" i="58"/>
  <c r="G92" i="58"/>
  <c r="U30" i="58"/>
  <c r="J79" i="58"/>
  <c r="F186" i="150"/>
  <c r="K97" i="58"/>
  <c r="F185" i="150"/>
  <c r="S97" i="58"/>
  <c r="D309" i="150"/>
  <c r="F20" i="61"/>
  <c r="F24" i="61" s="1"/>
  <c r="AA23" i="159"/>
  <c r="U97" i="58"/>
  <c r="Q78" i="58"/>
  <c r="V92" i="58"/>
  <c r="V78" i="58"/>
  <c r="N48" i="54"/>
  <c r="O47" i="54"/>
  <c r="Q43" i="54"/>
  <c r="S63" i="54"/>
  <c r="S67" i="54" s="1"/>
  <c r="S68" i="54" s="1"/>
  <c r="S70" i="54" s="1"/>
  <c r="Q68" i="54"/>
  <c r="Q70" i="54" s="1"/>
  <c r="P28" i="159"/>
  <c r="O68" i="54"/>
  <c r="N70" i="54"/>
  <c r="M27" i="115"/>
  <c r="P16" i="115"/>
  <c r="M267" i="88"/>
  <c r="I74" i="58"/>
  <c r="J11" i="58"/>
  <c r="O82" i="54"/>
  <c r="N86" i="54"/>
  <c r="O86" i="54" s="1"/>
  <c r="D120" i="70"/>
  <c r="O76" i="54"/>
  <c r="Q72" i="54"/>
  <c r="P26" i="159"/>
  <c r="I164" i="54"/>
  <c r="P12" i="159"/>
  <c r="M251" i="88"/>
  <c r="L16" i="114"/>
  <c r="N256" i="88"/>
  <c r="P32" i="159"/>
  <c r="L251" i="88"/>
  <c r="E45" i="66"/>
  <c r="F41" i="66"/>
  <c r="E46" i="66"/>
  <c r="F46" i="66" s="1"/>
  <c r="J265" i="88"/>
  <c r="L69" i="115"/>
  <c r="O58" i="115"/>
  <c r="L69" i="116"/>
  <c r="O58" i="116"/>
  <c r="P11" i="159"/>
  <c r="E78" i="150"/>
  <c r="F41" i="150"/>
  <c r="D36" i="70"/>
  <c r="D47" i="70" s="1"/>
  <c r="P27" i="70"/>
  <c r="L23" i="152" s="1"/>
  <c r="F69" i="61"/>
  <c r="P25" i="159"/>
  <c r="P31" i="159"/>
  <c r="Q53" i="54"/>
  <c r="O57" i="54"/>
  <c r="I245" i="88"/>
  <c r="P10" i="159"/>
  <c r="AE23" i="159"/>
  <c r="AE58" i="159" s="1"/>
  <c r="AE93" i="159" s="1"/>
  <c r="O77" i="54"/>
  <c r="N79" i="54"/>
  <c r="F134" i="61"/>
  <c r="I100" i="58"/>
  <c r="F281" i="150"/>
  <c r="E280" i="150"/>
  <c r="F280" i="150" s="1"/>
  <c r="L52" i="72"/>
  <c r="F100" i="58"/>
  <c r="M100" i="116"/>
  <c r="L111" i="116"/>
  <c r="N131" i="116"/>
  <c r="L111" i="115"/>
  <c r="M100" i="115"/>
  <c r="F10" i="150"/>
  <c r="O92" i="58"/>
  <c r="G15" i="152"/>
  <c r="G16" i="152" s="1"/>
  <c r="G27" i="152" s="1"/>
  <c r="G28" i="152" s="1"/>
  <c r="G32" i="152"/>
  <c r="P33" i="159"/>
  <c r="L73" i="58"/>
  <c r="M40" i="58"/>
  <c r="N251" i="88"/>
  <c r="D79" i="70"/>
  <c r="N58" i="54"/>
  <c r="P13" i="159"/>
  <c r="J73" i="58"/>
  <c r="M27" i="116"/>
  <c r="P16" i="116"/>
  <c r="AF23" i="159"/>
  <c r="AF58" i="159" s="1"/>
  <c r="E173" i="150"/>
  <c r="F174" i="150"/>
  <c r="K251" i="88"/>
  <c r="P27" i="159"/>
  <c r="P30" i="159"/>
  <c r="F22" i="54"/>
  <c r="P41" i="102"/>
  <c r="N41" i="102"/>
  <c r="P16" i="159"/>
  <c r="F11" i="66"/>
  <c r="E15" i="66"/>
  <c r="E16" i="66"/>
  <c r="F16" i="66" s="1"/>
  <c r="Q33" i="54"/>
  <c r="O37" i="54"/>
  <c r="H134" i="61"/>
  <c r="L100" i="58"/>
  <c r="G23" i="98"/>
  <c r="H22" i="98"/>
  <c r="F319" i="150"/>
  <c r="E318" i="150"/>
  <c r="E102" i="150"/>
  <c r="F103" i="150"/>
  <c r="F212" i="150"/>
  <c r="E211" i="150"/>
  <c r="F45" i="61"/>
  <c r="F49" i="61" s="1"/>
  <c r="F65" i="150"/>
  <c r="E64" i="150"/>
  <c r="G73" i="58"/>
  <c r="F78" i="58"/>
  <c r="G15" i="58"/>
  <c r="P34" i="159"/>
  <c r="P21" i="159"/>
  <c r="F291" i="150"/>
  <c r="P15" i="159"/>
  <c r="J251" i="88"/>
  <c r="L35" i="114"/>
  <c r="N30" i="114"/>
  <c r="N11" i="114"/>
  <c r="O49" i="114"/>
  <c r="AB23" i="159"/>
  <c r="AB58" i="159" s="1"/>
  <c r="AB93" i="159" s="1"/>
  <c r="W157" i="159"/>
  <c r="P24" i="159"/>
  <c r="P29" i="159"/>
  <c r="L87" i="54"/>
  <c r="K88" i="54"/>
  <c r="F164" i="54"/>
  <c r="L264" i="88"/>
  <c r="I22" i="54"/>
  <c r="P14" i="159"/>
  <c r="F64" i="150" l="1"/>
  <c r="F173" i="150"/>
  <c r="N101" i="58"/>
  <c r="D170" i="150"/>
  <c r="R84" i="58"/>
  <c r="D90" i="70"/>
  <c r="Q40" i="159"/>
  <c r="H91" i="58"/>
  <c r="B19" i="58"/>
  <c r="H63" i="58"/>
  <c r="B48" i="58"/>
  <c r="G19" i="136"/>
  <c r="G21" i="136" s="1"/>
  <c r="G23" i="136" s="1"/>
  <c r="G7" i="136" s="1"/>
  <c r="F56" i="58"/>
  <c r="E56" i="150"/>
  <c r="F19" i="136"/>
  <c r="F21" i="136" s="1"/>
  <c r="F23" i="136" s="1"/>
  <c r="F7" i="136" s="1"/>
  <c r="R41" i="101"/>
  <c r="T41" i="101" s="1"/>
  <c r="K164" i="54"/>
  <c r="L164" i="54" s="1"/>
  <c r="E21" i="136"/>
  <c r="E23" i="136" s="1"/>
  <c r="J45" i="58"/>
  <c r="I36" i="132"/>
  <c r="J36" i="132" s="1"/>
  <c r="K36" i="132" s="1"/>
  <c r="F28" i="130"/>
  <c r="J100" i="58"/>
  <c r="D25" i="172"/>
  <c r="E25" i="172"/>
  <c r="M100" i="58"/>
  <c r="C25" i="172"/>
  <c r="G100" i="58"/>
  <c r="I261" i="88"/>
  <c r="AN33" i="159"/>
  <c r="AO33" i="159" s="1"/>
  <c r="I247" i="88"/>
  <c r="Q11" i="159"/>
  <c r="R11" i="159" s="1"/>
  <c r="N7" i="166"/>
  <c r="W128" i="159"/>
  <c r="AA104" i="159"/>
  <c r="I308" i="88" s="1"/>
  <c r="AG69" i="159"/>
  <c r="AE107" i="159"/>
  <c r="AE109" i="159" s="1"/>
  <c r="AA101" i="159"/>
  <c r="AG66" i="159"/>
  <c r="AB107" i="159"/>
  <c r="AB109" i="159" s="1"/>
  <c r="AA100" i="159"/>
  <c r="I303" i="88" s="1"/>
  <c r="AG65" i="159"/>
  <c r="AG80" i="159"/>
  <c r="Q24" i="159"/>
  <c r="R24" i="159" s="1"/>
  <c r="W141" i="159"/>
  <c r="AA95" i="159"/>
  <c r="I298" i="88" s="1"/>
  <c r="AG60" i="159"/>
  <c r="AA94" i="159"/>
  <c r="AG59" i="159"/>
  <c r="AA81" i="159"/>
  <c r="AG46" i="159"/>
  <c r="Q13" i="159"/>
  <c r="R13" i="159" s="1"/>
  <c r="N9" i="166"/>
  <c r="W130" i="159"/>
  <c r="AA98" i="159"/>
  <c r="I301" i="88" s="1"/>
  <c r="AG63" i="159"/>
  <c r="I268" i="88"/>
  <c r="I263" i="88"/>
  <c r="Q15" i="159"/>
  <c r="R15" i="159" s="1"/>
  <c r="N11" i="166"/>
  <c r="W132" i="159"/>
  <c r="Q32" i="159"/>
  <c r="R32" i="159" s="1"/>
  <c r="N24" i="166"/>
  <c r="W149" i="159"/>
  <c r="Q26" i="159"/>
  <c r="R26" i="159" s="1"/>
  <c r="W143" i="159"/>
  <c r="AB72" i="159"/>
  <c r="AB74" i="159" s="1"/>
  <c r="AA84" i="159"/>
  <c r="I287" i="88" s="1"/>
  <c r="AG49" i="159"/>
  <c r="AA82" i="159"/>
  <c r="I285" i="88" s="1"/>
  <c r="AG47" i="159"/>
  <c r="AA53" i="159"/>
  <c r="Q14" i="159"/>
  <c r="R14" i="159" s="1"/>
  <c r="N10" i="166"/>
  <c r="W131" i="159"/>
  <c r="Q27" i="159"/>
  <c r="R27" i="159" s="1"/>
  <c r="N19" i="166"/>
  <c r="W144" i="159"/>
  <c r="Q25" i="159"/>
  <c r="R25" i="159" s="1"/>
  <c r="W142" i="159"/>
  <c r="AC93" i="159"/>
  <c r="AC107" i="159" s="1"/>
  <c r="AC109" i="159" s="1"/>
  <c r="AC72" i="159"/>
  <c r="AC74" i="159" s="1"/>
  <c r="AA97" i="159"/>
  <c r="I300" i="88" s="1"/>
  <c r="AG62" i="159"/>
  <c r="N12" i="166"/>
  <c r="W133" i="159"/>
  <c r="I260" i="88"/>
  <c r="Q12" i="159"/>
  <c r="R12" i="159" s="1"/>
  <c r="N8" i="166"/>
  <c r="W129" i="159"/>
  <c r="AE72" i="159"/>
  <c r="AE74" i="159" s="1"/>
  <c r="Q33" i="159"/>
  <c r="R33" i="159" s="1"/>
  <c r="N25" i="166"/>
  <c r="W150" i="159"/>
  <c r="Q29" i="159"/>
  <c r="R29" i="159" s="1"/>
  <c r="N21" i="166"/>
  <c r="W146" i="159"/>
  <c r="Q30" i="159"/>
  <c r="R30" i="159" s="1"/>
  <c r="N22" i="166"/>
  <c r="W147" i="159"/>
  <c r="Q31" i="159"/>
  <c r="R31" i="159" s="1"/>
  <c r="N23" i="166"/>
  <c r="W148" i="159"/>
  <c r="AN23" i="159"/>
  <c r="AO23" i="159" s="1"/>
  <c r="AA58" i="159"/>
  <c r="AA72" i="159" s="1"/>
  <c r="AA91" i="159"/>
  <c r="AG56" i="159"/>
  <c r="AA99" i="159"/>
  <c r="I302" i="88" s="1"/>
  <c r="AG64" i="159"/>
  <c r="AO10" i="159"/>
  <c r="AN18" i="159"/>
  <c r="AO18" i="159" s="1"/>
  <c r="AA83" i="159"/>
  <c r="I286" i="88" s="1"/>
  <c r="AG48" i="159"/>
  <c r="AA96" i="159"/>
  <c r="I299" i="88" s="1"/>
  <c r="AG61" i="159"/>
  <c r="Q34" i="159"/>
  <c r="R34" i="159" s="1"/>
  <c r="N26" i="166"/>
  <c r="W151" i="159"/>
  <c r="I270" i="88"/>
  <c r="Q10" i="159"/>
  <c r="R10" i="159" s="1"/>
  <c r="N6" i="166"/>
  <c r="W127" i="159"/>
  <c r="AA103" i="159"/>
  <c r="AG68" i="159"/>
  <c r="Q28" i="159"/>
  <c r="R28" i="159" s="1"/>
  <c r="N20" i="166"/>
  <c r="W145" i="159"/>
  <c r="Q21" i="159"/>
  <c r="R21" i="159" s="1"/>
  <c r="N17" i="166"/>
  <c r="W138" i="159"/>
  <c r="AF72" i="159"/>
  <c r="AF74" i="159" s="1"/>
  <c r="AF93" i="159"/>
  <c r="AF107" i="159" s="1"/>
  <c r="AF109" i="159" s="1"/>
  <c r="Q39" i="159"/>
  <c r="R39" i="159" s="1"/>
  <c r="W156" i="159"/>
  <c r="AA102" i="159"/>
  <c r="I305" i="88" s="1"/>
  <c r="AG67" i="159"/>
  <c r="AA85" i="159"/>
  <c r="I288" i="88" s="1"/>
  <c r="AG50" i="159"/>
  <c r="P111" i="70"/>
  <c r="M45" i="103"/>
  <c r="M52" i="103" s="1"/>
  <c r="H26" i="172" s="1"/>
  <c r="H48" i="172" s="1"/>
  <c r="M249" i="88"/>
  <c r="L250" i="88"/>
  <c r="K294" i="88"/>
  <c r="O69" i="115"/>
  <c r="P69" i="115"/>
  <c r="M262" i="88"/>
  <c r="N259" i="88"/>
  <c r="N247" i="88"/>
  <c r="M259" i="88"/>
  <c r="N245" i="88"/>
  <c r="J264" i="88"/>
  <c r="K210" i="88"/>
  <c r="J246" i="88"/>
  <c r="M266" i="88"/>
  <c r="J263" i="88"/>
  <c r="L265" i="88"/>
  <c r="J266" i="88"/>
  <c r="K249" i="88"/>
  <c r="N263" i="88"/>
  <c r="L260" i="88"/>
  <c r="N249" i="88"/>
  <c r="J245" i="88"/>
  <c r="M261" i="88"/>
  <c r="M248" i="88"/>
  <c r="N246" i="88"/>
  <c r="K246" i="88"/>
  <c r="M260" i="88"/>
  <c r="L248" i="88"/>
  <c r="M265" i="88"/>
  <c r="L249" i="88"/>
  <c r="J256" i="88"/>
  <c r="M250" i="88"/>
  <c r="L267" i="88"/>
  <c r="K247" i="88"/>
  <c r="N210" i="88"/>
  <c r="L256" i="88"/>
  <c r="M245" i="88"/>
  <c r="M246" i="88"/>
  <c r="J248" i="88"/>
  <c r="L262" i="88"/>
  <c r="J261" i="88"/>
  <c r="J260" i="88"/>
  <c r="K245" i="88"/>
  <c r="M270" i="88"/>
  <c r="K250" i="88"/>
  <c r="K248" i="88"/>
  <c r="L263" i="88"/>
  <c r="N264" i="88"/>
  <c r="J210" i="88"/>
  <c r="L270" i="88"/>
  <c r="M210" i="88"/>
  <c r="N260" i="88"/>
  <c r="L246" i="88"/>
  <c r="L245" i="88"/>
  <c r="N265" i="88"/>
  <c r="L247" i="88"/>
  <c r="J247" i="88"/>
  <c r="L18" i="88"/>
  <c r="N270" i="88"/>
  <c r="M247" i="88"/>
  <c r="L261" i="88"/>
  <c r="L210" i="88"/>
  <c r="M256" i="88"/>
  <c r="N267" i="88"/>
  <c r="K268" i="88"/>
  <c r="M225" i="88"/>
  <c r="J267" i="88"/>
  <c r="J262" i="88"/>
  <c r="N250" i="88"/>
  <c r="J250" i="88"/>
  <c r="P109" i="115"/>
  <c r="D129" i="115" s="1"/>
  <c r="N248" i="88"/>
  <c r="K306" i="88"/>
  <c r="M264" i="88"/>
  <c r="N262" i="88"/>
  <c r="L259" i="88"/>
  <c r="N111" i="116"/>
  <c r="P109" i="116"/>
  <c r="D129" i="116" s="1"/>
  <c r="J259" i="88"/>
  <c r="J249" i="88"/>
  <c r="J215" i="88"/>
  <c r="N261" i="88"/>
  <c r="L266" i="88"/>
  <c r="N266" i="88"/>
  <c r="J270" i="88"/>
  <c r="J225" i="88"/>
  <c r="M263" i="88"/>
  <c r="L225" i="88"/>
  <c r="N225" i="88"/>
  <c r="AG33" i="159"/>
  <c r="AE37" i="159"/>
  <c r="AE39" i="159" s="1"/>
  <c r="M215" i="88"/>
  <c r="AB37" i="159"/>
  <c r="AB39" i="159" s="1"/>
  <c r="I259" i="88"/>
  <c r="AF37" i="159"/>
  <c r="AF39" i="159" s="1"/>
  <c r="N215" i="88"/>
  <c r="AC37" i="159"/>
  <c r="AC39" i="159" s="1"/>
  <c r="K215" i="88"/>
  <c r="K230" i="88" s="1"/>
  <c r="I249" i="88"/>
  <c r="I250" i="88"/>
  <c r="I262" i="88"/>
  <c r="I251" i="88"/>
  <c r="K304" i="88"/>
  <c r="K297" i="88"/>
  <c r="K308" i="88"/>
  <c r="K299" i="88"/>
  <c r="K300" i="88"/>
  <c r="K301" i="88"/>
  <c r="L107" i="159"/>
  <c r="K298" i="88"/>
  <c r="K302" i="88"/>
  <c r="I215" i="88"/>
  <c r="I230" i="88" s="1"/>
  <c r="AD23" i="159"/>
  <c r="AD58" i="159" s="1"/>
  <c r="AA37" i="159"/>
  <c r="AA39" i="159" s="1"/>
  <c r="L38" i="88"/>
  <c r="O226" i="88"/>
  <c r="K305" i="88"/>
  <c r="K303" i="88"/>
  <c r="AG18" i="159"/>
  <c r="L25" i="88"/>
  <c r="L29" i="88"/>
  <c r="L31" i="88"/>
  <c r="L26" i="88"/>
  <c r="L14" i="88"/>
  <c r="L33" i="88"/>
  <c r="L28" i="88"/>
  <c r="L16" i="88"/>
  <c r="L32" i="88"/>
  <c r="L17" i="88"/>
  <c r="L39" i="88"/>
  <c r="L34" i="88"/>
  <c r="L36" i="88"/>
  <c r="L15" i="88"/>
  <c r="L19" i="88"/>
  <c r="L35" i="88"/>
  <c r="L30" i="88"/>
  <c r="O227" i="88"/>
  <c r="O38" i="54"/>
  <c r="F43" i="132"/>
  <c r="F50" i="132" s="1"/>
  <c r="G50" i="132" s="1"/>
  <c r="H51" i="132" s="1"/>
  <c r="H52" i="132" s="1"/>
  <c r="H53" i="132" s="1"/>
  <c r="H54" i="132" s="1"/>
  <c r="H55" i="132" s="1"/>
  <c r="K26" i="152"/>
  <c r="F74" i="66"/>
  <c r="G36" i="132"/>
  <c r="F190" i="150"/>
  <c r="L72" i="159"/>
  <c r="J15" i="58"/>
  <c r="I78" i="58"/>
  <c r="N87" i="54"/>
  <c r="O87" i="54" s="1"/>
  <c r="L24" i="152"/>
  <c r="N133" i="70"/>
  <c r="Q92" i="58"/>
  <c r="F113" i="61"/>
  <c r="U101" i="58"/>
  <c r="K101" i="58"/>
  <c r="R78" i="58"/>
  <c r="D203" i="150"/>
  <c r="H113" i="61"/>
  <c r="S101" i="58"/>
  <c r="F73" i="61"/>
  <c r="M22" i="152"/>
  <c r="D314" i="150"/>
  <c r="J74" i="58"/>
  <c r="G78" i="58"/>
  <c r="Q47" i="54"/>
  <c r="S43" i="54" s="1"/>
  <c r="O48" i="54"/>
  <c r="N50" i="54"/>
  <c r="O50" i="54" s="1"/>
  <c r="P100" i="116"/>
  <c r="M111" i="116"/>
  <c r="P46" i="159"/>
  <c r="O7" i="166" s="1"/>
  <c r="P69" i="159"/>
  <c r="O26" i="166" s="1"/>
  <c r="P60" i="159"/>
  <c r="F78" i="150"/>
  <c r="O203" i="88"/>
  <c r="O216" i="88"/>
  <c r="P50" i="159"/>
  <c r="O11" i="166" s="1"/>
  <c r="P49" i="159"/>
  <c r="O10" i="166" s="1"/>
  <c r="O206" i="88"/>
  <c r="P64" i="159"/>
  <c r="O21" i="166" s="1"/>
  <c r="F102" i="150"/>
  <c r="E5" i="156"/>
  <c r="F5" i="156" s="1"/>
  <c r="I289" i="88"/>
  <c r="P51" i="159"/>
  <c r="O12" i="166" s="1"/>
  <c r="P62" i="159"/>
  <c r="O19" i="166" s="1"/>
  <c r="N60" i="54"/>
  <c r="O58" i="54"/>
  <c r="G36" i="152"/>
  <c r="G33" i="152"/>
  <c r="G35" i="152"/>
  <c r="F74" i="58"/>
  <c r="G11" i="58"/>
  <c r="O217" i="88"/>
  <c r="P63" i="159"/>
  <c r="O20" i="166" s="1"/>
  <c r="O213" i="88"/>
  <c r="F318" i="150"/>
  <c r="E17" i="156"/>
  <c r="D36" i="116"/>
  <c r="P27" i="116"/>
  <c r="P100" i="115"/>
  <c r="M111" i="115"/>
  <c r="Q111" i="115" s="1"/>
  <c r="L21" i="88"/>
  <c r="O219" i="88"/>
  <c r="P57" i="159"/>
  <c r="Q57" i="54"/>
  <c r="S53" i="54" s="1"/>
  <c r="P61" i="159"/>
  <c r="O220" i="88"/>
  <c r="P23" i="159"/>
  <c r="E23" i="150"/>
  <c r="F15" i="66"/>
  <c r="N53" i="159"/>
  <c r="M53" i="159"/>
  <c r="O221" i="88"/>
  <c r="O214" i="88"/>
  <c r="D79" i="116"/>
  <c r="O69" i="116"/>
  <c r="P47" i="159"/>
  <c r="O8" i="166" s="1"/>
  <c r="O53" i="159"/>
  <c r="O218" i="88"/>
  <c r="P59" i="159"/>
  <c r="O207" i="88"/>
  <c r="L88" i="54"/>
  <c r="K22" i="54"/>
  <c r="P56" i="159"/>
  <c r="O17" i="166" s="1"/>
  <c r="F211" i="150"/>
  <c r="E11" i="156"/>
  <c r="H23" i="98"/>
  <c r="I22" i="98"/>
  <c r="I23" i="98" s="1"/>
  <c r="Q37" i="54"/>
  <c r="S33" i="54" s="1"/>
  <c r="Q82" i="54"/>
  <c r="L53" i="159"/>
  <c r="P66" i="159"/>
  <c r="O23" i="166" s="1"/>
  <c r="D36" i="115"/>
  <c r="O204" i="88"/>
  <c r="Q76" i="54"/>
  <c r="S72" i="54" s="1"/>
  <c r="P27" i="115"/>
  <c r="J283" i="88"/>
  <c r="K53" i="159"/>
  <c r="P65" i="159"/>
  <c r="O22" i="166" s="1"/>
  <c r="P48" i="159"/>
  <c r="O9" i="166" s="1"/>
  <c r="M73" i="58"/>
  <c r="I283" i="88"/>
  <c r="J53" i="159"/>
  <c r="P45" i="159"/>
  <c r="O6" i="166" s="1"/>
  <c r="O223" i="88"/>
  <c r="F45" i="66"/>
  <c r="P67" i="159"/>
  <c r="O24" i="166" s="1"/>
  <c r="D131" i="70"/>
  <c r="O11" i="114"/>
  <c r="O222" i="88"/>
  <c r="O205" i="88"/>
  <c r="D79" i="115"/>
  <c r="P68" i="159"/>
  <c r="O25" i="166" s="1"/>
  <c r="I210" i="88"/>
  <c r="L13" i="88"/>
  <c r="O202" i="88"/>
  <c r="O224" i="88"/>
  <c r="P41" i="99"/>
  <c r="O41" i="99"/>
  <c r="Q41" i="99"/>
  <c r="D172" i="150" l="1"/>
  <c r="E27" i="172"/>
  <c r="E34" i="172"/>
  <c r="D27" i="172"/>
  <c r="D34" i="172"/>
  <c r="C27" i="172"/>
  <c r="C34" i="172"/>
  <c r="B20" i="58"/>
  <c r="K20" i="73"/>
  <c r="B49" i="58"/>
  <c r="K39" i="73"/>
  <c r="U41" i="101"/>
  <c r="M26" i="88"/>
  <c r="AA74" i="159"/>
  <c r="K168" i="54"/>
  <c r="K36" i="73"/>
  <c r="K15" i="73"/>
  <c r="K34" i="73"/>
  <c r="K19" i="73"/>
  <c r="K14" i="73"/>
  <c r="K18" i="73"/>
  <c r="K32" i="73"/>
  <c r="K35" i="73"/>
  <c r="K17" i="73"/>
  <c r="K16" i="73"/>
  <c r="K33" i="73"/>
  <c r="E40" i="156"/>
  <c r="F17" i="156"/>
  <c r="E34" i="156"/>
  <c r="F11" i="156"/>
  <c r="L74" i="159"/>
  <c r="M131" i="117" s="1"/>
  <c r="M132" i="117" s="1"/>
  <c r="N13" i="166"/>
  <c r="AD93" i="159"/>
  <c r="AD107" i="159" s="1"/>
  <c r="AD109" i="159" s="1"/>
  <c r="AD72" i="159"/>
  <c r="AD74" i="159" s="1"/>
  <c r="AG81" i="159"/>
  <c r="AG82" i="159"/>
  <c r="AG91" i="159"/>
  <c r="AG97" i="159"/>
  <c r="AA88" i="159"/>
  <c r="AG104" i="159"/>
  <c r="AG102" i="159"/>
  <c r="AG53" i="159"/>
  <c r="AG103" i="159"/>
  <c r="AG98" i="159"/>
  <c r="O13" i="166"/>
  <c r="I284" i="88"/>
  <c r="AG83" i="159"/>
  <c r="AA93" i="159"/>
  <c r="AA107" i="159" s="1"/>
  <c r="AG58" i="159"/>
  <c r="AG84" i="159"/>
  <c r="Q23" i="159"/>
  <c r="R23" i="159" s="1"/>
  <c r="N18" i="166"/>
  <c r="N28" i="166" s="1"/>
  <c r="W140" i="159"/>
  <c r="W139" i="159"/>
  <c r="AG101" i="159"/>
  <c r="AG96" i="159"/>
  <c r="I304" i="88"/>
  <c r="AG85" i="159"/>
  <c r="AG95" i="159"/>
  <c r="AG100" i="159"/>
  <c r="AG99" i="159"/>
  <c r="AG94" i="159"/>
  <c r="I297" i="88"/>
  <c r="I294" i="88"/>
  <c r="AN37" i="159"/>
  <c r="AO37" i="159" s="1"/>
  <c r="J294" i="88"/>
  <c r="N294" i="88"/>
  <c r="L283" i="88"/>
  <c r="N230" i="88"/>
  <c r="N232" i="88" s="1"/>
  <c r="N283" i="88"/>
  <c r="M283" i="88"/>
  <c r="L294" i="88"/>
  <c r="K283" i="88"/>
  <c r="M294" i="88"/>
  <c r="K232" i="88"/>
  <c r="M268" i="88"/>
  <c r="J306" i="88"/>
  <c r="M230" i="88"/>
  <c r="M232" i="88" s="1"/>
  <c r="N268" i="88"/>
  <c r="O225" i="88"/>
  <c r="L37" i="88"/>
  <c r="J230" i="88"/>
  <c r="J232" i="88" s="1"/>
  <c r="L268" i="88"/>
  <c r="M38" i="88"/>
  <c r="K85" i="73" s="1"/>
  <c r="K38" i="73"/>
  <c r="J268" i="88"/>
  <c r="AD37" i="159"/>
  <c r="AD39" i="159" s="1"/>
  <c r="L215" i="88"/>
  <c r="L230" i="88" s="1"/>
  <c r="L232" i="88" s="1"/>
  <c r="K258" i="88"/>
  <c r="K273" i="88" s="1"/>
  <c r="I306" i="88"/>
  <c r="N286" i="88"/>
  <c r="J302" i="88"/>
  <c r="M286" i="88"/>
  <c r="N302" i="88"/>
  <c r="K289" i="88"/>
  <c r="K285" i="88"/>
  <c r="J308" i="88"/>
  <c r="N299" i="88"/>
  <c r="L303" i="88"/>
  <c r="L284" i="88"/>
  <c r="N298" i="88"/>
  <c r="N301" i="88"/>
  <c r="M304" i="88"/>
  <c r="M302" i="88"/>
  <c r="L287" i="88"/>
  <c r="L289" i="88"/>
  <c r="K72" i="159"/>
  <c r="K74" i="159" s="1"/>
  <c r="L131" i="117" s="1"/>
  <c r="L132" i="117" s="1"/>
  <c r="O72" i="159"/>
  <c r="O74" i="159" s="1"/>
  <c r="P131" i="117" s="1"/>
  <c r="P132" i="117" s="1"/>
  <c r="K284" i="88"/>
  <c r="L288" i="88"/>
  <c r="N297" i="88"/>
  <c r="L298" i="88"/>
  <c r="K286" i="88"/>
  <c r="L300" i="88"/>
  <c r="M308" i="88"/>
  <c r="N305" i="88"/>
  <c r="N303" i="88"/>
  <c r="L302" i="88"/>
  <c r="M285" i="88"/>
  <c r="L285" i="88"/>
  <c r="J72" i="159"/>
  <c r="J74" i="159" s="1"/>
  <c r="K131" i="117" s="1"/>
  <c r="K132" i="117" s="1"/>
  <c r="I258" i="88"/>
  <c r="I273" i="88" s="1"/>
  <c r="M72" i="159"/>
  <c r="M74" i="159" s="1"/>
  <c r="N131" i="117" s="1"/>
  <c r="N132" i="117" s="1"/>
  <c r="N72" i="159"/>
  <c r="N74" i="159" s="1"/>
  <c r="O131" i="117" s="1"/>
  <c r="O132" i="117" s="1"/>
  <c r="J301" i="88"/>
  <c r="M298" i="88"/>
  <c r="N289" i="88"/>
  <c r="M305" i="88"/>
  <c r="L286" i="88"/>
  <c r="J299" i="88"/>
  <c r="M303" i="88"/>
  <c r="N304" i="88"/>
  <c r="M300" i="88"/>
  <c r="K287" i="88"/>
  <c r="L305" i="88"/>
  <c r="L301" i="88"/>
  <c r="N300" i="88"/>
  <c r="L297" i="88"/>
  <c r="N288" i="88"/>
  <c r="M289" i="88"/>
  <c r="M299" i="88"/>
  <c r="M301" i="88"/>
  <c r="L308" i="88"/>
  <c r="M287" i="88"/>
  <c r="M297" i="88"/>
  <c r="L304" i="88"/>
  <c r="N285" i="88"/>
  <c r="K288" i="88"/>
  <c r="N287" i="88"/>
  <c r="N308" i="88"/>
  <c r="M288" i="88"/>
  <c r="AG23" i="159"/>
  <c r="AG37" i="159" s="1"/>
  <c r="M36" i="88"/>
  <c r="M32" i="88"/>
  <c r="K79" i="73" s="1"/>
  <c r="M31" i="88"/>
  <c r="M29" i="88"/>
  <c r="M28" i="88"/>
  <c r="M16" i="88"/>
  <c r="K64" i="73" s="1"/>
  <c r="M35" i="88"/>
  <c r="M18" i="88"/>
  <c r="M30" i="88"/>
  <c r="M19" i="88"/>
  <c r="K67" i="73" s="1"/>
  <c r="M17" i="88"/>
  <c r="M39" i="88"/>
  <c r="K86" i="73" s="1"/>
  <c r="M33" i="88"/>
  <c r="K80" i="73" s="1"/>
  <c r="M34" i="88"/>
  <c r="L20" i="88"/>
  <c r="G43" i="132"/>
  <c r="H44" i="132" s="1"/>
  <c r="H45" i="132" s="1"/>
  <c r="H37" i="132"/>
  <c r="L26" i="152"/>
  <c r="J78" i="58"/>
  <c r="Q77" i="54"/>
  <c r="Q79" i="54" s="1"/>
  <c r="Q48" i="54"/>
  <c r="Q50" i="54" s="1"/>
  <c r="Q38" i="54"/>
  <c r="Q40" i="54" s="1"/>
  <c r="R41" i="99"/>
  <c r="T41" i="99" s="1"/>
  <c r="P58" i="159"/>
  <c r="O18" i="166" s="1"/>
  <c r="O28" i="166" s="1"/>
  <c r="M21" i="88"/>
  <c r="E7" i="136"/>
  <c r="D208" i="150"/>
  <c r="H97" i="58"/>
  <c r="D316" i="150"/>
  <c r="D321" i="150" s="1"/>
  <c r="D14" i="156"/>
  <c r="R92" i="58"/>
  <c r="O210" i="88"/>
  <c r="S47" i="54"/>
  <c r="S48" i="54" s="1"/>
  <c r="S50" i="54" s="1"/>
  <c r="N89" i="54"/>
  <c r="O89" i="54" s="1"/>
  <c r="J253" i="88"/>
  <c r="O259" i="88"/>
  <c r="O28" i="88" s="1"/>
  <c r="S57" i="54"/>
  <c r="S58" i="54" s="1"/>
  <c r="S60" i="54" s="1"/>
  <c r="O263" i="88"/>
  <c r="O32" i="88" s="1"/>
  <c r="O264" i="88"/>
  <c r="O33" i="88" s="1"/>
  <c r="D90" i="115"/>
  <c r="I253" i="88"/>
  <c r="O245" i="88"/>
  <c r="O13" i="88" s="1"/>
  <c r="O248" i="88"/>
  <c r="O16" i="88" s="1"/>
  <c r="M15" i="88"/>
  <c r="L88" i="159"/>
  <c r="L109" i="159" s="1"/>
  <c r="M162" i="117" s="1"/>
  <c r="M163" i="117" s="1"/>
  <c r="Q86" i="54"/>
  <c r="Q87" i="54" s="1"/>
  <c r="O256" i="88"/>
  <c r="O25" i="88" s="1"/>
  <c r="K30" i="73"/>
  <c r="P82" i="159"/>
  <c r="P8" i="166" s="1"/>
  <c r="Q58" i="54"/>
  <c r="Q60" i="54" s="1"/>
  <c r="D47" i="116"/>
  <c r="O251" i="88"/>
  <c r="O21" i="88" s="1"/>
  <c r="P99" i="159"/>
  <c r="P21" i="166" s="1"/>
  <c r="J88" i="159"/>
  <c r="P80" i="159"/>
  <c r="P6" i="166" s="1"/>
  <c r="O249" i="88"/>
  <c r="O17" i="88" s="1"/>
  <c r="K253" i="88"/>
  <c r="S37" i="54"/>
  <c r="S38" i="54" s="1"/>
  <c r="S40" i="54" s="1"/>
  <c r="S82" i="54"/>
  <c r="O247" i="88"/>
  <c r="O15" i="88" s="1"/>
  <c r="G74" i="58"/>
  <c r="P85" i="159"/>
  <c r="P11" i="166" s="1"/>
  <c r="P81" i="159"/>
  <c r="P7" i="166" s="1"/>
  <c r="P53" i="159"/>
  <c r="P41" i="103"/>
  <c r="N41" i="103"/>
  <c r="P91" i="159"/>
  <c r="P17" i="166" s="1"/>
  <c r="P86" i="159"/>
  <c r="P12" i="166" s="1"/>
  <c r="M88" i="159"/>
  <c r="P96" i="159"/>
  <c r="K31" i="73"/>
  <c r="O250" i="88"/>
  <c r="O18" i="88" s="1"/>
  <c r="P95" i="159"/>
  <c r="O246" i="88"/>
  <c r="O14" i="88" s="1"/>
  <c r="F56" i="150"/>
  <c r="J41" i="150"/>
  <c r="G56" i="58"/>
  <c r="P83" i="159"/>
  <c r="P9" i="166" s="1"/>
  <c r="D47" i="115"/>
  <c r="I232" i="88"/>
  <c r="P102" i="159"/>
  <c r="P24" i="166" s="1"/>
  <c r="P100" i="159"/>
  <c r="P22" i="166" s="1"/>
  <c r="S76" i="54"/>
  <c r="S77" i="54" s="1"/>
  <c r="S79" i="54" s="1"/>
  <c r="O88" i="159"/>
  <c r="L253" i="88"/>
  <c r="O261" i="88"/>
  <c r="O30" i="88" s="1"/>
  <c r="P92" i="159"/>
  <c r="P97" i="159"/>
  <c r="P19" i="166" s="1"/>
  <c r="E28" i="156"/>
  <c r="E21" i="156"/>
  <c r="O260" i="88"/>
  <c r="O29" i="88" s="1"/>
  <c r="P104" i="159"/>
  <c r="P26" i="166" s="1"/>
  <c r="M13" i="88"/>
  <c r="P103" i="159"/>
  <c r="P25" i="166" s="1"/>
  <c r="O267" i="88"/>
  <c r="O36" i="88" s="1"/>
  <c r="O265" i="88"/>
  <c r="O34" i="88" s="1"/>
  <c r="O269" i="88"/>
  <c r="O38" i="88" s="1"/>
  <c r="P101" i="159"/>
  <c r="P23" i="166" s="1"/>
  <c r="L22" i="54"/>
  <c r="N253" i="88"/>
  <c r="E94" i="150"/>
  <c r="F23" i="150"/>
  <c r="J10" i="150"/>
  <c r="F24" i="58"/>
  <c r="O257" i="88"/>
  <c r="D120" i="115"/>
  <c r="P111" i="115"/>
  <c r="O262" i="88"/>
  <c r="O31" i="88" s="1"/>
  <c r="K28" i="73"/>
  <c r="O270" i="88"/>
  <c r="O39" i="88" s="1"/>
  <c r="O266" i="88"/>
  <c r="O35" i="88" s="1"/>
  <c r="D90" i="116"/>
  <c r="N88" i="159"/>
  <c r="K29" i="73"/>
  <c r="M14" i="88"/>
  <c r="D120" i="116"/>
  <c r="P111" i="116"/>
  <c r="K88" i="159"/>
  <c r="P94" i="159"/>
  <c r="M253" i="88"/>
  <c r="K25" i="73"/>
  <c r="M25" i="88"/>
  <c r="P98" i="159"/>
  <c r="P20" i="166" s="1"/>
  <c r="P84" i="159"/>
  <c r="P10" i="166" s="1"/>
  <c r="D176" i="150" l="1"/>
  <c r="B50" i="58"/>
  <c r="B21" i="58"/>
  <c r="K39" i="102"/>
  <c r="L39" i="101"/>
  <c r="AG39" i="159"/>
  <c r="F21" i="156"/>
  <c r="AG88" i="159"/>
  <c r="AA109" i="159"/>
  <c r="O30" i="166"/>
  <c r="H69" i="66"/>
  <c r="K77" i="73"/>
  <c r="K83" i="73"/>
  <c r="K37" i="73"/>
  <c r="K66" i="73"/>
  <c r="K82" i="73"/>
  <c r="K81" i="73"/>
  <c r="K61" i="73"/>
  <c r="K75" i="73"/>
  <c r="P14" i="73"/>
  <c r="K63" i="73"/>
  <c r="K76" i="73"/>
  <c r="N30" i="166"/>
  <c r="N31" i="166" s="1"/>
  <c r="K62" i="73"/>
  <c r="K65" i="73"/>
  <c r="K78" i="73"/>
  <c r="K26" i="102"/>
  <c r="AG72" i="159"/>
  <c r="Q54" i="122"/>
  <c r="G27" i="130" s="1"/>
  <c r="P13" i="166"/>
  <c r="AG107" i="159"/>
  <c r="AG93" i="159"/>
  <c r="M306" i="88"/>
  <c r="N306" i="88"/>
  <c r="L306" i="88"/>
  <c r="O268" i="88"/>
  <c r="O37" i="88" s="1"/>
  <c r="M37" i="88"/>
  <c r="L27" i="88"/>
  <c r="O215" i="88"/>
  <c r="L40" i="101"/>
  <c r="K40" i="102"/>
  <c r="L34" i="101"/>
  <c r="K34" i="102"/>
  <c r="L33" i="101"/>
  <c r="K33" i="102"/>
  <c r="L32" i="101"/>
  <c r="K32" i="102"/>
  <c r="L30" i="101"/>
  <c r="K30" i="102"/>
  <c r="L15" i="101"/>
  <c r="K15" i="102"/>
  <c r="L29" i="101"/>
  <c r="K29" i="102"/>
  <c r="L17" i="101"/>
  <c r="K17" i="102"/>
  <c r="L31" i="101"/>
  <c r="K31" i="102"/>
  <c r="L16" i="101"/>
  <c r="K16" i="102"/>
  <c r="L35" i="101"/>
  <c r="K35" i="102"/>
  <c r="L19" i="101"/>
  <c r="K19" i="102"/>
  <c r="L18" i="101"/>
  <c r="K18" i="102"/>
  <c r="L14" i="101"/>
  <c r="K14" i="102"/>
  <c r="L36" i="101"/>
  <c r="K36" i="102"/>
  <c r="L37" i="101"/>
  <c r="K37" i="102"/>
  <c r="K275" i="88"/>
  <c r="J305" i="88"/>
  <c r="O305" i="88" s="1"/>
  <c r="Q36" i="88" s="1"/>
  <c r="J258" i="88"/>
  <c r="J273" i="88" s="1"/>
  <c r="J303" i="88"/>
  <c r="O303" i="88" s="1"/>
  <c r="Q34" i="88" s="1"/>
  <c r="J286" i="88"/>
  <c r="O286" i="88" s="1"/>
  <c r="Q16" i="88" s="1"/>
  <c r="P72" i="159"/>
  <c r="Q59" i="122" s="1"/>
  <c r="J284" i="88"/>
  <c r="J285" i="88"/>
  <c r="O285" i="88" s="1"/>
  <c r="Q15" i="88" s="1"/>
  <c r="J289" i="88"/>
  <c r="O289" i="88" s="1"/>
  <c r="J304" i="88"/>
  <c r="O304" i="88" s="1"/>
  <c r="Q35" i="88" s="1"/>
  <c r="N284" i="88"/>
  <c r="N291" i="88" s="1"/>
  <c r="M284" i="88"/>
  <c r="M291" i="88" s="1"/>
  <c r="N258" i="88"/>
  <c r="N273" i="88" s="1"/>
  <c r="N275" i="88" s="1"/>
  <c r="J300" i="88"/>
  <c r="O300" i="88" s="1"/>
  <c r="Q31" i="88" s="1"/>
  <c r="J298" i="88"/>
  <c r="O298" i="88" s="1"/>
  <c r="Q29" i="88" s="1"/>
  <c r="K296" i="88"/>
  <c r="K311" i="88" s="1"/>
  <c r="M258" i="88"/>
  <c r="M273" i="88" s="1"/>
  <c r="M275" i="88" s="1"/>
  <c r="J297" i="88"/>
  <c r="O297" i="88" s="1"/>
  <c r="Q28" i="88" s="1"/>
  <c r="L299" i="88"/>
  <c r="O299" i="88" s="1"/>
  <c r="Q30" i="88" s="1"/>
  <c r="J287" i="88"/>
  <c r="O287" i="88" s="1"/>
  <c r="Q17" i="88" s="1"/>
  <c r="L258" i="88"/>
  <c r="L273" i="88" s="1"/>
  <c r="L275" i="88" s="1"/>
  <c r="J288" i="88"/>
  <c r="O288" i="88" s="1"/>
  <c r="Q18" i="88" s="1"/>
  <c r="I296" i="88"/>
  <c r="I311" i="88" s="1"/>
  <c r="K14" i="121"/>
  <c r="K16" i="121" s="1"/>
  <c r="M107" i="159"/>
  <c r="M109" i="159" s="1"/>
  <c r="N162" i="117" s="1"/>
  <c r="N163" i="117" s="1"/>
  <c r="M20" i="88"/>
  <c r="O20" i="88"/>
  <c r="G37" i="132"/>
  <c r="I44" i="132"/>
  <c r="H38" i="132"/>
  <c r="J107" i="159"/>
  <c r="J109" i="159" s="1"/>
  <c r="K162" i="117" s="1"/>
  <c r="K163" i="117" s="1"/>
  <c r="M26" i="152"/>
  <c r="N94" i="54"/>
  <c r="O94" i="54" s="1"/>
  <c r="N88" i="54"/>
  <c r="H41" i="66"/>
  <c r="H46" i="66" s="1"/>
  <c r="I46" i="66" s="1"/>
  <c r="Q89" i="54"/>
  <c r="Q88" i="54" s="1"/>
  <c r="D37" i="156"/>
  <c r="D16" i="156"/>
  <c r="D18" i="156" s="1"/>
  <c r="U41" i="99"/>
  <c r="H101" i="58"/>
  <c r="K107" i="159"/>
  <c r="K109" i="159" s="1"/>
  <c r="L162" i="117" s="1"/>
  <c r="L163" i="117" s="1"/>
  <c r="F94" i="150"/>
  <c r="N107" i="159"/>
  <c r="N109" i="159" s="1"/>
  <c r="O162" i="117" s="1"/>
  <c r="O163" i="117" s="1"/>
  <c r="D8" i="156"/>
  <c r="D31" i="156" s="1"/>
  <c r="D33" i="156" s="1"/>
  <c r="D35" i="156" s="1"/>
  <c r="D38" i="156" s="1"/>
  <c r="D210" i="150"/>
  <c r="S89" i="54"/>
  <c r="S94" i="54" s="1"/>
  <c r="P33" i="73"/>
  <c r="P80" i="73" s="1"/>
  <c r="N33" i="73"/>
  <c r="N80" i="73" s="1"/>
  <c r="O33" i="73"/>
  <c r="O80" i="73" s="1"/>
  <c r="P39" i="73"/>
  <c r="P86" i="73" s="1"/>
  <c r="O39" i="73"/>
  <c r="O86" i="73" s="1"/>
  <c r="N39" i="73"/>
  <c r="N86" i="73" s="1"/>
  <c r="P30" i="73"/>
  <c r="O30" i="73"/>
  <c r="N30" i="73"/>
  <c r="O16" i="73"/>
  <c r="O63" i="73" s="1"/>
  <c r="N16" i="73"/>
  <c r="N63" i="73" s="1"/>
  <c r="P16" i="73"/>
  <c r="P63" i="73" s="1"/>
  <c r="P36" i="73"/>
  <c r="P83" i="73" s="1"/>
  <c r="O36" i="73"/>
  <c r="O83" i="73" s="1"/>
  <c r="N36" i="73"/>
  <c r="N83" i="73" s="1"/>
  <c r="O28" i="73"/>
  <c r="P28" i="73"/>
  <c r="N28" i="73"/>
  <c r="O230" i="88"/>
  <c r="O232" i="88" s="1"/>
  <c r="P17" i="73"/>
  <c r="P64" i="73" s="1"/>
  <c r="O17" i="73"/>
  <c r="O64" i="73" s="1"/>
  <c r="N17" i="73"/>
  <c r="N64" i="73" s="1"/>
  <c r="O14" i="73"/>
  <c r="N14" i="73"/>
  <c r="O302" i="88"/>
  <c r="Q33" i="88" s="1"/>
  <c r="O107" i="159"/>
  <c r="O109" i="159" s="1"/>
  <c r="P162" i="117" s="1"/>
  <c r="P163" i="117" s="1"/>
  <c r="P15" i="73"/>
  <c r="P62" i="73" s="1"/>
  <c r="O15" i="73"/>
  <c r="O62" i="73" s="1"/>
  <c r="N15" i="73"/>
  <c r="N62" i="73" s="1"/>
  <c r="F90" i="58"/>
  <c r="G24" i="58"/>
  <c r="O294" i="88"/>
  <c r="L26" i="101"/>
  <c r="K291" i="88"/>
  <c r="P32" i="73"/>
  <c r="P79" i="73" s="1"/>
  <c r="O32" i="73"/>
  <c r="O79" i="73" s="1"/>
  <c r="N32" i="73"/>
  <c r="N79" i="73" s="1"/>
  <c r="P31" i="73"/>
  <c r="P78" i="73" s="1"/>
  <c r="N31" i="73"/>
  <c r="N78" i="73" s="1"/>
  <c r="O31" i="73"/>
  <c r="O78" i="73" s="1"/>
  <c r="D131" i="116"/>
  <c r="O308" i="88"/>
  <c r="Q39" i="88" s="1"/>
  <c r="O307" i="88"/>
  <c r="Q38" i="88" s="1"/>
  <c r="L291" i="88"/>
  <c r="P34" i="73"/>
  <c r="P81" i="73" s="1"/>
  <c r="O34" i="73"/>
  <c r="O81" i="73" s="1"/>
  <c r="N34" i="73"/>
  <c r="N81" i="73" s="1"/>
  <c r="I275" i="88"/>
  <c r="K72" i="73"/>
  <c r="O25" i="73"/>
  <c r="N25" i="73"/>
  <c r="P25" i="73"/>
  <c r="P19" i="73"/>
  <c r="P66" i="73" s="1"/>
  <c r="O19" i="73"/>
  <c r="O66" i="73" s="1"/>
  <c r="N19" i="73"/>
  <c r="N66" i="73" s="1"/>
  <c r="P35" i="73"/>
  <c r="P82" i="73" s="1"/>
  <c r="N35" i="73"/>
  <c r="N82" i="73" s="1"/>
  <c r="O35" i="73"/>
  <c r="O82" i="73" s="1"/>
  <c r="O18" i="73"/>
  <c r="O65" i="73" s="1"/>
  <c r="N18" i="73"/>
  <c r="N65" i="73" s="1"/>
  <c r="P18" i="73"/>
  <c r="P65" i="73" s="1"/>
  <c r="H46" i="132"/>
  <c r="P88" i="159"/>
  <c r="O301" i="88"/>
  <c r="Q32" i="88" s="1"/>
  <c r="P29" i="73"/>
  <c r="O29" i="73"/>
  <c r="N29" i="73"/>
  <c r="D131" i="115"/>
  <c r="P93" i="159"/>
  <c r="P18" i="166" s="1"/>
  <c r="P28" i="166" s="1"/>
  <c r="S86" i="54"/>
  <c r="S87" i="54" s="1"/>
  <c r="I291" i="88"/>
  <c r="O283" i="88"/>
  <c r="Q13" i="88" s="1"/>
  <c r="O253" i="88"/>
  <c r="H74" i="66" l="1"/>
  <c r="L39" i="99"/>
  <c r="K39" i="103"/>
  <c r="B22" i="58"/>
  <c r="B51" i="58"/>
  <c r="I69" i="66"/>
  <c r="H73" i="66"/>
  <c r="I73" i="66" s="1"/>
  <c r="H11" i="66"/>
  <c r="H16" i="66" s="1"/>
  <c r="I16" i="66" s="1"/>
  <c r="AG74" i="159"/>
  <c r="AG109" i="159"/>
  <c r="H39" i="132"/>
  <c r="H40" i="132" s="1"/>
  <c r="Q69" i="66" s="1"/>
  <c r="O31" i="166"/>
  <c r="P37" i="73"/>
  <c r="P84" i="73" s="1"/>
  <c r="N37" i="73"/>
  <c r="N84" i="73" s="1"/>
  <c r="O37" i="73"/>
  <c r="O84" i="73" s="1"/>
  <c r="L38" i="101"/>
  <c r="G28" i="130"/>
  <c r="K84" i="73"/>
  <c r="R66" i="73"/>
  <c r="K27" i="73"/>
  <c r="K42" i="73" s="1"/>
  <c r="L42" i="88"/>
  <c r="R63" i="73"/>
  <c r="R65" i="73"/>
  <c r="R78" i="73"/>
  <c r="R64" i="73"/>
  <c r="R62" i="73"/>
  <c r="P30" i="166"/>
  <c r="P31" i="166" s="1"/>
  <c r="P74" i="159"/>
  <c r="S54" i="122"/>
  <c r="H27" i="130" s="1"/>
  <c r="M27" i="88"/>
  <c r="O306" i="88"/>
  <c r="Q37" i="88" s="1"/>
  <c r="K38" i="102"/>
  <c r="K19" i="103"/>
  <c r="L19" i="99"/>
  <c r="K17" i="103"/>
  <c r="L17" i="99"/>
  <c r="L30" i="99"/>
  <c r="K30" i="103"/>
  <c r="K32" i="103"/>
  <c r="L32" i="99"/>
  <c r="L36" i="99"/>
  <c r="K36" i="103"/>
  <c r="L34" i="99"/>
  <c r="K34" i="103"/>
  <c r="K31" i="103"/>
  <c r="L31" i="99"/>
  <c r="L14" i="99"/>
  <c r="K14" i="103"/>
  <c r="K33" i="103"/>
  <c r="L33" i="99"/>
  <c r="L35" i="99"/>
  <c r="K35" i="103"/>
  <c r="L37" i="99"/>
  <c r="K37" i="103"/>
  <c r="L40" i="99"/>
  <c r="K40" i="103"/>
  <c r="L29" i="99"/>
  <c r="K29" i="103"/>
  <c r="K18" i="103"/>
  <c r="L18" i="99"/>
  <c r="K16" i="103"/>
  <c r="L16" i="99"/>
  <c r="O273" i="88"/>
  <c r="O275" i="88" s="1"/>
  <c r="J275" i="88"/>
  <c r="Q275" i="88" s="1"/>
  <c r="K313" i="88"/>
  <c r="O284" i="88"/>
  <c r="Q14" i="88" s="1"/>
  <c r="L296" i="88"/>
  <c r="L311" i="88" s="1"/>
  <c r="L313" i="88" s="1"/>
  <c r="N296" i="88"/>
  <c r="N311" i="88" s="1"/>
  <c r="N313" i="88" s="1"/>
  <c r="J291" i="88"/>
  <c r="J296" i="88"/>
  <c r="J311" i="88" s="1"/>
  <c r="O258" i="88"/>
  <c r="O27" i="88" s="1"/>
  <c r="M296" i="88"/>
  <c r="M311" i="88" s="1"/>
  <c r="M313" i="88" s="1"/>
  <c r="P39" i="102"/>
  <c r="N39" i="102"/>
  <c r="Q53" i="122"/>
  <c r="C10" i="130"/>
  <c r="N14" i="121"/>
  <c r="N16" i="121" s="1"/>
  <c r="L14" i="121"/>
  <c r="L16" i="121" s="1"/>
  <c r="N20" i="73"/>
  <c r="N67" i="73" s="1"/>
  <c r="Q21" i="88"/>
  <c r="Q19" i="88"/>
  <c r="Q20" i="101"/>
  <c r="O20" i="101"/>
  <c r="P20" i="101"/>
  <c r="K69" i="66"/>
  <c r="H45" i="66"/>
  <c r="E164" i="150" s="1"/>
  <c r="I41" i="66"/>
  <c r="F111" i="61"/>
  <c r="I45" i="132"/>
  <c r="N26" i="152"/>
  <c r="O88" i="54"/>
  <c r="N22" i="54"/>
  <c r="Q98" i="117"/>
  <c r="Q100" i="117"/>
  <c r="D133" i="70"/>
  <c r="S88" i="54"/>
  <c r="Q94" i="54"/>
  <c r="D39" i="156"/>
  <c r="D41" i="156" s="1"/>
  <c r="P107" i="159"/>
  <c r="P109" i="159" s="1"/>
  <c r="G90" i="58"/>
  <c r="D214" i="150"/>
  <c r="D10" i="156"/>
  <c r="Q35" i="101"/>
  <c r="O35" i="101"/>
  <c r="P35" i="101"/>
  <c r="Q15" i="101"/>
  <c r="O15" i="101"/>
  <c r="P15" i="101"/>
  <c r="N72" i="73"/>
  <c r="O72" i="73"/>
  <c r="Q34" i="101"/>
  <c r="P34" i="101"/>
  <c r="O34" i="101"/>
  <c r="Q18" i="101"/>
  <c r="P18" i="101"/>
  <c r="O18" i="101"/>
  <c r="Q33" i="101"/>
  <c r="P33" i="101"/>
  <c r="O33" i="101"/>
  <c r="Q40" i="101"/>
  <c r="P40" i="101"/>
  <c r="O40" i="101"/>
  <c r="Q32" i="101"/>
  <c r="P32" i="101"/>
  <c r="O32" i="101"/>
  <c r="O61" i="73"/>
  <c r="I313" i="88"/>
  <c r="H47" i="132"/>
  <c r="P26" i="101"/>
  <c r="O26" i="101"/>
  <c r="Q26" i="101"/>
  <c r="Q17" i="101"/>
  <c r="O17" i="101"/>
  <c r="P17" i="101"/>
  <c r="P72" i="73"/>
  <c r="Q25" i="88"/>
  <c r="P61" i="73"/>
  <c r="Q30" i="101"/>
  <c r="P30" i="101"/>
  <c r="O30" i="101"/>
  <c r="Q36" i="101"/>
  <c r="O36" i="101"/>
  <c r="P36" i="101"/>
  <c r="Q16" i="101"/>
  <c r="P16" i="101"/>
  <c r="O16" i="101"/>
  <c r="L22" i="101"/>
  <c r="Q14" i="101"/>
  <c r="P14" i="101"/>
  <c r="O14" i="101"/>
  <c r="Q37" i="101"/>
  <c r="P37" i="101"/>
  <c r="O37" i="101"/>
  <c r="Q19" i="101"/>
  <c r="P19" i="101"/>
  <c r="O19" i="101"/>
  <c r="P275" i="88"/>
  <c r="Q29" i="101"/>
  <c r="O29" i="101"/>
  <c r="P29" i="101"/>
  <c r="Q31" i="101"/>
  <c r="O31" i="101"/>
  <c r="P31" i="101"/>
  <c r="N61" i="73"/>
  <c r="I74" i="66" l="1"/>
  <c r="P27" i="73"/>
  <c r="P74" i="73" s="1"/>
  <c r="P89" i="73" s="1"/>
  <c r="H15" i="66"/>
  <c r="E128" i="150" s="1"/>
  <c r="B23" i="58"/>
  <c r="N69" i="66"/>
  <c r="I11" i="66"/>
  <c r="F89" i="61"/>
  <c r="B52" i="58"/>
  <c r="K38" i="103"/>
  <c r="Q38" i="101"/>
  <c r="N27" i="73"/>
  <c r="N74" i="73" s="1"/>
  <c r="N89" i="73" s="1"/>
  <c r="O27" i="73"/>
  <c r="O42" i="73" s="1"/>
  <c r="O38" i="101"/>
  <c r="P38" i="101"/>
  <c r="I46" i="132"/>
  <c r="H41" i="132"/>
  <c r="S69" i="66" s="1"/>
  <c r="S74" i="66" s="1"/>
  <c r="V46" i="65" s="1"/>
  <c r="D215" i="150"/>
  <c r="K11" i="66"/>
  <c r="H89" i="61" s="1"/>
  <c r="L52" i="88"/>
  <c r="R61" i="73"/>
  <c r="K26" i="103"/>
  <c r="K28" i="102"/>
  <c r="O42" i="88"/>
  <c r="O52" i="88" s="1"/>
  <c r="K74" i="73"/>
  <c r="M42" i="88"/>
  <c r="M52" i="88" s="1"/>
  <c r="M53" i="88" s="1"/>
  <c r="K17" i="121"/>
  <c r="K18" i="121" s="1"/>
  <c r="Q131" i="117"/>
  <c r="I45" i="66"/>
  <c r="Q74" i="159"/>
  <c r="L38" i="99"/>
  <c r="S59" i="122"/>
  <c r="K15" i="103"/>
  <c r="L15" i="99"/>
  <c r="L20" i="99"/>
  <c r="K20" i="103"/>
  <c r="L28" i="101"/>
  <c r="J313" i="88"/>
  <c r="O291" i="88"/>
  <c r="O311" i="88"/>
  <c r="O296" i="88"/>
  <c r="Q27" i="88" s="1"/>
  <c r="O39" i="101"/>
  <c r="Q39" i="101"/>
  <c r="P39" i="101"/>
  <c r="N68" i="73"/>
  <c r="N21" i="73"/>
  <c r="O20" i="73"/>
  <c r="O67" i="73" s="1"/>
  <c r="O68" i="73" s="1"/>
  <c r="K68" i="73"/>
  <c r="Q20" i="88"/>
  <c r="K21" i="73"/>
  <c r="K44" i="73" s="1"/>
  <c r="N20" i="102"/>
  <c r="P20" i="102"/>
  <c r="K41" i="66"/>
  <c r="H111" i="61" s="1"/>
  <c r="L69" i="66"/>
  <c r="N164" i="54"/>
  <c r="O26" i="152"/>
  <c r="Q22" i="54"/>
  <c r="O22" i="54"/>
  <c r="R40" i="101"/>
  <c r="T40" i="101" s="1"/>
  <c r="R34" i="101"/>
  <c r="T34" i="101" s="1"/>
  <c r="O22" i="101"/>
  <c r="R36" i="101"/>
  <c r="T36" i="101" s="1"/>
  <c r="D20" i="156"/>
  <c r="D12" i="156"/>
  <c r="D22" i="156" s="1"/>
  <c r="P19" i="102"/>
  <c r="N19" i="102"/>
  <c r="P22" i="101"/>
  <c r="I47" i="132"/>
  <c r="H48" i="132"/>
  <c r="Q22" i="101"/>
  <c r="P33" i="102"/>
  <c r="N33" i="102"/>
  <c r="R275" i="88"/>
  <c r="P276" i="88" s="1"/>
  <c r="P16" i="102"/>
  <c r="N16" i="102"/>
  <c r="L26" i="99"/>
  <c r="R26" i="101"/>
  <c r="P14" i="99"/>
  <c r="Q14" i="99"/>
  <c r="O14" i="99"/>
  <c r="P35" i="102"/>
  <c r="N35" i="102"/>
  <c r="P26" i="102"/>
  <c r="N26" i="102"/>
  <c r="O54" i="122"/>
  <c r="N53" i="122"/>
  <c r="O53" i="122" s="1"/>
  <c r="P36" i="102"/>
  <c r="N36" i="102"/>
  <c r="P18" i="102"/>
  <c r="N18" i="102"/>
  <c r="P37" i="102"/>
  <c r="N37" i="102"/>
  <c r="P17" i="102"/>
  <c r="N17" i="102"/>
  <c r="P29" i="102"/>
  <c r="N29" i="102"/>
  <c r="K22" i="102"/>
  <c r="P14" i="102"/>
  <c r="N14" i="102"/>
  <c r="P30" i="102"/>
  <c r="N30" i="102"/>
  <c r="P32" i="102"/>
  <c r="N32" i="102"/>
  <c r="P40" i="102"/>
  <c r="N40" i="102"/>
  <c r="F164" i="150"/>
  <c r="I56" i="58"/>
  <c r="P15" i="102"/>
  <c r="N15" i="102"/>
  <c r="P18" i="99"/>
  <c r="O18" i="99"/>
  <c r="Q18" i="99"/>
  <c r="P34" i="102"/>
  <c r="N34" i="102"/>
  <c r="O16" i="99"/>
  <c r="P16" i="99"/>
  <c r="Q16" i="99"/>
  <c r="P38" i="102"/>
  <c r="N38" i="102"/>
  <c r="P31" i="102"/>
  <c r="N31" i="102"/>
  <c r="O17" i="99"/>
  <c r="P17" i="99"/>
  <c r="Q17" i="99"/>
  <c r="R33" i="101"/>
  <c r="T33" i="101" s="1"/>
  <c r="Q41" i="66"/>
  <c r="Q11" i="66"/>
  <c r="Q74" i="66"/>
  <c r="T46" i="65" s="1"/>
  <c r="T42" i="65"/>
  <c r="I24" i="58" l="1"/>
  <c r="I15" i="66"/>
  <c r="F132" i="61"/>
  <c r="E202" i="150"/>
  <c r="O53" i="88"/>
  <c r="L22" i="99"/>
  <c r="P42" i="73"/>
  <c r="A42" i="73" s="1"/>
  <c r="N41" i="66"/>
  <c r="O41" i="66" s="1"/>
  <c r="N11" i="66"/>
  <c r="J89" i="61" s="1"/>
  <c r="I48" i="132"/>
  <c r="I49" i="132" s="1"/>
  <c r="Q42" i="65"/>
  <c r="Q46" i="65" s="1"/>
  <c r="P20" i="99"/>
  <c r="B24" i="58"/>
  <c r="O69" i="66"/>
  <c r="B53" i="58"/>
  <c r="Q42" i="88"/>
  <c r="Q52" i="88" s="1"/>
  <c r="O74" i="73"/>
  <c r="O89" i="73" s="1"/>
  <c r="O91" i="73" s="1"/>
  <c r="O98" i="73" s="1"/>
  <c r="N42" i="73"/>
  <c r="N44" i="73" s="1"/>
  <c r="N51" i="73" s="1"/>
  <c r="S41" i="66"/>
  <c r="V28" i="65" s="1"/>
  <c r="V42" i="65"/>
  <c r="S11" i="66"/>
  <c r="N89" i="61" s="1"/>
  <c r="L11" i="66"/>
  <c r="N91" i="73"/>
  <c r="N98" i="73" s="1"/>
  <c r="J56" i="58"/>
  <c r="K51" i="73"/>
  <c r="K89" i="73"/>
  <c r="K91" i="73" s="1"/>
  <c r="K98" i="73" s="1"/>
  <c r="P15" i="99"/>
  <c r="H28" i="130"/>
  <c r="L17" i="121"/>
  <c r="L18" i="121" s="1"/>
  <c r="G38" i="90"/>
  <c r="G40" i="90" s="1"/>
  <c r="Q162" i="117"/>
  <c r="Q109" i="159"/>
  <c r="L43" i="101"/>
  <c r="O313" i="88"/>
  <c r="Q15" i="99"/>
  <c r="C11" i="130"/>
  <c r="O15" i="99"/>
  <c r="G29" i="130"/>
  <c r="N17" i="121"/>
  <c r="N18" i="121" s="1"/>
  <c r="Q28" i="101"/>
  <c r="Q43" i="101" s="1"/>
  <c r="Q45" i="101" s="1"/>
  <c r="Q52" i="101" s="1"/>
  <c r="L28" i="99"/>
  <c r="K28" i="103"/>
  <c r="O164" i="54"/>
  <c r="N168" i="54"/>
  <c r="O276" i="88"/>
  <c r="O28" i="101"/>
  <c r="O43" i="101" s="1"/>
  <c r="O45" i="101" s="1"/>
  <c r="O52" i="101" s="1"/>
  <c r="P28" i="101"/>
  <c r="P43" i="101" s="1"/>
  <c r="P45" i="101" s="1"/>
  <c r="P52" i="101" s="1"/>
  <c r="R39" i="101"/>
  <c r="T39" i="101" s="1"/>
  <c r="D10" i="130"/>
  <c r="P14" i="121"/>
  <c r="P16" i="121" s="1"/>
  <c r="S53" i="122"/>
  <c r="O21" i="73"/>
  <c r="O44" i="73" s="1"/>
  <c r="O51" i="73" s="1"/>
  <c r="P20" i="103"/>
  <c r="O20" i="99"/>
  <c r="O19" i="99"/>
  <c r="P19" i="103"/>
  <c r="Q20" i="99"/>
  <c r="P19" i="99"/>
  <c r="Q19" i="99"/>
  <c r="Q39" i="99"/>
  <c r="F29" i="130"/>
  <c r="Q58" i="122"/>
  <c r="Q63" i="122" s="1"/>
  <c r="L41" i="66"/>
  <c r="P28" i="102"/>
  <c r="P43" i="102" s="1"/>
  <c r="N28" i="102"/>
  <c r="N43" i="102" s="1"/>
  <c r="Q164" i="54"/>
  <c r="Q168" i="54" s="1"/>
  <c r="S22" i="54"/>
  <c r="U40" i="101"/>
  <c r="K43" i="102"/>
  <c r="U34" i="101"/>
  <c r="H132" i="61"/>
  <c r="Q276" i="88"/>
  <c r="U33" i="101"/>
  <c r="U36" i="101"/>
  <c r="F202" i="150"/>
  <c r="R16" i="99"/>
  <c r="T16" i="99" s="1"/>
  <c r="O32" i="99"/>
  <c r="P32" i="99"/>
  <c r="Q32" i="99"/>
  <c r="Q34" i="99"/>
  <c r="P34" i="99"/>
  <c r="O34" i="99"/>
  <c r="J24" i="58"/>
  <c r="I90" i="58"/>
  <c r="Q40" i="99"/>
  <c r="P40" i="99"/>
  <c r="O40" i="99"/>
  <c r="Q30" i="99"/>
  <c r="P30" i="99"/>
  <c r="O30" i="99"/>
  <c r="P15" i="103"/>
  <c r="N15" i="103"/>
  <c r="O26" i="99"/>
  <c r="P26" i="99"/>
  <c r="Q26" i="99"/>
  <c r="L111" i="61"/>
  <c r="T28" i="65"/>
  <c r="Q46" i="66"/>
  <c r="T32" i="65" s="1"/>
  <c r="P22" i="102"/>
  <c r="Q36" i="99"/>
  <c r="P36" i="99"/>
  <c r="O36" i="99"/>
  <c r="T26" i="101"/>
  <c r="P18" i="103"/>
  <c r="N18" i="103"/>
  <c r="R17" i="99"/>
  <c r="T17" i="99" s="1"/>
  <c r="L89" i="61"/>
  <c r="Q16" i="66"/>
  <c r="T17" i="65" s="1"/>
  <c r="T13" i="65"/>
  <c r="O37" i="99"/>
  <c r="Q37" i="99"/>
  <c r="P37" i="99"/>
  <c r="N72" i="66"/>
  <c r="P33" i="99"/>
  <c r="Q33" i="99"/>
  <c r="O33" i="99"/>
  <c r="P35" i="99"/>
  <c r="Q35" i="99"/>
  <c r="O35" i="99"/>
  <c r="P16" i="103"/>
  <c r="N16" i="103"/>
  <c r="R14" i="99"/>
  <c r="P29" i="99"/>
  <c r="O29" i="99"/>
  <c r="Q29" i="99"/>
  <c r="P17" i="103"/>
  <c r="N17" i="103"/>
  <c r="N22" i="102"/>
  <c r="P14" i="103"/>
  <c r="O38" i="99"/>
  <c r="P38" i="99"/>
  <c r="Q38" i="99"/>
  <c r="R18" i="99"/>
  <c r="T18" i="99" s="1"/>
  <c r="P31" i="99"/>
  <c r="Q31" i="99"/>
  <c r="O31" i="99"/>
  <c r="O11" i="66" l="1"/>
  <c r="R46" i="65"/>
  <c r="S46" i="66"/>
  <c r="V32" i="65" s="1"/>
  <c r="R42" i="65"/>
  <c r="N111" i="61"/>
  <c r="N132" i="61" s="1"/>
  <c r="O42" i="65"/>
  <c r="O46" i="65" s="1"/>
  <c r="P42" i="65"/>
  <c r="P46" i="65" s="1"/>
  <c r="J111" i="61"/>
  <c r="Q28" i="65"/>
  <c r="P28" i="65" s="1"/>
  <c r="P32" i="65" s="1"/>
  <c r="P41" i="58" s="1"/>
  <c r="O22" i="99"/>
  <c r="Q22" i="99"/>
  <c r="P22" i="99"/>
  <c r="F9" i="172"/>
  <c r="N7" i="162"/>
  <c r="Q13" i="65"/>
  <c r="R13" i="65" s="1"/>
  <c r="R17" i="65" s="1"/>
  <c r="B25" i="58"/>
  <c r="V13" i="65"/>
  <c r="S16" i="66"/>
  <c r="V17" i="65" s="1"/>
  <c r="V11" i="58" s="1"/>
  <c r="B54" i="58"/>
  <c r="Q28" i="99"/>
  <c r="Q43" i="99" s="1"/>
  <c r="L45" i="101"/>
  <c r="L52" i="101" s="1"/>
  <c r="C12" i="130"/>
  <c r="K52" i="73"/>
  <c r="R15" i="99"/>
  <c r="T15" i="99" s="1"/>
  <c r="Q48" i="122"/>
  <c r="O28" i="99"/>
  <c r="P28" i="99"/>
  <c r="Q53" i="88"/>
  <c r="P17" i="121"/>
  <c r="P18" i="121" s="1"/>
  <c r="D11" i="130"/>
  <c r="H29" i="130"/>
  <c r="O314" i="88"/>
  <c r="K22" i="103"/>
  <c r="G46" i="90"/>
  <c r="H46" i="90" s="1"/>
  <c r="R20" i="99"/>
  <c r="T20" i="99" s="1"/>
  <c r="N20" i="103"/>
  <c r="N19" i="103"/>
  <c r="R19" i="99"/>
  <c r="T19" i="99" s="1"/>
  <c r="P39" i="99"/>
  <c r="O39" i="99"/>
  <c r="N39" i="103"/>
  <c r="L43" i="99"/>
  <c r="S58" i="122"/>
  <c r="H38" i="90"/>
  <c r="H40" i="90" s="1"/>
  <c r="N58" i="122"/>
  <c r="N63" i="122" s="1"/>
  <c r="O59" i="122"/>
  <c r="O28" i="65"/>
  <c r="O32" i="65" s="1"/>
  <c r="O41" i="58" s="1"/>
  <c r="S164" i="54"/>
  <c r="S168" i="54" s="1"/>
  <c r="K45" i="102"/>
  <c r="R33" i="99"/>
  <c r="T33" i="99" s="1"/>
  <c r="P45" i="102"/>
  <c r="P52" i="102" s="1"/>
  <c r="R31" i="99"/>
  <c r="T31" i="99" s="1"/>
  <c r="N45" i="102"/>
  <c r="N52" i="102" s="1"/>
  <c r="R29" i="99"/>
  <c r="T29" i="99" s="1"/>
  <c r="G52" i="90"/>
  <c r="H52" i="90" s="1"/>
  <c r="R37" i="99"/>
  <c r="T37" i="99" s="1"/>
  <c r="U17" i="99"/>
  <c r="R30" i="99"/>
  <c r="T30" i="99" s="1"/>
  <c r="J90" i="58"/>
  <c r="U16" i="99"/>
  <c r="U18" i="99"/>
  <c r="R38" i="99"/>
  <c r="T38" i="99" s="1"/>
  <c r="N30" i="103"/>
  <c r="P30" i="103"/>
  <c r="P28" i="103"/>
  <c r="N28" i="103"/>
  <c r="R35" i="99"/>
  <c r="T35" i="99" s="1"/>
  <c r="R40" i="99"/>
  <c r="T40" i="99" s="1"/>
  <c r="P34" i="103"/>
  <c r="N34" i="103"/>
  <c r="N33" i="103"/>
  <c r="P33" i="103"/>
  <c r="S44" i="66"/>
  <c r="V41" i="58"/>
  <c r="L132" i="61"/>
  <c r="U26" i="101"/>
  <c r="R36" i="99"/>
  <c r="T36" i="99" s="1"/>
  <c r="Q44" i="66"/>
  <c r="T41" i="58"/>
  <c r="P22" i="103"/>
  <c r="P29" i="103"/>
  <c r="N29" i="103"/>
  <c r="P35" i="103"/>
  <c r="N35" i="103"/>
  <c r="N26" i="103"/>
  <c r="P26" i="103"/>
  <c r="P40" i="103"/>
  <c r="N40" i="103"/>
  <c r="T14" i="99"/>
  <c r="O72" i="66"/>
  <c r="N74" i="66"/>
  <c r="N73" i="66"/>
  <c r="R32" i="99"/>
  <c r="T32" i="99" s="1"/>
  <c r="R26" i="99"/>
  <c r="P38" i="103"/>
  <c r="N38" i="103"/>
  <c r="P37" i="103"/>
  <c r="N37" i="103"/>
  <c r="P36" i="103"/>
  <c r="N36" i="103"/>
  <c r="P32" i="103"/>
  <c r="N32" i="103"/>
  <c r="Q14" i="66"/>
  <c r="T11" i="58"/>
  <c r="P31" i="103"/>
  <c r="N31" i="103"/>
  <c r="R34" i="99"/>
  <c r="T34" i="99" s="1"/>
  <c r="R28" i="65" l="1"/>
  <c r="Q32" i="65"/>
  <c r="R32" i="65" s="1"/>
  <c r="Q17" i="65"/>
  <c r="N14" i="66" s="1"/>
  <c r="O14" i="66" s="1"/>
  <c r="S14" i="66"/>
  <c r="J132" i="61"/>
  <c r="P13" i="65"/>
  <c r="P17" i="65" s="1"/>
  <c r="P11" i="58" s="1"/>
  <c r="O13" i="65"/>
  <c r="O17" i="65" s="1"/>
  <c r="O11" i="58" s="1"/>
  <c r="T22" i="99"/>
  <c r="R22" i="99"/>
  <c r="B55" i="58"/>
  <c r="B26" i="58"/>
  <c r="L57" i="101"/>
  <c r="O74" i="66"/>
  <c r="Q41" i="58"/>
  <c r="Q42" i="122"/>
  <c r="D12" i="130"/>
  <c r="U15" i="99"/>
  <c r="L45" i="99"/>
  <c r="L52" i="99" s="1"/>
  <c r="L53" i="99" s="1"/>
  <c r="U19" i="99"/>
  <c r="L53" i="101"/>
  <c r="S63" i="122"/>
  <c r="Q45" i="99"/>
  <c r="Q52" i="99" s="1"/>
  <c r="O43" i="99"/>
  <c r="O45" i="99" s="1"/>
  <c r="O52" i="99" s="1"/>
  <c r="R28" i="99"/>
  <c r="T28" i="99" s="1"/>
  <c r="P43" i="99"/>
  <c r="P45" i="99" s="1"/>
  <c r="P52" i="99" s="1"/>
  <c r="P39" i="103"/>
  <c r="P43" i="103" s="1"/>
  <c r="P45" i="103" s="1"/>
  <c r="P52" i="103" s="1"/>
  <c r="Q50" i="122"/>
  <c r="Q49" i="122"/>
  <c r="N44" i="66"/>
  <c r="O44" i="66" s="1"/>
  <c r="K43" i="103"/>
  <c r="R39" i="99"/>
  <c r="T39" i="99" s="1"/>
  <c r="O58" i="122"/>
  <c r="O63" i="122" s="1"/>
  <c r="K52" i="102"/>
  <c r="U33" i="99"/>
  <c r="U31" i="99"/>
  <c r="U30" i="99"/>
  <c r="U36" i="99"/>
  <c r="U34" i="99"/>
  <c r="U32" i="99"/>
  <c r="U40" i="99"/>
  <c r="U35" i="99"/>
  <c r="U37" i="99"/>
  <c r="U29" i="99"/>
  <c r="U38" i="99"/>
  <c r="U14" i="99"/>
  <c r="V74" i="58"/>
  <c r="T26" i="99"/>
  <c r="T74" i="58"/>
  <c r="N43" i="103"/>
  <c r="Q44" i="122" l="1"/>
  <c r="N16" i="66"/>
  <c r="O16" i="66" s="1"/>
  <c r="P74" i="58"/>
  <c r="O74" i="58"/>
  <c r="Q11" i="58"/>
  <c r="B27" i="58"/>
  <c r="E46" i="90"/>
  <c r="N46" i="90" s="1"/>
  <c r="B56" i="58"/>
  <c r="S48" i="122"/>
  <c r="R41" i="58"/>
  <c r="K45" i="103"/>
  <c r="K53" i="102"/>
  <c r="U28" i="99"/>
  <c r="Q52" i="122"/>
  <c r="N46" i="66"/>
  <c r="O46" i="66" s="1"/>
  <c r="R43" i="99"/>
  <c r="R45" i="99" s="1"/>
  <c r="R52" i="99" s="1"/>
  <c r="U22" i="99"/>
  <c r="T43" i="99"/>
  <c r="U26" i="99"/>
  <c r="G22" i="130" l="1"/>
  <c r="G25" i="130" s="1"/>
  <c r="G30" i="130" s="1"/>
  <c r="G32" i="130" s="1"/>
  <c r="R11" i="58"/>
  <c r="Q74" i="58"/>
  <c r="R74" i="58" s="1"/>
  <c r="F46" i="90"/>
  <c r="I46" i="90" s="1"/>
  <c r="J46" i="90" s="1"/>
  <c r="B57" i="58"/>
  <c r="B28" i="58"/>
  <c r="S49" i="122"/>
  <c r="S50" i="122"/>
  <c r="S42" i="122"/>
  <c r="K52" i="103"/>
  <c r="D56" i="106"/>
  <c r="T45" i="99"/>
  <c r="U43" i="99"/>
  <c r="G26" i="130" l="1"/>
  <c r="G34" i="130"/>
  <c r="S44" i="122"/>
  <c r="K46" i="90"/>
  <c r="L46" i="90" s="1"/>
  <c r="B29" i="58"/>
  <c r="B30" i="58" s="1"/>
  <c r="E52" i="90"/>
  <c r="F52" i="90" s="1"/>
  <c r="I52" i="90" s="1"/>
  <c r="K52" i="90" s="1"/>
  <c r="L52" i="90" s="1"/>
  <c r="B58" i="58"/>
  <c r="S52" i="122"/>
  <c r="K53" i="103"/>
  <c r="O19" i="111"/>
  <c r="O18" i="111"/>
  <c r="O17" i="111"/>
  <c r="O15" i="111"/>
  <c r="O14" i="111"/>
  <c r="O16" i="111"/>
  <c r="G31" i="130"/>
  <c r="G33" i="130" s="1"/>
  <c r="H224" i="111"/>
  <c r="E226" i="111"/>
  <c r="G228" i="111"/>
  <c r="D227" i="111"/>
  <c r="F228" i="111"/>
  <c r="I225" i="111"/>
  <c r="L224" i="111"/>
  <c r="J227" i="111"/>
  <c r="K226" i="111"/>
  <c r="K227" i="111"/>
  <c r="D229" i="111"/>
  <c r="H227" i="111"/>
  <c r="K229" i="111"/>
  <c r="H228" i="111"/>
  <c r="E227" i="111"/>
  <c r="J225" i="111"/>
  <c r="I223" i="111"/>
  <c r="I229" i="111"/>
  <c r="E223" i="111"/>
  <c r="G223" i="111"/>
  <c r="C228" i="111"/>
  <c r="C226" i="111"/>
  <c r="H223" i="111"/>
  <c r="M229" i="111"/>
  <c r="N223" i="111"/>
  <c r="I224" i="111"/>
  <c r="M225" i="111"/>
  <c r="L223" i="111"/>
  <c r="H225" i="111"/>
  <c r="G229" i="111"/>
  <c r="K223" i="111"/>
  <c r="F225" i="111"/>
  <c r="K228" i="111"/>
  <c r="N228" i="111"/>
  <c r="K224" i="111"/>
  <c r="N229" i="111"/>
  <c r="D224" i="111"/>
  <c r="D226" i="111"/>
  <c r="E229" i="111"/>
  <c r="F229" i="111"/>
  <c r="E228" i="111"/>
  <c r="N227" i="111"/>
  <c r="M227" i="111"/>
  <c r="J223" i="111"/>
  <c r="L227" i="111"/>
  <c r="J229" i="111"/>
  <c r="O13" i="111"/>
  <c r="F227" i="111"/>
  <c r="J224" i="111"/>
  <c r="J228" i="111"/>
  <c r="F224" i="111"/>
  <c r="D223" i="111"/>
  <c r="N226" i="111"/>
  <c r="E224" i="111"/>
  <c r="H229" i="111"/>
  <c r="E225" i="111"/>
  <c r="D225" i="111"/>
  <c r="C225" i="111"/>
  <c r="G227" i="111"/>
  <c r="D228" i="111"/>
  <c r="M228" i="111"/>
  <c r="N225" i="111"/>
  <c r="J226" i="111"/>
  <c r="I228" i="111"/>
  <c r="N224" i="111"/>
  <c r="C229" i="111"/>
  <c r="M224" i="111"/>
  <c r="F223" i="111"/>
  <c r="M226" i="111"/>
  <c r="G224" i="111"/>
  <c r="G225" i="111"/>
  <c r="F226" i="111"/>
  <c r="G226" i="111"/>
  <c r="C224" i="111"/>
  <c r="K225" i="111"/>
  <c r="I226" i="111"/>
  <c r="L229" i="111"/>
  <c r="L228" i="111"/>
  <c r="L225" i="111"/>
  <c r="I227" i="111"/>
  <c r="C223" i="111"/>
  <c r="H226" i="111"/>
  <c r="C227" i="111"/>
  <c r="M223" i="111"/>
  <c r="L226" i="111"/>
  <c r="T52" i="99"/>
  <c r="U45" i="99"/>
  <c r="D57" i="106"/>
  <c r="N52" i="90" l="1"/>
  <c r="J52" i="90"/>
  <c r="B59" i="58"/>
  <c r="H22" i="130"/>
  <c r="H25" i="130" s="1"/>
  <c r="H30" i="130" s="1"/>
  <c r="H31" i="130" s="1"/>
  <c r="H33" i="130" s="1"/>
  <c r="Q36" i="111" s="1"/>
  <c r="O20" i="111"/>
  <c r="O36" i="111"/>
  <c r="O24" i="111"/>
  <c r="O38" i="111"/>
  <c r="O26" i="111"/>
  <c r="O29" i="111"/>
  <c r="O37" i="111"/>
  <c r="O34" i="111"/>
  <c r="O33" i="111"/>
  <c r="O28" i="111"/>
  <c r="O35" i="111"/>
  <c r="O31" i="111"/>
  <c r="O32" i="111"/>
  <c r="O27" i="111"/>
  <c r="O23" i="111"/>
  <c r="O30" i="111"/>
  <c r="O25" i="111"/>
  <c r="G245" i="111"/>
  <c r="L242" i="111"/>
  <c r="D245" i="111"/>
  <c r="C237" i="111"/>
  <c r="J245" i="111"/>
  <c r="I244" i="111"/>
  <c r="N246" i="111"/>
  <c r="J244" i="111"/>
  <c r="K243" i="111"/>
  <c r="I235" i="111"/>
  <c r="H237" i="111"/>
  <c r="D239" i="111"/>
  <c r="G248" i="111"/>
  <c r="F249" i="111"/>
  <c r="J243" i="111"/>
  <c r="N244" i="111"/>
  <c r="K238" i="111"/>
  <c r="F246" i="111"/>
  <c r="N247" i="111"/>
  <c r="K242" i="111"/>
  <c r="L234" i="111"/>
  <c r="H235" i="111"/>
  <c r="N239" i="111"/>
  <c r="E239" i="111"/>
  <c r="N235" i="111"/>
  <c r="M245" i="111"/>
  <c r="I242" i="111"/>
  <c r="F238" i="111"/>
  <c r="H249" i="111"/>
  <c r="L248" i="111"/>
  <c r="M236" i="111"/>
  <c r="I237" i="111"/>
  <c r="M248" i="111"/>
  <c r="I246" i="111"/>
  <c r="L241" i="111"/>
  <c r="C248" i="111"/>
  <c r="E237" i="111"/>
  <c r="E248" i="111"/>
  <c r="F242" i="111"/>
  <c r="D248" i="111"/>
  <c r="I234" i="111"/>
  <c r="D242" i="111"/>
  <c r="J235" i="111"/>
  <c r="G243" i="111"/>
  <c r="M239" i="111"/>
  <c r="N242" i="111"/>
  <c r="N237" i="111"/>
  <c r="G242" i="111"/>
  <c r="L249" i="111"/>
  <c r="F234" i="111"/>
  <c r="C241" i="111"/>
  <c r="G241" i="111"/>
  <c r="D238" i="111"/>
  <c r="K247" i="111"/>
  <c r="E243" i="111"/>
  <c r="G240" i="111"/>
  <c r="L246" i="111"/>
  <c r="F241" i="111"/>
  <c r="J236" i="111"/>
  <c r="H239" i="111"/>
  <c r="K249" i="111"/>
  <c r="H234" i="111"/>
  <c r="J240" i="111"/>
  <c r="H246" i="111"/>
  <c r="N248" i="111"/>
  <c r="J242" i="111"/>
  <c r="M240" i="111"/>
  <c r="E242" i="111"/>
  <c r="G236" i="111"/>
  <c r="E235" i="111"/>
  <c r="H242" i="111"/>
  <c r="I245" i="111"/>
  <c r="D243" i="111"/>
  <c r="J234" i="111"/>
  <c r="I241" i="111"/>
  <c r="M238" i="111"/>
  <c r="K237" i="111"/>
  <c r="H238" i="111"/>
  <c r="M243" i="111"/>
  <c r="C243" i="111"/>
  <c r="L239" i="111"/>
  <c r="E246" i="111"/>
  <c r="D235" i="111"/>
  <c r="G244" i="111"/>
  <c r="M234" i="111"/>
  <c r="N238" i="111"/>
  <c r="J239" i="111"/>
  <c r="F247" i="111"/>
  <c r="J246" i="111"/>
  <c r="J238" i="111"/>
  <c r="K245" i="111"/>
  <c r="E238" i="111"/>
  <c r="J248" i="111"/>
  <c r="L235" i="111"/>
  <c r="K241" i="111"/>
  <c r="H245" i="111"/>
  <c r="D240" i="111"/>
  <c r="I247" i="111"/>
  <c r="I249" i="111"/>
  <c r="G247" i="111"/>
  <c r="E241" i="111"/>
  <c r="N236" i="111"/>
  <c r="L245" i="111"/>
  <c r="C240" i="111"/>
  <c r="C242" i="111"/>
  <c r="D237" i="111"/>
  <c r="K240" i="111"/>
  <c r="N234" i="111"/>
  <c r="K244" i="111"/>
  <c r="F235" i="111"/>
  <c r="L237" i="111"/>
  <c r="L247" i="111"/>
  <c r="H248" i="111"/>
  <c r="M246" i="111"/>
  <c r="K239" i="111"/>
  <c r="D244" i="111"/>
  <c r="M242" i="111"/>
  <c r="D246" i="111"/>
  <c r="L238" i="111"/>
  <c r="L244" i="111"/>
  <c r="K234" i="111"/>
  <c r="E245" i="111"/>
  <c r="O227" i="111"/>
  <c r="H231" i="111"/>
  <c r="N245" i="111"/>
  <c r="H241" i="111"/>
  <c r="C234" i="111"/>
  <c r="K236" i="111"/>
  <c r="K235" i="111"/>
  <c r="N241" i="111"/>
  <c r="K248" i="111"/>
  <c r="F244" i="111"/>
  <c r="I236" i="111"/>
  <c r="C235" i="111"/>
  <c r="I240" i="111"/>
  <c r="G237" i="111"/>
  <c r="H247" i="111"/>
  <c r="H244" i="111"/>
  <c r="C247" i="111"/>
  <c r="G239" i="111"/>
  <c r="I239" i="111"/>
  <c r="C239" i="111"/>
  <c r="D236" i="111"/>
  <c r="N249" i="111"/>
  <c r="F248" i="111"/>
  <c r="G238" i="111"/>
  <c r="M241" i="111"/>
  <c r="H236" i="111"/>
  <c r="C246" i="111"/>
  <c r="M235" i="111"/>
  <c r="E247" i="111"/>
  <c r="G234" i="111"/>
  <c r="E234" i="111"/>
  <c r="C245" i="111"/>
  <c r="J241" i="111"/>
  <c r="K246" i="111"/>
  <c r="J249" i="111"/>
  <c r="L236" i="111"/>
  <c r="L240" i="111"/>
  <c r="N243" i="111"/>
  <c r="C244" i="111"/>
  <c r="D249" i="111"/>
  <c r="E244" i="111"/>
  <c r="G246" i="111"/>
  <c r="I248" i="111"/>
  <c r="F239" i="111"/>
  <c r="E236" i="111"/>
  <c r="C249" i="111"/>
  <c r="H243" i="111"/>
  <c r="I238" i="111"/>
  <c r="F236" i="111"/>
  <c r="F237" i="111"/>
  <c r="N240" i="111"/>
  <c r="I243" i="111"/>
  <c r="G235" i="111"/>
  <c r="C236" i="111"/>
  <c r="F243" i="111"/>
  <c r="M244" i="111"/>
  <c r="E249" i="111"/>
  <c r="D241" i="111"/>
  <c r="M237" i="111"/>
  <c r="M249" i="111"/>
  <c r="J237" i="111"/>
  <c r="F240" i="111"/>
  <c r="D247" i="111"/>
  <c r="C238" i="111"/>
  <c r="M247" i="111"/>
  <c r="J247" i="111"/>
  <c r="G249" i="111"/>
  <c r="H240" i="111"/>
  <c r="F245" i="111"/>
  <c r="E240" i="111"/>
  <c r="L243" i="111"/>
  <c r="D234" i="111"/>
  <c r="J231" i="111"/>
  <c r="D231" i="111"/>
  <c r="O226" i="111"/>
  <c r="O229" i="111"/>
  <c r="L231" i="111"/>
  <c r="E231" i="111"/>
  <c r="O224" i="111"/>
  <c r="O225" i="111"/>
  <c r="G231" i="111"/>
  <c r="O223" i="111"/>
  <c r="C231" i="111"/>
  <c r="O228" i="111"/>
  <c r="N231" i="111"/>
  <c r="M231" i="111"/>
  <c r="F231" i="111"/>
  <c r="K231" i="111"/>
  <c r="I231" i="111"/>
  <c r="U52" i="99"/>
  <c r="V100" i="58"/>
  <c r="D58" i="106"/>
  <c r="K276" i="111" l="1"/>
  <c r="I288" i="111"/>
  <c r="E282" i="111"/>
  <c r="D277" i="111"/>
  <c r="L280" i="111"/>
  <c r="N273" i="111"/>
  <c r="L286" i="111"/>
  <c r="I286" i="111"/>
  <c r="K279" i="111"/>
  <c r="M275" i="111"/>
  <c r="N278" i="111"/>
  <c r="I274" i="111"/>
  <c r="H280" i="111"/>
  <c r="K285" i="111"/>
  <c r="K275" i="111"/>
  <c r="K287" i="111"/>
  <c r="J286" i="111"/>
  <c r="F281" i="111"/>
  <c r="J273" i="111"/>
  <c r="C277" i="111"/>
  <c r="M273" i="111"/>
  <c r="N275" i="111"/>
  <c r="I287" i="111"/>
  <c r="M288" i="111"/>
  <c r="G274" i="111"/>
  <c r="Q24" i="111"/>
  <c r="J283" i="111"/>
  <c r="F273" i="111"/>
  <c r="K282" i="111"/>
  <c r="E279" i="111"/>
  <c r="L284" i="111"/>
  <c r="C286" i="111"/>
  <c r="F286" i="111"/>
  <c r="N277" i="111"/>
  <c r="H273" i="111"/>
  <c r="E285" i="111"/>
  <c r="I283" i="111"/>
  <c r="K286" i="111"/>
  <c r="E281" i="111"/>
  <c r="N287" i="111"/>
  <c r="K277" i="111"/>
  <c r="E286" i="111"/>
  <c r="I273" i="111"/>
  <c r="K283" i="111"/>
  <c r="F282" i="111"/>
  <c r="I280" i="111"/>
  <c r="J285" i="111"/>
  <c r="F287" i="111"/>
  <c r="I279" i="111"/>
  <c r="K280" i="111"/>
  <c r="C282" i="111"/>
  <c r="I278" i="111"/>
  <c r="K284" i="111"/>
  <c r="G287" i="111"/>
  <c r="I285" i="111"/>
  <c r="N276" i="111"/>
  <c r="C274" i="111"/>
  <c r="I277" i="111"/>
  <c r="M278" i="111"/>
  <c r="G288" i="111"/>
  <c r="L273" i="111"/>
  <c r="M284" i="111"/>
  <c r="H288" i="111"/>
  <c r="C281" i="111"/>
  <c r="D281" i="111"/>
  <c r="M285" i="111"/>
  <c r="C287" i="111"/>
  <c r="E277" i="111"/>
  <c r="N285" i="111"/>
  <c r="D273" i="111"/>
  <c r="D287" i="111"/>
  <c r="M280" i="111"/>
  <c r="C276" i="111"/>
  <c r="Q33" i="111"/>
  <c r="D285" i="111"/>
  <c r="E273" i="111"/>
  <c r="K274" i="111"/>
  <c r="M277" i="111"/>
  <c r="J275" i="111"/>
  <c r="I276" i="111"/>
  <c r="H285" i="111"/>
  <c r="I284" i="111"/>
  <c r="N283" i="111"/>
  <c r="G275" i="111"/>
  <c r="L275" i="111"/>
  <c r="I281" i="111"/>
  <c r="L279" i="111"/>
  <c r="G273" i="111"/>
  <c r="M283" i="111"/>
  <c r="D275" i="111"/>
  <c r="F279" i="111"/>
  <c r="F275" i="111"/>
  <c r="H278" i="111"/>
  <c r="M287" i="111"/>
  <c r="N288" i="111"/>
  <c r="Q25" i="111"/>
  <c r="N281" i="111"/>
  <c r="Q23" i="111"/>
  <c r="Q27" i="111"/>
  <c r="E274" i="111"/>
  <c r="Q32" i="111"/>
  <c r="K281" i="111"/>
  <c r="Q34" i="111"/>
  <c r="E287" i="111"/>
  <c r="H284" i="111"/>
  <c r="L278" i="111"/>
  <c r="H279" i="111"/>
  <c r="G284" i="111"/>
  <c r="N284" i="111"/>
  <c r="F280" i="111"/>
  <c r="G280" i="111"/>
  <c r="N280" i="111"/>
  <c r="E283" i="111"/>
  <c r="G279" i="111"/>
  <c r="M282" i="111"/>
  <c r="E284" i="111"/>
  <c r="E278" i="111"/>
  <c r="L274" i="111"/>
  <c r="E275" i="111"/>
  <c r="K288" i="111"/>
  <c r="M276" i="111"/>
  <c r="H282" i="111"/>
  <c r="E280" i="111"/>
  <c r="L287" i="111"/>
  <c r="F285" i="111"/>
  <c r="H276" i="111"/>
  <c r="J280" i="111"/>
  <c r="Q29" i="111"/>
  <c r="Q31" i="111"/>
  <c r="Q37" i="111"/>
  <c r="G277" i="111"/>
  <c r="F283" i="111"/>
  <c r="L283" i="111"/>
  <c r="D282" i="111"/>
  <c r="G276" i="111"/>
  <c r="M279" i="111"/>
  <c r="D280" i="111"/>
  <c r="F278" i="111"/>
  <c r="L277" i="111"/>
  <c r="D274" i="111"/>
  <c r="H275" i="111"/>
  <c r="L276" i="111"/>
  <c r="G278" i="111"/>
  <c r="C273" i="111"/>
  <c r="N282" i="111"/>
  <c r="D286" i="111"/>
  <c r="H281" i="111"/>
  <c r="M286" i="111"/>
  <c r="H286" i="111"/>
  <c r="H277" i="111"/>
  <c r="N279" i="111"/>
  <c r="F274" i="111"/>
  <c r="J276" i="111"/>
  <c r="C284" i="111"/>
  <c r="Q30" i="111"/>
  <c r="Q28" i="111"/>
  <c r="H32" i="130"/>
  <c r="H265" i="111" s="1"/>
  <c r="G285" i="111"/>
  <c r="H287" i="111"/>
  <c r="J281" i="111"/>
  <c r="D283" i="111"/>
  <c r="G283" i="111"/>
  <c r="M274" i="111"/>
  <c r="F276" i="111"/>
  <c r="D279" i="111"/>
  <c r="L285" i="111"/>
  <c r="G286" i="111"/>
  <c r="G282" i="111"/>
  <c r="N274" i="111"/>
  <c r="F277" i="111"/>
  <c r="H283" i="111"/>
  <c r="L281" i="111"/>
  <c r="E276" i="111"/>
  <c r="E288" i="111"/>
  <c r="J279" i="111"/>
  <c r="G281" i="111"/>
  <c r="J288" i="111"/>
  <c r="J274" i="111"/>
  <c r="N286" i="111"/>
  <c r="I282" i="111"/>
  <c r="K278" i="111"/>
  <c r="Q26" i="111"/>
  <c r="Q38" i="111"/>
  <c r="H34" i="130"/>
  <c r="D278" i="111"/>
  <c r="C283" i="111"/>
  <c r="J277" i="111"/>
  <c r="D288" i="111"/>
  <c r="C285" i="111"/>
  <c r="J278" i="111"/>
  <c r="F284" i="111"/>
  <c r="C288" i="111"/>
  <c r="J282" i="111"/>
  <c r="D276" i="111"/>
  <c r="C275" i="111"/>
  <c r="M281" i="111"/>
  <c r="H274" i="111"/>
  <c r="C279" i="111"/>
  <c r="J284" i="111"/>
  <c r="D284" i="111"/>
  <c r="C278" i="111"/>
  <c r="J287" i="111"/>
  <c r="L288" i="111"/>
  <c r="C280" i="111"/>
  <c r="K273" i="111"/>
  <c r="L282" i="111"/>
  <c r="F288" i="111"/>
  <c r="I275" i="111"/>
  <c r="Q35" i="111"/>
  <c r="H26" i="130"/>
  <c r="B60" i="58"/>
  <c r="O39" i="111"/>
  <c r="O40" i="111" s="1"/>
  <c r="O246" i="111"/>
  <c r="O249" i="111"/>
  <c r="D251" i="111"/>
  <c r="D253" i="111" s="1"/>
  <c r="O236" i="111"/>
  <c r="O247" i="111"/>
  <c r="F251" i="111"/>
  <c r="F253" i="111" s="1"/>
  <c r="K251" i="111"/>
  <c r="K253" i="111" s="1"/>
  <c r="O242" i="111"/>
  <c r="G251" i="111"/>
  <c r="G253" i="111" s="1"/>
  <c r="H251" i="111"/>
  <c r="H253" i="111" s="1"/>
  <c r="L251" i="111"/>
  <c r="L253" i="111" s="1"/>
  <c r="O248" i="111"/>
  <c r="N251" i="111"/>
  <c r="N253" i="111" s="1"/>
  <c r="C251" i="111"/>
  <c r="C253" i="111" s="1"/>
  <c r="O238" i="111"/>
  <c r="O240" i="111"/>
  <c r="O245" i="111"/>
  <c r="O237" i="111"/>
  <c r="O243" i="111"/>
  <c r="O241" i="111"/>
  <c r="J251" i="111"/>
  <c r="J253" i="111" s="1"/>
  <c r="O244" i="111"/>
  <c r="O239" i="111"/>
  <c r="O235" i="111"/>
  <c r="O234" i="111"/>
  <c r="M251" i="111"/>
  <c r="M253" i="111" s="1"/>
  <c r="I251" i="111"/>
  <c r="I253" i="111" s="1"/>
  <c r="E251" i="111"/>
  <c r="E253" i="111" s="1"/>
  <c r="E24" i="163"/>
  <c r="O231" i="111"/>
  <c r="D262" i="111" l="1"/>
  <c r="M268" i="111"/>
  <c r="L268" i="111"/>
  <c r="H262" i="111"/>
  <c r="H267" i="111"/>
  <c r="D266" i="111"/>
  <c r="C264" i="111"/>
  <c r="O283" i="111"/>
  <c r="L290" i="111"/>
  <c r="F264" i="111"/>
  <c r="F268" i="111"/>
  <c r="L265" i="111"/>
  <c r="D268" i="111"/>
  <c r="I268" i="111"/>
  <c r="M266" i="111"/>
  <c r="H266" i="111"/>
  <c r="N267" i="111"/>
  <c r="O284" i="111"/>
  <c r="O285" i="111"/>
  <c r="C267" i="111"/>
  <c r="L266" i="111"/>
  <c r="I265" i="111"/>
  <c r="Q15" i="111"/>
  <c r="H264" i="111"/>
  <c r="Q19" i="111"/>
  <c r="I263" i="111"/>
  <c r="J265" i="111"/>
  <c r="K268" i="111"/>
  <c r="E265" i="111"/>
  <c r="D267" i="111"/>
  <c r="J267" i="111"/>
  <c r="K265" i="111"/>
  <c r="M290" i="111"/>
  <c r="O286" i="111"/>
  <c r="O287" i="111"/>
  <c r="N290" i="111"/>
  <c r="G290" i="111"/>
  <c r="O275" i="111"/>
  <c r="O280" i="111"/>
  <c r="O279" i="111"/>
  <c r="J290" i="111"/>
  <c r="Q39" i="111"/>
  <c r="O288" i="111"/>
  <c r="O282" i="111"/>
  <c r="K290" i="111"/>
  <c r="O274" i="111"/>
  <c r="O276" i="111"/>
  <c r="I290" i="111"/>
  <c r="F290" i="111"/>
  <c r="D290" i="111"/>
  <c r="O281" i="111"/>
  <c r="O277" i="111"/>
  <c r="O278" i="111"/>
  <c r="E290" i="111"/>
  <c r="M264" i="111"/>
  <c r="G267" i="111"/>
  <c r="L263" i="111"/>
  <c r="C262" i="111"/>
  <c r="E268" i="111"/>
  <c r="C266" i="111"/>
  <c r="I266" i="111"/>
  <c r="L267" i="111"/>
  <c r="C263" i="111"/>
  <c r="F263" i="111"/>
  <c r="F265" i="111"/>
  <c r="K267" i="111"/>
  <c r="F266" i="111"/>
  <c r="E262" i="111"/>
  <c r="G268" i="111"/>
  <c r="F262" i="111"/>
  <c r="E263" i="111"/>
  <c r="C290" i="111"/>
  <c r="E264" i="111"/>
  <c r="N264" i="111"/>
  <c r="N262" i="111"/>
  <c r="J268" i="111"/>
  <c r="N265" i="111"/>
  <c r="K264" i="111"/>
  <c r="O273" i="111"/>
  <c r="I264" i="111"/>
  <c r="C268" i="111"/>
  <c r="E267" i="111"/>
  <c r="D264" i="111"/>
  <c r="K266" i="111"/>
  <c r="J264" i="111"/>
  <c r="K263" i="111"/>
  <c r="M262" i="111"/>
  <c r="D263" i="111"/>
  <c r="Q17" i="111"/>
  <c r="F267" i="111"/>
  <c r="L264" i="111"/>
  <c r="G263" i="111"/>
  <c r="G262" i="111"/>
  <c r="G264" i="111"/>
  <c r="E266" i="111"/>
  <c r="G266" i="111"/>
  <c r="N263" i="111"/>
  <c r="Q14" i="111"/>
  <c r="J266" i="111"/>
  <c r="K262" i="111"/>
  <c r="I267" i="111"/>
  <c r="H290" i="111"/>
  <c r="Q18" i="111"/>
  <c r="M265" i="111"/>
  <c r="J262" i="111"/>
  <c r="D265" i="111"/>
  <c r="Q16" i="111"/>
  <c r="G265" i="111"/>
  <c r="M267" i="111"/>
  <c r="N266" i="111"/>
  <c r="C265" i="111"/>
  <c r="J263" i="111"/>
  <c r="H268" i="111"/>
  <c r="Q13" i="111"/>
  <c r="L262" i="111"/>
  <c r="H263" i="111"/>
  <c r="M263" i="111"/>
  <c r="N268" i="111"/>
  <c r="I262" i="111"/>
  <c r="B61" i="58"/>
  <c r="O350" i="117"/>
  <c r="O175" i="117" s="1"/>
  <c r="H350" i="117"/>
  <c r="H175" i="117" s="1"/>
  <c r="E350" i="117"/>
  <c r="E175" i="117" s="1"/>
  <c r="P350" i="117"/>
  <c r="P175" i="117" s="1"/>
  <c r="F350" i="117"/>
  <c r="F175" i="117" s="1"/>
  <c r="L350" i="117"/>
  <c r="L175" i="117" s="1"/>
  <c r="N350" i="117"/>
  <c r="N175" i="117" s="1"/>
  <c r="J350" i="117"/>
  <c r="J175" i="117" s="1"/>
  <c r="M350" i="117"/>
  <c r="M175" i="117" s="1"/>
  <c r="K350" i="117"/>
  <c r="K175" i="117" s="1"/>
  <c r="I350" i="117"/>
  <c r="I175" i="117" s="1"/>
  <c r="G350" i="117"/>
  <c r="G175" i="117" s="1"/>
  <c r="O251" i="111"/>
  <c r="O253" i="111"/>
  <c r="O290" i="111" l="1"/>
  <c r="F270" i="111"/>
  <c r="F292" i="111" s="1"/>
  <c r="O264" i="111"/>
  <c r="Q20" i="111"/>
  <c r="Q40" i="111" s="1"/>
  <c r="J270" i="111"/>
  <c r="J292" i="111" s="1"/>
  <c r="O267" i="111"/>
  <c r="O262" i="111"/>
  <c r="O265" i="111"/>
  <c r="O268" i="111"/>
  <c r="M270" i="111"/>
  <c r="M292" i="111" s="1"/>
  <c r="I270" i="111"/>
  <c r="I292" i="111" s="1"/>
  <c r="G270" i="111"/>
  <c r="G292" i="111" s="1"/>
  <c r="N270" i="111"/>
  <c r="N292" i="111" s="1"/>
  <c r="O266" i="111"/>
  <c r="H270" i="111"/>
  <c r="H292" i="111" s="1"/>
  <c r="K270" i="111"/>
  <c r="K292" i="111" s="1"/>
  <c r="O263" i="111"/>
  <c r="E270" i="111"/>
  <c r="E292" i="111" s="1"/>
  <c r="C270" i="111"/>
  <c r="C292" i="111" s="1"/>
  <c r="L270" i="111"/>
  <c r="L292" i="111" s="1"/>
  <c r="D270" i="111"/>
  <c r="D292" i="111" s="1"/>
  <c r="B62" i="58"/>
  <c r="B63" i="58" s="1"/>
  <c r="U28" i="120" l="1"/>
  <c r="U30" i="120" s="1"/>
  <c r="S28" i="120"/>
  <c r="S30" i="120" s="1"/>
  <c r="O292" i="111"/>
  <c r="O270" i="111"/>
  <c r="Q350" i="117"/>
  <c r="H28" i="120" l="1"/>
  <c r="H26" i="120"/>
  <c r="I26" i="120" s="1"/>
  <c r="I5" i="153"/>
  <c r="H5" i="153"/>
  <c r="F5" i="153"/>
  <c r="E5" i="153"/>
  <c r="O304" i="117"/>
  <c r="P304" i="117"/>
  <c r="N291" i="117"/>
  <c r="U12" i="120" l="1"/>
  <c r="U41" i="120" s="1"/>
  <c r="U14" i="120"/>
  <c r="S12" i="120"/>
  <c r="S41" i="120" s="1"/>
  <c r="P28" i="120"/>
  <c r="P30" i="120" s="1"/>
  <c r="E14" i="120"/>
  <c r="F14" i="120" s="1"/>
  <c r="K14" i="120"/>
  <c r="K16" i="120" s="1"/>
  <c r="L16" i="120" s="1"/>
  <c r="K28" i="120"/>
  <c r="E28" i="120"/>
  <c r="M291" i="117"/>
  <c r="L291" i="117"/>
  <c r="P291" i="117"/>
  <c r="O291" i="117"/>
  <c r="M298" i="117"/>
  <c r="L298" i="117"/>
  <c r="H30" i="120"/>
  <c r="I30" i="120" s="1"/>
  <c r="I28" i="120"/>
  <c r="H14" i="120"/>
  <c r="F71" i="68"/>
  <c r="F46" i="68"/>
  <c r="F23" i="68"/>
  <c r="L304" i="117"/>
  <c r="M304" i="117"/>
  <c r="F47" i="68"/>
  <c r="F24" i="68"/>
  <c r="N304" i="117"/>
  <c r="E26" i="120"/>
  <c r="F26" i="120" s="1"/>
  <c r="P14" i="120"/>
  <c r="F313" i="82" l="1"/>
  <c r="N28" i="120"/>
  <c r="O28" i="120"/>
  <c r="Q28" i="120"/>
  <c r="U16" i="120"/>
  <c r="U43" i="120"/>
  <c r="F73" i="68"/>
  <c r="E16" i="120"/>
  <c r="F16" i="120" s="1"/>
  <c r="S14" i="120"/>
  <c r="E43" i="120"/>
  <c r="E12" i="120"/>
  <c r="F12" i="120" s="1"/>
  <c r="L14" i="120"/>
  <c r="H12" i="120"/>
  <c r="I12" i="120" s="1"/>
  <c r="K43" i="120"/>
  <c r="O30" i="120"/>
  <c r="Q30" i="120"/>
  <c r="N30" i="120"/>
  <c r="K304" i="117"/>
  <c r="Q304" i="117" s="1"/>
  <c r="Q117" i="117"/>
  <c r="K30" i="120"/>
  <c r="L30" i="120" s="1"/>
  <c r="L28" i="120"/>
  <c r="F25" i="68"/>
  <c r="F27" i="68" s="1"/>
  <c r="H43" i="120"/>
  <c r="I14" i="120"/>
  <c r="H16" i="120"/>
  <c r="I16" i="120" s="1"/>
  <c r="K291" i="117"/>
  <c r="Q291" i="117" s="1"/>
  <c r="Q104" i="117"/>
  <c r="F48" i="68"/>
  <c r="F50" i="68" s="1"/>
  <c r="Q146" i="117"/>
  <c r="F356" i="82" s="1"/>
  <c r="G356" i="82" s="1"/>
  <c r="E30" i="120"/>
  <c r="F30" i="120" s="1"/>
  <c r="F28" i="120"/>
  <c r="Q326" i="117"/>
  <c r="K26" i="120"/>
  <c r="L26" i="120" s="1"/>
  <c r="P16" i="120"/>
  <c r="P43" i="120"/>
  <c r="Q14" i="120"/>
  <c r="K298" i="117"/>
  <c r="Q298" i="117" s="1"/>
  <c r="Q111" i="117"/>
  <c r="K12" i="120"/>
  <c r="K356" i="82" l="1"/>
  <c r="L14" i="65"/>
  <c r="L29" i="65"/>
  <c r="L32" i="65" s="1"/>
  <c r="N356" i="82"/>
  <c r="T356" i="82"/>
  <c r="Q23" i="122"/>
  <c r="G313" i="82"/>
  <c r="F245" i="82"/>
  <c r="U45" i="120"/>
  <c r="S43" i="120"/>
  <c r="S16" i="120"/>
  <c r="K45" i="120"/>
  <c r="E45" i="120"/>
  <c r="L43" i="65"/>
  <c r="L43" i="120"/>
  <c r="H41" i="120"/>
  <c r="F43" i="120"/>
  <c r="E53" i="55"/>
  <c r="E15" i="55" s="1"/>
  <c r="E41" i="120"/>
  <c r="L294" i="117"/>
  <c r="M294" i="117"/>
  <c r="Q16" i="120"/>
  <c r="P45" i="120"/>
  <c r="O294" i="117"/>
  <c r="N294" i="117"/>
  <c r="H45" i="120"/>
  <c r="I43" i="120"/>
  <c r="P294" i="117"/>
  <c r="Q346" i="117"/>
  <c r="Q171" i="117"/>
  <c r="F394" i="82" s="1"/>
  <c r="G394" i="82" s="1"/>
  <c r="K41" i="120"/>
  <c r="L12" i="120"/>
  <c r="E8" i="153" l="1"/>
  <c r="M47" i="70"/>
  <c r="E47" i="70"/>
  <c r="M28" i="65"/>
  <c r="M13" i="65"/>
  <c r="L17" i="65"/>
  <c r="L41" i="58"/>
  <c r="E257" i="150"/>
  <c r="K394" i="82"/>
  <c r="N394" i="82"/>
  <c r="S22" i="122"/>
  <c r="D171" i="117"/>
  <c r="Q356" i="82"/>
  <c r="G245" i="82"/>
  <c r="F305" i="82"/>
  <c r="O12" i="152"/>
  <c r="I8" i="153"/>
  <c r="P157" i="55"/>
  <c r="P79" i="55" s="1"/>
  <c r="E34" i="55"/>
  <c r="F53" i="55"/>
  <c r="E55" i="55"/>
  <c r="E57" i="55" s="1"/>
  <c r="H157" i="55"/>
  <c r="L12" i="152"/>
  <c r="L45" i="120"/>
  <c r="F8" i="153"/>
  <c r="S45" i="120"/>
  <c r="I41" i="120"/>
  <c r="F15" i="55"/>
  <c r="F45" i="120"/>
  <c r="F41" i="120"/>
  <c r="L46" i="65"/>
  <c r="M42" i="65"/>
  <c r="D8" i="153"/>
  <c r="L41" i="120"/>
  <c r="K157" i="55"/>
  <c r="M12" i="152"/>
  <c r="G8" i="153"/>
  <c r="E157" i="55"/>
  <c r="K12" i="152"/>
  <c r="I45" i="120"/>
  <c r="Q347" i="117"/>
  <c r="Q172" i="117"/>
  <c r="F395" i="82" s="1"/>
  <c r="G395" i="82" s="1"/>
  <c r="Q325" i="117"/>
  <c r="Q145" i="117"/>
  <c r="F355" i="82" s="1"/>
  <c r="G355" i="82" s="1"/>
  <c r="M32" i="65"/>
  <c r="K44" i="66"/>
  <c r="K294" i="117"/>
  <c r="Q294" i="117" s="1"/>
  <c r="Q107" i="117"/>
  <c r="I47" i="70" l="1"/>
  <c r="K14" i="66"/>
  <c r="L14" i="66" s="1"/>
  <c r="E224" i="150"/>
  <c r="F224" i="150" s="1"/>
  <c r="L11" i="58"/>
  <c r="M17" i="65"/>
  <c r="N25" i="122"/>
  <c r="O25" i="122" s="1"/>
  <c r="R356" i="82"/>
  <c r="K355" i="82"/>
  <c r="K395" i="82"/>
  <c r="N395" i="82"/>
  <c r="Q394" i="82"/>
  <c r="N355" i="82"/>
  <c r="Q22" i="122"/>
  <c r="T355" i="82"/>
  <c r="S23" i="122"/>
  <c r="D172" i="117"/>
  <c r="G305" i="82"/>
  <c r="F237" i="82"/>
  <c r="I6" i="153"/>
  <c r="I7" i="153"/>
  <c r="H158" i="55"/>
  <c r="P80" i="55"/>
  <c r="F34" i="55"/>
  <c r="P116" i="55"/>
  <c r="E17" i="55"/>
  <c r="P158" i="55"/>
  <c r="P166" i="55" s="1"/>
  <c r="E36" i="55"/>
  <c r="E61" i="55"/>
  <c r="F61" i="55" s="1"/>
  <c r="F55" i="55"/>
  <c r="F6" i="153"/>
  <c r="H116" i="55"/>
  <c r="H79" i="55"/>
  <c r="F7" i="153"/>
  <c r="I157" i="55"/>
  <c r="J12" i="152"/>
  <c r="J15" i="152" s="1"/>
  <c r="K9" i="152" s="1"/>
  <c r="H8" i="153"/>
  <c r="N157" i="55"/>
  <c r="N116" i="55" s="1"/>
  <c r="N12" i="152"/>
  <c r="D6" i="153"/>
  <c r="M46" i="65"/>
  <c r="K72" i="66"/>
  <c r="D7" i="153"/>
  <c r="E158" i="55"/>
  <c r="E116" i="55"/>
  <c r="F157" i="55"/>
  <c r="E79" i="55"/>
  <c r="K116" i="55"/>
  <c r="K158" i="55"/>
  <c r="L157" i="55"/>
  <c r="L79" i="55" s="1"/>
  <c r="K79" i="55"/>
  <c r="L44" i="66"/>
  <c r="K46" i="66"/>
  <c r="K45" i="66"/>
  <c r="F57" i="55"/>
  <c r="E156" i="55"/>
  <c r="F257" i="150"/>
  <c r="E7" i="153"/>
  <c r="E6" i="153"/>
  <c r="G7" i="153"/>
  <c r="G6" i="153"/>
  <c r="E292" i="150" l="1"/>
  <c r="F292" i="150" s="1"/>
  <c r="K305" i="82"/>
  <c r="K16" i="66"/>
  <c r="L16" i="66" s="1"/>
  <c r="K15" i="66"/>
  <c r="E237" i="150" s="1"/>
  <c r="L24" i="58" s="1"/>
  <c r="R394" i="82"/>
  <c r="I203" i="117" s="1"/>
  <c r="P88" i="55"/>
  <c r="S17" i="54"/>
  <c r="I158" i="55"/>
  <c r="H12" i="114"/>
  <c r="F112" i="61"/>
  <c r="H31" i="114"/>
  <c r="F90" i="61"/>
  <c r="I39" i="69"/>
  <c r="H39" i="69" s="1"/>
  <c r="I27" i="68"/>
  <c r="H27" i="68" s="1"/>
  <c r="L46" i="66"/>
  <c r="I51" i="67"/>
  <c r="I50" i="68"/>
  <c r="H50" i="68" s="1"/>
  <c r="Q395" i="82"/>
  <c r="Q355" i="82"/>
  <c r="N305" i="82"/>
  <c r="G237" i="82"/>
  <c r="H166" i="55"/>
  <c r="S159" i="54"/>
  <c r="E42" i="55"/>
  <c r="H80" i="55"/>
  <c r="H117" i="55"/>
  <c r="F36" i="55"/>
  <c r="E23" i="55"/>
  <c r="J16" i="152"/>
  <c r="J27" i="152" s="1"/>
  <c r="I79" i="55"/>
  <c r="K159" i="54"/>
  <c r="L159" i="54" s="1"/>
  <c r="P117" i="55"/>
  <c r="I116" i="55"/>
  <c r="E38" i="55"/>
  <c r="E62" i="55"/>
  <c r="F62" i="55" s="1"/>
  <c r="E19" i="55"/>
  <c r="F17" i="55"/>
  <c r="K17" i="54"/>
  <c r="E159" i="54"/>
  <c r="F159" i="54" s="1"/>
  <c r="E17" i="54"/>
  <c r="N79" i="55"/>
  <c r="N158" i="55"/>
  <c r="N166" i="55" s="1"/>
  <c r="N117" i="55"/>
  <c r="H6" i="153"/>
  <c r="H7" i="153"/>
  <c r="F79" i="55"/>
  <c r="F116" i="55"/>
  <c r="K80" i="55"/>
  <c r="F38" i="132"/>
  <c r="L72" i="66"/>
  <c r="K73" i="66"/>
  <c r="K74" i="66"/>
  <c r="M41" i="58"/>
  <c r="K166" i="55"/>
  <c r="L166" i="55" s="1"/>
  <c r="L158" i="55"/>
  <c r="Q175" i="117"/>
  <c r="K117" i="55"/>
  <c r="L116" i="55"/>
  <c r="M11" i="58"/>
  <c r="L74" i="58"/>
  <c r="E160" i="55"/>
  <c r="E115" i="55"/>
  <c r="F156" i="55"/>
  <c r="E165" i="55"/>
  <c r="E78" i="55"/>
  <c r="E272" i="150"/>
  <c r="L45" i="66"/>
  <c r="H159" i="54"/>
  <c r="I159" i="54" s="1"/>
  <c r="H17" i="54"/>
  <c r="K15" i="152"/>
  <c r="L9" i="152" s="1"/>
  <c r="N17" i="54"/>
  <c r="N159" i="54"/>
  <c r="O159" i="54" s="1"/>
  <c r="E117" i="55"/>
  <c r="E166" i="55"/>
  <c r="E80" i="55"/>
  <c r="F158" i="55"/>
  <c r="I28" i="67" l="1"/>
  <c r="H28" i="67" s="1"/>
  <c r="I21" i="69"/>
  <c r="H21" i="69" s="1"/>
  <c r="H17" i="69" s="1"/>
  <c r="L15" i="66"/>
  <c r="R395" i="82"/>
  <c r="I204" i="117" s="1"/>
  <c r="N22" i="122"/>
  <c r="O22" i="122" s="1"/>
  <c r="F398" i="82"/>
  <c r="G398" i="82" s="1"/>
  <c r="F116" i="61"/>
  <c r="F23" i="55"/>
  <c r="F42" i="55"/>
  <c r="I117" i="55"/>
  <c r="I166" i="55"/>
  <c r="H88" i="55"/>
  <c r="F133" i="61"/>
  <c r="F93" i="61"/>
  <c r="I31" i="114"/>
  <c r="I32" i="114" s="1"/>
  <c r="H36" i="114"/>
  <c r="H32" i="114"/>
  <c r="H112" i="61"/>
  <c r="H90" i="61"/>
  <c r="K31" i="114"/>
  <c r="K12" i="114"/>
  <c r="I12" i="114"/>
  <c r="I13" i="114" s="1"/>
  <c r="H13" i="114"/>
  <c r="H50" i="114"/>
  <c r="H17" i="114"/>
  <c r="I17" i="114" s="1"/>
  <c r="H38" i="69"/>
  <c r="H30" i="69"/>
  <c r="H29" i="69"/>
  <c r="H28" i="69"/>
  <c r="H34" i="69"/>
  <c r="H36" i="69"/>
  <c r="H32" i="69"/>
  <c r="H33" i="69"/>
  <c r="H31" i="69"/>
  <c r="H35" i="69"/>
  <c r="H16" i="69"/>
  <c r="H11" i="69"/>
  <c r="H14" i="69"/>
  <c r="H18" i="69"/>
  <c r="H15" i="69"/>
  <c r="H52" i="69" s="1"/>
  <c r="H13" i="69"/>
  <c r="H20" i="69"/>
  <c r="H26" i="68"/>
  <c r="H18" i="68"/>
  <c r="H22" i="68"/>
  <c r="H24" i="68"/>
  <c r="H23" i="68"/>
  <c r="H13" i="68"/>
  <c r="H17" i="68"/>
  <c r="H16" i="68"/>
  <c r="H14" i="68"/>
  <c r="H19" i="68"/>
  <c r="H21" i="68"/>
  <c r="H11" i="68"/>
  <c r="H12" i="68"/>
  <c r="H15" i="68"/>
  <c r="H20" i="68"/>
  <c r="H19" i="67"/>
  <c r="I19" i="67" s="1"/>
  <c r="H21" i="67"/>
  <c r="I21" i="67" s="1"/>
  <c r="H18" i="67"/>
  <c r="I18" i="67" s="1"/>
  <c r="H17" i="67"/>
  <c r="I17" i="67" s="1"/>
  <c r="H13" i="67"/>
  <c r="I13" i="67" s="1"/>
  <c r="H20" i="67"/>
  <c r="I20" i="67" s="1"/>
  <c r="H12" i="67"/>
  <c r="H14" i="67"/>
  <c r="I14" i="67" s="1"/>
  <c r="H22" i="67"/>
  <c r="I22" i="67" s="1"/>
  <c r="H16" i="67"/>
  <c r="I16" i="67" s="1"/>
  <c r="H23" i="67"/>
  <c r="I23" i="67" s="1"/>
  <c r="H15" i="67"/>
  <c r="I15" i="67" s="1"/>
  <c r="H25" i="67"/>
  <c r="H47" i="68"/>
  <c r="H36" i="68"/>
  <c r="H59" i="68" s="1"/>
  <c r="H37" i="68"/>
  <c r="H45" i="68"/>
  <c r="H42" i="68"/>
  <c r="H38" i="68"/>
  <c r="H41" i="68"/>
  <c r="H44" i="68"/>
  <c r="H34" i="68"/>
  <c r="H40" i="68"/>
  <c r="H39" i="68"/>
  <c r="H46" i="68"/>
  <c r="H35" i="68"/>
  <c r="H43" i="68"/>
  <c r="H51" i="67"/>
  <c r="R355" i="82"/>
  <c r="N237" i="82"/>
  <c r="M237" i="82" s="1"/>
  <c r="K237" i="82"/>
  <c r="Q305" i="82"/>
  <c r="J28" i="152"/>
  <c r="I80" i="55"/>
  <c r="F105" i="55"/>
  <c r="F146" i="55"/>
  <c r="E24" i="55"/>
  <c r="P125" i="55"/>
  <c r="E43" i="55"/>
  <c r="F38" i="55"/>
  <c r="H125" i="55"/>
  <c r="N80" i="55"/>
  <c r="F17" i="54"/>
  <c r="F19" i="55"/>
  <c r="L17" i="54"/>
  <c r="N125" i="55"/>
  <c r="Q17" i="54"/>
  <c r="Q159" i="54"/>
  <c r="L80" i="55"/>
  <c r="G38" i="132"/>
  <c r="K88" i="55"/>
  <c r="K16" i="152"/>
  <c r="K27" i="152" s="1"/>
  <c r="L74" i="66"/>
  <c r="I17" i="54"/>
  <c r="L73" i="66"/>
  <c r="F166" i="55"/>
  <c r="I88" i="55"/>
  <c r="E145" i="55"/>
  <c r="E124" i="55"/>
  <c r="F115" i="55"/>
  <c r="E119" i="55"/>
  <c r="H156" i="55"/>
  <c r="F160" i="55"/>
  <c r="M24" i="58"/>
  <c r="M74" i="58"/>
  <c r="K125" i="55"/>
  <c r="L117" i="55"/>
  <c r="E308" i="150"/>
  <c r="F272" i="150"/>
  <c r="L56" i="58"/>
  <c r="L15" i="152"/>
  <c r="M9" i="152" s="1"/>
  <c r="F80" i="55"/>
  <c r="E105" i="55"/>
  <c r="E88" i="55"/>
  <c r="E82" i="55"/>
  <c r="E87" i="55"/>
  <c r="E104" i="55"/>
  <c r="F78" i="55"/>
  <c r="F117" i="55"/>
  <c r="E146" i="55"/>
  <c r="E125" i="55"/>
  <c r="O17" i="54"/>
  <c r="F165" i="55"/>
  <c r="E167" i="55"/>
  <c r="H12" i="69" l="1"/>
  <c r="H10" i="69"/>
  <c r="H55" i="69"/>
  <c r="M56" i="58"/>
  <c r="H64" i="68"/>
  <c r="F53" i="58"/>
  <c r="G53" i="58" s="1"/>
  <c r="E53" i="150"/>
  <c r="H67" i="68"/>
  <c r="F20" i="58"/>
  <c r="E19" i="150"/>
  <c r="N88" i="55"/>
  <c r="F12" i="58"/>
  <c r="G12" i="58" s="1"/>
  <c r="E11" i="150"/>
  <c r="F42" i="58"/>
  <c r="G42" i="58" s="1"/>
  <c r="E42" i="150"/>
  <c r="S25" i="122"/>
  <c r="F137" i="61"/>
  <c r="J29" i="152"/>
  <c r="H63" i="68"/>
  <c r="I59" i="68"/>
  <c r="I52" i="69"/>
  <c r="H116" i="61"/>
  <c r="I64" i="68"/>
  <c r="H66" i="68"/>
  <c r="I55" i="69"/>
  <c r="F120" i="61"/>
  <c r="H48" i="69"/>
  <c r="F97" i="61"/>
  <c r="H61" i="68"/>
  <c r="H69" i="68"/>
  <c r="H58" i="68"/>
  <c r="H50" i="69"/>
  <c r="H133" i="61"/>
  <c r="H93" i="61"/>
  <c r="H25" i="68"/>
  <c r="H54" i="69"/>
  <c r="H55" i="114"/>
  <c r="I50" i="114"/>
  <c r="I51" i="114" s="1"/>
  <c r="H51" i="114"/>
  <c r="H53" i="69"/>
  <c r="H57" i="69"/>
  <c r="K50" i="114"/>
  <c r="L12" i="114"/>
  <c r="L13" i="114" s="1"/>
  <c r="K17" i="114"/>
  <c r="L17" i="114" s="1"/>
  <c r="K13" i="114"/>
  <c r="H49" i="69"/>
  <c r="L31" i="114"/>
  <c r="L32" i="114" s="1"/>
  <c r="K32" i="114"/>
  <c r="K36" i="114"/>
  <c r="N12" i="114"/>
  <c r="J112" i="61"/>
  <c r="J90" i="61"/>
  <c r="N31" i="114"/>
  <c r="N32" i="114" s="1"/>
  <c r="H62" i="68"/>
  <c r="H60" i="68"/>
  <c r="H37" i="69"/>
  <c r="I12" i="67"/>
  <c r="I24" i="67" s="1"/>
  <c r="H24" i="67"/>
  <c r="H26" i="67" s="1"/>
  <c r="H65" i="68"/>
  <c r="H51" i="69"/>
  <c r="H68" i="68"/>
  <c r="H70" i="68"/>
  <c r="H47" i="69"/>
  <c r="H19" i="69"/>
  <c r="H43" i="67"/>
  <c r="H67" i="67" s="1"/>
  <c r="H41" i="67"/>
  <c r="H65" i="67" s="1"/>
  <c r="H42" i="67"/>
  <c r="H66" i="67" s="1"/>
  <c r="H36" i="67"/>
  <c r="H60" i="67" s="1"/>
  <c r="H40" i="67"/>
  <c r="H64" i="67" s="1"/>
  <c r="H44" i="67"/>
  <c r="H68" i="67" s="1"/>
  <c r="H45" i="67"/>
  <c r="H69" i="67" s="1"/>
  <c r="H48" i="67"/>
  <c r="H72" i="67" s="1"/>
  <c r="H37" i="67"/>
  <c r="H61" i="67" s="1"/>
  <c r="H39" i="67"/>
  <c r="H63" i="67" s="1"/>
  <c r="H46" i="67"/>
  <c r="H70" i="67" s="1"/>
  <c r="H38" i="67"/>
  <c r="H62" i="67" s="1"/>
  <c r="H48" i="68"/>
  <c r="H57" i="68"/>
  <c r="R305" i="82"/>
  <c r="Q237" i="82"/>
  <c r="D107" i="117"/>
  <c r="G203" i="117"/>
  <c r="Q163" i="117"/>
  <c r="E160" i="54"/>
  <c r="F160" i="54" s="1"/>
  <c r="E18" i="54"/>
  <c r="F43" i="55"/>
  <c r="F24" i="55"/>
  <c r="I125" i="55"/>
  <c r="L88" i="55"/>
  <c r="K28" i="152"/>
  <c r="L125" i="55"/>
  <c r="F88" i="55"/>
  <c r="F119" i="55"/>
  <c r="F308" i="150"/>
  <c r="F125" i="55"/>
  <c r="F82" i="55"/>
  <c r="F167" i="55"/>
  <c r="E182" i="55"/>
  <c r="L16" i="152"/>
  <c r="L27" i="152" s="1"/>
  <c r="L90" i="58"/>
  <c r="M15" i="152"/>
  <c r="I156" i="55"/>
  <c r="H115" i="55"/>
  <c r="H78" i="55"/>
  <c r="H165" i="55"/>
  <c r="H160" i="55"/>
  <c r="F124" i="55"/>
  <c r="E126" i="55"/>
  <c r="E106" i="55"/>
  <c r="E179" i="55"/>
  <c r="E147" i="55"/>
  <c r="E180" i="55"/>
  <c r="E89" i="55"/>
  <c r="F87" i="55"/>
  <c r="E52" i="150" l="1"/>
  <c r="F52" i="150" s="1"/>
  <c r="F53" i="150"/>
  <c r="E18" i="150"/>
  <c r="F18" i="150" s="1"/>
  <c r="I67" i="68"/>
  <c r="I58" i="68"/>
  <c r="I35" i="68" s="1"/>
  <c r="F11" i="150"/>
  <c r="I13" i="68"/>
  <c r="I36" i="68"/>
  <c r="R237" i="82"/>
  <c r="I42" i="58"/>
  <c r="E150" i="150"/>
  <c r="I12" i="58"/>
  <c r="E116" i="150"/>
  <c r="I33" i="69"/>
  <c r="I18" i="69"/>
  <c r="I15" i="69"/>
  <c r="E79" i="150"/>
  <c r="I36" i="69"/>
  <c r="F42" i="150"/>
  <c r="F52" i="58"/>
  <c r="G52" i="58" s="1"/>
  <c r="I72" i="67"/>
  <c r="I54" i="69"/>
  <c r="I61" i="68"/>
  <c r="I63" i="68"/>
  <c r="E19" i="54"/>
  <c r="I57" i="68"/>
  <c r="I69" i="67"/>
  <c r="I64" i="67"/>
  <c r="I60" i="68"/>
  <c r="I57" i="69"/>
  <c r="H97" i="61"/>
  <c r="I48" i="69"/>
  <c r="I70" i="68"/>
  <c r="I41" i="68"/>
  <c r="I62" i="67"/>
  <c r="I60" i="67"/>
  <c r="I62" i="68"/>
  <c r="I53" i="69"/>
  <c r="H137" i="61"/>
  <c r="F141" i="61"/>
  <c r="I70" i="67"/>
  <c r="I66" i="67"/>
  <c r="I68" i="68"/>
  <c r="I50" i="69"/>
  <c r="H120" i="61"/>
  <c r="I68" i="67"/>
  <c r="I18" i="68"/>
  <c r="I63" i="67"/>
  <c r="I65" i="67"/>
  <c r="I51" i="69"/>
  <c r="I49" i="69"/>
  <c r="I61" i="67"/>
  <c r="I67" i="67"/>
  <c r="I65" i="68"/>
  <c r="I69" i="68"/>
  <c r="I66" i="68"/>
  <c r="J133" i="61"/>
  <c r="K51" i="114"/>
  <c r="L50" i="114"/>
  <c r="L51" i="114" s="1"/>
  <c r="K55" i="114"/>
  <c r="O12" i="114"/>
  <c r="O13" i="114" s="1"/>
  <c r="N50" i="114"/>
  <c r="N13" i="114"/>
  <c r="I47" i="69"/>
  <c r="H56" i="69"/>
  <c r="H71" i="68"/>
  <c r="E161" i="54"/>
  <c r="F161" i="54" s="1"/>
  <c r="E90" i="150"/>
  <c r="G20" i="58"/>
  <c r="F19" i="150"/>
  <c r="F19" i="58"/>
  <c r="G19" i="58" s="1"/>
  <c r="F18" i="54"/>
  <c r="K29" i="152"/>
  <c r="F89" i="55"/>
  <c r="F126" i="55"/>
  <c r="N9" i="152"/>
  <c r="M90" i="58"/>
  <c r="L28" i="152"/>
  <c r="E148" i="55"/>
  <c r="E181" i="55"/>
  <c r="E107" i="55"/>
  <c r="M16" i="152"/>
  <c r="I165" i="55"/>
  <c r="H167" i="55"/>
  <c r="F104" i="55"/>
  <c r="H82" i="55"/>
  <c r="I78" i="55"/>
  <c r="I82" i="55" s="1"/>
  <c r="H87" i="55"/>
  <c r="K156" i="55"/>
  <c r="I160" i="55"/>
  <c r="H119" i="55"/>
  <c r="I115" i="55"/>
  <c r="F145" i="55"/>
  <c r="H124" i="55"/>
  <c r="I12" i="68" l="1"/>
  <c r="E57" i="150"/>
  <c r="F57" i="150" s="1"/>
  <c r="I21" i="68"/>
  <c r="I44" i="68"/>
  <c r="F150" i="150"/>
  <c r="F79" i="150"/>
  <c r="E89" i="150"/>
  <c r="F89" i="150" s="1"/>
  <c r="I32" i="69"/>
  <c r="I11" i="68"/>
  <c r="I47" i="68"/>
  <c r="E124" i="150"/>
  <c r="I20" i="58"/>
  <c r="I19" i="68"/>
  <c r="I34" i="69"/>
  <c r="I16" i="68"/>
  <c r="I25" i="67"/>
  <c r="I26" i="67" s="1"/>
  <c r="L42" i="58"/>
  <c r="E258" i="150"/>
  <c r="F258" i="150" s="1"/>
  <c r="F268" i="150" s="1"/>
  <c r="L12" i="58"/>
  <c r="E225" i="150"/>
  <c r="F225" i="150" s="1"/>
  <c r="E161" i="150"/>
  <c r="I53" i="58"/>
  <c r="I14" i="69"/>
  <c r="F57" i="58"/>
  <c r="C15" i="172" s="1"/>
  <c r="C53" i="172" s="1"/>
  <c r="C55" i="172" s="1"/>
  <c r="C56" i="172" s="1"/>
  <c r="F75" i="58"/>
  <c r="F85" i="58" s="1"/>
  <c r="G85" i="58" s="1"/>
  <c r="I34" i="68"/>
  <c r="I48" i="67"/>
  <c r="I14" i="68"/>
  <c r="I43" i="67"/>
  <c r="I44" i="67"/>
  <c r="I42" i="67"/>
  <c r="I38" i="68"/>
  <c r="I15" i="68"/>
  <c r="I41" i="67"/>
  <c r="I29" i="69"/>
  <c r="I11" i="69"/>
  <c r="I37" i="67"/>
  <c r="H141" i="61"/>
  <c r="I46" i="67"/>
  <c r="I35" i="69"/>
  <c r="I17" i="69"/>
  <c r="F90" i="150"/>
  <c r="I36" i="67"/>
  <c r="I39" i="67"/>
  <c r="H15" i="54"/>
  <c r="I71" i="68"/>
  <c r="I30" i="69"/>
  <c r="I12" i="69"/>
  <c r="I16" i="69"/>
  <c r="I45" i="67"/>
  <c r="H58" i="69"/>
  <c r="I38" i="67"/>
  <c r="I40" i="67"/>
  <c r="I20" i="68"/>
  <c r="I43" i="68"/>
  <c r="E21" i="54"/>
  <c r="E23" i="54" s="1"/>
  <c r="I23" i="68"/>
  <c r="I46" i="68"/>
  <c r="I13" i="69"/>
  <c r="I31" i="69"/>
  <c r="I24" i="68"/>
  <c r="I39" i="68"/>
  <c r="I38" i="69"/>
  <c r="F19" i="54"/>
  <c r="H73" i="68"/>
  <c r="I37" i="68"/>
  <c r="I42" i="68"/>
  <c r="I45" i="68"/>
  <c r="I22" i="68"/>
  <c r="I17" i="68"/>
  <c r="I40" i="68"/>
  <c r="N51" i="114"/>
  <c r="N52" i="114"/>
  <c r="O50" i="114"/>
  <c r="O51" i="114" s="1"/>
  <c r="N15" i="152"/>
  <c r="O9" i="152" s="1"/>
  <c r="L112" i="61"/>
  <c r="L90" i="61"/>
  <c r="Q12" i="114"/>
  <c r="Q31" i="114"/>
  <c r="H157" i="54"/>
  <c r="H160" i="54" s="1"/>
  <c r="I160" i="54" s="1"/>
  <c r="F86" i="58"/>
  <c r="E163" i="54"/>
  <c r="I10" i="69"/>
  <c r="I28" i="69"/>
  <c r="I56" i="69"/>
  <c r="E187" i="150"/>
  <c r="E160" i="150"/>
  <c r="F116" i="150"/>
  <c r="M27" i="152"/>
  <c r="E183" i="55"/>
  <c r="K78" i="55"/>
  <c r="L29" i="152"/>
  <c r="K115" i="55"/>
  <c r="I119" i="55"/>
  <c r="K160" i="55"/>
  <c r="L156" i="55"/>
  <c r="K165" i="55"/>
  <c r="I87" i="55"/>
  <c r="I89" i="55" s="1"/>
  <c r="H89" i="55"/>
  <c r="I167" i="55"/>
  <c r="F182" i="55"/>
  <c r="F106" i="55"/>
  <c r="F179" i="55"/>
  <c r="I124" i="55"/>
  <c r="H126" i="55"/>
  <c r="F180" i="55"/>
  <c r="F147" i="55"/>
  <c r="G75" i="58" l="1"/>
  <c r="E62" i="150"/>
  <c r="F62" i="150" s="1"/>
  <c r="F160" i="150"/>
  <c r="F161" i="150"/>
  <c r="C21" i="172"/>
  <c r="C17" i="172"/>
  <c r="I15" i="54"/>
  <c r="I25" i="68"/>
  <c r="F163" i="54"/>
  <c r="G86" i="58"/>
  <c r="E25" i="54"/>
  <c r="F25" i="54" s="1"/>
  <c r="C18" i="172"/>
  <c r="C22" i="172" s="1"/>
  <c r="F63" i="58"/>
  <c r="R4" i="162" s="1"/>
  <c r="R8" i="162" s="1"/>
  <c r="R11" i="162" s="1"/>
  <c r="R14" i="162" s="1"/>
  <c r="G57" i="58"/>
  <c r="G63" i="58" s="1"/>
  <c r="I37" i="69"/>
  <c r="I48" i="68"/>
  <c r="I58" i="69"/>
  <c r="J12" i="58"/>
  <c r="I19" i="69"/>
  <c r="E165" i="54"/>
  <c r="F165" i="54" s="1"/>
  <c r="H18" i="54"/>
  <c r="J42" i="58"/>
  <c r="F21" i="54"/>
  <c r="F23" i="54"/>
  <c r="I73" i="68"/>
  <c r="I157" i="54"/>
  <c r="N16" i="152"/>
  <c r="N27" i="152" s="1"/>
  <c r="H161" i="54"/>
  <c r="H163" i="54" s="1"/>
  <c r="H165" i="54" s="1"/>
  <c r="C29" i="172"/>
  <c r="O15" i="152"/>
  <c r="O16" i="152" s="1"/>
  <c r="O27" i="152" s="1"/>
  <c r="N112" i="61"/>
  <c r="S12" i="114"/>
  <c r="N90" i="61"/>
  <c r="S31" i="114"/>
  <c r="N14" i="114"/>
  <c r="N33" i="114"/>
  <c r="L78" i="55"/>
  <c r="L82" i="55" s="1"/>
  <c r="F187" i="150"/>
  <c r="E197" i="150"/>
  <c r="I52" i="58"/>
  <c r="K82" i="55"/>
  <c r="E232" i="150"/>
  <c r="L19" i="58"/>
  <c r="I75" i="58"/>
  <c r="E293" i="150"/>
  <c r="E268" i="150"/>
  <c r="E165" i="150"/>
  <c r="M28" i="152"/>
  <c r="F124" i="150"/>
  <c r="I126" i="55"/>
  <c r="E198" i="150"/>
  <c r="K87" i="55"/>
  <c r="F148" i="55"/>
  <c r="F107" i="55"/>
  <c r="L133" i="61"/>
  <c r="F181" i="55"/>
  <c r="Q50" i="114"/>
  <c r="L165" i="55"/>
  <c r="K167" i="55"/>
  <c r="L160" i="55"/>
  <c r="N156" i="55"/>
  <c r="K124" i="55"/>
  <c r="L115" i="55"/>
  <c r="K119" i="55"/>
  <c r="E67" i="150" l="1"/>
  <c r="F67" i="150" s="1"/>
  <c r="C31" i="172"/>
  <c r="C45" i="172"/>
  <c r="C28" i="172"/>
  <c r="C44" i="172"/>
  <c r="N28" i="152"/>
  <c r="L53" i="58"/>
  <c r="E269" i="150"/>
  <c r="O12" i="58"/>
  <c r="P42" i="58"/>
  <c r="O42" i="58"/>
  <c r="P12" i="58"/>
  <c r="L20" i="58"/>
  <c r="E233" i="150"/>
  <c r="G64" i="58"/>
  <c r="C23" i="172"/>
  <c r="C30" i="172" s="1"/>
  <c r="E167" i="54"/>
  <c r="F167" i="54" s="1"/>
  <c r="I18" i="54"/>
  <c r="J20" i="58"/>
  <c r="I163" i="54"/>
  <c r="I161" i="54"/>
  <c r="K157" i="54"/>
  <c r="K160" i="54" s="1"/>
  <c r="L160" i="54" s="1"/>
  <c r="O28" i="152"/>
  <c r="J53" i="58"/>
  <c r="J52" i="58"/>
  <c r="H19" i="54"/>
  <c r="N37" i="114"/>
  <c r="N35" i="114"/>
  <c r="N36" i="114" s="1"/>
  <c r="O14" i="114"/>
  <c r="N16" i="114"/>
  <c r="N18" i="114"/>
  <c r="F232" i="150"/>
  <c r="N18" i="54"/>
  <c r="F293" i="150"/>
  <c r="N78" i="55"/>
  <c r="F197" i="150"/>
  <c r="E303" i="150"/>
  <c r="M12" i="58"/>
  <c r="L75" i="58"/>
  <c r="J75" i="58"/>
  <c r="K89" i="55"/>
  <c r="L87" i="55"/>
  <c r="L89" i="55" s="1"/>
  <c r="L52" i="58"/>
  <c r="I57" i="58"/>
  <c r="E170" i="150"/>
  <c r="F165" i="150"/>
  <c r="I86" i="58"/>
  <c r="M42" i="58"/>
  <c r="F183" i="55"/>
  <c r="F198" i="150"/>
  <c r="M29" i="152"/>
  <c r="Q52" i="114"/>
  <c r="M19" i="58"/>
  <c r="L119" i="55"/>
  <c r="N115" i="55"/>
  <c r="G182" i="55"/>
  <c r="G183" i="55" s="1"/>
  <c r="L167" i="55"/>
  <c r="H167" i="54"/>
  <c r="I167" i="54" s="1"/>
  <c r="I165" i="54"/>
  <c r="L124" i="55"/>
  <c r="K126" i="55"/>
  <c r="N165" i="55"/>
  <c r="N167" i="55" s="1"/>
  <c r="H182" i="55" s="1"/>
  <c r="H183" i="55" s="1"/>
  <c r="N160" i="55"/>
  <c r="P156" i="55" s="1"/>
  <c r="M20" i="58" l="1"/>
  <c r="M52" i="58"/>
  <c r="M53" i="58"/>
  <c r="N29" i="152"/>
  <c r="C46" i="172"/>
  <c r="C49" i="172" s="1"/>
  <c r="Q18" i="54"/>
  <c r="P17" i="58"/>
  <c r="O17" i="58"/>
  <c r="O75" i="58"/>
  <c r="V42" i="58"/>
  <c r="V12" i="58"/>
  <c r="P47" i="58"/>
  <c r="O47" i="58"/>
  <c r="P75" i="58"/>
  <c r="Q42" i="58"/>
  <c r="T42" i="58"/>
  <c r="T12" i="58"/>
  <c r="L157" i="54"/>
  <c r="H21" i="54"/>
  <c r="I19" i="54"/>
  <c r="K15" i="54" s="1"/>
  <c r="D15" i="172"/>
  <c r="L85" i="58"/>
  <c r="N87" i="55"/>
  <c r="O29" i="152"/>
  <c r="N56" i="114"/>
  <c r="N17" i="114"/>
  <c r="O17" i="114" s="1"/>
  <c r="O16" i="114"/>
  <c r="N54" i="114"/>
  <c r="J57" i="58"/>
  <c r="I63" i="58"/>
  <c r="K161" i="54"/>
  <c r="M75" i="58"/>
  <c r="N82" i="55"/>
  <c r="J86" i="58"/>
  <c r="F303" i="150"/>
  <c r="G107" i="55"/>
  <c r="L57" i="58"/>
  <c r="E304" i="150"/>
  <c r="F269" i="150"/>
  <c r="E273" i="150"/>
  <c r="E172" i="150"/>
  <c r="F170" i="150"/>
  <c r="F233" i="150"/>
  <c r="F238" i="150" s="1"/>
  <c r="O18" i="54"/>
  <c r="N19" i="54"/>
  <c r="L86" i="58"/>
  <c r="G148" i="55"/>
  <c r="L126" i="55"/>
  <c r="Q14" i="114"/>
  <c r="Q33" i="114"/>
  <c r="N133" i="61"/>
  <c r="P165" i="55"/>
  <c r="P167" i="55" s="1"/>
  <c r="I182" i="55" s="1"/>
  <c r="I183" i="55" s="1"/>
  <c r="P160" i="55"/>
  <c r="N124" i="55"/>
  <c r="N119" i="55"/>
  <c r="S50" i="114"/>
  <c r="E15" i="172" l="1"/>
  <c r="E18" i="172" s="1"/>
  <c r="E22" i="172" s="1"/>
  <c r="E45" i="172" s="1"/>
  <c r="Q19" i="54"/>
  <c r="Q21" i="54" s="1"/>
  <c r="C47" i="172"/>
  <c r="D21" i="172"/>
  <c r="D44" i="172" s="1"/>
  <c r="D53" i="172"/>
  <c r="D55" i="172" s="1"/>
  <c r="D56" i="172" s="1"/>
  <c r="S4" i="162"/>
  <c r="S8" i="162" s="1"/>
  <c r="S11" i="162" s="1"/>
  <c r="S20" i="162" s="1"/>
  <c r="P53" i="58"/>
  <c r="O53" i="58"/>
  <c r="Q47" i="58"/>
  <c r="Q75" i="58"/>
  <c r="T75" i="58"/>
  <c r="N89" i="55"/>
  <c r="V75" i="58"/>
  <c r="Q17" i="58"/>
  <c r="M85" i="58"/>
  <c r="P20" i="58"/>
  <c r="O20" i="58"/>
  <c r="D18" i="172"/>
  <c r="D22" i="172" s="1"/>
  <c r="K18" i="54"/>
  <c r="L15" i="54"/>
  <c r="D17" i="172"/>
  <c r="P78" i="55"/>
  <c r="H23" i="54"/>
  <c r="I21" i="54"/>
  <c r="J63" i="58"/>
  <c r="Q49" i="114"/>
  <c r="O54" i="114"/>
  <c r="N55" i="114"/>
  <c r="M57" i="58"/>
  <c r="L63" i="58"/>
  <c r="K163" i="54"/>
  <c r="N157" i="54"/>
  <c r="L161" i="54"/>
  <c r="F304" i="150"/>
  <c r="E176" i="150"/>
  <c r="F172" i="150"/>
  <c r="E278" i="150"/>
  <c r="F273" i="150"/>
  <c r="O19" i="54"/>
  <c r="N21" i="54"/>
  <c r="R42" i="58"/>
  <c r="Q12" i="58"/>
  <c r="P115" i="55"/>
  <c r="N126" i="55"/>
  <c r="M86" i="58"/>
  <c r="S52" i="114"/>
  <c r="Q37" i="114"/>
  <c r="T47" i="58" s="1"/>
  <c r="Q18" i="114"/>
  <c r="E53" i="172" l="1"/>
  <c r="E55" i="172" s="1"/>
  <c r="E56" i="172" s="1"/>
  <c r="E17" i="172"/>
  <c r="E21" i="172"/>
  <c r="E44" i="172" s="1"/>
  <c r="E46" i="172" s="1"/>
  <c r="E28" i="172"/>
  <c r="S15" i="54"/>
  <c r="S18" i="54" s="1"/>
  <c r="M63" i="58"/>
  <c r="M64" i="58" s="1"/>
  <c r="T4" i="162"/>
  <c r="T8" i="162" s="1"/>
  <c r="T11" i="162" s="1"/>
  <c r="T20" i="162" s="1"/>
  <c r="F176" i="150"/>
  <c r="D31" i="172"/>
  <c r="D45" i="172"/>
  <c r="D46" i="172" s="1"/>
  <c r="H107" i="55"/>
  <c r="T20" i="58" s="1"/>
  <c r="D29" i="172"/>
  <c r="D28" i="172"/>
  <c r="R17" i="58"/>
  <c r="K19" i="54"/>
  <c r="L19" i="54" s="1"/>
  <c r="R75" i="58"/>
  <c r="Q20" i="58"/>
  <c r="R47" i="58"/>
  <c r="J64" i="58"/>
  <c r="P82" i="55"/>
  <c r="R12" i="58"/>
  <c r="Q53" i="58"/>
  <c r="D23" i="172"/>
  <c r="D30" i="172" s="1"/>
  <c r="P87" i="55"/>
  <c r="P80" i="58"/>
  <c r="O80" i="58"/>
  <c r="H25" i="54"/>
  <c r="I25" i="54" s="1"/>
  <c r="I23" i="54"/>
  <c r="L18" i="54"/>
  <c r="E31" i="172"/>
  <c r="Q30" i="114"/>
  <c r="Q11" i="114"/>
  <c r="Q51" i="114"/>
  <c r="N160" i="54"/>
  <c r="O157" i="54"/>
  <c r="K165" i="54"/>
  <c r="L163" i="54"/>
  <c r="O86" i="58"/>
  <c r="P86" i="58"/>
  <c r="Q23" i="54"/>
  <c r="S33" i="114"/>
  <c r="S37" i="114" s="1"/>
  <c r="V47" i="58" s="1"/>
  <c r="F278" i="150"/>
  <c r="E283" i="150"/>
  <c r="F283" i="150" s="1"/>
  <c r="P119" i="55"/>
  <c r="S14" i="114"/>
  <c r="S18" i="114" s="1"/>
  <c r="V17" i="58" s="1"/>
  <c r="N23" i="54"/>
  <c r="H148" i="55"/>
  <c r="T53" i="58" s="1"/>
  <c r="O21" i="54"/>
  <c r="P124" i="55"/>
  <c r="T17" i="58"/>
  <c r="Q56" i="114"/>
  <c r="E29" i="172" l="1"/>
  <c r="E23" i="172"/>
  <c r="E30" i="172" s="1"/>
  <c r="S19" i="54"/>
  <c r="S21" i="54" s="1"/>
  <c r="K21" i="54"/>
  <c r="D49" i="172"/>
  <c r="D47" i="172"/>
  <c r="E49" i="172"/>
  <c r="E47" i="172"/>
  <c r="P89" i="55"/>
  <c r="R53" i="58"/>
  <c r="P13" i="58"/>
  <c r="O13" i="58"/>
  <c r="R20" i="58"/>
  <c r="O160" i="54"/>
  <c r="Q80" i="58"/>
  <c r="Q13" i="114"/>
  <c r="Q16" i="114"/>
  <c r="Q32" i="114"/>
  <c r="Q35" i="114"/>
  <c r="Q36" i="114" s="1"/>
  <c r="N161" i="54"/>
  <c r="K167" i="54"/>
  <c r="L165" i="54"/>
  <c r="Q86" i="58"/>
  <c r="Q25" i="54"/>
  <c r="S56" i="114"/>
  <c r="T80" i="58"/>
  <c r="T86" i="58"/>
  <c r="V80" i="58"/>
  <c r="N25" i="54"/>
  <c r="O23" i="54"/>
  <c r="P126" i="55"/>
  <c r="L21" i="54" l="1"/>
  <c r="K23" i="54"/>
  <c r="I107" i="55"/>
  <c r="V20" i="58" s="1"/>
  <c r="L167" i="54"/>
  <c r="Q13" i="58"/>
  <c r="R80" i="58"/>
  <c r="N163" i="54"/>
  <c r="Q17" i="114"/>
  <c r="Q54" i="114"/>
  <c r="Q157" i="54"/>
  <c r="Q160" i="54" s="1"/>
  <c r="O161" i="54"/>
  <c r="R86" i="58"/>
  <c r="T13" i="58"/>
  <c r="S23" i="54"/>
  <c r="I148" i="55"/>
  <c r="V53" i="58" s="1"/>
  <c r="O25" i="54"/>
  <c r="L23" i="54" l="1"/>
  <c r="K25" i="54"/>
  <c r="L25" i="54" s="1"/>
  <c r="R13" i="58"/>
  <c r="N165" i="54"/>
  <c r="O165" i="54" s="1"/>
  <c r="O163" i="54"/>
  <c r="Q161" i="54"/>
  <c r="Q55" i="114"/>
  <c r="S49" i="114"/>
  <c r="S25" i="54"/>
  <c r="V86" i="58"/>
  <c r="N167" i="54" l="1"/>
  <c r="O167" i="54" s="1"/>
  <c r="Q163" i="54"/>
  <c r="S157" i="54"/>
  <c r="S160" i="54" s="1"/>
  <c r="S11" i="114"/>
  <c r="S30" i="114"/>
  <c r="S51" i="114"/>
  <c r="V13" i="58"/>
  <c r="F40" i="160"/>
  <c r="P43" i="58" l="1"/>
  <c r="P76" i="58" s="1"/>
  <c r="O43" i="58"/>
  <c r="O76" i="58" s="1"/>
  <c r="S161" i="54"/>
  <c r="Q165" i="54"/>
  <c r="Q167" i="54" s="1"/>
  <c r="F14" i="103"/>
  <c r="S35" i="114"/>
  <c r="S36" i="114" s="1"/>
  <c r="S32" i="114"/>
  <c r="S16" i="114"/>
  <c r="S13" i="114"/>
  <c r="D124" i="88"/>
  <c r="E124" i="88"/>
  <c r="Q43" i="58" l="1"/>
  <c r="R43" i="58" s="1"/>
  <c r="Q76" i="58"/>
  <c r="D146" i="88"/>
  <c r="E146" i="88"/>
  <c r="N14" i="103"/>
  <c r="N22" i="103" s="1"/>
  <c r="N45" i="103" s="1"/>
  <c r="N52" i="103" s="1"/>
  <c r="T43" i="58"/>
  <c r="S163" i="54"/>
  <c r="S17" i="114"/>
  <c r="S54" i="114"/>
  <c r="F124" i="88"/>
  <c r="R76" i="58" l="1"/>
  <c r="F146" i="88"/>
  <c r="S165" i="54"/>
  <c r="S55" i="114"/>
  <c r="T76" i="58"/>
  <c r="G124" i="88"/>
  <c r="G146" i="88" l="1"/>
  <c r="S167" i="54"/>
  <c r="V43" i="58" s="1"/>
  <c r="H124" i="88"/>
  <c r="H146" i="88" l="1"/>
  <c r="V76" i="58"/>
  <c r="I124" i="88"/>
  <c r="I146" i="88" l="1"/>
  <c r="J124" i="88"/>
  <c r="J146" i="88" l="1"/>
  <c r="K124" i="88"/>
  <c r="L124" i="88"/>
  <c r="K146" i="88" l="1"/>
  <c r="L146" i="88"/>
  <c r="M124" i="88"/>
  <c r="M146" i="88" l="1"/>
  <c r="N124" i="88"/>
  <c r="N146" i="88" l="1"/>
  <c r="T62" i="73"/>
  <c r="T63" i="73"/>
  <c r="T64" i="73"/>
  <c r="T65" i="73"/>
  <c r="T66" i="73"/>
  <c r="L68" i="73"/>
  <c r="U66" i="73" l="1"/>
  <c r="U65" i="73"/>
  <c r="U64" i="73"/>
  <c r="U63" i="73"/>
  <c r="U62" i="73"/>
  <c r="AN39" i="159"/>
  <c r="AN40" i="159" s="1"/>
  <c r="O233" i="88"/>
  <c r="T61" i="73"/>
  <c r="U61" i="73" l="1"/>
  <c r="AO39" i="159"/>
  <c r="P116" i="88" l="1"/>
  <c r="D66" i="72" s="1"/>
  <c r="C124" i="88"/>
  <c r="R66" i="72" l="1"/>
  <c r="L6" i="166"/>
  <c r="L13" i="166" s="1"/>
  <c r="L30" i="166" s="1"/>
  <c r="L66" i="72"/>
  <c r="N66" i="72" s="1"/>
  <c r="D74" i="72"/>
  <c r="L74" i="72" s="1"/>
  <c r="N74" i="72" s="1"/>
  <c r="Q66" i="72"/>
  <c r="C146" i="88"/>
  <c r="Q41" i="117"/>
  <c r="P124" i="88"/>
  <c r="P146" i="88" s="1"/>
  <c r="G13" i="88"/>
  <c r="D91" i="72" l="1"/>
  <c r="D97" i="72" s="1"/>
  <c r="D98" i="72" s="1"/>
  <c r="G20" i="88"/>
  <c r="L97" i="72" l="1"/>
  <c r="L91" i="72"/>
  <c r="N91" i="72" s="1"/>
  <c r="F14" i="121"/>
  <c r="F16" i="121" s="1"/>
  <c r="F18" i="121" s="1"/>
  <c r="G52" i="88"/>
  <c r="D29" i="130"/>
  <c r="G53" i="88" l="1"/>
  <c r="N302" i="117"/>
  <c r="P302" i="117"/>
  <c r="L302" i="117"/>
  <c r="M302" i="117" l="1"/>
  <c r="O302" i="117"/>
  <c r="F312" i="82" l="1"/>
  <c r="F314" i="117"/>
  <c r="Q136" i="117"/>
  <c r="F351" i="82" s="1"/>
  <c r="G351" i="82" s="1"/>
  <c r="K302" i="117"/>
  <c r="Q302" i="117" s="1"/>
  <c r="Q115" i="117"/>
  <c r="Q329" i="117"/>
  <c r="Q20" i="122" l="1"/>
  <c r="G312" i="82"/>
  <c r="F244" i="82"/>
  <c r="G314" i="117"/>
  <c r="H314" i="117"/>
  <c r="J314" i="117"/>
  <c r="Q149" i="117"/>
  <c r="Q316" i="117"/>
  <c r="F359" i="82" l="1"/>
  <c r="G359" i="82" s="1"/>
  <c r="D149" i="117"/>
  <c r="G244" i="82"/>
  <c r="K314" i="117"/>
  <c r="L314" i="117"/>
  <c r="I314" i="117"/>
  <c r="M314" i="117"/>
  <c r="N359" i="82" l="1"/>
  <c r="Q359" i="82" s="1"/>
  <c r="Q25" i="122"/>
  <c r="N26" i="122"/>
  <c r="N314" i="117"/>
  <c r="O314" i="117"/>
  <c r="R359" i="82" l="1"/>
  <c r="H211" i="117" s="1"/>
  <c r="O26" i="122"/>
  <c r="Q132" i="117"/>
  <c r="P314" i="117"/>
  <c r="N48" i="122"/>
  <c r="O51" i="122"/>
  <c r="G12" i="98"/>
  <c r="G13" i="98" s="1"/>
  <c r="N42" i="122" l="1"/>
  <c r="N50" i="122"/>
  <c r="N49" i="122"/>
  <c r="O42" i="122" l="1"/>
  <c r="E38" i="90"/>
  <c r="N52" i="122"/>
  <c r="N44" i="122"/>
  <c r="E40" i="90" l="1"/>
  <c r="N38" i="90"/>
  <c r="N40" i="90" s="1"/>
  <c r="F38" i="90"/>
  <c r="F22" i="130"/>
  <c r="F25" i="130" l="1"/>
  <c r="F30" i="130" s="1"/>
  <c r="F32" i="130" s="1"/>
  <c r="F34" i="130"/>
  <c r="F26" i="130"/>
  <c r="F40" i="90"/>
  <c r="I38" i="90"/>
  <c r="J38" i="90" l="1"/>
  <c r="J40" i="90" s="1"/>
  <c r="I40" i="90"/>
  <c r="K38" i="90"/>
  <c r="F31" i="130"/>
  <c r="F33" i="130" s="1"/>
  <c r="L15" i="111"/>
  <c r="L19" i="111"/>
  <c r="K14" i="111"/>
  <c r="K18" i="111"/>
  <c r="L14" i="111"/>
  <c r="L18" i="111"/>
  <c r="K13" i="111"/>
  <c r="K17" i="111"/>
  <c r="K15" i="111"/>
  <c r="M15" i="111" s="1"/>
  <c r="L13" i="111"/>
  <c r="L16" i="111"/>
  <c r="L17" i="111"/>
  <c r="F183" i="111"/>
  <c r="N183" i="111"/>
  <c r="I184" i="111"/>
  <c r="D185" i="111"/>
  <c r="L185" i="111"/>
  <c r="G186" i="111"/>
  <c r="J187" i="111"/>
  <c r="E188" i="111"/>
  <c r="M188" i="111"/>
  <c r="H189" i="111"/>
  <c r="G183" i="111"/>
  <c r="J184" i="111"/>
  <c r="E185" i="111"/>
  <c r="M185" i="111"/>
  <c r="H186" i="111"/>
  <c r="C187" i="111"/>
  <c r="K187" i="111"/>
  <c r="F188" i="111"/>
  <c r="N188" i="111"/>
  <c r="I189" i="111"/>
  <c r="K16" i="111"/>
  <c r="K183" i="111"/>
  <c r="H184" i="111"/>
  <c r="G185" i="111"/>
  <c r="D186" i="111"/>
  <c r="N186" i="111"/>
  <c r="M187" i="111"/>
  <c r="J188" i="111"/>
  <c r="G189" i="111"/>
  <c r="L183" i="111"/>
  <c r="K184" i="111"/>
  <c r="H185" i="111"/>
  <c r="E186" i="111"/>
  <c r="D187" i="111"/>
  <c r="N187" i="111"/>
  <c r="K188" i="111"/>
  <c r="J189" i="111"/>
  <c r="E183" i="111"/>
  <c r="F184" i="111"/>
  <c r="I185" i="111"/>
  <c r="J186" i="111"/>
  <c r="I187" i="111"/>
  <c r="L188" i="111"/>
  <c r="M189" i="111"/>
  <c r="H183" i="111"/>
  <c r="G184" i="111"/>
  <c r="J185" i="111"/>
  <c r="K186" i="111"/>
  <c r="L187" i="111"/>
  <c r="N189" i="111"/>
  <c r="K19" i="111"/>
  <c r="J183" i="111"/>
  <c r="I186" i="111"/>
  <c r="C188" i="111"/>
  <c r="F189" i="111"/>
  <c r="M183" i="111"/>
  <c r="C185" i="111"/>
  <c r="L186" i="111"/>
  <c r="D188" i="111"/>
  <c r="K189" i="111"/>
  <c r="C184" i="111"/>
  <c r="F185" i="111"/>
  <c r="M186" i="111"/>
  <c r="G188" i="111"/>
  <c r="L189" i="111"/>
  <c r="D184" i="111"/>
  <c r="K185" i="111"/>
  <c r="E187" i="111"/>
  <c r="H188" i="111"/>
  <c r="L184" i="111"/>
  <c r="G187" i="111"/>
  <c r="M184" i="111"/>
  <c r="H187" i="111"/>
  <c r="C189" i="111"/>
  <c r="N184" i="111"/>
  <c r="C183" i="111"/>
  <c r="N185" i="111"/>
  <c r="I188" i="111"/>
  <c r="C186" i="111"/>
  <c r="F186" i="111"/>
  <c r="D183" i="111"/>
  <c r="I183" i="111"/>
  <c r="E184" i="111"/>
  <c r="F187" i="111"/>
  <c r="E189" i="111"/>
  <c r="D189" i="111"/>
  <c r="M18" i="111" l="1"/>
  <c r="M14" i="111"/>
  <c r="O187" i="111"/>
  <c r="O188" i="111"/>
  <c r="K191" i="111"/>
  <c r="H191" i="111"/>
  <c r="M16" i="111"/>
  <c r="C191" i="111"/>
  <c r="O183" i="111"/>
  <c r="J191" i="111"/>
  <c r="M17" i="111"/>
  <c r="K25" i="111"/>
  <c r="K29" i="111"/>
  <c r="K33" i="111"/>
  <c r="K37" i="111"/>
  <c r="L25" i="111"/>
  <c r="L29" i="111"/>
  <c r="L33" i="111"/>
  <c r="L37" i="111"/>
  <c r="K24" i="111"/>
  <c r="K28" i="111"/>
  <c r="K32" i="111"/>
  <c r="K36" i="111"/>
  <c r="L24" i="111"/>
  <c r="L28" i="111"/>
  <c r="L32" i="111"/>
  <c r="L36" i="111"/>
  <c r="L30" i="111"/>
  <c r="L38" i="111"/>
  <c r="K23" i="111"/>
  <c r="K31" i="111"/>
  <c r="K26" i="111"/>
  <c r="F194" i="111"/>
  <c r="N194" i="111"/>
  <c r="I195" i="111"/>
  <c r="D196" i="111"/>
  <c r="L196" i="111"/>
  <c r="G197" i="111"/>
  <c r="J198" i="111"/>
  <c r="E199" i="111"/>
  <c r="M199" i="111"/>
  <c r="H200" i="111"/>
  <c r="C201" i="111"/>
  <c r="K201" i="111"/>
  <c r="F202" i="111"/>
  <c r="N202" i="111"/>
  <c r="I203" i="111"/>
  <c r="D204" i="111"/>
  <c r="L204" i="111"/>
  <c r="G205" i="111"/>
  <c r="J206" i="111"/>
  <c r="E207" i="111"/>
  <c r="M207" i="111"/>
  <c r="H208" i="111"/>
  <c r="C209" i="111"/>
  <c r="K209" i="111"/>
  <c r="L23" i="111"/>
  <c r="L26" i="111"/>
  <c r="G194" i="111"/>
  <c r="J195" i="111"/>
  <c r="E196" i="111"/>
  <c r="M196" i="111"/>
  <c r="H197" i="111"/>
  <c r="C198" i="111"/>
  <c r="K198" i="111"/>
  <c r="F199" i="111"/>
  <c r="N199" i="111"/>
  <c r="I200" i="111"/>
  <c r="D201" i="111"/>
  <c r="L201" i="111"/>
  <c r="G202" i="111"/>
  <c r="J203" i="111"/>
  <c r="E204" i="111"/>
  <c r="M204" i="111"/>
  <c r="H205" i="111"/>
  <c r="C206" i="111"/>
  <c r="K206" i="111"/>
  <c r="F207" i="111"/>
  <c r="N207" i="111"/>
  <c r="I208" i="111"/>
  <c r="D209" i="111"/>
  <c r="L209" i="111"/>
  <c r="C194" i="111"/>
  <c r="M194" i="111"/>
  <c r="L195" i="111"/>
  <c r="I196" i="111"/>
  <c r="F197" i="111"/>
  <c r="E198" i="111"/>
  <c r="L199" i="111"/>
  <c r="K200" i="111"/>
  <c r="H201" i="111"/>
  <c r="E202" i="111"/>
  <c r="D203" i="111"/>
  <c r="N203" i="111"/>
  <c r="K204" i="111"/>
  <c r="J205" i="111"/>
  <c r="G206" i="111"/>
  <c r="D207" i="111"/>
  <c r="C208" i="111"/>
  <c r="M208" i="111"/>
  <c r="J209" i="111"/>
  <c r="K34" i="111"/>
  <c r="K38" i="111"/>
  <c r="D194" i="111"/>
  <c r="C195" i="111"/>
  <c r="M195" i="111"/>
  <c r="J196" i="111"/>
  <c r="I197" i="111"/>
  <c r="F198" i="111"/>
  <c r="C199" i="111"/>
  <c r="L200" i="111"/>
  <c r="I201" i="111"/>
  <c r="H202" i="111"/>
  <c r="E203" i="111"/>
  <c r="N204" i="111"/>
  <c r="K205" i="111"/>
  <c r="H206" i="111"/>
  <c r="G207" i="111"/>
  <c r="D208" i="111"/>
  <c r="N208" i="111"/>
  <c r="M209" i="111"/>
  <c r="K30" i="111"/>
  <c r="L31" i="111"/>
  <c r="D195" i="111"/>
  <c r="C196" i="111"/>
  <c r="D197" i="111"/>
  <c r="G198" i="111"/>
  <c r="H199" i="111"/>
  <c r="G200" i="111"/>
  <c r="J201" i="111"/>
  <c r="K202" i="111"/>
  <c r="L203" i="111"/>
  <c r="N205" i="111"/>
  <c r="E208" i="111"/>
  <c r="F209" i="111"/>
  <c r="E195" i="111"/>
  <c r="F196" i="111"/>
  <c r="E197" i="111"/>
  <c r="H198" i="111"/>
  <c r="I199" i="111"/>
  <c r="J200" i="111"/>
  <c r="M201" i="111"/>
  <c r="L202" i="111"/>
  <c r="M203" i="111"/>
  <c r="C205" i="111"/>
  <c r="D206" i="111"/>
  <c r="C207" i="111"/>
  <c r="F208" i="111"/>
  <c r="G209" i="111"/>
  <c r="L34" i="111"/>
  <c r="G195" i="111"/>
  <c r="N196" i="111"/>
  <c r="D198" i="111"/>
  <c r="K199" i="111"/>
  <c r="E201" i="111"/>
  <c r="J202" i="111"/>
  <c r="F204" i="111"/>
  <c r="I205" i="111"/>
  <c r="N206" i="111"/>
  <c r="J208" i="111"/>
  <c r="K35" i="111"/>
  <c r="E194" i="111"/>
  <c r="H195" i="111"/>
  <c r="I198" i="111"/>
  <c r="C200" i="111"/>
  <c r="F201" i="111"/>
  <c r="M202" i="111"/>
  <c r="G204" i="111"/>
  <c r="L205" i="111"/>
  <c r="L35" i="111"/>
  <c r="H194" i="111"/>
  <c r="K195" i="111"/>
  <c r="C197" i="111"/>
  <c r="L198" i="111"/>
  <c r="D200" i="111"/>
  <c r="G201" i="111"/>
  <c r="C203" i="111"/>
  <c r="H204" i="111"/>
  <c r="M205" i="111"/>
  <c r="I207" i="111"/>
  <c r="L208" i="111"/>
  <c r="K27" i="111"/>
  <c r="I194" i="111"/>
  <c r="N197" i="111"/>
  <c r="M200" i="111"/>
  <c r="F203" i="111"/>
  <c r="E205" i="111"/>
  <c r="J207" i="111"/>
  <c r="H209" i="111"/>
  <c r="K194" i="111"/>
  <c r="G196" i="111"/>
  <c r="M198" i="111"/>
  <c r="N200" i="111"/>
  <c r="G203" i="111"/>
  <c r="F205" i="111"/>
  <c r="K207" i="111"/>
  <c r="I209" i="111"/>
  <c r="I206" i="111"/>
  <c r="H196" i="111"/>
  <c r="N198" i="111"/>
  <c r="H203" i="111"/>
  <c r="E206" i="111"/>
  <c r="L207" i="111"/>
  <c r="N209" i="111"/>
  <c r="J197" i="111"/>
  <c r="C204" i="111"/>
  <c r="L27" i="111"/>
  <c r="J194" i="111"/>
  <c r="K196" i="111"/>
  <c r="D199" i="111"/>
  <c r="N201" i="111"/>
  <c r="K203" i="111"/>
  <c r="F206" i="111"/>
  <c r="G199" i="111"/>
  <c r="G208" i="111"/>
  <c r="N195" i="111"/>
  <c r="D202" i="111"/>
  <c r="K208" i="111"/>
  <c r="L206" i="111"/>
  <c r="M206" i="111"/>
  <c r="K197" i="111"/>
  <c r="I202" i="111"/>
  <c r="J199" i="111"/>
  <c r="L194" i="111"/>
  <c r="C202" i="111"/>
  <c r="L197" i="111"/>
  <c r="I204" i="111"/>
  <c r="E209" i="111"/>
  <c r="D205" i="111"/>
  <c r="F195" i="111"/>
  <c r="H207" i="111"/>
  <c r="M197" i="111"/>
  <c r="J204" i="111"/>
  <c r="E200" i="111"/>
  <c r="F200" i="111"/>
  <c r="O184" i="111"/>
  <c r="G191" i="111"/>
  <c r="M13" i="111"/>
  <c r="K20" i="111"/>
  <c r="L38" i="90"/>
  <c r="L40" i="90" s="1"/>
  <c r="K40" i="90"/>
  <c r="M191" i="111"/>
  <c r="O186" i="111"/>
  <c r="E191" i="111"/>
  <c r="L20" i="111"/>
  <c r="I191" i="111"/>
  <c r="O189" i="111"/>
  <c r="N191" i="111"/>
  <c r="L191" i="111"/>
  <c r="M19" i="111"/>
  <c r="D191" i="111"/>
  <c r="O185" i="111"/>
  <c r="F191" i="111"/>
  <c r="M30" i="111" l="1"/>
  <c r="O208" i="111"/>
  <c r="G211" i="111"/>
  <c r="G213" i="111" s="1"/>
  <c r="M38" i="111"/>
  <c r="O205" i="111"/>
  <c r="F211" i="111"/>
  <c r="F213" i="111" s="1"/>
  <c r="I211" i="111"/>
  <c r="I213" i="111" s="1"/>
  <c r="O209" i="111"/>
  <c r="M31" i="111"/>
  <c r="M36" i="111"/>
  <c r="M37" i="111"/>
  <c r="H211" i="111"/>
  <c r="H213" i="111" s="1"/>
  <c r="O194" i="111"/>
  <c r="C211" i="111"/>
  <c r="M35" i="111"/>
  <c r="O195" i="111"/>
  <c r="L39" i="111"/>
  <c r="L40" i="111" s="1"/>
  <c r="O191" i="111"/>
  <c r="J211" i="111"/>
  <c r="J213" i="111" s="1"/>
  <c r="D211" i="111"/>
  <c r="D213" i="111" s="1"/>
  <c r="O198" i="111"/>
  <c r="M20" i="111"/>
  <c r="O204" i="111"/>
  <c r="M27" i="111"/>
  <c r="O199" i="111"/>
  <c r="M34" i="111"/>
  <c r="K39" i="111"/>
  <c r="K40" i="111" s="1"/>
  <c r="M23" i="111"/>
  <c r="M32" i="111"/>
  <c r="M33" i="111"/>
  <c r="O207" i="111"/>
  <c r="O201" i="111"/>
  <c r="E211" i="111"/>
  <c r="E213" i="111" s="1"/>
  <c r="O203" i="111"/>
  <c r="L211" i="111"/>
  <c r="L213" i="111" s="1"/>
  <c r="K211" i="111"/>
  <c r="K213" i="111" s="1"/>
  <c r="O197" i="111"/>
  <c r="O200" i="111"/>
  <c r="O196" i="111"/>
  <c r="M28" i="111"/>
  <c r="M29" i="111"/>
  <c r="N211" i="111"/>
  <c r="N213" i="111" s="1"/>
  <c r="O202" i="111"/>
  <c r="M26" i="111"/>
  <c r="M211" i="111"/>
  <c r="M213" i="111" s="1"/>
  <c r="O206" i="111"/>
  <c r="M24" i="111"/>
  <c r="M25" i="111"/>
  <c r="M39" i="111" l="1"/>
  <c r="M40" i="111" s="1"/>
  <c r="O211" i="111"/>
  <c r="C213" i="111"/>
  <c r="O213" i="111" s="1"/>
  <c r="E314" i="117" l="1"/>
  <c r="Q314" i="117" s="1"/>
  <c r="E167" i="117"/>
  <c r="F167" i="117"/>
  <c r="G167" i="117"/>
  <c r="H167" i="117"/>
  <c r="I167" i="117"/>
  <c r="J167" i="117"/>
  <c r="K167" i="117"/>
  <c r="L167" i="117"/>
  <c r="M167" i="117"/>
  <c r="N167" i="117"/>
  <c r="O167" i="117"/>
  <c r="P167" i="117"/>
  <c r="Q342" i="117"/>
  <c r="I330" i="117" s="1"/>
  <c r="Q167" i="117" l="1"/>
  <c r="F390" i="82" s="1"/>
  <c r="G390" i="82" s="1"/>
  <c r="I150" i="117"/>
  <c r="I334" i="117"/>
  <c r="P330" i="117"/>
  <c r="H330" i="117"/>
  <c r="O330" i="117"/>
  <c r="G330" i="117"/>
  <c r="N330" i="117"/>
  <c r="F330" i="117"/>
  <c r="M330" i="117"/>
  <c r="E330" i="117"/>
  <c r="L330" i="117"/>
  <c r="K330" i="117"/>
  <c r="J330" i="117"/>
  <c r="S20" i="122" l="1"/>
  <c r="K150" i="117"/>
  <c r="K334" i="117"/>
  <c r="J150" i="117"/>
  <c r="J334" i="117"/>
  <c r="H150" i="117"/>
  <c r="H334" i="117"/>
  <c r="G150" i="117"/>
  <c r="G334" i="117"/>
  <c r="O150" i="117"/>
  <c r="O334" i="117"/>
  <c r="L150" i="117"/>
  <c r="L334" i="117"/>
  <c r="P150" i="117"/>
  <c r="P334" i="117"/>
  <c r="F150" i="117"/>
  <c r="F334" i="117"/>
  <c r="E150" i="117"/>
  <c r="Q330" i="117"/>
  <c r="Q334" i="117" s="1"/>
  <c r="E334" i="117"/>
  <c r="M150" i="117"/>
  <c r="M334" i="117"/>
  <c r="N150" i="117"/>
  <c r="N334" i="117"/>
  <c r="I152" i="117"/>
  <c r="I154" i="117" l="1"/>
  <c r="I155" i="117" s="1"/>
  <c r="F152" i="117"/>
  <c r="G152" i="117"/>
  <c r="P152" i="117"/>
  <c r="P154" i="117" s="1"/>
  <c r="H152" i="117"/>
  <c r="M152" i="117"/>
  <c r="M154" i="117" s="1"/>
  <c r="J152" i="117"/>
  <c r="L152" i="117"/>
  <c r="L154" i="117" s="1"/>
  <c r="N152" i="117"/>
  <c r="Q150" i="117"/>
  <c r="E152" i="117"/>
  <c r="E154" i="117" s="1"/>
  <c r="O152" i="117"/>
  <c r="O154" i="117" s="1"/>
  <c r="K152" i="117"/>
  <c r="K154" i="117" s="1"/>
  <c r="F360" i="82" l="1"/>
  <c r="G360" i="82" s="1"/>
  <c r="L155" i="117"/>
  <c r="N154" i="117"/>
  <c r="N155" i="117" s="1"/>
  <c r="K155" i="117"/>
  <c r="G154" i="117"/>
  <c r="G155" i="117" s="1"/>
  <c r="J154" i="117"/>
  <c r="J155" i="117" s="1"/>
  <c r="M155" i="117"/>
  <c r="O155" i="117"/>
  <c r="P155" i="117"/>
  <c r="F154" i="117"/>
  <c r="F155" i="117" s="1"/>
  <c r="H154" i="117"/>
  <c r="H155" i="117" s="1"/>
  <c r="Q152" i="117"/>
  <c r="F362" i="82" s="1"/>
  <c r="G362" i="82" s="1"/>
  <c r="E155" i="117"/>
  <c r="N360" i="82" l="1"/>
  <c r="Q360" i="82" s="1"/>
  <c r="Q24" i="122"/>
  <c r="Q154" i="117"/>
  <c r="F366" i="82"/>
  <c r="Q155" i="117"/>
  <c r="Q26" i="122"/>
  <c r="D150" i="117"/>
  <c r="G366" i="82"/>
  <c r="Q37" i="122" l="1"/>
  <c r="Q40" i="122" s="1"/>
  <c r="R360" i="82"/>
  <c r="H213" i="117" s="1"/>
  <c r="F367" i="82"/>
  <c r="D177" i="117"/>
  <c r="Q38" i="122" l="1"/>
  <c r="Q32" i="117"/>
  <c r="F45" i="82" s="1"/>
  <c r="G45" i="82" s="1"/>
  <c r="E33" i="117"/>
  <c r="F33" i="117"/>
  <c r="F16" i="117" s="1"/>
  <c r="G33" i="117"/>
  <c r="G16" i="117" s="1"/>
  <c r="H33" i="117"/>
  <c r="H16" i="117" s="1"/>
  <c r="I33" i="117"/>
  <c r="I16" i="117" s="1"/>
  <c r="J33" i="117"/>
  <c r="J16" i="117" s="1"/>
  <c r="K33" i="117"/>
  <c r="K16" i="117" s="1"/>
  <c r="L33" i="117"/>
  <c r="L16" i="117" s="1"/>
  <c r="M33" i="117"/>
  <c r="M16" i="117" s="1"/>
  <c r="N33" i="117"/>
  <c r="N16" i="117" s="1"/>
  <c r="O33" i="117"/>
  <c r="O16" i="117" s="1"/>
  <c r="P33" i="117"/>
  <c r="P16" i="117" s="1"/>
  <c r="E237" i="117"/>
  <c r="E238" i="117" s="1"/>
  <c r="F237" i="117"/>
  <c r="F238" i="117" s="1"/>
  <c r="G237" i="117"/>
  <c r="G238" i="117" s="1"/>
  <c r="H237" i="117"/>
  <c r="H238" i="117" s="1"/>
  <c r="I237" i="117"/>
  <c r="I238" i="117" s="1"/>
  <c r="J237" i="117"/>
  <c r="J238" i="117" s="1"/>
  <c r="K237" i="117"/>
  <c r="K238" i="117" s="1"/>
  <c r="L237" i="117"/>
  <c r="L238" i="117" s="1"/>
  <c r="M237" i="117"/>
  <c r="M238" i="117" s="1"/>
  <c r="N237" i="117"/>
  <c r="N238" i="117" s="1"/>
  <c r="O237" i="117"/>
  <c r="O238" i="117" s="1"/>
  <c r="P237" i="117"/>
  <c r="P238" i="117" s="1"/>
  <c r="M45" i="82" l="1"/>
  <c r="D32" i="117" s="1"/>
  <c r="E34" i="122"/>
  <c r="G64" i="82"/>
  <c r="M64" i="82" s="1"/>
  <c r="R45" i="82"/>
  <c r="F64" i="82"/>
  <c r="E16" i="117"/>
  <c r="Q16" i="117" s="1"/>
  <c r="Q33" i="117"/>
  <c r="Q237" i="117"/>
  <c r="Q238" i="117"/>
  <c r="E37" i="122" l="1"/>
  <c r="E38" i="122" s="1"/>
  <c r="F34" i="122"/>
  <c r="F37" i="122" s="1"/>
  <c r="R64" i="82"/>
  <c r="R65" i="82"/>
  <c r="E8" i="136"/>
  <c r="F65" i="82"/>
  <c r="E40" i="122" l="1"/>
  <c r="F38" i="122"/>
  <c r="E9" i="136"/>
  <c r="E11" i="136"/>
  <c r="F40" i="122" l="1"/>
  <c r="E12" i="136"/>
  <c r="E13" i="136" l="1"/>
  <c r="F22" i="58" l="1"/>
  <c r="E21" i="150"/>
  <c r="E14" i="136"/>
  <c r="E24" i="150" l="1"/>
  <c r="E27" i="150" s="1"/>
  <c r="E15" i="136"/>
  <c r="E92" i="150"/>
  <c r="F21" i="150"/>
  <c r="G22" i="58"/>
  <c r="F88" i="58"/>
  <c r="F25" i="58"/>
  <c r="F24" i="150" l="1"/>
  <c r="E95" i="150"/>
  <c r="E100" i="150" s="1"/>
  <c r="F92" i="150"/>
  <c r="F27" i="150"/>
  <c r="E32" i="150"/>
  <c r="F32" i="150" s="1"/>
  <c r="F28" i="58"/>
  <c r="G25" i="58"/>
  <c r="F91" i="58"/>
  <c r="G88" i="58"/>
  <c r="C4" i="172" l="1"/>
  <c r="C37" i="172" s="1"/>
  <c r="C38" i="172" s="1"/>
  <c r="F30" i="58"/>
  <c r="K4" i="162" s="1"/>
  <c r="F95" i="150"/>
  <c r="F100" i="150"/>
  <c r="E4" i="156"/>
  <c r="F4" i="156" s="1"/>
  <c r="F6" i="156" s="1"/>
  <c r="E105" i="150"/>
  <c r="G28" i="58"/>
  <c r="G91" i="58"/>
  <c r="F97" i="58"/>
  <c r="K8" i="162" l="1"/>
  <c r="K11" i="162" s="1"/>
  <c r="D4" i="162"/>
  <c r="D8" i="162" s="1"/>
  <c r="C7" i="172"/>
  <c r="G30" i="58"/>
  <c r="F101" i="58"/>
  <c r="G97" i="58"/>
  <c r="G101" i="58" s="1"/>
  <c r="F105" i="150"/>
  <c r="E27" i="156"/>
  <c r="E29" i="156" s="1"/>
  <c r="E6" i="156"/>
  <c r="K14" i="162" l="1"/>
  <c r="L10" i="162" s="1"/>
  <c r="K20" i="162"/>
  <c r="C10" i="172"/>
  <c r="C35" i="172" s="1"/>
  <c r="C33" i="172"/>
  <c r="C11" i="172"/>
  <c r="G102" i="58"/>
  <c r="E32" i="156"/>
  <c r="D11" i="162"/>
  <c r="E8" i="163"/>
  <c r="G31" i="58"/>
  <c r="K22" i="162" l="1"/>
  <c r="D14" i="162"/>
  <c r="E10" i="162" s="1"/>
  <c r="D20" i="162"/>
  <c r="L19" i="162" l="1"/>
  <c r="K23" i="162"/>
  <c r="K24" i="162" s="1"/>
  <c r="D22" i="162"/>
  <c r="Q57" i="117"/>
  <c r="F105" i="82" s="1"/>
  <c r="E58" i="117"/>
  <c r="F58" i="117"/>
  <c r="G58" i="117"/>
  <c r="G42" i="117" s="1"/>
  <c r="H58" i="117"/>
  <c r="H42" i="117" s="1"/>
  <c r="I58" i="117"/>
  <c r="I42" i="117" s="1"/>
  <c r="J58" i="117"/>
  <c r="J42" i="117" s="1"/>
  <c r="J59" i="117" s="1"/>
  <c r="K58" i="117"/>
  <c r="K42" i="117" s="1"/>
  <c r="K59" i="117" s="1"/>
  <c r="L58" i="117"/>
  <c r="M58" i="117"/>
  <c r="N58" i="117"/>
  <c r="O58" i="117"/>
  <c r="O42" i="117" s="1"/>
  <c r="P58" i="117"/>
  <c r="P42" i="117" s="1"/>
  <c r="E256" i="117"/>
  <c r="F256" i="117"/>
  <c r="F257" i="117" s="1"/>
  <c r="G256" i="117"/>
  <c r="G257" i="117" s="1"/>
  <c r="H256" i="117"/>
  <c r="H257" i="117" s="1"/>
  <c r="I256" i="117"/>
  <c r="I257" i="117" s="1"/>
  <c r="J256" i="117"/>
  <c r="J257" i="117" s="1"/>
  <c r="K256" i="117"/>
  <c r="K257" i="117" s="1"/>
  <c r="L256" i="117"/>
  <c r="L257" i="117" s="1"/>
  <c r="M256" i="117"/>
  <c r="M257" i="117" s="1"/>
  <c r="N256" i="117"/>
  <c r="N257" i="117" s="1"/>
  <c r="O256" i="117"/>
  <c r="O257" i="117" s="1"/>
  <c r="P256" i="117"/>
  <c r="P257" i="117" s="1"/>
  <c r="D23" i="162" l="1"/>
  <c r="E19" i="162"/>
  <c r="G105" i="82"/>
  <c r="I59" i="117"/>
  <c r="P59" i="117"/>
  <c r="O59" i="117"/>
  <c r="H59" i="117"/>
  <c r="F125" i="82"/>
  <c r="R105" i="82"/>
  <c r="Q256" i="117"/>
  <c r="E257" i="117"/>
  <c r="Q257" i="117" s="1"/>
  <c r="Q58" i="117"/>
  <c r="E42" i="117"/>
  <c r="M42" i="117"/>
  <c r="M59" i="117" s="1"/>
  <c r="L42" i="117"/>
  <c r="L59" i="117" s="1"/>
  <c r="G59" i="117"/>
  <c r="N42" i="117"/>
  <c r="N59" i="117" s="1"/>
  <c r="F42" i="117"/>
  <c r="F59" i="117" s="1"/>
  <c r="M105" i="82" l="1"/>
  <c r="G125" i="82"/>
  <c r="R126" i="82" s="1"/>
  <c r="H34" i="122"/>
  <c r="H37" i="122" s="1"/>
  <c r="H40" i="122" s="1"/>
  <c r="D24" i="162"/>
  <c r="R125" i="82"/>
  <c r="F126" i="82"/>
  <c r="F8" i="136"/>
  <c r="Q42" i="117"/>
  <c r="E59" i="117"/>
  <c r="M125" i="82" l="1"/>
  <c r="F11" i="136"/>
  <c r="F9" i="136"/>
  <c r="H38" i="122"/>
  <c r="I38" i="122" s="1"/>
  <c r="I40" i="122"/>
  <c r="F12" i="136" l="1"/>
  <c r="F13" i="136" l="1"/>
  <c r="F14" i="136" l="1"/>
  <c r="I22" i="58"/>
  <c r="J22" i="58" s="1"/>
  <c r="E126" i="150"/>
  <c r="F15" i="136"/>
  <c r="I88" i="58" l="1"/>
  <c r="J88" i="58" s="1"/>
  <c r="E200" i="150"/>
  <c r="E203" i="150" s="1"/>
  <c r="F200" i="150" l="1"/>
  <c r="F203" i="150"/>
  <c r="E208" i="150"/>
  <c r="F208" i="150" l="1"/>
  <c r="E8" i="156"/>
  <c r="E31" i="156" s="1"/>
  <c r="E33" i="156" s="1"/>
  <c r="E35" i="156" s="1"/>
  <c r="E38" i="156" s="1"/>
  <c r="E210" i="150"/>
  <c r="F210" i="150" l="1"/>
  <c r="F8" i="156"/>
  <c r="F10" i="156" s="1"/>
  <c r="F12" i="156" s="1"/>
  <c r="E10" i="156"/>
  <c r="E12" i="156" s="1"/>
  <c r="E214" i="150"/>
  <c r="Q86" i="117"/>
  <c r="F169" i="82" s="1"/>
  <c r="E88" i="117"/>
  <c r="E65" i="117" s="1"/>
  <c r="F88" i="117"/>
  <c r="G88" i="117"/>
  <c r="G65" i="117" s="1"/>
  <c r="G89" i="117" s="1"/>
  <c r="H88" i="117"/>
  <c r="H65" i="117" s="1"/>
  <c r="H89" i="117" s="1"/>
  <c r="I88" i="117"/>
  <c r="I65" i="117" s="1"/>
  <c r="J88" i="117"/>
  <c r="K88" i="117"/>
  <c r="K65" i="117" s="1"/>
  <c r="K89" i="117" s="1"/>
  <c r="L88" i="117"/>
  <c r="L65" i="117" s="1"/>
  <c r="L89" i="117" s="1"/>
  <c r="M88" i="117"/>
  <c r="M65" i="117" s="1"/>
  <c r="N88" i="117"/>
  <c r="O88" i="117"/>
  <c r="O65" i="117" s="1"/>
  <c r="O89" i="117" s="1"/>
  <c r="P88" i="117"/>
  <c r="P65" i="117" s="1"/>
  <c r="P89" i="117" s="1"/>
  <c r="E282" i="117"/>
  <c r="E284" i="117" s="1"/>
  <c r="F282" i="117"/>
  <c r="F284" i="117" s="1"/>
  <c r="G282" i="117"/>
  <c r="G284" i="117" s="1"/>
  <c r="H282" i="117"/>
  <c r="H284" i="117" s="1"/>
  <c r="I282" i="117"/>
  <c r="J282" i="117"/>
  <c r="J284" i="117" s="1"/>
  <c r="K282" i="117"/>
  <c r="K284" i="117" s="1"/>
  <c r="L282" i="117"/>
  <c r="L284" i="117" s="1"/>
  <c r="M282" i="117"/>
  <c r="M284" i="117" s="1"/>
  <c r="N282" i="117"/>
  <c r="N284" i="117" s="1"/>
  <c r="O282" i="117"/>
  <c r="O284" i="117" s="1"/>
  <c r="P282" i="117"/>
  <c r="P284" i="117" s="1"/>
  <c r="I284" i="117"/>
  <c r="F214" i="150" l="1"/>
  <c r="M89" i="117"/>
  <c r="E89" i="117"/>
  <c r="J65" i="117"/>
  <c r="J89" i="117" s="1"/>
  <c r="Q88" i="117"/>
  <c r="Q284" i="117"/>
  <c r="Q282" i="117"/>
  <c r="G169" i="82"/>
  <c r="R169" i="82"/>
  <c r="F181" i="82"/>
  <c r="N65" i="117"/>
  <c r="N89" i="117" s="1"/>
  <c r="F65" i="117"/>
  <c r="F89" i="117" s="1"/>
  <c r="I89" i="117"/>
  <c r="Q65" i="117" l="1"/>
  <c r="Q89" i="117" s="1"/>
  <c r="R181" i="82"/>
  <c r="F186" i="82"/>
  <c r="R186" i="82" s="1"/>
  <c r="K34" i="122"/>
  <c r="K37" i="122" s="1"/>
  <c r="G181" i="82"/>
  <c r="G186" i="82" l="1"/>
  <c r="R187" i="82" s="1"/>
  <c r="F187" i="82"/>
  <c r="K38" i="122"/>
  <c r="K40" i="122"/>
  <c r="G8" i="136" l="1"/>
  <c r="L40" i="122"/>
  <c r="L38" i="122"/>
  <c r="G9" i="136" l="1"/>
  <c r="G11" i="136"/>
  <c r="G12" i="136" l="1"/>
  <c r="G13" i="136" l="1"/>
  <c r="L22" i="58" l="1"/>
  <c r="E235" i="150"/>
  <c r="E306" i="150" s="1"/>
  <c r="F306" i="150" s="1"/>
  <c r="G15" i="136"/>
  <c r="G14" i="136"/>
  <c r="E309" i="150" l="1"/>
  <c r="F309" i="150" s="1"/>
  <c r="E238" i="150"/>
  <c r="E241" i="150" s="1"/>
  <c r="E246" i="150" s="1"/>
  <c r="F246" i="150" s="1"/>
  <c r="L88" i="58"/>
  <c r="M22" i="58"/>
  <c r="L25" i="58"/>
  <c r="L91" i="58"/>
  <c r="M88" i="58"/>
  <c r="F241" i="150" l="1"/>
  <c r="E314" i="150"/>
  <c r="E316" i="150" s="1"/>
  <c r="E321" i="150" s="1"/>
  <c r="M25" i="58"/>
  <c r="L28" i="58"/>
  <c r="L97" i="58"/>
  <c r="M91" i="58"/>
  <c r="E14" i="156"/>
  <c r="F314" i="150"/>
  <c r="H35" i="67"/>
  <c r="M28" i="58" l="1"/>
  <c r="E4" i="172"/>
  <c r="E37" i="172" s="1"/>
  <c r="E38" i="172" s="1"/>
  <c r="L30" i="58"/>
  <c r="L101" i="58"/>
  <c r="M97" i="58"/>
  <c r="F316" i="150"/>
  <c r="F321" i="150" s="1"/>
  <c r="F14" i="156"/>
  <c r="F16" i="156" s="1"/>
  <c r="E16" i="156"/>
  <c r="E37" i="156"/>
  <c r="E39" i="156" s="1"/>
  <c r="E41" i="156" s="1"/>
  <c r="H47" i="67"/>
  <c r="H49" i="67" s="1"/>
  <c r="H59" i="67"/>
  <c r="E7" i="172" l="1"/>
  <c r="E10" i="172" s="1"/>
  <c r="E35" i="172" s="1"/>
  <c r="M4" i="162"/>
  <c r="E20" i="156"/>
  <c r="E18" i="156"/>
  <c r="E22" i="156" s="1"/>
  <c r="M101" i="58"/>
  <c r="M102" i="58" s="1"/>
  <c r="F20" i="156"/>
  <c r="F18" i="156"/>
  <c r="F22" i="156" s="1"/>
  <c r="F11" i="162"/>
  <c r="E10" i="163"/>
  <c r="I59" i="67"/>
  <c r="H71" i="67"/>
  <c r="E33" i="172" l="1"/>
  <c r="M8" i="162"/>
  <c r="M11" i="162" s="1"/>
  <c r="F4" i="162"/>
  <c r="F8" i="162" s="1"/>
  <c r="H73" i="67"/>
  <c r="F20" i="162"/>
  <c r="I71" i="67"/>
  <c r="I35" i="67"/>
  <c r="I47" i="67" s="1"/>
  <c r="I49" i="67" s="1"/>
  <c r="P250" i="82"/>
  <c r="Q250" i="82" s="1"/>
  <c r="Q318" i="82"/>
  <c r="P327" i="82"/>
  <c r="P259" i="82" l="1"/>
  <c r="J8" i="162"/>
  <c r="I73" i="67"/>
  <c r="H75" i="67"/>
  <c r="R318" i="82"/>
  <c r="I75" i="67" l="1"/>
  <c r="T78" i="73" l="1"/>
  <c r="U78" i="73" l="1"/>
  <c r="E14" i="96"/>
  <c r="H29" i="96"/>
  <c r="K14" i="96"/>
  <c r="K29" i="96"/>
  <c r="E44" i="96"/>
  <c r="H44" i="96"/>
  <c r="K44" i="96"/>
  <c r="E11" i="172"/>
  <c r="H373" i="117" l="1"/>
  <c r="G373" i="117"/>
  <c r="H372" i="117"/>
  <c r="G372" i="117"/>
  <c r="H374" i="117" l="1"/>
  <c r="H376" i="117"/>
  <c r="H375" i="117"/>
  <c r="D152" i="117"/>
  <c r="N362" i="82"/>
  <c r="Q362" i="82" s="1"/>
  <c r="D142" i="117"/>
  <c r="H201" i="117"/>
  <c r="N352" i="82"/>
  <c r="Q352" i="82" s="1"/>
  <c r="G375" i="117"/>
  <c r="L378" i="117"/>
  <c r="M378" i="117"/>
  <c r="H371" i="117"/>
  <c r="M377" i="117"/>
  <c r="G371" i="117"/>
  <c r="G374" i="117"/>
  <c r="G376" i="117"/>
  <c r="D377" i="117" l="1"/>
  <c r="G377" i="117"/>
  <c r="L377" i="117"/>
  <c r="R362" i="82"/>
  <c r="R352" i="82"/>
  <c r="I201" i="117" s="1"/>
  <c r="N313" i="82"/>
  <c r="N312" i="82"/>
  <c r="H377" i="117"/>
  <c r="D176" i="117"/>
  <c r="N308" i="82"/>
  <c r="D178" i="117"/>
  <c r="N401" i="82"/>
  <c r="Q401" i="82" s="1"/>
  <c r="E377" i="117"/>
  <c r="T351" i="82"/>
  <c r="T366" i="82" s="1"/>
  <c r="T367" i="82" s="1"/>
  <c r="K366" i="82"/>
  <c r="D181" i="117"/>
  <c r="K408" i="82"/>
  <c r="D175" i="117"/>
  <c r="N398" i="82"/>
  <c r="Q398" i="82" s="1"/>
  <c r="N403" i="82"/>
  <c r="Q403" i="82" s="1"/>
  <c r="D180" i="117"/>
  <c r="J351" i="117"/>
  <c r="J176" i="117" s="1"/>
  <c r="M351" i="117"/>
  <c r="M176" i="117" s="1"/>
  <c r="L351" i="117"/>
  <c r="L176" i="117" s="1"/>
  <c r="G351" i="117"/>
  <c r="G176" i="117" s="1"/>
  <c r="N351" i="117"/>
  <c r="N176" i="117" s="1"/>
  <c r="I351" i="117"/>
  <c r="I176" i="117" s="1"/>
  <c r="H351" i="117"/>
  <c r="H176" i="117" s="1"/>
  <c r="P351" i="117"/>
  <c r="P176" i="117" s="1"/>
  <c r="E351" i="117"/>
  <c r="O351" i="117"/>
  <c r="O176" i="117" s="1"/>
  <c r="K351" i="117"/>
  <c r="K176" i="117" s="1"/>
  <c r="F351" i="117"/>
  <c r="F176" i="117" s="1"/>
  <c r="J377" i="117"/>
  <c r="I377" i="117"/>
  <c r="D179" i="117"/>
  <c r="N402" i="82"/>
  <c r="Q402" i="82" s="1"/>
  <c r="E176" i="117" l="1"/>
  <c r="Q176" i="117" s="1"/>
  <c r="F399" i="82" s="1"/>
  <c r="G399" i="82" s="1"/>
  <c r="Q351" i="117"/>
  <c r="N240" i="82"/>
  <c r="Q308" i="82"/>
  <c r="N244" i="82"/>
  <c r="Q312" i="82"/>
  <c r="Q313" i="82"/>
  <c r="N245" i="82"/>
  <c r="R403" i="82"/>
  <c r="R401" i="82"/>
  <c r="R402" i="82"/>
  <c r="R398" i="82"/>
  <c r="I211" i="117" s="1"/>
  <c r="R308" i="82" l="1"/>
  <c r="R313" i="82"/>
  <c r="R312" i="82"/>
  <c r="N390" i="82"/>
  <c r="D167" i="117"/>
  <c r="I197" i="117"/>
  <c r="M351" i="82"/>
  <c r="Q351" i="82"/>
  <c r="D151" i="117"/>
  <c r="N361" i="82"/>
  <c r="Q361" i="82" s="1"/>
  <c r="M245" i="82"/>
  <c r="Q245" i="82"/>
  <c r="Q240" i="82"/>
  <c r="M240" i="82"/>
  <c r="D110" i="117" s="1"/>
  <c r="Q244" i="82"/>
  <c r="M244" i="82"/>
  <c r="S26" i="122"/>
  <c r="N399" i="82"/>
  <c r="Q399" i="82" s="1"/>
  <c r="N366" i="82" l="1"/>
  <c r="G16" i="172" s="1"/>
  <c r="R244" i="82"/>
  <c r="R240" i="82"/>
  <c r="R361" i="82"/>
  <c r="H197" i="117"/>
  <c r="D136" i="117"/>
  <c r="R245" i="82"/>
  <c r="G213" i="117"/>
  <c r="D117" i="117"/>
  <c r="R399" i="82"/>
  <c r="I213" i="117" s="1"/>
  <c r="Q390" i="82"/>
  <c r="R351" i="82"/>
  <c r="Q366" i="82"/>
  <c r="G211" i="117"/>
  <c r="D115" i="117"/>
  <c r="G54" i="172" l="1"/>
  <c r="R390" i="82"/>
  <c r="L115" i="61"/>
  <c r="R366" i="82"/>
  <c r="T40" i="58"/>
  <c r="L136" i="61" l="1"/>
  <c r="T73" i="58"/>
  <c r="K233" i="82" l="1"/>
  <c r="K259" i="82" s="1"/>
  <c r="K327" i="82"/>
  <c r="N233" i="82" l="1"/>
  <c r="Q301" i="82"/>
  <c r="N327" i="82"/>
  <c r="O122" i="117"/>
  <c r="O99" i="117" s="1"/>
  <c r="O123" i="117" s="1"/>
  <c r="O290" i="117"/>
  <c r="O309" i="117" s="1"/>
  <c r="M290" i="117"/>
  <c r="M309" i="117" s="1"/>
  <c r="M122" i="117"/>
  <c r="M99" i="117" s="1"/>
  <c r="M123" i="117" s="1"/>
  <c r="N290" i="117"/>
  <c r="N309" i="117" s="1"/>
  <c r="N122" i="117"/>
  <c r="N99" i="117" s="1"/>
  <c r="N123" i="117" s="1"/>
  <c r="L122" i="117"/>
  <c r="L99" i="117" s="1"/>
  <c r="L123" i="117" s="1"/>
  <c r="L290" i="117"/>
  <c r="L309" i="117" s="1"/>
  <c r="P122" i="117"/>
  <c r="P99" i="117" s="1"/>
  <c r="P123" i="117" s="1"/>
  <c r="P290" i="117"/>
  <c r="P309" i="117" s="1"/>
  <c r="K122" i="117"/>
  <c r="K290" i="117"/>
  <c r="Q103" i="117"/>
  <c r="F301" i="82"/>
  <c r="Q290" i="117" l="1"/>
  <c r="K309" i="117"/>
  <c r="Q309" i="117" s="1"/>
  <c r="Q327" i="82"/>
  <c r="G301" i="82"/>
  <c r="F327" i="82"/>
  <c r="F233" i="82"/>
  <c r="F259" i="82" s="1"/>
  <c r="K99" i="117"/>
  <c r="Q99" i="117" s="1"/>
  <c r="Q122" i="117"/>
  <c r="N259" i="82"/>
  <c r="Q233" i="82"/>
  <c r="J115" i="61"/>
  <c r="F16" i="172" l="1"/>
  <c r="F54" i="172"/>
  <c r="R301" i="82"/>
  <c r="P40" i="58"/>
  <c r="J136" i="61"/>
  <c r="K123" i="117"/>
  <c r="G233" i="82"/>
  <c r="G327" i="82"/>
  <c r="R327" i="82" s="1"/>
  <c r="M301" i="82"/>
  <c r="M327" i="82" s="1"/>
  <c r="Q123" i="117"/>
  <c r="F260" i="82"/>
  <c r="R233" i="82" l="1"/>
  <c r="P73" i="58"/>
  <c r="Q40" i="58"/>
  <c r="N20" i="122"/>
  <c r="N37" i="122" s="1"/>
  <c r="G259" i="82"/>
  <c r="R259" i="82" s="1"/>
  <c r="M233" i="82"/>
  <c r="R40" i="58" l="1"/>
  <c r="Q73" i="58"/>
  <c r="D103" i="117"/>
  <c r="G197" i="117"/>
  <c r="M259" i="82"/>
  <c r="O20" i="122"/>
  <c r="O37" i="122" s="1"/>
  <c r="R73" i="58" l="1"/>
  <c r="N38" i="122"/>
  <c r="N40" i="122"/>
  <c r="O40" i="122" s="1"/>
  <c r="O38" i="122" l="1"/>
  <c r="G42" i="122" l="1"/>
  <c r="G49" i="122"/>
  <c r="G50" i="122"/>
  <c r="G52" i="122"/>
  <c r="G44" i="122" l="1"/>
  <c r="J44" i="122"/>
  <c r="J49" i="122"/>
  <c r="J50" i="122"/>
  <c r="J52" i="122" s="1"/>
  <c r="M44" i="122" l="1"/>
  <c r="O44" i="122"/>
  <c r="O48" i="122"/>
  <c r="M49" i="122"/>
  <c r="M50" i="122"/>
  <c r="O50" i="122" s="1"/>
  <c r="O49" i="122" l="1"/>
  <c r="M52" i="122"/>
  <c r="O52" i="122" l="1"/>
  <c r="M30" i="58"/>
  <c r="M31" i="58" l="1"/>
  <c r="M20" i="162"/>
  <c r="M27" i="162" s="1"/>
  <c r="S10" i="162" l="1"/>
  <c r="R20" i="162"/>
  <c r="R22" i="162" l="1"/>
  <c r="R23" i="162" s="1"/>
  <c r="R24" i="162" s="1"/>
  <c r="K27" i="162"/>
  <c r="S14" i="162"/>
  <c r="T10" i="162" s="1"/>
  <c r="S19" i="162" l="1"/>
  <c r="S22" i="162" s="1"/>
  <c r="T19" i="162" s="1"/>
  <c r="S23" i="162"/>
  <c r="S24" i="162" s="1"/>
  <c r="T14" i="162"/>
  <c r="U10" i="162" s="1"/>
  <c r="T22" i="162"/>
  <c r="U19" i="162" s="1"/>
  <c r="T23" i="162" l="1"/>
  <c r="T24" i="162" s="1"/>
  <c r="U22" i="162"/>
  <c r="N27" i="162"/>
  <c r="U23" i="162" l="1"/>
  <c r="U24" i="162" s="1"/>
  <c r="V19" i="162"/>
  <c r="V20" i="162" l="1"/>
  <c r="V22" i="162" s="1"/>
  <c r="V23" i="162" s="1"/>
  <c r="V24" i="162" s="1"/>
  <c r="R25" i="162" s="1"/>
  <c r="R13" i="162" s="1"/>
  <c r="E36" i="70"/>
  <c r="G36" i="70" s="1"/>
  <c r="H36" i="70" s="1"/>
  <c r="E37" i="70"/>
  <c r="E37" i="116" s="1"/>
  <c r="G37" i="116" s="1"/>
  <c r="H37" i="116" s="1"/>
  <c r="E38" i="70"/>
  <c r="E38" i="116" s="1"/>
  <c r="G38" i="116" s="1"/>
  <c r="H38" i="116" s="1"/>
  <c r="E39" i="70"/>
  <c r="E39" i="115" s="1"/>
  <c r="G39" i="115" s="1"/>
  <c r="E40" i="70"/>
  <c r="E41" i="70"/>
  <c r="E41" i="116" s="1"/>
  <c r="G41" i="116" s="1"/>
  <c r="H41" i="116" s="1"/>
  <c r="E42" i="70"/>
  <c r="E43" i="70"/>
  <c r="E43" i="115" s="1"/>
  <c r="G43" i="115" s="1"/>
  <c r="E44" i="70"/>
  <c r="E44" i="116" s="1"/>
  <c r="G44" i="116" s="1"/>
  <c r="H44" i="116" s="1"/>
  <c r="E45" i="70"/>
  <c r="E45" i="115" s="1"/>
  <c r="G45" i="115" s="1"/>
  <c r="E46" i="70"/>
  <c r="G46" i="70" s="1"/>
  <c r="H46" i="70" s="1"/>
  <c r="H46" i="115" s="1"/>
  <c r="E39" i="116"/>
  <c r="G39" i="116" s="1"/>
  <c r="H39" i="116" s="1"/>
  <c r="E40" i="116"/>
  <c r="G40" i="116" s="1"/>
  <c r="H40" i="116" s="1"/>
  <c r="E43" i="116" l="1"/>
  <c r="G43" i="116" s="1"/>
  <c r="H43" i="116" s="1"/>
  <c r="E41" i="115"/>
  <c r="G41" i="115" s="1"/>
  <c r="E46" i="116"/>
  <c r="G46" i="116" s="1"/>
  <c r="H46" i="116" s="1"/>
  <c r="E46" i="115"/>
  <c r="G46" i="115" s="1"/>
  <c r="E44" i="115"/>
  <c r="G44" i="115" s="1"/>
  <c r="D27" i="174"/>
  <c r="E45" i="116"/>
  <c r="G45" i="116" s="1"/>
  <c r="H45" i="116" s="1"/>
  <c r="E36" i="116"/>
  <c r="G36" i="116" s="1"/>
  <c r="H36" i="116" s="1"/>
  <c r="E37" i="115"/>
  <c r="G37" i="115" s="1"/>
  <c r="E36" i="115"/>
  <c r="G36" i="115" s="1"/>
  <c r="G42" i="70"/>
  <c r="H42" i="70" s="1"/>
  <c r="D277" i="174"/>
  <c r="E42" i="115"/>
  <c r="E42" i="116"/>
  <c r="C28" i="174"/>
  <c r="G41" i="70"/>
  <c r="H41" i="70" s="1"/>
  <c r="D109" i="174"/>
  <c r="G40" i="70"/>
  <c r="H40" i="70" s="1"/>
  <c r="D81" i="174"/>
  <c r="E40" i="115"/>
  <c r="D165" i="174"/>
  <c r="G39" i="70"/>
  <c r="H39" i="70" s="1"/>
  <c r="D137" i="174"/>
  <c r="G38" i="70"/>
  <c r="H38" i="70" s="1"/>
  <c r="D221" i="174"/>
  <c r="G45" i="70"/>
  <c r="H45" i="70" s="1"/>
  <c r="D53" i="174"/>
  <c r="G37" i="70"/>
  <c r="G44" i="70"/>
  <c r="H44" i="70" s="1"/>
  <c r="D249" i="174"/>
  <c r="H36" i="115"/>
  <c r="E38" i="115"/>
  <c r="G43" i="70"/>
  <c r="H43" i="70" s="1"/>
  <c r="D193" i="174"/>
  <c r="E47" i="115" l="1"/>
  <c r="E47" i="116"/>
  <c r="G42" i="116"/>
  <c r="G42" i="115"/>
  <c r="D305" i="174"/>
  <c r="H39" i="115"/>
  <c r="H45" i="115"/>
  <c r="G40" i="115"/>
  <c r="H42" i="115"/>
  <c r="H41" i="115"/>
  <c r="C250" i="174"/>
  <c r="H44" i="115"/>
  <c r="H37" i="70"/>
  <c r="G47" i="70"/>
  <c r="M23" i="152" s="1"/>
  <c r="H43" i="115"/>
  <c r="G38" i="115"/>
  <c r="H38" i="115"/>
  <c r="H40" i="115"/>
  <c r="G47" i="115" l="1"/>
  <c r="H42" i="116"/>
  <c r="G47" i="116"/>
  <c r="N22" i="152"/>
  <c r="M24" i="152"/>
  <c r="H37" i="115"/>
  <c r="H47" i="70"/>
  <c r="H47" i="115" l="1"/>
  <c r="H47" i="116"/>
  <c r="M25" i="152"/>
  <c r="I36" i="70"/>
  <c r="D28" i="174" s="1"/>
  <c r="I37" i="70"/>
  <c r="D54" i="174" s="1"/>
  <c r="I38" i="70"/>
  <c r="K38" i="70" s="1"/>
  <c r="L38" i="70" s="1"/>
  <c r="I39" i="70"/>
  <c r="K39" i="70" s="1"/>
  <c r="L39" i="70" s="1"/>
  <c r="I40" i="70"/>
  <c r="I40" i="116" s="1"/>
  <c r="K40" i="116" s="1"/>
  <c r="L40" i="116" s="1"/>
  <c r="I41" i="70"/>
  <c r="C110" i="174" s="1"/>
  <c r="I42" i="70"/>
  <c r="I42" i="116" s="1"/>
  <c r="K42" i="116" s="1"/>
  <c r="L42" i="116" s="1"/>
  <c r="I43" i="70"/>
  <c r="D194" i="174" s="1"/>
  <c r="I44" i="70"/>
  <c r="D250" i="174" s="1"/>
  <c r="I45" i="70"/>
  <c r="D222" i="174" s="1"/>
  <c r="I46" i="70"/>
  <c r="K46" i="70" s="1"/>
  <c r="L46" i="70" s="1"/>
  <c r="I38" i="115"/>
  <c r="K38" i="115" s="1"/>
  <c r="I41" i="115"/>
  <c r="K41" i="115" s="1"/>
  <c r="K43" i="70" l="1"/>
  <c r="L43" i="70" s="1"/>
  <c r="L43" i="115" s="1"/>
  <c r="I43" i="116"/>
  <c r="K43" i="116" s="1"/>
  <c r="L43" i="116" s="1"/>
  <c r="I41" i="116"/>
  <c r="K41" i="116" s="1"/>
  <c r="L41" i="116" s="1"/>
  <c r="I36" i="116"/>
  <c r="K36" i="116" s="1"/>
  <c r="L36" i="116" s="1"/>
  <c r="I46" i="116"/>
  <c r="K46" i="116" s="1"/>
  <c r="L46" i="116" s="1"/>
  <c r="I37" i="116"/>
  <c r="K37" i="116" s="1"/>
  <c r="L37" i="116" s="1"/>
  <c r="I45" i="116"/>
  <c r="K45" i="116" s="1"/>
  <c r="L45" i="116" s="1"/>
  <c r="I46" i="115"/>
  <c r="K46" i="115" s="1"/>
  <c r="K37" i="70"/>
  <c r="L37" i="70" s="1"/>
  <c r="L37" i="115" s="1"/>
  <c r="I40" i="115"/>
  <c r="K40" i="115" s="1"/>
  <c r="I38" i="116"/>
  <c r="K38" i="116" s="1"/>
  <c r="I45" i="115"/>
  <c r="K45" i="115" s="1"/>
  <c r="I39" i="116"/>
  <c r="K39" i="116" s="1"/>
  <c r="L39" i="116" s="1"/>
  <c r="I39" i="115"/>
  <c r="K39" i="115" s="1"/>
  <c r="I44" i="116"/>
  <c r="K44" i="116" s="1"/>
  <c r="L44" i="116" s="1"/>
  <c r="I44" i="115"/>
  <c r="K44" i="115" s="1"/>
  <c r="D138" i="174"/>
  <c r="I37" i="115"/>
  <c r="K37" i="115" s="1"/>
  <c r="I43" i="115"/>
  <c r="K43" i="115" s="1"/>
  <c r="I36" i="115"/>
  <c r="K36" i="115" s="1"/>
  <c r="E90" i="70"/>
  <c r="K45" i="70"/>
  <c r="L45" i="70" s="1"/>
  <c r="L45" i="115" s="1"/>
  <c r="L46" i="115"/>
  <c r="L38" i="115"/>
  <c r="K42" i="70"/>
  <c r="L42" i="70" s="1"/>
  <c r="D278" i="174"/>
  <c r="I42" i="115"/>
  <c r="C251" i="174"/>
  <c r="K40" i="70"/>
  <c r="L40" i="70" s="1"/>
  <c r="D82" i="174"/>
  <c r="C29" i="174"/>
  <c r="L39" i="115"/>
  <c r="K41" i="70"/>
  <c r="L41" i="70" s="1"/>
  <c r="K44" i="70"/>
  <c r="L44" i="70" s="1"/>
  <c r="K36" i="70"/>
  <c r="D166" i="174"/>
  <c r="D110" i="174"/>
  <c r="I47" i="116" l="1"/>
  <c r="D306" i="174"/>
  <c r="L42" i="115"/>
  <c r="L44" i="115"/>
  <c r="K42" i="115"/>
  <c r="K47" i="115" s="1"/>
  <c r="I47" i="115"/>
  <c r="L38" i="116"/>
  <c r="K47" i="116"/>
  <c r="K47" i="70"/>
  <c r="N23" i="152" s="1"/>
  <c r="L36" i="70"/>
  <c r="L41" i="115"/>
  <c r="L40" i="115"/>
  <c r="L47" i="70" l="1"/>
  <c r="L36" i="115"/>
  <c r="N24" i="152"/>
  <c r="N25" i="152" s="1"/>
  <c r="O22" i="152"/>
  <c r="L47" i="116"/>
  <c r="H90" i="70" l="1"/>
  <c r="I90" i="70"/>
  <c r="L47" i="115"/>
  <c r="M36" i="70"/>
  <c r="D29" i="174" s="1"/>
  <c r="D30" i="174" s="1"/>
  <c r="C30" i="174" s="1"/>
  <c r="M37" i="70"/>
  <c r="O37" i="70" s="1"/>
  <c r="M38" i="70"/>
  <c r="O38" i="70" s="1"/>
  <c r="M39" i="70"/>
  <c r="D167" i="174" s="1"/>
  <c r="D168" i="174" s="1"/>
  <c r="C168" i="174" s="1"/>
  <c r="M40" i="70"/>
  <c r="D83" i="174" s="1"/>
  <c r="D84" i="174" s="1"/>
  <c r="C84" i="174" s="1"/>
  <c r="M41" i="70"/>
  <c r="D111" i="174" s="1"/>
  <c r="D112" i="174" s="1"/>
  <c r="C112" i="174" s="1"/>
  <c r="M42" i="70"/>
  <c r="O42" i="70" s="1"/>
  <c r="M43" i="70"/>
  <c r="D195" i="174" s="1"/>
  <c r="D196" i="174" s="1"/>
  <c r="C196" i="174" s="1"/>
  <c r="M44" i="70"/>
  <c r="D251" i="174" s="1"/>
  <c r="D252" i="174" s="1"/>
  <c r="C252" i="174" s="1"/>
  <c r="M45" i="70"/>
  <c r="O45" i="70" s="1"/>
  <c r="M46" i="70"/>
  <c r="O46" i="70" s="1"/>
  <c r="M36" i="115"/>
  <c r="O36" i="115" s="1"/>
  <c r="M37" i="115"/>
  <c r="O37" i="115" s="1"/>
  <c r="M42" i="116"/>
  <c r="O42" i="116" s="1"/>
  <c r="M43" i="116" l="1"/>
  <c r="O43" i="116" s="1"/>
  <c r="M43" i="115"/>
  <c r="O43" i="115" s="1"/>
  <c r="M36" i="116"/>
  <c r="O36" i="116" s="1"/>
  <c r="M37" i="116"/>
  <c r="O37" i="116" s="1"/>
  <c r="M45" i="115"/>
  <c r="O45" i="115" s="1"/>
  <c r="M44" i="116"/>
  <c r="O44" i="116" s="1"/>
  <c r="M44" i="115"/>
  <c r="O44" i="115" s="1"/>
  <c r="M46" i="116"/>
  <c r="O46" i="116" s="1"/>
  <c r="M45" i="116"/>
  <c r="O45" i="116" s="1"/>
  <c r="M38" i="116"/>
  <c r="O38" i="116" s="1"/>
  <c r="M38" i="115"/>
  <c r="O38" i="115" s="1"/>
  <c r="M42" i="115"/>
  <c r="O42" i="115" s="1"/>
  <c r="M40" i="116"/>
  <c r="O40" i="116" s="1"/>
  <c r="M41" i="115"/>
  <c r="O41" i="115" s="1"/>
  <c r="M40" i="115"/>
  <c r="O40" i="115" s="1"/>
  <c r="M41" i="116"/>
  <c r="O41" i="116" s="1"/>
  <c r="M39" i="116"/>
  <c r="O39" i="116" s="1"/>
  <c r="M46" i="115"/>
  <c r="O46" i="115" s="1"/>
  <c r="M39" i="115"/>
  <c r="O39" i="115" s="1"/>
  <c r="C111" i="174"/>
  <c r="O44" i="70"/>
  <c r="O40" i="70"/>
  <c r="O36" i="70"/>
  <c r="O43" i="70"/>
  <c r="O39" i="70"/>
  <c r="D223" i="174"/>
  <c r="D224" i="174" s="1"/>
  <c r="C224" i="174" s="1"/>
  <c r="D139" i="174"/>
  <c r="D140" i="174" s="1"/>
  <c r="C140" i="174" s="1"/>
  <c r="D279" i="174"/>
  <c r="D55" i="174"/>
  <c r="D56" i="174" s="1"/>
  <c r="C56" i="174" s="1"/>
  <c r="O41" i="70"/>
  <c r="O47" i="116" l="1"/>
  <c r="M47" i="115"/>
  <c r="P47" i="115" s="1"/>
  <c r="O47" i="115"/>
  <c r="M47" i="116"/>
  <c r="O47" i="70"/>
  <c r="O23" i="152" s="1"/>
  <c r="O24" i="152" s="1"/>
  <c r="O25" i="152" s="1"/>
  <c r="D280" i="174"/>
  <c r="C280" i="174" s="1"/>
  <c r="D307" i="174"/>
  <c r="D308" i="174" s="1"/>
  <c r="C308" i="174" s="1"/>
  <c r="F53" i="174"/>
  <c r="Y53" i="174" s="1"/>
  <c r="G80" i="70"/>
  <c r="H80" i="70" s="1"/>
  <c r="E121" i="70"/>
  <c r="G121" i="70" s="1"/>
  <c r="H121" i="70" s="1"/>
  <c r="E80" i="115"/>
  <c r="G80" i="115" s="1"/>
  <c r="E121" i="115"/>
  <c r="G121" i="115" s="1"/>
  <c r="H121" i="115" s="1"/>
  <c r="E80" i="116"/>
  <c r="G80" i="116" s="1"/>
  <c r="H80" i="116" s="1"/>
  <c r="E121" i="116" l="1"/>
  <c r="G121" i="116" s="1"/>
  <c r="H121" i="116" s="1"/>
  <c r="H80" i="115"/>
  <c r="C54" i="174"/>
  <c r="E79" i="70"/>
  <c r="G79" i="70" s="1"/>
  <c r="E81" i="70"/>
  <c r="F137" i="174" s="1"/>
  <c r="E82" i="70"/>
  <c r="F165" i="174" s="1"/>
  <c r="E83" i="70"/>
  <c r="F81" i="174" s="1"/>
  <c r="E84" i="70"/>
  <c r="F109" i="174" s="1"/>
  <c r="E85" i="70"/>
  <c r="F277" i="174" s="1"/>
  <c r="E86" i="70"/>
  <c r="F221" i="174" s="1"/>
  <c r="E87" i="70"/>
  <c r="G87" i="70" s="1"/>
  <c r="H87" i="70" s="1"/>
  <c r="E88" i="70"/>
  <c r="E129" i="70" s="1"/>
  <c r="G129" i="70" s="1"/>
  <c r="H129" i="70" s="1"/>
  <c r="E89" i="70"/>
  <c r="E130" i="70" s="1"/>
  <c r="G130" i="70" s="1"/>
  <c r="H130" i="70" s="1"/>
  <c r="E120" i="70"/>
  <c r="G120" i="70"/>
  <c r="H120" i="70" s="1"/>
  <c r="E86" i="115"/>
  <c r="G86" i="115" s="1"/>
  <c r="E81" i="116" l="1"/>
  <c r="E122" i="116" s="1"/>
  <c r="G122" i="116" s="1"/>
  <c r="H122" i="116" s="1"/>
  <c r="E79" i="116"/>
  <c r="E85" i="115"/>
  <c r="G85" i="115" s="1"/>
  <c r="E86" i="116"/>
  <c r="G86" i="116" s="1"/>
  <c r="H86" i="116" s="1"/>
  <c r="E127" i="70"/>
  <c r="G127" i="70" s="1"/>
  <c r="H127" i="70" s="1"/>
  <c r="E85" i="116"/>
  <c r="G84" i="70"/>
  <c r="H84" i="70" s="1"/>
  <c r="H84" i="115" s="1"/>
  <c r="G81" i="116"/>
  <c r="H81" i="116" s="1"/>
  <c r="E89" i="116"/>
  <c r="E89" i="115"/>
  <c r="E79" i="115"/>
  <c r="G79" i="115" s="1"/>
  <c r="E88" i="116"/>
  <c r="E129" i="116" s="1"/>
  <c r="G129" i="116" s="1"/>
  <c r="H129" i="116" s="1"/>
  <c r="E126" i="115"/>
  <c r="G126" i="115" s="1"/>
  <c r="H126" i="115" s="1"/>
  <c r="E81" i="115"/>
  <c r="G88" i="70"/>
  <c r="H88" i="70" s="1"/>
  <c r="H88" i="115" s="1"/>
  <c r="E84" i="115"/>
  <c r="G84" i="115" s="1"/>
  <c r="E84" i="116"/>
  <c r="E88" i="115"/>
  <c r="E126" i="70"/>
  <c r="G126" i="70" s="1"/>
  <c r="H126" i="70" s="1"/>
  <c r="G88" i="116"/>
  <c r="H88" i="116" s="1"/>
  <c r="E125" i="70"/>
  <c r="G125" i="70" s="1"/>
  <c r="H125" i="70" s="1"/>
  <c r="E82" i="115"/>
  <c r="G82" i="115" s="1"/>
  <c r="G82" i="70"/>
  <c r="H82" i="70" s="1"/>
  <c r="H82" i="115" s="1"/>
  <c r="E123" i="70"/>
  <c r="G123" i="70" s="1"/>
  <c r="H123" i="70" s="1"/>
  <c r="G86" i="70"/>
  <c r="H86" i="70" s="1"/>
  <c r="H86" i="115" s="1"/>
  <c r="G81" i="70"/>
  <c r="H81" i="70" s="1"/>
  <c r="H81" i="115" s="1"/>
  <c r="E82" i="116"/>
  <c r="G82" i="116" s="1"/>
  <c r="H82" i="116" s="1"/>
  <c r="E124" i="70"/>
  <c r="G124" i="70" s="1"/>
  <c r="H124" i="70" s="1"/>
  <c r="G89" i="70"/>
  <c r="H89" i="70" s="1"/>
  <c r="H89" i="115" s="1"/>
  <c r="G85" i="70"/>
  <c r="H85" i="70" s="1"/>
  <c r="H85" i="115" s="1"/>
  <c r="E127" i="116"/>
  <c r="G127" i="116" s="1"/>
  <c r="H127" i="116" s="1"/>
  <c r="E127" i="115"/>
  <c r="G127" i="115" s="1"/>
  <c r="H127" i="115" s="1"/>
  <c r="E128" i="70"/>
  <c r="G128" i="70" s="1"/>
  <c r="H128" i="70" s="1"/>
  <c r="E87" i="116"/>
  <c r="E83" i="116"/>
  <c r="E87" i="115"/>
  <c r="E83" i="115"/>
  <c r="E122" i="70"/>
  <c r="G83" i="70"/>
  <c r="H83" i="70" s="1"/>
  <c r="H83" i="115" s="1"/>
  <c r="Y221" i="174"/>
  <c r="Y81" i="174"/>
  <c r="C82" i="174"/>
  <c r="H79" i="70"/>
  <c r="Y277" i="174"/>
  <c r="C278" i="174"/>
  <c r="H87" i="115"/>
  <c r="Y165" i="174"/>
  <c r="C166" i="174"/>
  <c r="G79" i="116"/>
  <c r="E120" i="116"/>
  <c r="Y109" i="174"/>
  <c r="Y137" i="174"/>
  <c r="C138" i="174"/>
  <c r="F193" i="174"/>
  <c r="F305" i="174" s="1"/>
  <c r="G85" i="116" l="1"/>
  <c r="H85" i="116" s="1"/>
  <c r="E126" i="116"/>
  <c r="G126" i="116" s="1"/>
  <c r="H126" i="116" s="1"/>
  <c r="E125" i="115"/>
  <c r="G125" i="115" s="1"/>
  <c r="H125" i="115" s="1"/>
  <c r="E123" i="115"/>
  <c r="G123" i="115" s="1"/>
  <c r="H123" i="115" s="1"/>
  <c r="E130" i="115"/>
  <c r="G130" i="115" s="1"/>
  <c r="H130" i="115" s="1"/>
  <c r="G89" i="115"/>
  <c r="E120" i="115"/>
  <c r="G120" i="115" s="1"/>
  <c r="G89" i="116"/>
  <c r="H89" i="116" s="1"/>
  <c r="E130" i="116"/>
  <c r="G130" i="116" s="1"/>
  <c r="H130" i="116" s="1"/>
  <c r="G88" i="115"/>
  <c r="E129" i="115"/>
  <c r="G129" i="115" s="1"/>
  <c r="H129" i="115" s="1"/>
  <c r="E125" i="116"/>
  <c r="G125" i="116" s="1"/>
  <c r="H125" i="116" s="1"/>
  <c r="G84" i="116"/>
  <c r="H84" i="116" s="1"/>
  <c r="E122" i="115"/>
  <c r="G122" i="115" s="1"/>
  <c r="H122" i="115" s="1"/>
  <c r="G81" i="115"/>
  <c r="E123" i="116"/>
  <c r="G123" i="116" s="1"/>
  <c r="H123" i="116" s="1"/>
  <c r="E90" i="116"/>
  <c r="G83" i="115"/>
  <c r="E124" i="115"/>
  <c r="G124" i="115" s="1"/>
  <c r="H124" i="115" s="1"/>
  <c r="E90" i="115"/>
  <c r="G87" i="115"/>
  <c r="E128" i="115"/>
  <c r="G128" i="115" s="1"/>
  <c r="H128" i="115" s="1"/>
  <c r="G90" i="70"/>
  <c r="E124" i="116"/>
  <c r="G124" i="116" s="1"/>
  <c r="H124" i="116" s="1"/>
  <c r="G83" i="116"/>
  <c r="H83" i="116" s="1"/>
  <c r="G122" i="70"/>
  <c r="E131" i="70"/>
  <c r="E128" i="116"/>
  <c r="G128" i="116" s="1"/>
  <c r="H128" i="116" s="1"/>
  <c r="G87" i="116"/>
  <c r="H87" i="116" s="1"/>
  <c r="Y305" i="174"/>
  <c r="H79" i="115"/>
  <c r="C306" i="174"/>
  <c r="H79" i="116"/>
  <c r="G120" i="116"/>
  <c r="Y193" i="174"/>
  <c r="E131" i="115" l="1"/>
  <c r="E131" i="116"/>
  <c r="G90" i="116"/>
  <c r="H120" i="115"/>
  <c r="H131" i="115" s="1"/>
  <c r="G131" i="115"/>
  <c r="H122" i="70"/>
  <c r="H131" i="70" s="1"/>
  <c r="G131" i="70"/>
  <c r="G90" i="115"/>
  <c r="H90" i="116"/>
  <c r="H90" i="115"/>
  <c r="H120" i="116"/>
  <c r="G131" i="116"/>
  <c r="E133" i="70" l="1"/>
  <c r="G133" i="70"/>
  <c r="H131" i="116"/>
  <c r="H133" i="70" s="1"/>
  <c r="I79" i="70"/>
  <c r="K79" i="70" s="1"/>
  <c r="L79" i="70" s="1"/>
  <c r="I80" i="70"/>
  <c r="F54" i="174" s="1"/>
  <c r="I81" i="70"/>
  <c r="I82" i="70"/>
  <c r="F166" i="174" s="1"/>
  <c r="I83" i="70"/>
  <c r="F82" i="174" s="1"/>
  <c r="I84" i="70"/>
  <c r="F110" i="174" s="1"/>
  <c r="Z110" i="174" s="1"/>
  <c r="I85" i="70"/>
  <c r="F278" i="174" s="1"/>
  <c r="I86" i="70"/>
  <c r="K86" i="70" s="1"/>
  <c r="L86" i="70" s="1"/>
  <c r="I87" i="70"/>
  <c r="K87" i="70" s="1"/>
  <c r="L87" i="70" s="1"/>
  <c r="I88" i="70"/>
  <c r="K88" i="70" s="1"/>
  <c r="L88" i="70" s="1"/>
  <c r="I89" i="70"/>
  <c r="I79" i="116"/>
  <c r="I120" i="116" s="1"/>
  <c r="I126" i="70" l="1"/>
  <c r="K126" i="70" s="1"/>
  <c r="L126" i="70" s="1"/>
  <c r="I86" i="116"/>
  <c r="I127" i="116" s="1"/>
  <c r="K127" i="116" s="1"/>
  <c r="L127" i="116" s="1"/>
  <c r="I85" i="116"/>
  <c r="K85" i="116" s="1"/>
  <c r="L85" i="116" s="1"/>
  <c r="I120" i="70"/>
  <c r="K120" i="70" s="1"/>
  <c r="L120" i="70" s="1"/>
  <c r="K86" i="116"/>
  <c r="L86" i="116" s="1"/>
  <c r="I80" i="116"/>
  <c r="K80" i="116" s="1"/>
  <c r="L80" i="116" s="1"/>
  <c r="K79" i="116"/>
  <c r="L79" i="116" s="1"/>
  <c r="I125" i="70"/>
  <c r="K125" i="70" s="1"/>
  <c r="L125" i="70" s="1"/>
  <c r="I126" i="116"/>
  <c r="K126" i="116" s="1"/>
  <c r="L126" i="116" s="1"/>
  <c r="I80" i="115"/>
  <c r="I121" i="115" s="1"/>
  <c r="K121" i="115" s="1"/>
  <c r="L121" i="115" s="1"/>
  <c r="I79" i="115"/>
  <c r="K79" i="115" s="1"/>
  <c r="I84" i="115"/>
  <c r="K84" i="115" s="1"/>
  <c r="K85" i="70"/>
  <c r="L85" i="70" s="1"/>
  <c r="L85" i="115" s="1"/>
  <c r="I84" i="116"/>
  <c r="K84" i="116" s="1"/>
  <c r="L84" i="116" s="1"/>
  <c r="I83" i="115"/>
  <c r="I121" i="116"/>
  <c r="K121" i="116" s="1"/>
  <c r="L121" i="116" s="1"/>
  <c r="I88" i="115"/>
  <c r="I129" i="70"/>
  <c r="K129" i="70" s="1"/>
  <c r="L129" i="70" s="1"/>
  <c r="I124" i="70"/>
  <c r="K124" i="70" s="1"/>
  <c r="L124" i="70" s="1"/>
  <c r="I82" i="115"/>
  <c r="I123" i="70"/>
  <c r="K123" i="70" s="1"/>
  <c r="L123" i="70" s="1"/>
  <c r="I88" i="116"/>
  <c r="I83" i="116"/>
  <c r="K83" i="116" s="1"/>
  <c r="L83" i="116" s="1"/>
  <c r="I87" i="115"/>
  <c r="I128" i="70"/>
  <c r="K128" i="70" s="1"/>
  <c r="L128" i="70" s="1"/>
  <c r="I121" i="70"/>
  <c r="K121" i="70" s="1"/>
  <c r="L121" i="70" s="1"/>
  <c r="K84" i="70"/>
  <c r="L84" i="70" s="1"/>
  <c r="L84" i="115" s="1"/>
  <c r="F194" i="174"/>
  <c r="Z194" i="174" s="1"/>
  <c r="I82" i="116"/>
  <c r="I86" i="115"/>
  <c r="I87" i="116"/>
  <c r="I85" i="115"/>
  <c r="K85" i="115" s="1"/>
  <c r="I127" i="70"/>
  <c r="K127" i="70" s="1"/>
  <c r="L127" i="70" s="1"/>
  <c r="K83" i="70"/>
  <c r="L83" i="70" s="1"/>
  <c r="L83" i="115" s="1"/>
  <c r="L79" i="115"/>
  <c r="L87" i="115"/>
  <c r="Z166" i="174"/>
  <c r="C167" i="174"/>
  <c r="K81" i="70"/>
  <c r="L81" i="70" s="1"/>
  <c r="I122" i="70"/>
  <c r="F138" i="174"/>
  <c r="I81" i="115"/>
  <c r="I81" i="116"/>
  <c r="Z278" i="174"/>
  <c r="C279" i="174"/>
  <c r="Z54" i="174"/>
  <c r="C55" i="174"/>
  <c r="K89" i="70"/>
  <c r="L89" i="70" s="1"/>
  <c r="I130" i="70"/>
  <c r="K130" i="70" s="1"/>
  <c r="L130" i="70" s="1"/>
  <c r="I89" i="115"/>
  <c r="I89" i="116"/>
  <c r="K120" i="116"/>
  <c r="L88" i="115"/>
  <c r="Z82" i="174"/>
  <c r="C83" i="174"/>
  <c r="L86" i="115"/>
  <c r="K82" i="70"/>
  <c r="L82" i="70" s="1"/>
  <c r="F222" i="174"/>
  <c r="K80" i="70"/>
  <c r="L80" i="70" s="1"/>
  <c r="I124" i="116" l="1"/>
  <c r="K124" i="116" s="1"/>
  <c r="L124" i="116" s="1"/>
  <c r="K80" i="115"/>
  <c r="F306" i="174"/>
  <c r="Z306" i="174" s="1"/>
  <c r="I120" i="115"/>
  <c r="K120" i="115" s="1"/>
  <c r="L120" i="115" s="1"/>
  <c r="I125" i="116"/>
  <c r="K125" i="116" s="1"/>
  <c r="L125" i="116" s="1"/>
  <c r="I125" i="115"/>
  <c r="K125" i="115" s="1"/>
  <c r="L125" i="115" s="1"/>
  <c r="I128" i="116"/>
  <c r="K128" i="116" s="1"/>
  <c r="L128" i="116" s="1"/>
  <c r="K87" i="116"/>
  <c r="L87" i="116" s="1"/>
  <c r="I128" i="115"/>
  <c r="K128" i="115" s="1"/>
  <c r="L128" i="115" s="1"/>
  <c r="K87" i="115"/>
  <c r="K88" i="115"/>
  <c r="I129" i="115"/>
  <c r="K129" i="115" s="1"/>
  <c r="L129" i="115" s="1"/>
  <c r="K86" i="115"/>
  <c r="I127" i="115"/>
  <c r="K127" i="115" s="1"/>
  <c r="L127" i="115" s="1"/>
  <c r="I126" i="115"/>
  <c r="K126" i="115" s="1"/>
  <c r="L126" i="115" s="1"/>
  <c r="K82" i="116"/>
  <c r="L82" i="116" s="1"/>
  <c r="I123" i="116"/>
  <c r="K123" i="116" s="1"/>
  <c r="L123" i="116" s="1"/>
  <c r="K88" i="116"/>
  <c r="L88" i="116" s="1"/>
  <c r="I129" i="116"/>
  <c r="K129" i="116" s="1"/>
  <c r="L129" i="116" s="1"/>
  <c r="I123" i="115"/>
  <c r="K123" i="115" s="1"/>
  <c r="L123" i="115" s="1"/>
  <c r="K82" i="115"/>
  <c r="L90" i="70"/>
  <c r="K83" i="115"/>
  <c r="I124" i="115"/>
  <c r="K124" i="115" s="1"/>
  <c r="L124" i="115" s="1"/>
  <c r="L120" i="116"/>
  <c r="K81" i="116"/>
  <c r="I122" i="116"/>
  <c r="I90" i="116"/>
  <c r="L89" i="115"/>
  <c r="I90" i="115"/>
  <c r="I122" i="115"/>
  <c r="K81" i="115"/>
  <c r="Z138" i="174"/>
  <c r="C139" i="174"/>
  <c r="C307" i="174" s="1"/>
  <c r="K89" i="116"/>
  <c r="L89" i="116" s="1"/>
  <c r="I130" i="116"/>
  <c r="K122" i="70"/>
  <c r="I131" i="70"/>
  <c r="L80" i="115"/>
  <c r="Z222" i="174"/>
  <c r="L82" i="115"/>
  <c r="K90" i="70"/>
  <c r="I130" i="115"/>
  <c r="K130" i="115" s="1"/>
  <c r="L130" i="115" s="1"/>
  <c r="K89" i="115"/>
  <c r="L81" i="115"/>
  <c r="L90" i="115" l="1"/>
  <c r="K122" i="115"/>
  <c r="I131" i="115"/>
  <c r="K130" i="116"/>
  <c r="L130" i="116" s="1"/>
  <c r="K90" i="116"/>
  <c r="L81" i="116"/>
  <c r="L122" i="70"/>
  <c r="K131" i="70"/>
  <c r="K90" i="115"/>
  <c r="K122" i="116"/>
  <c r="I131" i="116"/>
  <c r="I133" i="70" l="1"/>
  <c r="L90" i="116"/>
  <c r="L122" i="115"/>
  <c r="K131" i="115"/>
  <c r="L122" i="116"/>
  <c r="K131" i="116"/>
  <c r="L131" i="70"/>
  <c r="K133" i="70" l="1"/>
  <c r="L131" i="116"/>
  <c r="L131" i="115"/>
  <c r="L133" i="70" l="1"/>
  <c r="M79" i="70"/>
  <c r="M80" i="70"/>
  <c r="O80" i="70" s="1"/>
  <c r="M81" i="70"/>
  <c r="F139" i="174" s="1"/>
  <c r="F140" i="174" s="1"/>
  <c r="M82" i="70"/>
  <c r="M83" i="70"/>
  <c r="F83" i="174" s="1"/>
  <c r="M84" i="70"/>
  <c r="F111" i="174" s="1"/>
  <c r="F112" i="174" s="1"/>
  <c r="M85" i="70"/>
  <c r="M86" i="70"/>
  <c r="F223" i="174" s="1"/>
  <c r="F224" i="174" s="1"/>
  <c r="M87" i="70"/>
  <c r="M128" i="70" s="1"/>
  <c r="O128" i="70" s="1"/>
  <c r="M88" i="70"/>
  <c r="O88" i="70" s="1"/>
  <c r="M89" i="70"/>
  <c r="M89" i="116" s="1"/>
  <c r="M130" i="116" s="1"/>
  <c r="M84" i="116" l="1"/>
  <c r="M125" i="116" s="1"/>
  <c r="O125" i="116" s="1"/>
  <c r="M124" i="70"/>
  <c r="O124" i="70" s="1"/>
  <c r="M86" i="115"/>
  <c r="M127" i="115" s="1"/>
  <c r="O127" i="115" s="1"/>
  <c r="O86" i="70"/>
  <c r="M125" i="70"/>
  <c r="O125" i="70" s="1"/>
  <c r="M88" i="116"/>
  <c r="O88" i="116" s="1"/>
  <c r="O84" i="116"/>
  <c r="M84" i="115"/>
  <c r="M129" i="70"/>
  <c r="O129" i="70" s="1"/>
  <c r="AA111" i="174"/>
  <c r="M88" i="115"/>
  <c r="M80" i="116"/>
  <c r="M121" i="70"/>
  <c r="O121" i="70" s="1"/>
  <c r="M80" i="115"/>
  <c r="O130" i="116"/>
  <c r="XFD130" i="116" s="1"/>
  <c r="O86" i="115"/>
  <c r="AA139" i="174"/>
  <c r="M122" i="70"/>
  <c r="O122" i="70" s="1"/>
  <c r="O81" i="70"/>
  <c r="M81" i="115"/>
  <c r="M81" i="116"/>
  <c r="F167" i="174"/>
  <c r="M82" i="116"/>
  <c r="M123" i="70"/>
  <c r="O123" i="70" s="1"/>
  <c r="O82" i="70"/>
  <c r="M82" i="115"/>
  <c r="O87" i="70"/>
  <c r="M87" i="115"/>
  <c r="M87" i="116"/>
  <c r="O89" i="116"/>
  <c r="M86" i="116"/>
  <c r="M127" i="70"/>
  <c r="O127" i="70" s="1"/>
  <c r="O79" i="70"/>
  <c r="M79" i="115"/>
  <c r="M79" i="116"/>
  <c r="AA223" i="174"/>
  <c r="AA83" i="174"/>
  <c r="F84" i="174"/>
  <c r="F279" i="174"/>
  <c r="M126" i="70"/>
  <c r="O126" i="70" s="1"/>
  <c r="O85" i="70"/>
  <c r="M85" i="115"/>
  <c r="M120" i="70"/>
  <c r="M85" i="116"/>
  <c r="O83" i="70"/>
  <c r="M83" i="115"/>
  <c r="M83" i="116"/>
  <c r="F195" i="174"/>
  <c r="M130" i="70"/>
  <c r="O130" i="70" s="1"/>
  <c r="O89" i="70"/>
  <c r="M89" i="115"/>
  <c r="F55" i="174"/>
  <c r="O84" i="70"/>
  <c r="M129" i="116" l="1"/>
  <c r="O129" i="116" s="1"/>
  <c r="XFD129" i="116" s="1"/>
  <c r="M125" i="115"/>
  <c r="O125" i="115" s="1"/>
  <c r="O84" i="115"/>
  <c r="M121" i="116"/>
  <c r="O121" i="116" s="1"/>
  <c r="O80" i="116"/>
  <c r="M129" i="115"/>
  <c r="O129" i="115" s="1"/>
  <c r="O88" i="115"/>
  <c r="M121" i="115"/>
  <c r="O121" i="115" s="1"/>
  <c r="O80" i="115"/>
  <c r="O89" i="115"/>
  <c r="M130" i="115"/>
  <c r="O130" i="115" s="1"/>
  <c r="M90" i="116"/>
  <c r="M120" i="116"/>
  <c r="O79" i="116"/>
  <c r="O79" i="115"/>
  <c r="M120" i="115"/>
  <c r="M90" i="115"/>
  <c r="P90" i="115" s="1"/>
  <c r="O87" i="115"/>
  <c r="M128" i="115"/>
  <c r="O128" i="115" s="1"/>
  <c r="M131" i="70"/>
  <c r="O120" i="70"/>
  <c r="O131" i="70" s="1"/>
  <c r="O81" i="115"/>
  <c r="M122" i="115"/>
  <c r="O122" i="115" s="1"/>
  <c r="O90" i="70"/>
  <c r="M128" i="116"/>
  <c r="O87" i="116"/>
  <c r="M123" i="115"/>
  <c r="O123" i="115" s="1"/>
  <c r="O82" i="115"/>
  <c r="M122" i="116"/>
  <c r="O122" i="116" s="1"/>
  <c r="O81" i="116"/>
  <c r="O86" i="116"/>
  <c r="M127" i="116"/>
  <c r="M124" i="116"/>
  <c r="O124" i="116" s="1"/>
  <c r="O83" i="116"/>
  <c r="M126" i="115"/>
  <c r="O126" i="115" s="1"/>
  <c r="O85" i="115"/>
  <c r="AA195" i="174"/>
  <c r="F196" i="174"/>
  <c r="AA279" i="174"/>
  <c r="F307" i="174"/>
  <c r="F280" i="174"/>
  <c r="O83" i="115"/>
  <c r="M124" i="115"/>
  <c r="O124" i="115" s="1"/>
  <c r="M123" i="116"/>
  <c r="O123" i="116" s="1"/>
  <c r="O82" i="116"/>
  <c r="AA55" i="174"/>
  <c r="F56" i="174"/>
  <c r="M126" i="116"/>
  <c r="O85" i="116"/>
  <c r="AA167" i="174"/>
  <c r="F168" i="174"/>
  <c r="O90" i="115" l="1"/>
  <c r="O127" i="116"/>
  <c r="XFD127" i="116" s="1"/>
  <c r="O120" i="115"/>
  <c r="O131" i="115" s="1"/>
  <c r="M131" i="115"/>
  <c r="P131" i="115" s="1"/>
  <c r="AA307" i="174"/>
  <c r="F308" i="174"/>
  <c r="O90" i="116"/>
  <c r="O128" i="116"/>
  <c r="XFD128" i="116" s="1"/>
  <c r="O120" i="116"/>
  <c r="M131" i="116"/>
  <c r="O126" i="116"/>
  <c r="XFD126" i="116" s="1"/>
  <c r="M133" i="70" l="1"/>
  <c r="O131" i="116"/>
  <c r="O133" i="70" s="1"/>
  <c r="S159" i="123" l="1"/>
  <c r="S382" i="123" l="1"/>
  <c r="S232" i="123"/>
  <c r="S189" i="123" l="1"/>
  <c r="S363" i="123" l="1"/>
  <c r="S331" i="123"/>
  <c r="S172" i="123"/>
  <c r="S355" i="123"/>
  <c r="S341" i="123"/>
  <c r="S330" i="123"/>
  <c r="S225" i="123"/>
  <c r="S152" i="123"/>
  <c r="S238" i="123"/>
  <c r="S75" i="123"/>
  <c r="S34" i="123"/>
  <c r="S215" i="123"/>
  <c r="S101" i="123"/>
  <c r="S21" i="123"/>
  <c r="S59" i="123"/>
  <c r="S102" i="123"/>
  <c r="S35" i="123"/>
  <c r="S76" i="123"/>
  <c r="S69" i="123"/>
  <c r="S30" i="123"/>
  <c r="S140" i="123"/>
  <c r="S171" i="123"/>
  <c r="S99" i="123"/>
  <c r="S32" i="123"/>
  <c r="S72" i="123"/>
  <c r="S141" i="123"/>
  <c r="S177" i="123"/>
  <c r="S38" i="123"/>
  <c r="S28" i="123"/>
  <c r="S66" i="123"/>
  <c r="S184" i="123"/>
  <c r="S175" i="123"/>
  <c r="S124" i="123"/>
  <c r="S73" i="123"/>
  <c r="S33" i="123"/>
  <c r="S186" i="123"/>
  <c r="S62" i="123"/>
  <c r="S24" i="123"/>
  <c r="S160" i="123"/>
  <c r="S18" i="123"/>
  <c r="S95" i="123"/>
  <c r="S148" i="123"/>
  <c r="S61" i="123"/>
  <c r="S23" i="123"/>
  <c r="S145" i="123"/>
  <c r="S181" i="123"/>
  <c r="S178" i="123"/>
  <c r="S60" i="123"/>
  <c r="S22" i="123"/>
  <c r="S187" i="123"/>
  <c r="S158" i="123"/>
  <c r="S176" i="123"/>
  <c r="S100" i="123"/>
  <c r="S151" i="123"/>
  <c r="S214" i="123"/>
  <c r="S112" i="123"/>
  <c r="S139" i="123"/>
  <c r="S142" i="123"/>
  <c r="S216" i="123"/>
  <c r="S155" i="123"/>
  <c r="S199" i="123"/>
  <c r="S211" i="123"/>
  <c r="S223" i="123"/>
  <c r="S220" i="123" l="1"/>
  <c r="S210" i="123"/>
  <c r="S161" i="123"/>
  <c r="S67" i="123"/>
  <c r="S83" i="123"/>
  <c r="S43" i="123"/>
  <c r="S56" i="123"/>
  <c r="S136" i="123"/>
  <c r="S44" i="123"/>
  <c r="S84" i="123"/>
  <c r="S25" i="123"/>
  <c r="S63" i="123"/>
  <c r="S236" i="123"/>
  <c r="S70" i="123"/>
  <c r="S82" i="123"/>
  <c r="S42" i="123"/>
  <c r="S200" i="123"/>
  <c r="S17" i="123"/>
  <c r="S239" i="123"/>
  <c r="S125" i="123"/>
  <c r="S135" i="123"/>
  <c r="S197" i="123"/>
  <c r="S226" i="123"/>
  <c r="S81" i="123"/>
  <c r="S41" i="123"/>
  <c r="S217" i="123"/>
  <c r="S55" i="123"/>
  <c r="N162" i="123" l="1"/>
  <c r="S162" i="123" s="1"/>
  <c r="N46" i="123"/>
  <c r="N201" i="123"/>
  <c r="S201" i="123" s="1"/>
  <c r="S46" i="123"/>
  <c r="N86" i="123"/>
  <c r="S86" i="123"/>
  <c r="N126" i="123"/>
  <c r="S96" i="123"/>
  <c r="S126" i="123" s="1"/>
  <c r="S234" i="123" l="1"/>
  <c r="S374" i="123" l="1"/>
  <c r="N387" i="123" l="1"/>
  <c r="S373" i="123"/>
  <c r="S233" i="123" l="1"/>
  <c r="S240" i="123" s="1"/>
  <c r="N240" i="123"/>
  <c r="O14" i="58"/>
  <c r="P14" i="58"/>
  <c r="Q14" i="58"/>
  <c r="R14" i="58"/>
  <c r="T14" i="58"/>
  <c r="V14" i="58"/>
  <c r="O16" i="58"/>
  <c r="P16" i="58"/>
  <c r="Q16" i="58"/>
  <c r="R16" i="58"/>
  <c r="T16" i="58"/>
  <c r="V16" i="58"/>
  <c r="I18" i="58"/>
  <c r="J18" i="58"/>
  <c r="I19" i="58"/>
  <c r="J19" i="58"/>
  <c r="O19" i="58"/>
  <c r="P19" i="58"/>
  <c r="Q19" i="58"/>
  <c r="R19" i="58"/>
  <c r="T19" i="58"/>
  <c r="V19" i="58"/>
  <c r="I25" i="58"/>
  <c r="J25" i="58"/>
  <c r="O25" i="58"/>
  <c r="P25" i="58"/>
  <c r="Q25" i="58"/>
  <c r="R25" i="58"/>
  <c r="T25" i="58"/>
  <c r="V25" i="58"/>
  <c r="I28" i="58"/>
  <c r="J28" i="58"/>
  <c r="O28" i="58"/>
  <c r="P28" i="58"/>
  <c r="Q28" i="58"/>
  <c r="R28" i="58"/>
  <c r="T28" i="58"/>
  <c r="V28" i="58"/>
  <c r="I30" i="58"/>
  <c r="J30" i="58"/>
  <c r="O30" i="58"/>
  <c r="P30" i="58"/>
  <c r="Q30" i="58"/>
  <c r="R30" i="58"/>
  <c r="T30" i="58"/>
  <c r="V30" i="58"/>
  <c r="J31" i="58"/>
  <c r="R31" i="58"/>
  <c r="V40" i="58"/>
  <c r="O44" i="58"/>
  <c r="P44" i="58"/>
  <c r="Q44" i="58"/>
  <c r="R44" i="58"/>
  <c r="T44" i="58"/>
  <c r="V44" i="58"/>
  <c r="O46" i="58"/>
  <c r="P46" i="58"/>
  <c r="Q46" i="58"/>
  <c r="R46" i="58"/>
  <c r="T46" i="58"/>
  <c r="V46" i="58"/>
  <c r="O52" i="58"/>
  <c r="P52" i="58"/>
  <c r="Q52" i="58"/>
  <c r="R52" i="58"/>
  <c r="T52" i="58"/>
  <c r="V52" i="58"/>
  <c r="O57" i="58"/>
  <c r="P57" i="58"/>
  <c r="Q57" i="58"/>
  <c r="R57" i="58"/>
  <c r="T57" i="58"/>
  <c r="V57" i="58"/>
  <c r="O63" i="58"/>
  <c r="P63" i="58"/>
  <c r="Q63" i="58"/>
  <c r="R63" i="58"/>
  <c r="T63" i="58"/>
  <c r="V63" i="58"/>
  <c r="R64" i="58"/>
  <c r="V73" i="58"/>
  <c r="O77" i="58"/>
  <c r="P77" i="58"/>
  <c r="Q77" i="58"/>
  <c r="R77" i="58"/>
  <c r="T77" i="58"/>
  <c r="V77" i="58"/>
  <c r="O79" i="58"/>
  <c r="P79" i="58"/>
  <c r="Q79" i="58"/>
  <c r="R79" i="58"/>
  <c r="T79" i="58"/>
  <c r="V79" i="58"/>
  <c r="I83" i="58"/>
  <c r="J83" i="58"/>
  <c r="I85" i="58"/>
  <c r="J85" i="58"/>
  <c r="O85" i="58"/>
  <c r="P85" i="58"/>
  <c r="Q85" i="58"/>
  <c r="R85" i="58"/>
  <c r="T85" i="58"/>
  <c r="V85" i="58"/>
  <c r="I91" i="58"/>
  <c r="J91" i="58"/>
  <c r="O91" i="58"/>
  <c r="P91" i="58"/>
  <c r="Q91" i="58"/>
  <c r="R91" i="58"/>
  <c r="T91" i="58"/>
  <c r="V91" i="58"/>
  <c r="I97" i="58"/>
  <c r="J97" i="58"/>
  <c r="O97" i="58"/>
  <c r="P97" i="58"/>
  <c r="Q97" i="58"/>
  <c r="R97" i="58"/>
  <c r="T97" i="58"/>
  <c r="V97" i="58"/>
  <c r="Q100" i="58"/>
  <c r="T100" i="58"/>
  <c r="I101" i="58"/>
  <c r="J101" i="58"/>
  <c r="O101" i="58"/>
  <c r="P101" i="58"/>
  <c r="Q101" i="58"/>
  <c r="R101" i="58"/>
  <c r="T101" i="58"/>
  <c r="V101" i="58"/>
  <c r="V102" i="58"/>
  <c r="E4" i="162"/>
  <c r="G4" i="162"/>
  <c r="H4" i="162"/>
  <c r="I4" i="162"/>
  <c r="L4" i="162"/>
  <c r="N4" i="162"/>
  <c r="O4" i="162"/>
  <c r="P4" i="162"/>
  <c r="U4" i="162"/>
  <c r="V4" i="162"/>
  <c r="W4" i="162"/>
  <c r="H6" i="162"/>
  <c r="I6" i="162"/>
  <c r="O6" i="162"/>
  <c r="P6" i="162"/>
  <c r="V6" i="162"/>
  <c r="W6" i="162"/>
  <c r="G7" i="162"/>
  <c r="H7" i="162"/>
  <c r="I7" i="162"/>
  <c r="O7" i="162"/>
  <c r="P7" i="162"/>
  <c r="U7" i="162"/>
  <c r="V7" i="162"/>
  <c r="W7" i="162"/>
  <c r="E8" i="162"/>
  <c r="G8" i="162"/>
  <c r="H8" i="162"/>
  <c r="I8" i="162"/>
  <c r="L8" i="162"/>
  <c r="N8" i="162"/>
  <c r="O8" i="162"/>
  <c r="P8" i="162"/>
  <c r="U8" i="162"/>
  <c r="V8" i="162"/>
  <c r="W8" i="162"/>
  <c r="F10" i="162"/>
  <c r="G10" i="162"/>
  <c r="H10" i="162"/>
  <c r="I10" i="162"/>
  <c r="M10" i="162"/>
  <c r="N10" i="162"/>
  <c r="O10" i="162"/>
  <c r="V10" i="162"/>
  <c r="E11" i="162"/>
  <c r="L11" i="162"/>
  <c r="N11" i="162"/>
  <c r="U11" i="162"/>
  <c r="D13" i="162"/>
  <c r="K13" i="162"/>
  <c r="E14" i="162"/>
  <c r="F14" i="162"/>
  <c r="G14" i="162"/>
  <c r="H14" i="162"/>
  <c r="L14" i="162"/>
  <c r="M14" i="162"/>
  <c r="N14" i="162"/>
  <c r="O14" i="162"/>
  <c r="U14" i="162"/>
  <c r="V14" i="162"/>
  <c r="D15" i="162"/>
  <c r="K15" i="162"/>
  <c r="R15" i="162"/>
  <c r="F19" i="162"/>
  <c r="G19" i="162"/>
  <c r="H19" i="162"/>
  <c r="M19" i="162"/>
  <c r="N19" i="162"/>
  <c r="O19" i="162"/>
  <c r="E20" i="162"/>
  <c r="H20" i="162"/>
  <c r="L20" i="162"/>
  <c r="O20" i="162"/>
  <c r="E22" i="162"/>
  <c r="F22" i="162"/>
  <c r="G22" i="162"/>
  <c r="H22" i="162"/>
  <c r="L22" i="162"/>
  <c r="M22" i="162"/>
  <c r="N22" i="162"/>
  <c r="O22" i="162"/>
  <c r="E23" i="162"/>
  <c r="F23" i="162"/>
  <c r="G23" i="162"/>
  <c r="H23" i="162"/>
  <c r="L23" i="162"/>
  <c r="M23" i="162"/>
  <c r="N23" i="162"/>
  <c r="O23" i="162"/>
  <c r="E24" i="162"/>
  <c r="F24" i="162"/>
  <c r="G24" i="162"/>
  <c r="H24" i="162"/>
  <c r="L24" i="162"/>
  <c r="M24" i="162"/>
  <c r="N24" i="162"/>
  <c r="O24" i="162"/>
  <c r="D25" i="162"/>
  <c r="K25" i="162"/>
  <c r="L27" i="162"/>
  <c r="O27" i="162"/>
  <c r="P29" i="162"/>
  <c r="W29" i="162"/>
  <c r="W30" i="162"/>
  <c r="D13" i="111"/>
  <c r="G13" i="111"/>
  <c r="I13" i="111"/>
  <c r="D14" i="111"/>
  <c r="G14" i="111"/>
  <c r="I14" i="111"/>
  <c r="D15" i="111"/>
  <c r="G15" i="111"/>
  <c r="I15" i="111"/>
  <c r="D16" i="111"/>
  <c r="G16" i="111"/>
  <c r="I16" i="111"/>
  <c r="D17" i="111"/>
  <c r="G17" i="111"/>
  <c r="I17" i="111"/>
  <c r="D18" i="111"/>
  <c r="G18" i="111"/>
  <c r="I18" i="111"/>
  <c r="D19" i="111"/>
  <c r="G19" i="111"/>
  <c r="I19" i="111"/>
  <c r="D20" i="111"/>
  <c r="G20" i="111"/>
  <c r="I20" i="111"/>
  <c r="D21" i="111"/>
  <c r="D23" i="111"/>
  <c r="G23" i="111"/>
  <c r="I23" i="111"/>
  <c r="D24" i="111"/>
  <c r="G24" i="111"/>
  <c r="I24" i="111"/>
  <c r="D25" i="111"/>
  <c r="G25" i="111"/>
  <c r="I25" i="111"/>
  <c r="D26" i="111"/>
  <c r="G26" i="111"/>
  <c r="I26" i="111"/>
  <c r="D27" i="111"/>
  <c r="G27" i="111"/>
  <c r="I27" i="111"/>
  <c r="D28" i="111"/>
  <c r="G28" i="111"/>
  <c r="I28" i="111"/>
  <c r="D29" i="111"/>
  <c r="G29" i="111"/>
  <c r="I29" i="111"/>
  <c r="D30" i="111"/>
  <c r="G30" i="111"/>
  <c r="I30" i="111"/>
  <c r="D31" i="111"/>
  <c r="G31" i="111"/>
  <c r="I31" i="111"/>
  <c r="D32" i="111"/>
  <c r="G32" i="111"/>
  <c r="I32" i="111"/>
  <c r="D33" i="111"/>
  <c r="G33" i="111"/>
  <c r="I33" i="111"/>
  <c r="D34" i="111"/>
  <c r="G34" i="111"/>
  <c r="I34" i="111"/>
  <c r="D35" i="111"/>
  <c r="G35" i="111"/>
  <c r="I35" i="111"/>
  <c r="D36" i="111"/>
  <c r="G36" i="111"/>
  <c r="I36" i="111"/>
  <c r="D37" i="111"/>
  <c r="G37" i="111"/>
  <c r="I37" i="111"/>
  <c r="D38" i="111"/>
  <c r="G38" i="111"/>
  <c r="I38" i="111"/>
  <c r="D39" i="111"/>
  <c r="G39" i="111"/>
  <c r="I39" i="111"/>
  <c r="D40" i="111"/>
  <c r="G40" i="111"/>
  <c r="I40" i="111"/>
  <c r="D41" i="111"/>
  <c r="D42" i="111"/>
  <c r="D43" i="111"/>
  <c r="D44" i="111"/>
  <c r="D45" i="111"/>
  <c r="D46" i="111"/>
  <c r="D47" i="111"/>
  <c r="D49" i="111"/>
  <c r="C62" i="111"/>
  <c r="D62" i="111"/>
  <c r="E62" i="111"/>
  <c r="F62" i="111"/>
  <c r="G62" i="111"/>
  <c r="H62" i="111"/>
  <c r="I62" i="111"/>
  <c r="J62" i="111"/>
  <c r="K62" i="111"/>
  <c r="L62" i="111"/>
  <c r="M62" i="111"/>
  <c r="N62" i="111"/>
  <c r="O62" i="111"/>
  <c r="C63" i="111"/>
  <c r="D63" i="111"/>
  <c r="E63" i="111"/>
  <c r="F63" i="111"/>
  <c r="G63" i="111"/>
  <c r="H63" i="111"/>
  <c r="I63" i="111"/>
  <c r="J63" i="111"/>
  <c r="K63" i="111"/>
  <c r="L63" i="111"/>
  <c r="M63" i="111"/>
  <c r="N63" i="111"/>
  <c r="O63" i="111"/>
  <c r="C64" i="111"/>
  <c r="D64" i="111"/>
  <c r="E64" i="111"/>
  <c r="F64" i="111"/>
  <c r="G64" i="111"/>
  <c r="H64" i="111"/>
  <c r="I64" i="111"/>
  <c r="J64" i="111"/>
  <c r="K64" i="111"/>
  <c r="L64" i="111"/>
  <c r="M64" i="111"/>
  <c r="N64" i="111"/>
  <c r="O64" i="111"/>
  <c r="C65" i="111"/>
  <c r="D65" i="111"/>
  <c r="E65" i="111"/>
  <c r="F65" i="111"/>
  <c r="G65" i="111"/>
  <c r="H65" i="111"/>
  <c r="I65" i="111"/>
  <c r="J65" i="111"/>
  <c r="K65" i="111"/>
  <c r="L65" i="111"/>
  <c r="M65" i="111"/>
  <c r="N65" i="111"/>
  <c r="O65" i="111"/>
  <c r="C66" i="111"/>
  <c r="D66" i="111"/>
  <c r="E66" i="111"/>
  <c r="F66" i="111"/>
  <c r="G66" i="111"/>
  <c r="H66" i="111"/>
  <c r="I66" i="111"/>
  <c r="J66" i="111"/>
  <c r="K66" i="111"/>
  <c r="L66" i="111"/>
  <c r="M66" i="111"/>
  <c r="N66" i="111"/>
  <c r="O66" i="111"/>
  <c r="C67" i="111"/>
  <c r="D67" i="111"/>
  <c r="E67" i="111"/>
  <c r="F67" i="111"/>
  <c r="G67" i="111"/>
  <c r="H67" i="111"/>
  <c r="I67" i="111"/>
  <c r="J67" i="111"/>
  <c r="K67" i="111"/>
  <c r="L67" i="111"/>
  <c r="M67" i="111"/>
  <c r="N67" i="111"/>
  <c r="O67" i="111"/>
  <c r="C68" i="111"/>
  <c r="D68" i="111"/>
  <c r="E68" i="111"/>
  <c r="F68" i="111"/>
  <c r="G68" i="111"/>
  <c r="H68" i="111"/>
  <c r="I68" i="111"/>
  <c r="J68" i="111"/>
  <c r="K68" i="111"/>
  <c r="L68" i="111"/>
  <c r="M68" i="111"/>
  <c r="N68" i="111"/>
  <c r="O68" i="111"/>
  <c r="C70" i="111"/>
  <c r="D70" i="111"/>
  <c r="E70" i="111"/>
  <c r="F70" i="111"/>
  <c r="G70" i="111"/>
  <c r="H70" i="111"/>
  <c r="I70" i="111"/>
  <c r="J70" i="111"/>
  <c r="K70" i="111"/>
  <c r="L70" i="111"/>
  <c r="M70" i="111"/>
  <c r="N70" i="111"/>
  <c r="O70" i="111"/>
  <c r="C73" i="111"/>
  <c r="D73" i="111"/>
  <c r="E73" i="111"/>
  <c r="F73" i="111"/>
  <c r="G73" i="111"/>
  <c r="H73" i="111"/>
  <c r="I73" i="111"/>
  <c r="J73" i="111"/>
  <c r="K73" i="111"/>
  <c r="L73" i="111"/>
  <c r="M73" i="111"/>
  <c r="N73" i="111"/>
  <c r="O73" i="111"/>
  <c r="C74" i="111"/>
  <c r="D74" i="111"/>
  <c r="E74" i="111"/>
  <c r="F74" i="111"/>
  <c r="G74" i="111"/>
  <c r="H74" i="111"/>
  <c r="I74" i="111"/>
  <c r="J74" i="111"/>
  <c r="K74" i="111"/>
  <c r="L74" i="111"/>
  <c r="M74" i="111"/>
  <c r="N74" i="111"/>
  <c r="O74" i="111"/>
  <c r="C75" i="111"/>
  <c r="D75" i="111"/>
  <c r="E75" i="111"/>
  <c r="F75" i="111"/>
  <c r="G75" i="111"/>
  <c r="H75" i="111"/>
  <c r="I75" i="111"/>
  <c r="J75" i="111"/>
  <c r="K75" i="111"/>
  <c r="L75" i="111"/>
  <c r="M75" i="111"/>
  <c r="N75" i="111"/>
  <c r="O75" i="111"/>
  <c r="C76" i="111"/>
  <c r="D76" i="111"/>
  <c r="E76" i="111"/>
  <c r="F76" i="111"/>
  <c r="G76" i="111"/>
  <c r="H76" i="111"/>
  <c r="I76" i="111"/>
  <c r="J76" i="111"/>
  <c r="K76" i="111"/>
  <c r="L76" i="111"/>
  <c r="M76" i="111"/>
  <c r="N76" i="111"/>
  <c r="O76" i="111"/>
  <c r="C77" i="111"/>
  <c r="D77" i="111"/>
  <c r="E77" i="111"/>
  <c r="F77" i="111"/>
  <c r="G77" i="111"/>
  <c r="H77" i="111"/>
  <c r="I77" i="111"/>
  <c r="J77" i="111"/>
  <c r="K77" i="111"/>
  <c r="L77" i="111"/>
  <c r="M77" i="111"/>
  <c r="N77" i="111"/>
  <c r="O77" i="111"/>
  <c r="C78" i="111"/>
  <c r="D78" i="111"/>
  <c r="E78" i="111"/>
  <c r="F78" i="111"/>
  <c r="G78" i="111"/>
  <c r="H78" i="111"/>
  <c r="I78" i="111"/>
  <c r="J78" i="111"/>
  <c r="K78" i="111"/>
  <c r="L78" i="111"/>
  <c r="M78" i="111"/>
  <c r="N78" i="111"/>
  <c r="O78" i="111"/>
  <c r="C79" i="111"/>
  <c r="D79" i="111"/>
  <c r="E79" i="111"/>
  <c r="F79" i="111"/>
  <c r="G79" i="111"/>
  <c r="H79" i="111"/>
  <c r="I79" i="111"/>
  <c r="J79" i="111"/>
  <c r="K79" i="111"/>
  <c r="L79" i="111"/>
  <c r="M79" i="111"/>
  <c r="N79" i="111"/>
  <c r="O79" i="111"/>
  <c r="C80" i="111"/>
  <c r="D80" i="111"/>
  <c r="E80" i="111"/>
  <c r="F80" i="111"/>
  <c r="G80" i="111"/>
  <c r="H80" i="111"/>
  <c r="I80" i="111"/>
  <c r="J80" i="111"/>
  <c r="K80" i="111"/>
  <c r="L80" i="111"/>
  <c r="M80" i="111"/>
  <c r="N80" i="111"/>
  <c r="O80" i="111"/>
  <c r="C81" i="111"/>
  <c r="D81" i="111"/>
  <c r="E81" i="111"/>
  <c r="F81" i="111"/>
  <c r="G81" i="111"/>
  <c r="H81" i="111"/>
  <c r="I81" i="111"/>
  <c r="J81" i="111"/>
  <c r="K81" i="111"/>
  <c r="L81" i="111"/>
  <c r="M81" i="111"/>
  <c r="N81" i="111"/>
  <c r="O81" i="111"/>
  <c r="C82" i="111"/>
  <c r="D82" i="111"/>
  <c r="E82" i="111"/>
  <c r="F82" i="111"/>
  <c r="G82" i="111"/>
  <c r="H82" i="111"/>
  <c r="I82" i="111"/>
  <c r="J82" i="111"/>
  <c r="K82" i="111"/>
  <c r="L82" i="111"/>
  <c r="M82" i="111"/>
  <c r="N82" i="111"/>
  <c r="O82" i="111"/>
  <c r="C83" i="111"/>
  <c r="D83" i="111"/>
  <c r="E83" i="111"/>
  <c r="F83" i="111"/>
  <c r="G83" i="111"/>
  <c r="H83" i="111"/>
  <c r="I83" i="111"/>
  <c r="J83" i="111"/>
  <c r="K83" i="111"/>
  <c r="L83" i="111"/>
  <c r="M83" i="111"/>
  <c r="N83" i="111"/>
  <c r="O83" i="111"/>
  <c r="C84" i="111"/>
  <c r="D84" i="111"/>
  <c r="E84" i="111"/>
  <c r="F84" i="111"/>
  <c r="G84" i="111"/>
  <c r="H84" i="111"/>
  <c r="I84" i="111"/>
  <c r="J84" i="111"/>
  <c r="K84" i="111"/>
  <c r="L84" i="111"/>
  <c r="M84" i="111"/>
  <c r="N84" i="111"/>
  <c r="O84" i="111"/>
  <c r="C85" i="111"/>
  <c r="D85" i="111"/>
  <c r="E85" i="111"/>
  <c r="F85" i="111"/>
  <c r="G85" i="111"/>
  <c r="H85" i="111"/>
  <c r="I85" i="111"/>
  <c r="J85" i="111"/>
  <c r="K85" i="111"/>
  <c r="L85" i="111"/>
  <c r="M85" i="111"/>
  <c r="N85" i="111"/>
  <c r="O85" i="111"/>
  <c r="C86" i="111"/>
  <c r="D86" i="111"/>
  <c r="E86" i="111"/>
  <c r="F86" i="111"/>
  <c r="G86" i="111"/>
  <c r="H86" i="111"/>
  <c r="I86" i="111"/>
  <c r="J86" i="111"/>
  <c r="K86" i="111"/>
  <c r="L86" i="111"/>
  <c r="M86" i="111"/>
  <c r="N86" i="111"/>
  <c r="O86" i="111"/>
  <c r="C87" i="111"/>
  <c r="D87" i="111"/>
  <c r="E87" i="111"/>
  <c r="F87" i="111"/>
  <c r="G87" i="111"/>
  <c r="H87" i="111"/>
  <c r="I87" i="111"/>
  <c r="J87" i="111"/>
  <c r="K87" i="111"/>
  <c r="L87" i="111"/>
  <c r="M87" i="111"/>
  <c r="N87" i="111"/>
  <c r="O87" i="111"/>
  <c r="C88" i="111"/>
  <c r="D88" i="111"/>
  <c r="E88" i="111"/>
  <c r="F88" i="111"/>
  <c r="G88" i="111"/>
  <c r="H88" i="111"/>
  <c r="I88" i="111"/>
  <c r="J88" i="111"/>
  <c r="K88" i="111"/>
  <c r="L88" i="111"/>
  <c r="M88" i="111"/>
  <c r="N88" i="111"/>
  <c r="O88" i="111"/>
  <c r="C90" i="111"/>
  <c r="D90" i="111"/>
  <c r="E90" i="111"/>
  <c r="F90" i="111"/>
  <c r="G90" i="111"/>
  <c r="H90" i="111"/>
  <c r="I90" i="111"/>
  <c r="J90" i="111"/>
  <c r="K90" i="111"/>
  <c r="L90" i="111"/>
  <c r="M90" i="111"/>
  <c r="N90" i="111"/>
  <c r="O90" i="111"/>
  <c r="C92" i="111"/>
  <c r="D92" i="111"/>
  <c r="E92" i="111"/>
  <c r="F92" i="111"/>
  <c r="G92" i="111"/>
  <c r="H92" i="111"/>
  <c r="I92" i="111"/>
  <c r="J92" i="111"/>
  <c r="K92" i="111"/>
  <c r="L92" i="111"/>
  <c r="M92" i="111"/>
  <c r="N92" i="111"/>
  <c r="O92" i="111"/>
  <c r="C108" i="111"/>
  <c r="D108" i="111"/>
  <c r="E108" i="111"/>
  <c r="F108" i="111"/>
  <c r="G108" i="111"/>
  <c r="H108" i="111"/>
  <c r="I108" i="111"/>
  <c r="J108" i="111"/>
  <c r="K108" i="111"/>
  <c r="L108" i="111"/>
  <c r="M108" i="111"/>
  <c r="N108" i="111"/>
  <c r="O108" i="111"/>
  <c r="C109" i="111"/>
  <c r="D109" i="111"/>
  <c r="E109" i="111"/>
  <c r="F109" i="111"/>
  <c r="G109" i="111"/>
  <c r="H109" i="111"/>
  <c r="I109" i="111"/>
  <c r="J109" i="111"/>
  <c r="K109" i="111"/>
  <c r="L109" i="111"/>
  <c r="M109" i="111"/>
  <c r="N109" i="111"/>
  <c r="O109" i="111"/>
  <c r="C110" i="111"/>
  <c r="D110" i="111"/>
  <c r="E110" i="111"/>
  <c r="F110" i="111"/>
  <c r="G110" i="111"/>
  <c r="H110" i="111"/>
  <c r="I110" i="111"/>
  <c r="J110" i="111"/>
  <c r="K110" i="111"/>
  <c r="L110" i="111"/>
  <c r="M110" i="111"/>
  <c r="N110" i="111"/>
  <c r="O110" i="111"/>
  <c r="C111" i="111"/>
  <c r="D111" i="111"/>
  <c r="E111" i="111"/>
  <c r="F111" i="111"/>
  <c r="G111" i="111"/>
  <c r="H111" i="111"/>
  <c r="I111" i="111"/>
  <c r="J111" i="111"/>
  <c r="K111" i="111"/>
  <c r="L111" i="111"/>
  <c r="M111" i="111"/>
  <c r="N111" i="111"/>
  <c r="O111" i="111"/>
  <c r="C112" i="111"/>
  <c r="D112" i="111"/>
  <c r="E112" i="111"/>
  <c r="F112" i="111"/>
  <c r="G112" i="111"/>
  <c r="H112" i="111"/>
  <c r="I112" i="111"/>
  <c r="J112" i="111"/>
  <c r="K112" i="111"/>
  <c r="L112" i="111"/>
  <c r="M112" i="111"/>
  <c r="N112" i="111"/>
  <c r="O112" i="111"/>
  <c r="C113" i="111"/>
  <c r="D113" i="111"/>
  <c r="E113" i="111"/>
  <c r="F113" i="111"/>
  <c r="G113" i="111"/>
  <c r="H113" i="111"/>
  <c r="I113" i="111"/>
  <c r="J113" i="111"/>
  <c r="K113" i="111"/>
  <c r="L113" i="111"/>
  <c r="M113" i="111"/>
  <c r="N113" i="111"/>
  <c r="O113" i="111"/>
  <c r="C114" i="111"/>
  <c r="D114" i="111"/>
  <c r="E114" i="111"/>
  <c r="F114" i="111"/>
  <c r="G114" i="111"/>
  <c r="H114" i="111"/>
  <c r="I114" i="111"/>
  <c r="J114" i="111"/>
  <c r="K114" i="111"/>
  <c r="L114" i="111"/>
  <c r="M114" i="111"/>
  <c r="N114" i="111"/>
  <c r="O114" i="111"/>
  <c r="C116" i="111"/>
  <c r="D116" i="111"/>
  <c r="E116" i="111"/>
  <c r="F116" i="111"/>
  <c r="G116" i="111"/>
  <c r="H116" i="111"/>
  <c r="I116" i="111"/>
  <c r="J116" i="111"/>
  <c r="K116" i="111"/>
  <c r="L116" i="111"/>
  <c r="M116" i="111"/>
  <c r="N116" i="111"/>
  <c r="O116" i="111"/>
  <c r="C119" i="111"/>
  <c r="D119" i="111"/>
  <c r="E119" i="111"/>
  <c r="F119" i="111"/>
  <c r="G119" i="111"/>
  <c r="H119" i="111"/>
  <c r="I119" i="111"/>
  <c r="J119" i="111"/>
  <c r="K119" i="111"/>
  <c r="L119" i="111"/>
  <c r="M119" i="111"/>
  <c r="N119" i="111"/>
  <c r="O119" i="111"/>
  <c r="C120" i="111"/>
  <c r="D120" i="111"/>
  <c r="E120" i="111"/>
  <c r="F120" i="111"/>
  <c r="G120" i="111"/>
  <c r="H120" i="111"/>
  <c r="I120" i="111"/>
  <c r="J120" i="111"/>
  <c r="K120" i="111"/>
  <c r="L120" i="111"/>
  <c r="M120" i="111"/>
  <c r="N120" i="111"/>
  <c r="O120" i="111"/>
  <c r="C121" i="111"/>
  <c r="D121" i="111"/>
  <c r="E121" i="111"/>
  <c r="F121" i="111"/>
  <c r="G121" i="111"/>
  <c r="H121" i="111"/>
  <c r="I121" i="111"/>
  <c r="J121" i="111"/>
  <c r="K121" i="111"/>
  <c r="L121" i="111"/>
  <c r="M121" i="111"/>
  <c r="N121" i="111"/>
  <c r="O121" i="111"/>
  <c r="C122" i="111"/>
  <c r="D122" i="111"/>
  <c r="E122" i="111"/>
  <c r="F122" i="111"/>
  <c r="G122" i="111"/>
  <c r="H122" i="111"/>
  <c r="I122" i="111"/>
  <c r="J122" i="111"/>
  <c r="K122" i="111"/>
  <c r="L122" i="111"/>
  <c r="M122" i="111"/>
  <c r="N122" i="111"/>
  <c r="O122" i="111"/>
  <c r="C123" i="111"/>
  <c r="D123" i="111"/>
  <c r="E123" i="111"/>
  <c r="F123" i="111"/>
  <c r="G123" i="111"/>
  <c r="H123" i="111"/>
  <c r="I123" i="111"/>
  <c r="J123" i="111"/>
  <c r="K123" i="111"/>
  <c r="L123" i="111"/>
  <c r="M123" i="111"/>
  <c r="N123" i="111"/>
  <c r="O123" i="111"/>
  <c r="C124" i="111"/>
  <c r="D124" i="111"/>
  <c r="E124" i="111"/>
  <c r="F124" i="111"/>
  <c r="G124" i="111"/>
  <c r="H124" i="111"/>
  <c r="I124" i="111"/>
  <c r="J124" i="111"/>
  <c r="K124" i="111"/>
  <c r="L124" i="111"/>
  <c r="M124" i="111"/>
  <c r="N124" i="111"/>
  <c r="O124" i="111"/>
  <c r="C125" i="111"/>
  <c r="D125" i="111"/>
  <c r="E125" i="111"/>
  <c r="F125" i="111"/>
  <c r="G125" i="111"/>
  <c r="H125" i="111"/>
  <c r="I125" i="111"/>
  <c r="J125" i="111"/>
  <c r="K125" i="111"/>
  <c r="L125" i="111"/>
  <c r="M125" i="111"/>
  <c r="N125" i="111"/>
  <c r="O125" i="111"/>
  <c r="C126" i="111"/>
  <c r="D126" i="111"/>
  <c r="E126" i="111"/>
  <c r="F126" i="111"/>
  <c r="G126" i="111"/>
  <c r="H126" i="111"/>
  <c r="I126" i="111"/>
  <c r="J126" i="111"/>
  <c r="K126" i="111"/>
  <c r="L126" i="111"/>
  <c r="M126" i="111"/>
  <c r="N126" i="111"/>
  <c r="O126" i="111"/>
  <c r="C127" i="111"/>
  <c r="D127" i="111"/>
  <c r="E127" i="111"/>
  <c r="F127" i="111"/>
  <c r="G127" i="111"/>
  <c r="H127" i="111"/>
  <c r="I127" i="111"/>
  <c r="J127" i="111"/>
  <c r="K127" i="111"/>
  <c r="L127" i="111"/>
  <c r="M127" i="111"/>
  <c r="N127" i="111"/>
  <c r="O127" i="111"/>
  <c r="C128" i="111"/>
  <c r="D128" i="111"/>
  <c r="E128" i="111"/>
  <c r="F128" i="111"/>
  <c r="G128" i="111"/>
  <c r="H128" i="111"/>
  <c r="I128" i="111"/>
  <c r="J128" i="111"/>
  <c r="K128" i="111"/>
  <c r="L128" i="111"/>
  <c r="M128" i="111"/>
  <c r="N128" i="111"/>
  <c r="O128" i="111"/>
  <c r="C129" i="111"/>
  <c r="D129" i="111"/>
  <c r="E129" i="111"/>
  <c r="F129" i="111"/>
  <c r="G129" i="111"/>
  <c r="H129" i="111"/>
  <c r="I129" i="111"/>
  <c r="J129" i="111"/>
  <c r="K129" i="111"/>
  <c r="L129" i="111"/>
  <c r="M129" i="111"/>
  <c r="N129" i="111"/>
  <c r="O129" i="111"/>
  <c r="C130" i="111"/>
  <c r="D130" i="111"/>
  <c r="E130" i="111"/>
  <c r="F130" i="111"/>
  <c r="G130" i="111"/>
  <c r="H130" i="111"/>
  <c r="I130" i="111"/>
  <c r="J130" i="111"/>
  <c r="K130" i="111"/>
  <c r="L130" i="111"/>
  <c r="M130" i="111"/>
  <c r="N130" i="111"/>
  <c r="O130" i="111"/>
  <c r="C131" i="111"/>
  <c r="D131" i="111"/>
  <c r="E131" i="111"/>
  <c r="F131" i="111"/>
  <c r="G131" i="111"/>
  <c r="H131" i="111"/>
  <c r="I131" i="111"/>
  <c r="J131" i="111"/>
  <c r="K131" i="111"/>
  <c r="L131" i="111"/>
  <c r="M131" i="111"/>
  <c r="N131" i="111"/>
  <c r="O131" i="111"/>
  <c r="C132" i="111"/>
  <c r="D132" i="111"/>
  <c r="E132" i="111"/>
  <c r="F132" i="111"/>
  <c r="G132" i="111"/>
  <c r="H132" i="111"/>
  <c r="I132" i="111"/>
  <c r="J132" i="111"/>
  <c r="K132" i="111"/>
  <c r="L132" i="111"/>
  <c r="M132" i="111"/>
  <c r="N132" i="111"/>
  <c r="O132" i="111"/>
  <c r="C133" i="111"/>
  <c r="D133" i="111"/>
  <c r="E133" i="111"/>
  <c r="F133" i="111"/>
  <c r="G133" i="111"/>
  <c r="H133" i="111"/>
  <c r="I133" i="111"/>
  <c r="J133" i="111"/>
  <c r="K133" i="111"/>
  <c r="L133" i="111"/>
  <c r="M133" i="111"/>
  <c r="N133" i="111"/>
  <c r="O133" i="111"/>
  <c r="C134" i="111"/>
  <c r="D134" i="111"/>
  <c r="E134" i="111"/>
  <c r="F134" i="111"/>
  <c r="G134" i="111"/>
  <c r="H134" i="111"/>
  <c r="I134" i="111"/>
  <c r="J134" i="111"/>
  <c r="K134" i="111"/>
  <c r="L134" i="111"/>
  <c r="M134" i="111"/>
  <c r="N134" i="111"/>
  <c r="O134" i="111"/>
  <c r="C136" i="111"/>
  <c r="D136" i="111"/>
  <c r="E136" i="111"/>
  <c r="F136" i="111"/>
  <c r="G136" i="111"/>
  <c r="H136" i="111"/>
  <c r="I136" i="111"/>
  <c r="J136" i="111"/>
  <c r="K136" i="111"/>
  <c r="L136" i="111"/>
  <c r="M136" i="111"/>
  <c r="N136" i="111"/>
  <c r="O136" i="111"/>
  <c r="C138" i="111"/>
  <c r="D138" i="111"/>
  <c r="E138" i="111"/>
  <c r="F138" i="111"/>
  <c r="G138" i="111"/>
  <c r="H138" i="111"/>
  <c r="I138" i="111"/>
  <c r="J138" i="111"/>
  <c r="K138" i="111"/>
  <c r="L138" i="111"/>
  <c r="M138" i="111"/>
  <c r="N138" i="111"/>
  <c r="O138" i="111"/>
  <c r="C145" i="111"/>
  <c r="D145" i="111"/>
  <c r="E145" i="111"/>
  <c r="F145" i="111"/>
  <c r="G145" i="111"/>
  <c r="H145" i="111"/>
  <c r="I145" i="111"/>
  <c r="J145" i="111"/>
  <c r="K145" i="111"/>
  <c r="L145" i="111"/>
  <c r="M145" i="111"/>
  <c r="N145" i="111"/>
  <c r="O145" i="111"/>
  <c r="C146" i="111"/>
  <c r="D146" i="111"/>
  <c r="E146" i="111"/>
  <c r="F146" i="111"/>
  <c r="G146" i="111"/>
  <c r="H146" i="111"/>
  <c r="I146" i="111"/>
  <c r="J146" i="111"/>
  <c r="K146" i="111"/>
  <c r="L146" i="111"/>
  <c r="M146" i="111"/>
  <c r="N146" i="111"/>
  <c r="O146" i="111"/>
  <c r="C147" i="111"/>
  <c r="D147" i="111"/>
  <c r="E147" i="111"/>
  <c r="F147" i="111"/>
  <c r="G147" i="111"/>
  <c r="H147" i="111"/>
  <c r="I147" i="111"/>
  <c r="J147" i="111"/>
  <c r="K147" i="111"/>
  <c r="L147" i="111"/>
  <c r="M147" i="111"/>
  <c r="N147" i="111"/>
  <c r="O147" i="111"/>
  <c r="C148" i="111"/>
  <c r="D148" i="111"/>
  <c r="E148" i="111"/>
  <c r="F148" i="111"/>
  <c r="G148" i="111"/>
  <c r="H148" i="111"/>
  <c r="I148" i="111"/>
  <c r="J148" i="111"/>
  <c r="K148" i="111"/>
  <c r="L148" i="111"/>
  <c r="M148" i="111"/>
  <c r="N148" i="111"/>
  <c r="O148" i="111"/>
  <c r="C149" i="111"/>
  <c r="D149" i="111"/>
  <c r="E149" i="111"/>
  <c r="F149" i="111"/>
  <c r="G149" i="111"/>
  <c r="H149" i="111"/>
  <c r="I149" i="111"/>
  <c r="J149" i="111"/>
  <c r="K149" i="111"/>
  <c r="L149" i="111"/>
  <c r="M149" i="111"/>
  <c r="N149" i="111"/>
  <c r="O149" i="111"/>
  <c r="C150" i="111"/>
  <c r="D150" i="111"/>
  <c r="E150" i="111"/>
  <c r="F150" i="111"/>
  <c r="G150" i="111"/>
  <c r="H150" i="111"/>
  <c r="I150" i="111"/>
  <c r="J150" i="111"/>
  <c r="K150" i="111"/>
  <c r="L150" i="111"/>
  <c r="M150" i="111"/>
  <c r="N150" i="111"/>
  <c r="O150" i="111"/>
  <c r="C151" i="111"/>
  <c r="D151" i="111"/>
  <c r="E151" i="111"/>
  <c r="F151" i="111"/>
  <c r="G151" i="111"/>
  <c r="H151" i="111"/>
  <c r="I151" i="111"/>
  <c r="J151" i="111"/>
  <c r="K151" i="111"/>
  <c r="L151" i="111"/>
  <c r="M151" i="111"/>
  <c r="N151" i="111"/>
  <c r="O151" i="111"/>
  <c r="C153" i="111"/>
  <c r="D153" i="111"/>
  <c r="E153" i="111"/>
  <c r="F153" i="111"/>
  <c r="G153" i="111"/>
  <c r="H153" i="111"/>
  <c r="I153" i="111"/>
  <c r="J153" i="111"/>
  <c r="K153" i="111"/>
  <c r="L153" i="111"/>
  <c r="M153" i="111"/>
  <c r="N153" i="111"/>
  <c r="O153" i="111"/>
  <c r="C156" i="111"/>
  <c r="D156" i="111"/>
  <c r="E156" i="111"/>
  <c r="F156" i="111"/>
  <c r="G156" i="111"/>
  <c r="H156" i="111"/>
  <c r="I156" i="111"/>
  <c r="J156" i="111"/>
  <c r="K156" i="111"/>
  <c r="L156" i="111"/>
  <c r="M156" i="111"/>
  <c r="N156" i="111"/>
  <c r="O156" i="111"/>
  <c r="C157" i="111"/>
  <c r="D157" i="111"/>
  <c r="E157" i="111"/>
  <c r="F157" i="111"/>
  <c r="G157" i="111"/>
  <c r="H157" i="111"/>
  <c r="I157" i="111"/>
  <c r="J157" i="111"/>
  <c r="K157" i="111"/>
  <c r="L157" i="111"/>
  <c r="M157" i="111"/>
  <c r="N157" i="111"/>
  <c r="O157" i="111"/>
  <c r="C158" i="111"/>
  <c r="D158" i="111"/>
  <c r="E158" i="111"/>
  <c r="F158" i="111"/>
  <c r="G158" i="111"/>
  <c r="H158" i="111"/>
  <c r="I158" i="111"/>
  <c r="J158" i="111"/>
  <c r="K158" i="111"/>
  <c r="L158" i="111"/>
  <c r="M158" i="111"/>
  <c r="N158" i="111"/>
  <c r="O158" i="111"/>
  <c r="C159" i="111"/>
  <c r="D159" i="111"/>
  <c r="E159" i="111"/>
  <c r="F159" i="111"/>
  <c r="G159" i="111"/>
  <c r="H159" i="111"/>
  <c r="I159" i="111"/>
  <c r="J159" i="111"/>
  <c r="K159" i="111"/>
  <c r="L159" i="111"/>
  <c r="M159" i="111"/>
  <c r="N159" i="111"/>
  <c r="O159" i="111"/>
  <c r="C160" i="111"/>
  <c r="D160" i="111"/>
  <c r="E160" i="111"/>
  <c r="F160" i="111"/>
  <c r="G160" i="111"/>
  <c r="H160" i="111"/>
  <c r="I160" i="111"/>
  <c r="J160" i="111"/>
  <c r="K160" i="111"/>
  <c r="L160" i="111"/>
  <c r="M160" i="111"/>
  <c r="N160" i="111"/>
  <c r="O160" i="111"/>
  <c r="C161" i="111"/>
  <c r="D161" i="111"/>
  <c r="E161" i="111"/>
  <c r="F161" i="111"/>
  <c r="G161" i="111"/>
  <c r="H161" i="111"/>
  <c r="I161" i="111"/>
  <c r="J161" i="111"/>
  <c r="K161" i="111"/>
  <c r="L161" i="111"/>
  <c r="M161" i="111"/>
  <c r="N161" i="111"/>
  <c r="O161" i="111"/>
  <c r="C162" i="111"/>
  <c r="D162" i="111"/>
  <c r="E162" i="111"/>
  <c r="F162" i="111"/>
  <c r="G162" i="111"/>
  <c r="H162" i="111"/>
  <c r="I162" i="111"/>
  <c r="J162" i="111"/>
  <c r="K162" i="111"/>
  <c r="L162" i="111"/>
  <c r="M162" i="111"/>
  <c r="N162" i="111"/>
  <c r="O162" i="111"/>
  <c r="C163" i="111"/>
  <c r="D163" i="111"/>
  <c r="E163" i="111"/>
  <c r="F163" i="111"/>
  <c r="G163" i="111"/>
  <c r="H163" i="111"/>
  <c r="I163" i="111"/>
  <c r="J163" i="111"/>
  <c r="K163" i="111"/>
  <c r="L163" i="111"/>
  <c r="M163" i="111"/>
  <c r="N163" i="111"/>
  <c r="O163" i="111"/>
  <c r="C164" i="111"/>
  <c r="D164" i="111"/>
  <c r="E164" i="111"/>
  <c r="F164" i="111"/>
  <c r="G164" i="111"/>
  <c r="H164" i="111"/>
  <c r="I164" i="111"/>
  <c r="J164" i="111"/>
  <c r="K164" i="111"/>
  <c r="L164" i="111"/>
  <c r="M164" i="111"/>
  <c r="N164" i="111"/>
  <c r="O164" i="111"/>
  <c r="C165" i="111"/>
  <c r="D165" i="111"/>
  <c r="E165" i="111"/>
  <c r="F165" i="111"/>
  <c r="G165" i="111"/>
  <c r="H165" i="111"/>
  <c r="I165" i="111"/>
  <c r="J165" i="111"/>
  <c r="K165" i="111"/>
  <c r="L165" i="111"/>
  <c r="M165" i="111"/>
  <c r="N165" i="111"/>
  <c r="O165" i="111"/>
  <c r="C166" i="111"/>
  <c r="D166" i="111"/>
  <c r="E166" i="111"/>
  <c r="F166" i="111"/>
  <c r="G166" i="111"/>
  <c r="H166" i="111"/>
  <c r="I166" i="111"/>
  <c r="J166" i="111"/>
  <c r="K166" i="111"/>
  <c r="L166" i="111"/>
  <c r="M166" i="111"/>
  <c r="N166" i="111"/>
  <c r="O166" i="111"/>
  <c r="C167" i="111"/>
  <c r="D167" i="111"/>
  <c r="E167" i="111"/>
  <c r="F167" i="111"/>
  <c r="G167" i="111"/>
  <c r="H167" i="111"/>
  <c r="I167" i="111"/>
  <c r="J167" i="111"/>
  <c r="K167" i="111"/>
  <c r="L167" i="111"/>
  <c r="M167" i="111"/>
  <c r="N167" i="111"/>
  <c r="O167" i="111"/>
  <c r="C168" i="111"/>
  <c r="D168" i="111"/>
  <c r="E168" i="111"/>
  <c r="F168" i="111"/>
  <c r="G168" i="111"/>
  <c r="H168" i="111"/>
  <c r="I168" i="111"/>
  <c r="J168" i="111"/>
  <c r="K168" i="111"/>
  <c r="L168" i="111"/>
  <c r="M168" i="111"/>
  <c r="N168" i="111"/>
  <c r="O168" i="111"/>
  <c r="C169" i="111"/>
  <c r="D169" i="111"/>
  <c r="E169" i="111"/>
  <c r="F169" i="111"/>
  <c r="G169" i="111"/>
  <c r="H169" i="111"/>
  <c r="I169" i="111"/>
  <c r="J169" i="111"/>
  <c r="K169" i="111"/>
  <c r="L169" i="111"/>
  <c r="M169" i="111"/>
  <c r="N169" i="111"/>
  <c r="O169" i="111"/>
  <c r="C170" i="111"/>
  <c r="D170" i="111"/>
  <c r="E170" i="111"/>
  <c r="F170" i="111"/>
  <c r="G170" i="111"/>
  <c r="H170" i="111"/>
  <c r="I170" i="111"/>
  <c r="J170" i="111"/>
  <c r="K170" i="111"/>
  <c r="L170" i="111"/>
  <c r="M170" i="111"/>
  <c r="N170" i="111"/>
  <c r="O170" i="111"/>
  <c r="C171" i="111"/>
  <c r="D171" i="111"/>
  <c r="E171" i="111"/>
  <c r="F171" i="111"/>
  <c r="G171" i="111"/>
  <c r="H171" i="111"/>
  <c r="I171" i="111"/>
  <c r="J171" i="111"/>
  <c r="K171" i="111"/>
  <c r="L171" i="111"/>
  <c r="M171" i="111"/>
  <c r="N171" i="111"/>
  <c r="O171" i="111"/>
  <c r="C173" i="111"/>
  <c r="D173" i="111"/>
  <c r="E173" i="111"/>
  <c r="F173" i="111"/>
  <c r="G173" i="111"/>
  <c r="H173" i="111"/>
  <c r="I173" i="111"/>
  <c r="J173" i="111"/>
  <c r="K173" i="111"/>
  <c r="L173" i="111"/>
  <c r="M173" i="111"/>
  <c r="N173" i="111"/>
  <c r="O173" i="111"/>
  <c r="C175" i="111"/>
  <c r="D175" i="111"/>
  <c r="E175" i="111"/>
  <c r="F175" i="111"/>
  <c r="G175" i="111"/>
  <c r="H175" i="111"/>
  <c r="I175" i="111"/>
  <c r="J175" i="111"/>
  <c r="K175" i="111"/>
  <c r="L175" i="111"/>
  <c r="M175" i="111"/>
  <c r="N175" i="111"/>
  <c r="O175" i="111"/>
  <c r="E11" i="90"/>
  <c r="F11" i="90"/>
  <c r="I11" i="90"/>
  <c r="J11" i="90"/>
  <c r="K11" i="90"/>
  <c r="L11" i="90"/>
  <c r="N11" i="90"/>
  <c r="E13" i="90"/>
  <c r="F13" i="90"/>
  <c r="I13" i="90"/>
  <c r="J13" i="90"/>
  <c r="K13" i="90"/>
  <c r="L13" i="90"/>
  <c r="N13" i="90"/>
  <c r="E20" i="90"/>
  <c r="F20" i="90"/>
  <c r="I20" i="90"/>
  <c r="J20" i="90"/>
  <c r="K20" i="90"/>
  <c r="L20" i="90"/>
  <c r="N20" i="90"/>
  <c r="E22" i="90"/>
  <c r="F22" i="90"/>
  <c r="I22" i="90"/>
  <c r="J22" i="90"/>
  <c r="K22" i="90"/>
  <c r="L22" i="90"/>
  <c r="N22" i="90"/>
  <c r="E29" i="90"/>
  <c r="F29" i="90"/>
  <c r="I29" i="90"/>
  <c r="J29" i="90"/>
  <c r="K29" i="90"/>
  <c r="L29" i="90"/>
  <c r="N29" i="90"/>
  <c r="E31" i="90"/>
  <c r="F31" i="90"/>
  <c r="I31" i="90"/>
  <c r="J31" i="90"/>
  <c r="K31" i="90"/>
  <c r="L31" i="90"/>
  <c r="N31" i="90"/>
  <c r="S24" i="122"/>
  <c r="S27" i="122"/>
  <c r="S37" i="122"/>
  <c r="S38" i="122"/>
  <c r="S40" i="122"/>
  <c r="D42" i="122"/>
  <c r="E42" i="122"/>
  <c r="F42" i="122"/>
  <c r="H42" i="122"/>
  <c r="I42" i="122"/>
  <c r="K42" i="122"/>
  <c r="L42" i="122"/>
  <c r="P42" i="122"/>
  <c r="R42" i="122"/>
  <c r="D44" i="122"/>
  <c r="E44" i="122"/>
  <c r="F44" i="122"/>
  <c r="H44" i="122"/>
  <c r="I44" i="122"/>
  <c r="K44" i="122"/>
  <c r="L44" i="122"/>
  <c r="P44" i="122"/>
  <c r="R44" i="122"/>
  <c r="D48" i="122"/>
  <c r="E48" i="122"/>
  <c r="F48" i="122"/>
  <c r="H48" i="122"/>
  <c r="I48" i="122"/>
  <c r="K48" i="122"/>
  <c r="L48" i="122"/>
  <c r="P48" i="122"/>
  <c r="R48" i="122"/>
  <c r="D49" i="122"/>
  <c r="E49" i="122"/>
  <c r="F49" i="122"/>
  <c r="H49" i="122"/>
  <c r="I49" i="122"/>
  <c r="K49" i="122"/>
  <c r="L49" i="122"/>
  <c r="P49" i="122"/>
  <c r="R49" i="122"/>
  <c r="D50" i="122"/>
  <c r="E50" i="122"/>
  <c r="F50" i="122"/>
  <c r="H50" i="122"/>
  <c r="I50" i="122"/>
  <c r="K50" i="122"/>
  <c r="L50" i="122"/>
  <c r="P50" i="122"/>
  <c r="R50" i="122"/>
  <c r="E51" i="122"/>
  <c r="F51" i="122"/>
  <c r="H51" i="122"/>
  <c r="I51" i="122"/>
  <c r="K51" i="122"/>
  <c r="L51" i="122"/>
  <c r="D52" i="122"/>
  <c r="E52" i="122"/>
  <c r="F52" i="122"/>
  <c r="H52" i="122"/>
  <c r="I52" i="122"/>
  <c r="K52" i="122"/>
  <c r="L52" i="122"/>
  <c r="P52" i="122"/>
  <c r="R52" i="122"/>
  <c r="P13" i="96"/>
  <c r="S13" i="96"/>
  <c r="U13" i="96"/>
  <c r="P15" i="96"/>
  <c r="Q15" i="96"/>
  <c r="S15" i="96"/>
  <c r="U15" i="96"/>
  <c r="P28" i="96"/>
  <c r="S28" i="96"/>
  <c r="U28" i="96"/>
  <c r="P30" i="96"/>
  <c r="Q30" i="96"/>
  <c r="S30" i="96"/>
  <c r="U30" i="96"/>
  <c r="P43" i="96"/>
  <c r="S43" i="96"/>
  <c r="U43" i="96"/>
  <c r="P44" i="96"/>
  <c r="S44" i="96"/>
  <c r="U44" i="96"/>
  <c r="P45" i="96"/>
  <c r="Q45" i="96"/>
  <c r="S45" i="96"/>
  <c r="U45" i="96"/>
  <c r="D14" i="73"/>
  <c r="I14" i="73"/>
  <c r="L14" i="73"/>
  <c r="R14" i="73"/>
  <c r="T14" i="73"/>
  <c r="U14" i="73"/>
  <c r="V14" i="73"/>
  <c r="D15" i="73"/>
  <c r="I15" i="73"/>
  <c r="L15" i="73"/>
  <c r="R15" i="73"/>
  <c r="T15" i="73"/>
  <c r="U15" i="73"/>
  <c r="V15" i="73"/>
  <c r="D16" i="73"/>
  <c r="I16" i="73"/>
  <c r="L16" i="73"/>
  <c r="R16" i="73"/>
  <c r="T16" i="73"/>
  <c r="U16" i="73"/>
  <c r="V16" i="73"/>
  <c r="D17" i="73"/>
  <c r="I17" i="73"/>
  <c r="L17" i="73"/>
  <c r="R17" i="73"/>
  <c r="T17" i="73"/>
  <c r="U17" i="73"/>
  <c r="V17" i="73"/>
  <c r="D18" i="73"/>
  <c r="I18" i="73"/>
  <c r="L18" i="73"/>
  <c r="R18" i="73"/>
  <c r="T18" i="73"/>
  <c r="U18" i="73"/>
  <c r="V18" i="73"/>
  <c r="D19" i="73"/>
  <c r="I19" i="73"/>
  <c r="L19" i="73"/>
  <c r="R19" i="73"/>
  <c r="T19" i="73"/>
  <c r="U19" i="73"/>
  <c r="V19" i="73"/>
  <c r="D20" i="73"/>
  <c r="H20" i="73"/>
  <c r="I20" i="73"/>
  <c r="L20" i="73"/>
  <c r="P20" i="73"/>
  <c r="R20" i="73"/>
  <c r="T20" i="73"/>
  <c r="A21" i="73"/>
  <c r="D21" i="73"/>
  <c r="E21" i="73"/>
  <c r="F21" i="73"/>
  <c r="G21" i="73"/>
  <c r="H21" i="73"/>
  <c r="I21" i="73"/>
  <c r="L21" i="73"/>
  <c r="P21" i="73"/>
  <c r="R21" i="73"/>
  <c r="T21" i="73"/>
  <c r="U21" i="73"/>
  <c r="V21" i="73"/>
  <c r="E25" i="73"/>
  <c r="I25" i="73"/>
  <c r="M25" i="73"/>
  <c r="R25" i="73"/>
  <c r="T25" i="73"/>
  <c r="U25" i="73"/>
  <c r="V25" i="73"/>
  <c r="E27" i="73"/>
  <c r="I27" i="73"/>
  <c r="M27" i="73"/>
  <c r="R27" i="73"/>
  <c r="T27" i="73"/>
  <c r="U27" i="73"/>
  <c r="V27" i="73"/>
  <c r="E28" i="73"/>
  <c r="I28" i="73"/>
  <c r="M28" i="73"/>
  <c r="R28" i="73"/>
  <c r="T28" i="73"/>
  <c r="U28" i="73"/>
  <c r="V28" i="73"/>
  <c r="E29" i="73"/>
  <c r="I29" i="73"/>
  <c r="M29" i="73"/>
  <c r="R29" i="73"/>
  <c r="T29" i="73"/>
  <c r="U29" i="73"/>
  <c r="V29" i="73"/>
  <c r="E30" i="73"/>
  <c r="I30" i="73"/>
  <c r="M30" i="73"/>
  <c r="R30" i="73"/>
  <c r="T30" i="73"/>
  <c r="U30" i="73"/>
  <c r="V30" i="73"/>
  <c r="E31" i="73"/>
  <c r="I31" i="73"/>
  <c r="M31" i="73"/>
  <c r="R31" i="73"/>
  <c r="T31" i="73"/>
  <c r="U31" i="73"/>
  <c r="V31" i="73"/>
  <c r="D32" i="73"/>
  <c r="I32" i="73"/>
  <c r="L32" i="73"/>
  <c r="R32" i="73"/>
  <c r="T32" i="73"/>
  <c r="U32" i="73"/>
  <c r="V32" i="73"/>
  <c r="D33" i="73"/>
  <c r="I33" i="73"/>
  <c r="L33" i="73"/>
  <c r="R33" i="73"/>
  <c r="T33" i="73"/>
  <c r="U33" i="73"/>
  <c r="V33" i="73"/>
  <c r="E34" i="73"/>
  <c r="I34" i="73"/>
  <c r="M34" i="73"/>
  <c r="R34" i="73"/>
  <c r="T34" i="73"/>
  <c r="U34" i="73"/>
  <c r="V34" i="73"/>
  <c r="D35" i="73"/>
  <c r="I35" i="73"/>
  <c r="L35" i="73"/>
  <c r="R35" i="73"/>
  <c r="T35" i="73"/>
  <c r="U35" i="73"/>
  <c r="V35" i="73"/>
  <c r="E36" i="73"/>
  <c r="I36" i="73"/>
  <c r="M36" i="73"/>
  <c r="R36" i="73"/>
  <c r="T36" i="73"/>
  <c r="U36" i="73"/>
  <c r="V36" i="73"/>
  <c r="E37" i="73"/>
  <c r="I37" i="73"/>
  <c r="M37" i="73"/>
  <c r="R37" i="73"/>
  <c r="T37" i="73"/>
  <c r="U37" i="73"/>
  <c r="V37" i="73"/>
  <c r="E38" i="73"/>
  <c r="I38" i="73"/>
  <c r="D39" i="73"/>
  <c r="I39" i="73"/>
  <c r="L39" i="73"/>
  <c r="R39" i="73"/>
  <c r="T39" i="73"/>
  <c r="D40" i="73"/>
  <c r="I40" i="73"/>
  <c r="L40" i="73"/>
  <c r="R40" i="73"/>
  <c r="T40" i="73"/>
  <c r="U40" i="73"/>
  <c r="V40" i="73"/>
  <c r="D42" i="73"/>
  <c r="E42" i="73"/>
  <c r="F42" i="73"/>
  <c r="G42" i="73"/>
  <c r="H42" i="73"/>
  <c r="I42" i="73"/>
  <c r="L42" i="73"/>
  <c r="M42" i="73"/>
  <c r="R42" i="73"/>
  <c r="T42" i="73"/>
  <c r="U42" i="73"/>
  <c r="V42" i="73"/>
  <c r="D43" i="73"/>
  <c r="E43" i="73"/>
  <c r="F43" i="73"/>
  <c r="G43" i="73"/>
  <c r="H43" i="73"/>
  <c r="I43" i="73"/>
  <c r="A44" i="73"/>
  <c r="D44" i="73"/>
  <c r="E44" i="73"/>
  <c r="F44" i="73"/>
  <c r="G44" i="73"/>
  <c r="H44" i="73"/>
  <c r="I44" i="73"/>
  <c r="L44" i="73"/>
  <c r="M44" i="73"/>
  <c r="P44" i="73"/>
  <c r="R44" i="73"/>
  <c r="T44" i="73"/>
  <c r="U44" i="73"/>
  <c r="V44" i="73"/>
  <c r="D51" i="73"/>
  <c r="E51" i="73"/>
  <c r="F51" i="73"/>
  <c r="G51" i="73"/>
  <c r="H51" i="73"/>
  <c r="I51" i="73"/>
  <c r="L51" i="73"/>
  <c r="M51" i="73"/>
  <c r="P51" i="73"/>
  <c r="R51" i="73"/>
  <c r="T51" i="73"/>
  <c r="U51" i="73"/>
  <c r="V51" i="73"/>
  <c r="V53" i="73"/>
  <c r="D61" i="73"/>
  <c r="I61" i="73"/>
  <c r="V61" i="73"/>
  <c r="D62" i="73"/>
  <c r="I62" i="73"/>
  <c r="V62" i="73"/>
  <c r="D63" i="73"/>
  <c r="I63" i="73"/>
  <c r="V63" i="73"/>
  <c r="D64" i="73"/>
  <c r="I64" i="73"/>
  <c r="V64" i="73"/>
  <c r="D65" i="73"/>
  <c r="I65" i="73"/>
  <c r="V65" i="73"/>
  <c r="D66" i="73"/>
  <c r="I66" i="73"/>
  <c r="V66" i="73"/>
  <c r="D67" i="73"/>
  <c r="H67" i="73"/>
  <c r="I67" i="73"/>
  <c r="P67" i="73"/>
  <c r="R67" i="73"/>
  <c r="T67" i="73"/>
  <c r="D68" i="73"/>
  <c r="E68" i="73"/>
  <c r="F68" i="73"/>
  <c r="G68" i="73"/>
  <c r="H68" i="73"/>
  <c r="I68" i="73"/>
  <c r="P68" i="73"/>
  <c r="R68" i="73"/>
  <c r="T68" i="73"/>
  <c r="U68" i="73"/>
  <c r="V68" i="73"/>
  <c r="E72" i="73"/>
  <c r="I72" i="73"/>
  <c r="M72" i="73"/>
  <c r="R72" i="73"/>
  <c r="T72" i="73"/>
  <c r="U72" i="73"/>
  <c r="V72" i="73"/>
  <c r="E74" i="73"/>
  <c r="I74" i="73"/>
  <c r="M74" i="73"/>
  <c r="R74" i="73"/>
  <c r="T74" i="73"/>
  <c r="U74" i="73"/>
  <c r="V74" i="73"/>
  <c r="E75" i="73"/>
  <c r="I75" i="73"/>
  <c r="V75" i="73"/>
  <c r="E76" i="73"/>
  <c r="I76" i="73"/>
  <c r="V76" i="73"/>
  <c r="E77" i="73"/>
  <c r="I77" i="73"/>
  <c r="V77" i="73"/>
  <c r="E78" i="73"/>
  <c r="I78" i="73"/>
  <c r="V78" i="73"/>
  <c r="D79" i="73"/>
  <c r="I79" i="73"/>
  <c r="L79" i="73"/>
  <c r="R79" i="73"/>
  <c r="T79" i="73"/>
  <c r="U79" i="73"/>
  <c r="V79" i="73"/>
  <c r="D80" i="73"/>
  <c r="I80" i="73"/>
  <c r="L80" i="73"/>
  <c r="R80" i="73"/>
  <c r="T80" i="73"/>
  <c r="U80" i="73"/>
  <c r="V80" i="73"/>
  <c r="E81" i="73"/>
  <c r="I81" i="73"/>
  <c r="M81" i="73"/>
  <c r="R81" i="73"/>
  <c r="T81" i="73"/>
  <c r="U81" i="73"/>
  <c r="V81" i="73"/>
  <c r="D82" i="73"/>
  <c r="I82" i="73"/>
  <c r="L82" i="73"/>
  <c r="R82" i="73"/>
  <c r="T82" i="73"/>
  <c r="U82" i="73"/>
  <c r="V82" i="73"/>
  <c r="E83" i="73"/>
  <c r="I83" i="73"/>
  <c r="M83" i="73"/>
  <c r="R83" i="73"/>
  <c r="T83" i="73"/>
  <c r="U83" i="73"/>
  <c r="V83" i="73"/>
  <c r="E84" i="73"/>
  <c r="I84" i="73"/>
  <c r="M84" i="73"/>
  <c r="R84" i="73"/>
  <c r="T84" i="73"/>
  <c r="U84" i="73"/>
  <c r="V84" i="73"/>
  <c r="E85" i="73"/>
  <c r="I85" i="73"/>
  <c r="D86" i="73"/>
  <c r="I86" i="73"/>
  <c r="L86" i="73"/>
  <c r="R86" i="73"/>
  <c r="T86" i="73"/>
  <c r="U86" i="73"/>
  <c r="V86" i="73"/>
  <c r="D87" i="73"/>
  <c r="I87" i="73"/>
  <c r="L87" i="73"/>
  <c r="R87" i="73"/>
  <c r="T87" i="73"/>
  <c r="U87" i="73"/>
  <c r="V87" i="73"/>
  <c r="D89" i="73"/>
  <c r="E89" i="73"/>
  <c r="F89" i="73"/>
  <c r="G89" i="73"/>
  <c r="H89" i="73"/>
  <c r="I89" i="73"/>
  <c r="L89" i="73"/>
  <c r="M89" i="73"/>
  <c r="R89" i="73"/>
  <c r="T89" i="73"/>
  <c r="U89" i="73"/>
  <c r="V89" i="73"/>
  <c r="D91" i="73"/>
  <c r="E91" i="73"/>
  <c r="F91" i="73"/>
  <c r="G91" i="73"/>
  <c r="H91" i="73"/>
  <c r="I91" i="73"/>
  <c r="L91" i="73"/>
  <c r="M91" i="73"/>
  <c r="P91" i="73"/>
  <c r="R91" i="73"/>
  <c r="T91" i="73"/>
  <c r="U91" i="73"/>
  <c r="V91" i="73"/>
  <c r="D98" i="73"/>
  <c r="E98" i="73"/>
  <c r="F98" i="73"/>
  <c r="G98" i="73"/>
  <c r="H98" i="73"/>
  <c r="I98" i="73"/>
  <c r="L98" i="73"/>
  <c r="M98" i="73"/>
  <c r="P98" i="73"/>
  <c r="R98" i="73"/>
  <c r="T98" i="73"/>
  <c r="U98" i="73"/>
  <c r="V98" i="73"/>
  <c r="V100" i="73"/>
  <c r="D14" i="101"/>
  <c r="J14" i="101"/>
  <c r="M14" i="101"/>
  <c r="R14" i="101"/>
  <c r="T14" i="101"/>
  <c r="U14" i="101"/>
  <c r="V14" i="101"/>
  <c r="D15" i="101"/>
  <c r="J15" i="101"/>
  <c r="M15" i="101"/>
  <c r="R15" i="101"/>
  <c r="T15" i="101"/>
  <c r="U15" i="101"/>
  <c r="V15" i="101"/>
  <c r="D16" i="101"/>
  <c r="J16" i="101"/>
  <c r="M16" i="101"/>
  <c r="R16" i="101"/>
  <c r="T16" i="101"/>
  <c r="U16" i="101"/>
  <c r="V16" i="101"/>
  <c r="D17" i="101"/>
  <c r="J17" i="101"/>
  <c r="M17" i="101"/>
  <c r="R17" i="101"/>
  <c r="T17" i="101"/>
  <c r="U17" i="101"/>
  <c r="V17" i="101"/>
  <c r="D18" i="101"/>
  <c r="J18" i="101"/>
  <c r="M18" i="101"/>
  <c r="R18" i="101"/>
  <c r="T18" i="101"/>
  <c r="U18" i="101"/>
  <c r="V18" i="101"/>
  <c r="D19" i="101"/>
  <c r="J19" i="101"/>
  <c r="M19" i="101"/>
  <c r="R19" i="101"/>
  <c r="T19" i="101"/>
  <c r="U19" i="101"/>
  <c r="V19" i="101"/>
  <c r="D20" i="101"/>
  <c r="J20" i="101"/>
  <c r="M20" i="101"/>
  <c r="R20" i="101"/>
  <c r="T20" i="101"/>
  <c r="V20" i="101"/>
  <c r="M22" i="101"/>
  <c r="R22" i="101"/>
  <c r="T22" i="101"/>
  <c r="U22" i="101"/>
  <c r="V22" i="101"/>
  <c r="V26" i="101"/>
  <c r="E28" i="101"/>
  <c r="J28" i="101"/>
  <c r="N28" i="101"/>
  <c r="R28" i="101"/>
  <c r="T28" i="101"/>
  <c r="U28" i="101"/>
  <c r="V28" i="101"/>
  <c r="E29" i="101"/>
  <c r="J29" i="101"/>
  <c r="N29" i="101"/>
  <c r="R29" i="101"/>
  <c r="T29" i="101"/>
  <c r="U29" i="101"/>
  <c r="V29" i="101"/>
  <c r="E30" i="101"/>
  <c r="J30" i="101"/>
  <c r="N30" i="101"/>
  <c r="R30" i="101"/>
  <c r="T30" i="101"/>
  <c r="U30" i="101"/>
  <c r="V30" i="101"/>
  <c r="E31" i="101"/>
  <c r="J31" i="101"/>
  <c r="N31" i="101"/>
  <c r="R31" i="101"/>
  <c r="T31" i="101"/>
  <c r="U31" i="101"/>
  <c r="V31" i="101"/>
  <c r="E32" i="101"/>
  <c r="J32" i="101"/>
  <c r="N32" i="101"/>
  <c r="R32" i="101"/>
  <c r="T32" i="101"/>
  <c r="U32" i="101"/>
  <c r="V32" i="101"/>
  <c r="J33" i="101"/>
  <c r="V33" i="101"/>
  <c r="J34" i="101"/>
  <c r="V34" i="101"/>
  <c r="E35" i="101"/>
  <c r="J35" i="101"/>
  <c r="N35" i="101"/>
  <c r="R35" i="101"/>
  <c r="T35" i="101"/>
  <c r="U35" i="101"/>
  <c r="V35" i="101"/>
  <c r="J36" i="101"/>
  <c r="V36" i="101"/>
  <c r="E37" i="101"/>
  <c r="J37" i="101"/>
  <c r="N37" i="101"/>
  <c r="R37" i="101"/>
  <c r="T37" i="101"/>
  <c r="U37" i="101"/>
  <c r="V37" i="101"/>
  <c r="E38" i="101"/>
  <c r="J38" i="101"/>
  <c r="N38" i="101"/>
  <c r="R38" i="101"/>
  <c r="T38" i="101"/>
  <c r="U38" i="101"/>
  <c r="V38" i="101"/>
  <c r="J40" i="101"/>
  <c r="V40" i="101"/>
  <c r="J41" i="101"/>
  <c r="V41" i="101"/>
  <c r="D43" i="101"/>
  <c r="E43" i="101"/>
  <c r="F43" i="101"/>
  <c r="G43" i="101"/>
  <c r="I43" i="101"/>
  <c r="J43" i="101"/>
  <c r="N43" i="101"/>
  <c r="R43" i="101"/>
  <c r="T43" i="101"/>
  <c r="U43" i="101"/>
  <c r="V43" i="101"/>
  <c r="D44" i="101"/>
  <c r="E44" i="101"/>
  <c r="F44" i="101"/>
  <c r="G44" i="101"/>
  <c r="I44" i="101"/>
  <c r="J44" i="101"/>
  <c r="M44" i="101"/>
  <c r="N44" i="101"/>
  <c r="O44" i="101"/>
  <c r="P44" i="101"/>
  <c r="Q44" i="101"/>
  <c r="R44" i="101"/>
  <c r="T44" i="101"/>
  <c r="D45" i="101"/>
  <c r="E45" i="101"/>
  <c r="F45" i="101"/>
  <c r="G45" i="101"/>
  <c r="I45" i="101"/>
  <c r="J45" i="101"/>
  <c r="M45" i="101"/>
  <c r="N45" i="101"/>
  <c r="R45" i="101"/>
  <c r="T45" i="101"/>
  <c r="U45" i="101"/>
  <c r="V45" i="101"/>
  <c r="D52" i="101"/>
  <c r="E52" i="101"/>
  <c r="F52" i="101"/>
  <c r="G52" i="101"/>
  <c r="I52" i="101"/>
  <c r="J52" i="101"/>
  <c r="M52" i="101"/>
  <c r="N52" i="101"/>
  <c r="R52" i="101"/>
  <c r="T52" i="101"/>
  <c r="U52" i="101"/>
  <c r="V52" i="101"/>
  <c r="V53" i="101"/>
  <c r="J14" i="99"/>
  <c r="V14" i="99"/>
  <c r="J15" i="99"/>
  <c r="V15" i="99"/>
  <c r="J16" i="99"/>
  <c r="V16" i="99"/>
  <c r="J17" i="99"/>
  <c r="V17" i="99"/>
  <c r="J18" i="99"/>
  <c r="V18" i="99"/>
  <c r="J19" i="99"/>
  <c r="V19" i="99"/>
  <c r="J20" i="99"/>
  <c r="V20" i="99"/>
  <c r="V22" i="99"/>
  <c r="V26" i="99"/>
  <c r="V28" i="99"/>
  <c r="J29" i="99"/>
  <c r="V29" i="99"/>
  <c r="J30" i="99"/>
  <c r="V30" i="99"/>
  <c r="J31" i="99"/>
  <c r="V31" i="99"/>
  <c r="J32" i="99"/>
  <c r="V32" i="99"/>
  <c r="J33" i="99"/>
  <c r="V33" i="99"/>
  <c r="J34" i="99"/>
  <c r="V34" i="99"/>
  <c r="J35" i="99"/>
  <c r="V35" i="99"/>
  <c r="J36" i="99"/>
  <c r="V36" i="99"/>
  <c r="J37" i="99"/>
  <c r="V37" i="99"/>
  <c r="J38" i="99"/>
  <c r="V38" i="99"/>
  <c r="J40" i="99"/>
  <c r="V40" i="99"/>
  <c r="J41" i="99"/>
  <c r="V41" i="99"/>
  <c r="V43" i="99"/>
  <c r="V45" i="99"/>
  <c r="V52" i="99"/>
  <c r="V53" i="99"/>
  <c r="G14" i="102"/>
  <c r="O14" i="102"/>
  <c r="Q14" i="102"/>
  <c r="S14" i="102"/>
  <c r="T14" i="102"/>
  <c r="U14" i="102"/>
  <c r="G15" i="102"/>
  <c r="O15" i="102"/>
  <c r="Q15" i="102"/>
  <c r="S15" i="102"/>
  <c r="T15" i="102"/>
  <c r="U15" i="102"/>
  <c r="G16" i="102"/>
  <c r="O16" i="102"/>
  <c r="Q16" i="102"/>
  <c r="S16" i="102"/>
  <c r="T16" i="102"/>
  <c r="U16" i="102"/>
  <c r="G17" i="102"/>
  <c r="O17" i="102"/>
  <c r="Q17" i="102"/>
  <c r="S17" i="102"/>
  <c r="T17" i="102"/>
  <c r="U17" i="102"/>
  <c r="G18" i="102"/>
  <c r="O18" i="102"/>
  <c r="Q18" i="102"/>
  <c r="S18" i="102"/>
  <c r="T18" i="102"/>
  <c r="U18" i="102"/>
  <c r="G19" i="102"/>
  <c r="O19" i="102"/>
  <c r="Q19" i="102"/>
  <c r="S19" i="102"/>
  <c r="T19" i="102"/>
  <c r="U19" i="102"/>
  <c r="G20" i="102"/>
  <c r="O20" i="102"/>
  <c r="Q20" i="102"/>
  <c r="S20" i="102"/>
  <c r="U20" i="102"/>
  <c r="O22" i="102"/>
  <c r="Q22" i="102"/>
  <c r="S22" i="102"/>
  <c r="T22" i="102"/>
  <c r="U22" i="102"/>
  <c r="G26" i="102"/>
  <c r="O26" i="102"/>
  <c r="Q26" i="102"/>
  <c r="S26" i="102"/>
  <c r="T26" i="102"/>
  <c r="U26" i="102"/>
  <c r="G28" i="102"/>
  <c r="O28" i="102"/>
  <c r="Q28" i="102"/>
  <c r="S28" i="102"/>
  <c r="T28" i="102"/>
  <c r="U28" i="102"/>
  <c r="G29" i="102"/>
  <c r="O29" i="102"/>
  <c r="Q29" i="102"/>
  <c r="S29" i="102"/>
  <c r="T29" i="102"/>
  <c r="U29" i="102"/>
  <c r="G30" i="102"/>
  <c r="O30" i="102"/>
  <c r="Q30" i="102"/>
  <c r="S30" i="102"/>
  <c r="T30" i="102"/>
  <c r="U30" i="102"/>
  <c r="G31" i="102"/>
  <c r="O31" i="102"/>
  <c r="Q31" i="102"/>
  <c r="S31" i="102"/>
  <c r="T31" i="102"/>
  <c r="U31" i="102"/>
  <c r="G32" i="102"/>
  <c r="O32" i="102"/>
  <c r="Q32" i="102"/>
  <c r="S32" i="102"/>
  <c r="T32" i="102"/>
  <c r="U32" i="102"/>
  <c r="G33" i="102"/>
  <c r="O33" i="102"/>
  <c r="Q33" i="102"/>
  <c r="S33" i="102"/>
  <c r="T33" i="102"/>
  <c r="U33" i="102"/>
  <c r="G34" i="102"/>
  <c r="O34" i="102"/>
  <c r="Q34" i="102"/>
  <c r="S34" i="102"/>
  <c r="T34" i="102"/>
  <c r="U34" i="102"/>
  <c r="G35" i="102"/>
  <c r="O35" i="102"/>
  <c r="Q35" i="102"/>
  <c r="S35" i="102"/>
  <c r="T35" i="102"/>
  <c r="U35" i="102"/>
  <c r="G36" i="102"/>
  <c r="O36" i="102"/>
  <c r="Q36" i="102"/>
  <c r="S36" i="102"/>
  <c r="T36" i="102"/>
  <c r="U36" i="102"/>
  <c r="G37" i="102"/>
  <c r="O37" i="102"/>
  <c r="Q37" i="102"/>
  <c r="S37" i="102"/>
  <c r="T37" i="102"/>
  <c r="U37" i="102"/>
  <c r="G38" i="102"/>
  <c r="O38" i="102"/>
  <c r="Q38" i="102"/>
  <c r="S38" i="102"/>
  <c r="T38" i="102"/>
  <c r="U38" i="102"/>
  <c r="G39" i="102"/>
  <c r="O39" i="102"/>
  <c r="Q39" i="102"/>
  <c r="S39" i="102"/>
  <c r="U39" i="102"/>
  <c r="G40" i="102"/>
  <c r="O40" i="102"/>
  <c r="Q40" i="102"/>
  <c r="S40" i="102"/>
  <c r="T40" i="102"/>
  <c r="U40" i="102"/>
  <c r="G41" i="102"/>
  <c r="O41" i="102"/>
  <c r="Q41" i="102"/>
  <c r="S41" i="102"/>
  <c r="T41" i="102"/>
  <c r="U41" i="102"/>
  <c r="G43" i="102"/>
  <c r="H43" i="102"/>
  <c r="O43" i="102"/>
  <c r="Q43" i="102"/>
  <c r="S43" i="102"/>
  <c r="T43" i="102"/>
  <c r="U43" i="102"/>
  <c r="G44" i="102"/>
  <c r="H44" i="102"/>
  <c r="O44" i="102"/>
  <c r="P44" i="102"/>
  <c r="Q44" i="102"/>
  <c r="S44" i="102"/>
  <c r="G45" i="102"/>
  <c r="H45" i="102"/>
  <c r="O45" i="102"/>
  <c r="Q45" i="102"/>
  <c r="S45" i="102"/>
  <c r="T45" i="102"/>
  <c r="U45" i="102"/>
  <c r="G52" i="102"/>
  <c r="H52" i="102"/>
  <c r="O52" i="102"/>
  <c r="Q52" i="102"/>
  <c r="S52" i="102"/>
  <c r="T52" i="102"/>
  <c r="U52" i="102"/>
  <c r="U54" i="102"/>
  <c r="G14" i="103"/>
  <c r="O14" i="103"/>
  <c r="Q14" i="103"/>
  <c r="S14" i="103"/>
  <c r="T14" i="103"/>
  <c r="U14" i="103"/>
  <c r="V14" i="103"/>
  <c r="G15" i="103"/>
  <c r="O15" i="103"/>
  <c r="Q15" i="103"/>
  <c r="S15" i="103"/>
  <c r="T15" i="103"/>
  <c r="U15" i="103"/>
  <c r="V15" i="103"/>
  <c r="G16" i="103"/>
  <c r="O16" i="103"/>
  <c r="Q16" i="103"/>
  <c r="S16" i="103"/>
  <c r="T16" i="103"/>
  <c r="U16" i="103"/>
  <c r="V16" i="103"/>
  <c r="G17" i="103"/>
  <c r="O17" i="103"/>
  <c r="Q17" i="103"/>
  <c r="S17" i="103"/>
  <c r="T17" i="103"/>
  <c r="U17" i="103"/>
  <c r="V17" i="103"/>
  <c r="G18" i="103"/>
  <c r="O18" i="103"/>
  <c r="Q18" i="103"/>
  <c r="S18" i="103"/>
  <c r="T18" i="103"/>
  <c r="U18" i="103"/>
  <c r="V18" i="103"/>
  <c r="G19" i="103"/>
  <c r="O19" i="103"/>
  <c r="Q19" i="103"/>
  <c r="S19" i="103"/>
  <c r="T19" i="103"/>
  <c r="U19" i="103"/>
  <c r="V19" i="103"/>
  <c r="G20" i="103"/>
  <c r="O20" i="103"/>
  <c r="Q20" i="103"/>
  <c r="S20" i="103"/>
  <c r="U20" i="103"/>
  <c r="V20" i="103"/>
  <c r="O22" i="103"/>
  <c r="Q22" i="103"/>
  <c r="S22" i="103"/>
  <c r="T22" i="103"/>
  <c r="U22" i="103"/>
  <c r="V22" i="103"/>
  <c r="G26" i="103"/>
  <c r="O26" i="103"/>
  <c r="Q26" i="103"/>
  <c r="S26" i="103"/>
  <c r="T26" i="103"/>
  <c r="U26" i="103"/>
  <c r="V26" i="103"/>
  <c r="G28" i="103"/>
  <c r="O28" i="103"/>
  <c r="Q28" i="103"/>
  <c r="S28" i="103"/>
  <c r="T28" i="103"/>
  <c r="U28" i="103"/>
  <c r="V28" i="103"/>
  <c r="G29" i="103"/>
  <c r="O29" i="103"/>
  <c r="Q29" i="103"/>
  <c r="S29" i="103"/>
  <c r="T29" i="103"/>
  <c r="U29" i="103"/>
  <c r="V29" i="103"/>
  <c r="G30" i="103"/>
  <c r="O30" i="103"/>
  <c r="Q30" i="103"/>
  <c r="S30" i="103"/>
  <c r="T30" i="103"/>
  <c r="U30" i="103"/>
  <c r="V30" i="103"/>
  <c r="G31" i="103"/>
  <c r="O31" i="103"/>
  <c r="Q31" i="103"/>
  <c r="S31" i="103"/>
  <c r="T31" i="103"/>
  <c r="U31" i="103"/>
  <c r="V31" i="103"/>
  <c r="G32" i="103"/>
  <c r="O32" i="103"/>
  <c r="Q32" i="103"/>
  <c r="S32" i="103"/>
  <c r="T32" i="103"/>
  <c r="U32" i="103"/>
  <c r="V32" i="103"/>
  <c r="G33" i="103"/>
  <c r="O33" i="103"/>
  <c r="Q33" i="103"/>
  <c r="S33" i="103"/>
  <c r="T33" i="103"/>
  <c r="U33" i="103"/>
  <c r="V33" i="103"/>
  <c r="G34" i="103"/>
  <c r="O34" i="103"/>
  <c r="Q34" i="103"/>
  <c r="S34" i="103"/>
  <c r="T34" i="103"/>
  <c r="U34" i="103"/>
  <c r="V34" i="103"/>
  <c r="G35" i="103"/>
  <c r="O35" i="103"/>
  <c r="Q35" i="103"/>
  <c r="S35" i="103"/>
  <c r="T35" i="103"/>
  <c r="U35" i="103"/>
  <c r="V35" i="103"/>
  <c r="G36" i="103"/>
  <c r="O36" i="103"/>
  <c r="Q36" i="103"/>
  <c r="S36" i="103"/>
  <c r="T36" i="103"/>
  <c r="U36" i="103"/>
  <c r="V36" i="103"/>
  <c r="G37" i="103"/>
  <c r="O37" i="103"/>
  <c r="Q37" i="103"/>
  <c r="S37" i="103"/>
  <c r="T37" i="103"/>
  <c r="U37" i="103"/>
  <c r="V37" i="103"/>
  <c r="G38" i="103"/>
  <c r="O38" i="103"/>
  <c r="Q38" i="103"/>
  <c r="S38" i="103"/>
  <c r="T38" i="103"/>
  <c r="U38" i="103"/>
  <c r="V38" i="103"/>
  <c r="G39" i="103"/>
  <c r="O39" i="103"/>
  <c r="Q39" i="103"/>
  <c r="S39" i="103"/>
  <c r="U39" i="103"/>
  <c r="V39" i="103"/>
  <c r="G40" i="103"/>
  <c r="O40" i="103"/>
  <c r="Q40" i="103"/>
  <c r="S40" i="103"/>
  <c r="T40" i="103"/>
  <c r="U40" i="103"/>
  <c r="V40" i="103"/>
  <c r="G41" i="103"/>
  <c r="O41" i="103"/>
  <c r="Q41" i="103"/>
  <c r="S41" i="103"/>
  <c r="T41" i="103"/>
  <c r="U41" i="103"/>
  <c r="V41" i="103"/>
  <c r="O43" i="103"/>
  <c r="Q43" i="103"/>
  <c r="S43" i="103"/>
  <c r="T43" i="103"/>
  <c r="U43" i="103"/>
  <c r="V43" i="103"/>
  <c r="O45" i="103"/>
  <c r="Q45" i="103"/>
  <c r="S45" i="103"/>
  <c r="T45" i="103"/>
  <c r="U45" i="103"/>
  <c r="V45" i="103"/>
  <c r="O52" i="103"/>
  <c r="Q52" i="103"/>
  <c r="S52" i="103"/>
  <c r="T52" i="103"/>
  <c r="U52" i="103"/>
  <c r="U54" i="103"/>
  <c r="D14" i="106"/>
  <c r="F14" i="106"/>
  <c r="H14" i="106"/>
  <c r="D15" i="106"/>
  <c r="F15" i="106"/>
  <c r="H15" i="106"/>
  <c r="D16" i="106"/>
  <c r="F16" i="106"/>
  <c r="H16" i="106"/>
  <c r="D17" i="106"/>
  <c r="F17" i="106"/>
  <c r="H17" i="106"/>
  <c r="D18" i="106"/>
  <c r="F18" i="106"/>
  <c r="H18" i="106"/>
  <c r="D19" i="106"/>
  <c r="F19" i="106"/>
  <c r="H19" i="106"/>
  <c r="F20" i="106"/>
  <c r="H20" i="106"/>
  <c r="D26" i="106"/>
  <c r="F26" i="106"/>
  <c r="H26" i="106"/>
  <c r="D27" i="106"/>
  <c r="F27" i="106"/>
  <c r="H27" i="106"/>
  <c r="F28" i="106"/>
  <c r="H28" i="106"/>
  <c r="F29" i="106"/>
  <c r="H29" i="106"/>
  <c r="F30" i="106"/>
  <c r="H30" i="106"/>
  <c r="D31" i="106"/>
  <c r="F31" i="106"/>
  <c r="H31" i="106"/>
  <c r="D32" i="106"/>
  <c r="F32" i="106"/>
  <c r="H32" i="106"/>
  <c r="D33" i="106"/>
  <c r="F33" i="106"/>
  <c r="H33" i="106"/>
  <c r="D34" i="106"/>
  <c r="F34" i="106"/>
  <c r="H34" i="106"/>
  <c r="D35" i="106"/>
  <c r="F35" i="106"/>
  <c r="H35" i="106"/>
  <c r="D36" i="106"/>
  <c r="F36" i="106"/>
  <c r="H36" i="106"/>
  <c r="D37" i="106"/>
  <c r="F37" i="106"/>
  <c r="H37" i="106"/>
  <c r="F38" i="106"/>
  <c r="H38" i="106"/>
  <c r="D39" i="106"/>
  <c r="F39" i="106"/>
  <c r="H39" i="106"/>
  <c r="D40" i="106"/>
  <c r="F40" i="106"/>
  <c r="H40" i="106"/>
  <c r="D47" i="106"/>
  <c r="F47" i="106"/>
  <c r="G47" i="106"/>
  <c r="I47" i="106"/>
  <c r="K47" i="106"/>
  <c r="D48" i="106"/>
  <c r="F48" i="106"/>
  <c r="G48" i="106"/>
  <c r="I48" i="106"/>
  <c r="K48" i="106"/>
  <c r="C49" i="106"/>
  <c r="D49" i="106"/>
  <c r="F49" i="106"/>
  <c r="G49" i="106"/>
  <c r="I49" i="106"/>
  <c r="K49" i="106"/>
  <c r="F56" i="106"/>
  <c r="G56" i="106"/>
  <c r="I56" i="106"/>
  <c r="K56" i="106"/>
  <c r="F57" i="106"/>
  <c r="G57" i="106"/>
  <c r="I57" i="106"/>
  <c r="K57" i="106"/>
  <c r="C58" i="106"/>
  <c r="F58" i="106"/>
  <c r="G58" i="106"/>
  <c r="I58" i="106"/>
  <c r="K58" i="106"/>
  <c r="F400" i="82"/>
  <c r="G400" i="82"/>
  <c r="N400" i="82"/>
  <c r="Q400" i="82"/>
  <c r="R400" i="82"/>
  <c r="F404" i="82"/>
  <c r="G404" i="82"/>
  <c r="N404" i="82"/>
  <c r="Q404" i="82"/>
  <c r="R404" i="82"/>
  <c r="F408" i="82"/>
  <c r="G408" i="82"/>
  <c r="N408" i="82"/>
  <c r="Q408" i="82"/>
  <c r="R408" i="82"/>
  <c r="F409" i="82"/>
  <c r="E177" i="117"/>
  <c r="F177" i="117"/>
  <c r="G177" i="117"/>
  <c r="H177" i="117"/>
  <c r="I177" i="117"/>
  <c r="J177" i="117"/>
  <c r="K177" i="117"/>
  <c r="L177" i="117"/>
  <c r="M177" i="117"/>
  <c r="N177" i="117"/>
  <c r="O177" i="117"/>
  <c r="P177" i="117"/>
  <c r="Q177" i="117"/>
  <c r="E181" i="117"/>
  <c r="F181" i="117"/>
  <c r="G181" i="117"/>
  <c r="H181" i="117"/>
  <c r="I181" i="117"/>
  <c r="J181" i="117"/>
  <c r="K181" i="117"/>
  <c r="L181" i="117"/>
  <c r="M181" i="117"/>
  <c r="N181" i="117"/>
  <c r="O181" i="117"/>
  <c r="P181" i="117"/>
  <c r="Q181" i="117"/>
  <c r="E183" i="117"/>
  <c r="F183" i="117"/>
  <c r="G183" i="117"/>
  <c r="H183" i="117"/>
  <c r="I183" i="117"/>
  <c r="J183" i="117"/>
  <c r="K183" i="117"/>
  <c r="L183" i="117"/>
  <c r="M183" i="117"/>
  <c r="N183" i="117"/>
  <c r="O183" i="117"/>
  <c r="P183" i="117"/>
  <c r="Q183" i="117"/>
  <c r="E184" i="117"/>
  <c r="F184" i="117"/>
  <c r="G184" i="117"/>
  <c r="H184" i="117"/>
  <c r="I184" i="117"/>
  <c r="J184" i="117"/>
  <c r="K184" i="117"/>
  <c r="L184" i="117"/>
  <c r="M184" i="117"/>
  <c r="N184" i="117"/>
  <c r="O184" i="117"/>
  <c r="P184" i="117"/>
  <c r="Q184" i="117"/>
  <c r="I214" i="117"/>
  <c r="E352" i="117"/>
  <c r="F352" i="117"/>
  <c r="G352" i="117"/>
  <c r="H352" i="117"/>
  <c r="I352" i="117"/>
  <c r="J352" i="117"/>
  <c r="K352" i="117"/>
  <c r="L352" i="117"/>
  <c r="M352" i="117"/>
  <c r="N352" i="117"/>
  <c r="O352" i="117"/>
  <c r="P352" i="117"/>
  <c r="Q352" i="117"/>
  <c r="E358" i="117"/>
  <c r="F358" i="117"/>
  <c r="G358" i="117"/>
  <c r="H358" i="117"/>
  <c r="I358" i="117"/>
  <c r="J358" i="117"/>
  <c r="K358" i="117"/>
  <c r="L358" i="117"/>
  <c r="M358" i="117"/>
  <c r="N358" i="117"/>
  <c r="O358" i="117"/>
  <c r="P358" i="117"/>
  <c r="Q358" i="117"/>
  <c r="E122" i="150"/>
  <c r="F122" i="150"/>
  <c r="E123" i="150"/>
  <c r="F123" i="150"/>
  <c r="E129" i="150"/>
  <c r="F129" i="150"/>
  <c r="E132" i="150"/>
  <c r="F132" i="150"/>
  <c r="E134" i="150"/>
  <c r="F134" i="150"/>
  <c r="E138" i="150"/>
  <c r="F138" i="150"/>
  <c r="E215" i="150"/>
  <c r="F215" i="150"/>
  <c r="N14" i="120"/>
  <c r="O14" i="120"/>
  <c r="N16" i="120"/>
  <c r="O16" i="120"/>
  <c r="N43" i="120"/>
  <c r="O43" i="120"/>
  <c r="N45" i="120"/>
  <c r="O45" i="120"/>
  <c r="J91" i="61"/>
  <c r="L91" i="61"/>
  <c r="N91" i="61"/>
  <c r="J93" i="61"/>
  <c r="L93" i="61"/>
  <c r="N93" i="61"/>
  <c r="J97" i="61"/>
  <c r="L97" i="61"/>
  <c r="N97" i="61"/>
  <c r="J113" i="61"/>
  <c r="L113" i="61"/>
  <c r="N113" i="61"/>
  <c r="N115" i="61"/>
  <c r="J116" i="61"/>
  <c r="L116" i="61"/>
  <c r="N116" i="61"/>
  <c r="J120" i="61"/>
  <c r="L120" i="61"/>
  <c r="N120" i="61"/>
  <c r="J134" i="61"/>
  <c r="L134" i="61"/>
  <c r="N134" i="61"/>
  <c r="N136" i="61"/>
  <c r="J137" i="61"/>
  <c r="L137" i="61"/>
  <c r="N137" i="61"/>
  <c r="J141" i="61"/>
  <c r="L141" i="61"/>
  <c r="N141" i="61"/>
  <c r="E9" i="163"/>
  <c r="E11" i="163"/>
  <c r="E12" i="163"/>
  <c r="E13" i="163"/>
  <c r="E20" i="163"/>
  <c r="E21" i="163"/>
  <c r="D24" i="163"/>
  <c r="I24" i="163"/>
  <c r="J24" i="163"/>
  <c r="K24" i="163"/>
  <c r="D25" i="163"/>
  <c r="E25" i="163"/>
  <c r="J25" i="163"/>
  <c r="K25" i="163"/>
  <c r="D26" i="163"/>
  <c r="E26" i="163"/>
  <c r="E27" i="163"/>
  <c r="E28" i="163"/>
  <c r="J6" i="160"/>
  <c r="J7" i="160"/>
  <c r="J8" i="160"/>
  <c r="J9" i="160"/>
  <c r="J10" i="160"/>
  <c r="J11" i="160"/>
  <c r="J12" i="160"/>
  <c r="J16" i="160"/>
  <c r="J18" i="160"/>
  <c r="J19" i="160"/>
  <c r="J20" i="160"/>
  <c r="J21" i="160"/>
  <c r="J22" i="160"/>
  <c r="J23" i="160"/>
  <c r="J24" i="160"/>
  <c r="J25" i="160"/>
  <c r="J26" i="160"/>
  <c r="J27" i="160"/>
  <c r="J28" i="160"/>
  <c r="J29" i="160"/>
  <c r="J30" i="160"/>
  <c r="J31" i="160"/>
  <c r="J40" i="160"/>
  <c r="J41" i="160"/>
  <c r="J42" i="160"/>
  <c r="J43" i="160"/>
  <c r="J44" i="160"/>
  <c r="J45" i="160"/>
  <c r="J46" i="160"/>
  <c r="J50" i="160"/>
  <c r="J52" i="160"/>
  <c r="J53" i="160"/>
  <c r="J54" i="160"/>
  <c r="J55" i="160"/>
  <c r="J56" i="160"/>
  <c r="J57" i="160"/>
  <c r="J58" i="160"/>
  <c r="J59" i="160"/>
  <c r="J60" i="160"/>
  <c r="J61" i="160"/>
  <c r="J62" i="160"/>
  <c r="J63" i="160"/>
  <c r="J64" i="160"/>
  <c r="J65" i="160"/>
  <c r="D4" i="172"/>
  <c r="F4" i="172"/>
  <c r="G4" i="172"/>
  <c r="H4" i="172"/>
  <c r="G6" i="172"/>
  <c r="H6" i="172"/>
  <c r="D7" i="172"/>
  <c r="F7" i="172"/>
  <c r="G7" i="172"/>
  <c r="H7" i="172"/>
  <c r="G9" i="172"/>
  <c r="H9" i="172"/>
  <c r="D10" i="172"/>
  <c r="F10" i="172"/>
  <c r="G10" i="172"/>
  <c r="H10" i="172"/>
  <c r="I10" i="172"/>
  <c r="D11" i="172"/>
  <c r="F11" i="172"/>
  <c r="G11" i="172"/>
  <c r="H11" i="172"/>
  <c r="F15" i="172"/>
  <c r="G15" i="172"/>
  <c r="H15" i="172"/>
  <c r="H16" i="172"/>
  <c r="F17" i="172"/>
  <c r="G17" i="172"/>
  <c r="H17" i="172"/>
  <c r="F18" i="172"/>
  <c r="G18" i="172"/>
  <c r="H18" i="172"/>
  <c r="G20" i="172"/>
  <c r="H20" i="172"/>
  <c r="F21" i="172"/>
  <c r="G21" i="172"/>
  <c r="H21" i="172"/>
  <c r="F22" i="172"/>
  <c r="G22" i="172"/>
  <c r="H22" i="172"/>
  <c r="F23" i="172"/>
  <c r="G23" i="172"/>
  <c r="H23" i="172"/>
  <c r="F25" i="172"/>
  <c r="G25" i="172"/>
  <c r="H25" i="172"/>
  <c r="F26" i="172"/>
  <c r="F27" i="172"/>
  <c r="G27" i="172"/>
  <c r="H27" i="172"/>
  <c r="F28" i="172"/>
  <c r="G28" i="172"/>
  <c r="H28" i="172"/>
  <c r="I28" i="172"/>
  <c r="F29" i="172"/>
  <c r="G29" i="172"/>
  <c r="H29" i="172"/>
  <c r="F30" i="172"/>
  <c r="G30" i="172"/>
  <c r="H30" i="172"/>
  <c r="F31" i="172"/>
  <c r="G31" i="172"/>
  <c r="H31" i="172"/>
  <c r="D33" i="172"/>
  <c r="F33" i="172"/>
  <c r="G33" i="172"/>
  <c r="H33" i="172"/>
  <c r="F34" i="172"/>
  <c r="G34" i="172"/>
  <c r="H34" i="172"/>
  <c r="D35" i="172"/>
  <c r="F35" i="172"/>
  <c r="G35" i="172"/>
  <c r="H35" i="172"/>
  <c r="H36" i="172"/>
  <c r="D37" i="172"/>
  <c r="F37" i="172"/>
  <c r="G37" i="172"/>
  <c r="H37" i="172"/>
  <c r="D38" i="172"/>
  <c r="F38" i="172"/>
  <c r="G38" i="172"/>
  <c r="H38" i="172"/>
  <c r="F44" i="172"/>
  <c r="G44" i="172"/>
  <c r="H44" i="172"/>
  <c r="F45" i="172"/>
  <c r="G45" i="172"/>
  <c r="H45" i="172"/>
  <c r="F46" i="172"/>
  <c r="G46" i="172"/>
  <c r="H46" i="172"/>
  <c r="F47" i="172"/>
  <c r="G47" i="172"/>
  <c r="H47" i="172"/>
  <c r="F48" i="172"/>
  <c r="F49" i="172"/>
  <c r="G49" i="172"/>
  <c r="H49" i="172"/>
  <c r="F53" i="172"/>
  <c r="G53" i="172"/>
  <c r="H53" i="172"/>
  <c r="H54" i="172"/>
  <c r="F55" i="172"/>
  <c r="G55" i="172"/>
  <c r="H55" i="172"/>
  <c r="F56" i="172"/>
  <c r="G56" i="172"/>
  <c r="H56" i="172"/>
  <c r="C5" i="130"/>
  <c r="D5" i="130"/>
  <c r="C8" i="130"/>
  <c r="D8" i="130"/>
  <c r="C9" i="130"/>
  <c r="D9" i="130"/>
  <c r="C13" i="130"/>
  <c r="D13" i="130"/>
  <c r="C14" i="130"/>
  <c r="D14" i="130"/>
  <c r="C15" i="130"/>
  <c r="D15" i="130"/>
  <c r="C16" i="130"/>
  <c r="D16" i="130"/>
  <c r="C17" i="130"/>
  <c r="D17" i="130"/>
  <c r="C22" i="130"/>
  <c r="D22" i="130"/>
  <c r="E22" i="130"/>
  <c r="C25" i="130"/>
  <c r="D25" i="130"/>
  <c r="E25" i="130"/>
  <c r="C26" i="130"/>
  <c r="D26" i="130"/>
  <c r="E26" i="130"/>
  <c r="C30" i="130"/>
  <c r="D30" i="130"/>
  <c r="E30" i="130"/>
  <c r="C31" i="130"/>
  <c r="D31" i="130"/>
  <c r="E31" i="130"/>
  <c r="C32" i="130"/>
  <c r="D32" i="130"/>
  <c r="E32" i="130"/>
  <c r="C33" i="130"/>
  <c r="D33" i="130"/>
  <c r="E33" i="130"/>
  <c r="C34" i="130"/>
  <c r="D34" i="130"/>
  <c r="E34" i="130"/>
</calcChain>
</file>

<file path=xl/comments1.xml><?xml version="1.0" encoding="utf-8"?>
<comments xmlns="http://schemas.openxmlformats.org/spreadsheetml/2006/main">
  <authors>
    <author>Anil Patkare</author>
  </authors>
  <commentList>
    <comment ref="O113" authorId="0" shapeId="0">
      <text>
        <r>
          <rPr>
            <b/>
            <sz val="9"/>
            <color indexed="81"/>
            <rFont val="Tahoma"/>
            <family val="2"/>
          </rPr>
          <t>Anil Patkare:</t>
        </r>
        <r>
          <rPr>
            <sz val="9"/>
            <color indexed="81"/>
            <rFont val="Tahoma"/>
            <family val="2"/>
          </rPr>
          <t xml:space="preserve">
Correction of adjustment of sales due to IT limitation</t>
        </r>
      </text>
    </comment>
  </commentList>
</comments>
</file>

<file path=xl/comments2.xml><?xml version="1.0" encoding="utf-8"?>
<comments xmlns="http://schemas.openxmlformats.org/spreadsheetml/2006/main">
  <authors>
    <author>Anil Patkare</author>
  </authors>
  <commentList>
    <comment ref="P351" authorId="0" shapeId="0">
      <text>
        <r>
          <rPr>
            <b/>
            <sz val="9"/>
            <color indexed="81"/>
            <rFont val="Tahoma"/>
            <family val="2"/>
          </rPr>
          <t>Anil Patkare:</t>
        </r>
        <r>
          <rPr>
            <sz val="9"/>
            <color indexed="81"/>
            <rFont val="Tahoma"/>
            <family val="2"/>
          </rPr>
          <t xml:space="preserve">
stasnd by charges to be recoveredf from Tata Power along with carrying cost as per case No. 161 of 2020</t>
        </r>
      </text>
    </comment>
    <comment ref="K356" authorId="0" shapeId="0">
      <text>
        <r>
          <rPr>
            <b/>
            <sz val="9"/>
            <color indexed="81"/>
            <rFont val="Tahoma"/>
            <family val="2"/>
          </rPr>
          <t>Anil Patkare:</t>
        </r>
        <r>
          <rPr>
            <sz val="9"/>
            <color indexed="81"/>
            <rFont val="Tahoma"/>
            <family val="2"/>
          </rPr>
          <t xml:space="preserve">
Supply from Sai Wardha on same terms and condition of Manikaran</t>
        </r>
      </text>
    </comment>
    <comment ref="K395" authorId="0" shapeId="0">
      <text>
        <r>
          <rPr>
            <b/>
            <sz val="9"/>
            <color indexed="81"/>
            <rFont val="Tahoma"/>
            <family val="2"/>
          </rPr>
          <t>Anil Patkare:</t>
        </r>
        <r>
          <rPr>
            <sz val="9"/>
            <color indexed="81"/>
            <rFont val="Tahoma"/>
            <family val="2"/>
          </rPr>
          <t xml:space="preserve">
Sai Wardha to supply on same terms and condition of Manikaran</t>
        </r>
      </text>
    </comment>
  </commentList>
</comments>
</file>

<file path=xl/comments3.xml><?xml version="1.0" encoding="utf-8"?>
<comments xmlns="http://schemas.openxmlformats.org/spreadsheetml/2006/main">
  <authors>
    <author>MercadosEMI</author>
  </authors>
  <commentList>
    <comment ref="H37" authorId="0" shapeId="0">
      <text>
        <r>
          <rPr>
            <b/>
            <sz val="9"/>
            <color indexed="81"/>
            <rFont val="Tahoma"/>
            <family val="2"/>
          </rPr>
          <t>MercadosEMI:</t>
        </r>
        <r>
          <rPr>
            <sz val="9"/>
            <color indexed="81"/>
            <rFont val="Tahoma"/>
            <family val="2"/>
          </rPr>
          <t xml:space="preserve">
After discussion, it was decided that to calculate Normative O&amp;M Escalation factor for FY 2020-21 base should be cosnidered as Normative O&amp;M of FY 2019-20</t>
        </r>
      </text>
    </comment>
  </commentList>
</comments>
</file>

<file path=xl/comments4.xml><?xml version="1.0" encoding="utf-8"?>
<comments xmlns="http://schemas.openxmlformats.org/spreadsheetml/2006/main">
  <authors>
    <author>Anil Patkare</author>
  </authors>
  <commentList>
    <comment ref="H14" authorId="0" shapeId="0">
      <text>
        <r>
          <rPr>
            <b/>
            <sz val="9"/>
            <color indexed="81"/>
            <rFont val="Tahoma"/>
            <family val="2"/>
          </rPr>
          <t>Anil Patkare:</t>
        </r>
        <r>
          <rPr>
            <sz val="9"/>
            <color indexed="81"/>
            <rFont val="Tahoma"/>
            <family val="2"/>
          </rPr>
          <t xml:space="preserve">
A&amp;G expense twds Covid-19 being claimed at actual and not considered for sharing of gain and losses</t>
        </r>
      </text>
    </comment>
    <comment ref="H44" authorId="0" shapeId="0">
      <text>
        <r>
          <rPr>
            <b/>
            <sz val="9"/>
            <color indexed="81"/>
            <rFont val="Tahoma"/>
            <family val="2"/>
          </rPr>
          <t>Anil Patkare:</t>
        </r>
        <r>
          <rPr>
            <sz val="9"/>
            <color indexed="81"/>
            <rFont val="Tahoma"/>
            <family val="2"/>
          </rPr>
          <t xml:space="preserve">
A&amp;G expense twds Covid-19 being claimed at actual and not considered for sharing of gain and losses</t>
        </r>
      </text>
    </comment>
  </commentList>
</comments>
</file>

<file path=xl/comments5.xml><?xml version="1.0" encoding="utf-8"?>
<comments xmlns="http://schemas.openxmlformats.org/spreadsheetml/2006/main">
  <authors>
    <author>MercadosEMI</author>
  </authors>
  <commentList>
    <comment ref="G30" authorId="0" shapeId="0">
      <text>
        <r>
          <rPr>
            <b/>
            <sz val="9"/>
            <color indexed="81"/>
            <rFont val="Tahoma"/>
            <family val="2"/>
          </rPr>
          <t>MercadosEMI:</t>
        </r>
        <r>
          <rPr>
            <sz val="9"/>
            <color indexed="81"/>
            <rFont val="Tahoma"/>
            <family val="2"/>
          </rPr>
          <t xml:space="preserve">
8.05% as per 15th Nov 2022 - 1 year Base rate MCLR</t>
        </r>
      </text>
    </comment>
  </commentList>
</comments>
</file>

<file path=xl/comments6.xml><?xml version="1.0" encoding="utf-8"?>
<comments xmlns="http://schemas.openxmlformats.org/spreadsheetml/2006/main">
  <authors>
    <author>MercadosEMI</author>
  </authors>
  <commentList>
    <comment ref="E136" authorId="0" shapeId="0">
      <text>
        <r>
          <rPr>
            <b/>
            <sz val="9"/>
            <color indexed="81"/>
            <rFont val="Tahoma"/>
            <family val="2"/>
          </rPr>
          <t>MercadosEMI:</t>
        </r>
        <r>
          <rPr>
            <sz val="9"/>
            <color indexed="81"/>
            <rFont val="Tahoma"/>
            <family val="2"/>
          </rPr>
          <t xml:space="preserve">
Taken only for H2 - Oct 20 to Mar 21 only. </t>
        </r>
      </text>
    </comment>
    <comment ref="E140" authorId="0" shapeId="0">
      <text>
        <r>
          <rPr>
            <b/>
            <sz val="9"/>
            <color indexed="81"/>
            <rFont val="Tahoma"/>
            <family val="2"/>
          </rPr>
          <t>MercadosEMI:</t>
        </r>
        <r>
          <rPr>
            <sz val="9"/>
            <color indexed="81"/>
            <rFont val="Tahoma"/>
            <family val="2"/>
          </rPr>
          <t xml:space="preserve">
low because of COVID year. However, past trend is always more than 98%</t>
        </r>
      </text>
    </comment>
  </commentList>
</comments>
</file>

<file path=xl/comments7.xml><?xml version="1.0" encoding="utf-8"?>
<comments xmlns="http://schemas.openxmlformats.org/spreadsheetml/2006/main">
  <authors>
    <author>Anil Patkare</author>
  </authors>
  <commentList>
    <comment ref="E13" authorId="0" shapeId="0">
      <text>
        <r>
          <rPr>
            <b/>
            <sz val="9"/>
            <color indexed="81"/>
            <rFont val="Tahoma"/>
            <family val="2"/>
          </rPr>
          <t>Anil Patkare:</t>
        </r>
        <r>
          <rPr>
            <sz val="9"/>
            <color indexed="81"/>
            <rFont val="Tahoma"/>
            <family val="2"/>
          </rPr>
          <t xml:space="preserve">
Receivable amount as per Proforma account of Electricity Business, as Statement of Accounts of Electricity Business does not reflect amount of  Recievables</t>
        </r>
      </text>
    </comment>
    <comment ref="H13" authorId="0" shapeId="0">
      <text>
        <r>
          <rPr>
            <b/>
            <sz val="9"/>
            <color indexed="81"/>
            <rFont val="Tahoma"/>
            <family val="2"/>
          </rPr>
          <t>Anil Patkare:</t>
        </r>
        <r>
          <rPr>
            <sz val="9"/>
            <color indexed="81"/>
            <rFont val="Tahoma"/>
            <family val="2"/>
          </rPr>
          <t xml:space="preserve">
Receivable amount as per Proforma account of Electricity Business, as Statement of Accounts of Electricity Business does not reflect amount of  Recievables</t>
        </r>
      </text>
    </comment>
    <comment ref="K13" authorId="0" shapeId="0">
      <text>
        <r>
          <rPr>
            <b/>
            <sz val="9"/>
            <color indexed="81"/>
            <rFont val="Tahoma"/>
            <family val="2"/>
          </rPr>
          <t>Anil Patkare:</t>
        </r>
        <r>
          <rPr>
            <sz val="9"/>
            <color indexed="81"/>
            <rFont val="Tahoma"/>
            <family val="2"/>
          </rPr>
          <t xml:space="preserve">
Receivable amount as per Proforma account of Electricity Business, as Statement of Accounts of Electricity Business does not reflect amount of  Recievables</t>
        </r>
      </text>
    </comment>
    <comment ref="H28" authorId="0" shapeId="0">
      <text>
        <r>
          <rPr>
            <b/>
            <sz val="9"/>
            <color indexed="81"/>
            <rFont val="Tahoma"/>
            <family val="2"/>
          </rPr>
          <t>Anil Patkare:</t>
        </r>
        <r>
          <rPr>
            <sz val="9"/>
            <color indexed="81"/>
            <rFont val="Tahoma"/>
            <family val="2"/>
          </rPr>
          <t xml:space="preserve">
Receivable amount as per Proforma account of Electricity Business, as Statement of Accounts of Electricity Business does not reflect amount of  Recievables</t>
        </r>
      </text>
    </comment>
    <comment ref="K28" authorId="0" shapeId="0">
      <text>
        <r>
          <rPr>
            <b/>
            <sz val="9"/>
            <color indexed="81"/>
            <rFont val="Tahoma"/>
            <family val="2"/>
          </rPr>
          <t>Anil Patkare:</t>
        </r>
        <r>
          <rPr>
            <sz val="9"/>
            <color indexed="81"/>
            <rFont val="Tahoma"/>
            <family val="2"/>
          </rPr>
          <t xml:space="preserve">
Receivable amount as per Proforma account of Electricity Business, as Statement of Accounts of Electricity Business does not reflect amount of  Recievables</t>
        </r>
      </text>
    </comment>
  </commentList>
</comments>
</file>

<file path=xl/comments8.xml><?xml version="1.0" encoding="utf-8"?>
<comments xmlns="http://schemas.openxmlformats.org/spreadsheetml/2006/main">
  <authors>
    <author>Anil Patkare</author>
  </authors>
  <commentList>
    <comment ref="J35" authorId="0" shapeId="0">
      <text>
        <r>
          <rPr>
            <b/>
            <sz val="9"/>
            <color indexed="81"/>
            <rFont val="Tahoma"/>
            <family val="2"/>
          </rPr>
          <t>Anil Patkare:</t>
        </r>
        <r>
          <rPr>
            <sz val="9"/>
            <color indexed="81"/>
            <rFont val="Tahoma"/>
            <family val="2"/>
          </rPr>
          <t xml:space="preserve">
Considered same as Sep-22 sales for this category</t>
        </r>
      </text>
    </comment>
    <comment ref="K35" authorId="0" shapeId="0">
      <text>
        <r>
          <rPr>
            <b/>
            <sz val="9"/>
            <color indexed="81"/>
            <rFont val="Tahoma"/>
            <family val="2"/>
          </rPr>
          <t>Anil Patkare:</t>
        </r>
        <r>
          <rPr>
            <sz val="9"/>
            <color indexed="81"/>
            <rFont val="Tahoma"/>
            <family val="2"/>
          </rPr>
          <t xml:space="preserve">
Considered same as Sep-22 sales for this category</t>
        </r>
      </text>
    </comment>
    <comment ref="L35" authorId="0" shapeId="0">
      <text>
        <r>
          <rPr>
            <b/>
            <sz val="9"/>
            <color indexed="81"/>
            <rFont val="Tahoma"/>
            <family val="2"/>
          </rPr>
          <t>Anil Patkare:</t>
        </r>
        <r>
          <rPr>
            <sz val="9"/>
            <color indexed="81"/>
            <rFont val="Tahoma"/>
            <family val="2"/>
          </rPr>
          <t xml:space="preserve">
Considered same as Sep-22 sales for this category</t>
        </r>
      </text>
    </comment>
    <comment ref="M35" authorId="0" shapeId="0">
      <text>
        <r>
          <rPr>
            <b/>
            <sz val="9"/>
            <color indexed="81"/>
            <rFont val="Tahoma"/>
            <family val="2"/>
          </rPr>
          <t>Anil Patkare:</t>
        </r>
        <r>
          <rPr>
            <sz val="9"/>
            <color indexed="81"/>
            <rFont val="Tahoma"/>
            <family val="2"/>
          </rPr>
          <t xml:space="preserve">
Considered same as Sep-22 sales for this category</t>
        </r>
      </text>
    </comment>
    <comment ref="N35" authorId="0" shapeId="0">
      <text>
        <r>
          <rPr>
            <b/>
            <sz val="9"/>
            <color indexed="81"/>
            <rFont val="Tahoma"/>
            <family val="2"/>
          </rPr>
          <t>Anil Patkare:</t>
        </r>
        <r>
          <rPr>
            <sz val="9"/>
            <color indexed="81"/>
            <rFont val="Tahoma"/>
            <family val="2"/>
          </rPr>
          <t xml:space="preserve">
Considered same as Sep-22 sales for this category</t>
        </r>
      </text>
    </comment>
    <comment ref="O35" authorId="0" shapeId="0">
      <text>
        <r>
          <rPr>
            <b/>
            <sz val="9"/>
            <color indexed="81"/>
            <rFont val="Tahoma"/>
            <family val="2"/>
          </rPr>
          <t>Anil Patkare:</t>
        </r>
        <r>
          <rPr>
            <sz val="9"/>
            <color indexed="81"/>
            <rFont val="Tahoma"/>
            <family val="2"/>
          </rPr>
          <t xml:space="preserve">
Considered same as Sep-22 sales for this category</t>
        </r>
      </text>
    </comment>
    <comment ref="R46" authorId="0" shapeId="0">
      <text>
        <r>
          <rPr>
            <b/>
            <sz val="9"/>
            <color indexed="81"/>
            <rFont val="Tahoma"/>
            <family val="2"/>
          </rPr>
          <t>Anil Patkare:</t>
        </r>
        <r>
          <rPr>
            <sz val="9"/>
            <color indexed="81"/>
            <rFont val="Tahoma"/>
            <family val="2"/>
          </rPr>
          <t xml:space="preserve">
Since HT temporary supply merged in Commercial category, growth of overall growth in HT category in FY 22-23 considered with weightage of HT temp supply quantum</t>
        </r>
      </text>
    </comment>
  </commentList>
</comments>
</file>

<file path=xl/sharedStrings.xml><?xml version="1.0" encoding="utf-8"?>
<sst xmlns="http://schemas.openxmlformats.org/spreadsheetml/2006/main" count="12021" uniqueCount="2142">
  <si>
    <t>Project Details</t>
  </si>
  <si>
    <t>Project Title</t>
  </si>
  <si>
    <t>Project Start Date</t>
  </si>
  <si>
    <t>Loan Amount</t>
  </si>
  <si>
    <t>Loan Source</t>
  </si>
  <si>
    <t>TOTAL</t>
  </si>
  <si>
    <t>Project Purpose</t>
  </si>
  <si>
    <t>Project Number</t>
  </si>
  <si>
    <t>Equity</t>
  </si>
  <si>
    <t>Debt</t>
  </si>
  <si>
    <t>Reference</t>
  </si>
  <si>
    <t>S.No.</t>
  </si>
  <si>
    <t>Actual</t>
  </si>
  <si>
    <t>Project Completion date 
(Scheduled)</t>
  </si>
  <si>
    <t>Revised</t>
  </si>
  <si>
    <t>Financing Plan</t>
  </si>
  <si>
    <t>(Rs. Crore)</t>
  </si>
  <si>
    <t>Original</t>
  </si>
  <si>
    <t>Tenure of Loan (years)</t>
  </si>
  <si>
    <t>Moratorium Period (years)</t>
  </si>
  <si>
    <t>Internal Accruals</t>
  </si>
  <si>
    <t>Interest Rate (% p.a.)</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</si>
  <si>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</si>
  <si>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</si>
  <si>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</si>
  <si>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</si>
  <si>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</si>
  <si>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</si>
  <si>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</si>
  <si>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</si>
  <si>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</si>
  <si>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</si>
  <si>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</si>
  <si>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a) DPR Schemes</t>
  </si>
  <si>
    <t>b) Non-DPR Schemes</t>
  </si>
  <si>
    <t>(i) In-principle approved by MERC</t>
  </si>
  <si>
    <t>…</t>
  </si>
  <si>
    <t>Approved</t>
  </si>
  <si>
    <t>Source of Loan</t>
  </si>
  <si>
    <t>Remarks</t>
  </si>
  <si>
    <t>Source 1</t>
  </si>
  <si>
    <t>Opening Balance of Loan</t>
  </si>
  <si>
    <t>Loan Repayment during the year</t>
  </si>
  <si>
    <t>Closing Balance of Loan</t>
  </si>
  <si>
    <t>Applicable Interest Rate (%)</t>
  </si>
  <si>
    <t>Interest Expenses</t>
  </si>
  <si>
    <t>Source 2</t>
  </si>
  <si>
    <t>Gross Interest Expenses</t>
  </si>
  <si>
    <t>Less: Expenses Capitalised</t>
  </si>
  <si>
    <t xml:space="preserve">Net Interest Expenses </t>
  </si>
  <si>
    <t>Particulars</t>
  </si>
  <si>
    <t>Regulatory Equity at the beginning of the year</t>
  </si>
  <si>
    <t>Capitalisation during the year</t>
  </si>
  <si>
    <t>Equity portion of capitalisation during the year</t>
  </si>
  <si>
    <t>Reduction in Equity Capital on account of retirement / replacement of assets</t>
  </si>
  <si>
    <t>Regulatory Equity at the end of the year</t>
  </si>
  <si>
    <t>Form 3</t>
  </si>
  <si>
    <t>Form 4</t>
  </si>
  <si>
    <t>Aggregate Revenue Requirement - Summary Sheet</t>
  </si>
  <si>
    <t>Summary of Operations and Maintenance Expenses</t>
  </si>
  <si>
    <t>Form 3.1</t>
  </si>
  <si>
    <t>Form 3.2</t>
  </si>
  <si>
    <t>Form 3.3</t>
  </si>
  <si>
    <t>Form 3.4</t>
  </si>
  <si>
    <t>Form 5</t>
  </si>
  <si>
    <t>Form 6</t>
  </si>
  <si>
    <t>Form 7</t>
  </si>
  <si>
    <t>Form 8</t>
  </si>
  <si>
    <t>Form 9</t>
  </si>
  <si>
    <t>Form 10</t>
  </si>
  <si>
    <t>Form 11</t>
  </si>
  <si>
    <t>Ensuing Years</t>
  </si>
  <si>
    <t>April - March (Estimated)</t>
  </si>
  <si>
    <t>(a)</t>
  </si>
  <si>
    <t>(b)</t>
  </si>
  <si>
    <t>Operation &amp; Maintenance Expenses</t>
  </si>
  <si>
    <t>Interest on Working Capital</t>
  </si>
  <si>
    <t>Income Tax</t>
  </si>
  <si>
    <t>Total Revenue Expenditure</t>
  </si>
  <si>
    <t>Add: Return on Equity Capital</t>
  </si>
  <si>
    <t>Less: Non-Tariff Income</t>
  </si>
  <si>
    <t>Aggregate Revenue Requirement</t>
  </si>
  <si>
    <t>Norm</t>
  </si>
  <si>
    <t>A</t>
  </si>
  <si>
    <t>O&amp;M Expenses</t>
  </si>
  <si>
    <t>Employee Expenses</t>
  </si>
  <si>
    <t xml:space="preserve">R&amp;M Expenses </t>
  </si>
  <si>
    <t xml:space="preserve">A&amp;G Expenses </t>
  </si>
  <si>
    <t xml:space="preserve">Employee Expenses </t>
  </si>
  <si>
    <t>B</t>
  </si>
  <si>
    <t>C</t>
  </si>
  <si>
    <t>Basic Salary</t>
  </si>
  <si>
    <t>Dearness Allowance (DA)</t>
  </si>
  <si>
    <t>House Rent Allowance</t>
  </si>
  <si>
    <t>Conveyance Allowance</t>
  </si>
  <si>
    <t>Leave Travel Allowance</t>
  </si>
  <si>
    <t>Overtime Payment</t>
  </si>
  <si>
    <t>Bonus/Ex-Gratia Payments</t>
  </si>
  <si>
    <t xml:space="preserve">Interim Relief / Wage Revision </t>
  </si>
  <si>
    <t>Provident Fund Contribution</t>
  </si>
  <si>
    <t>Gratuity Payment</t>
  </si>
  <si>
    <t xml:space="preserve">Gross Employee Expenses </t>
  </si>
  <si>
    <t xml:space="preserve">Net Employee Expenses </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</si>
  <si>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</si>
  <si>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</si>
  <si>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</si>
  <si>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</si>
  <si>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</si>
  <si>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</si>
  <si>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</si>
  <si>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</si>
  <si>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</si>
  <si>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</si>
  <si>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</si>
  <si>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</si>
  <si>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Rent Rates &amp; Taxes</t>
  </si>
  <si>
    <t>Insurance</t>
  </si>
  <si>
    <t>Telephone &amp; Postage, etc.</t>
  </si>
  <si>
    <t>Legal charges &amp; Audit fee</t>
  </si>
  <si>
    <t>Professional, Consultancy, Technical fee</t>
  </si>
  <si>
    <t>Electricity charges</t>
  </si>
  <si>
    <t>Security arrangements</t>
  </si>
  <si>
    <t>Printing &amp; Stationery</t>
  </si>
  <si>
    <t xml:space="preserve">Advertisements </t>
  </si>
  <si>
    <t>License Fee  and other related fee</t>
  </si>
  <si>
    <t>Vehicle Running Expenses Truck / Delivery Van</t>
  </si>
  <si>
    <t>Bank Charges</t>
  </si>
  <si>
    <t>Miscellaneous Expenses</t>
  </si>
  <si>
    <t>Gross A &amp;G Expenses</t>
  </si>
  <si>
    <t xml:space="preserve">Net A &amp;G Expenses </t>
  </si>
  <si>
    <t>Plant &amp; Machinery</t>
  </si>
  <si>
    <t>Buildings</t>
  </si>
  <si>
    <t>Civil Works</t>
  </si>
  <si>
    <t>Hydraulic Works</t>
  </si>
  <si>
    <t>Lines &amp; Cable Networks</t>
  </si>
  <si>
    <t>Vehicles</t>
  </si>
  <si>
    <t>Furniture &amp; Fixtures</t>
  </si>
  <si>
    <t>Office Equipment</t>
  </si>
  <si>
    <t>Gross R&amp;M Expenses</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</si>
  <si>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</si>
  <si>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</si>
  <si>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</si>
  <si>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</si>
  <si>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</si>
  <si>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</si>
  <si>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</si>
  <si>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</si>
  <si>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</si>
  <si>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</si>
  <si>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</si>
  <si>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(MU)</t>
  </si>
  <si>
    <t>Apr</t>
  </si>
  <si>
    <t>May</t>
  </si>
  <si>
    <t>Jun</t>
  </si>
  <si>
    <t>Jul</t>
  </si>
  <si>
    <t>Aug</t>
  </si>
  <si>
    <t>Sep</t>
  </si>
  <si>
    <t>Oct</t>
  </si>
  <si>
    <t>Nov</t>
  </si>
  <si>
    <t>Dec</t>
  </si>
  <si>
    <t>Jan</t>
  </si>
  <si>
    <t>Feb</t>
  </si>
  <si>
    <t>Mar</t>
  </si>
  <si>
    <t>Sale of Scrap</t>
  </si>
  <si>
    <t>Rental from staff quarters</t>
  </si>
  <si>
    <t>Income from hire charges from contractors and others</t>
  </si>
  <si>
    <t>Deviation</t>
  </si>
  <si>
    <t>Reason for Deviation</t>
  </si>
  <si>
    <t>Controllable</t>
  </si>
  <si>
    <t>Uncontrollable</t>
  </si>
  <si>
    <t>Revenue</t>
  </si>
  <si>
    <t>Revenue from sale of electricity</t>
  </si>
  <si>
    <t>Capitalisation Plan</t>
  </si>
  <si>
    <t>Non-Tariff Income</t>
  </si>
  <si>
    <t>Truing-Up Summary</t>
  </si>
  <si>
    <t>Total Revenue Gap/(Surplus)</t>
  </si>
  <si>
    <t>Form 12</t>
  </si>
  <si>
    <t>FY 2017-18</t>
  </si>
  <si>
    <t>FY 2018-19</t>
  </si>
  <si>
    <t>FY 2019-20</t>
  </si>
  <si>
    <t>Income from investments</t>
  </si>
  <si>
    <t>Income from sale of tender documents</t>
  </si>
  <si>
    <t>Interest on Loan Capital</t>
  </si>
  <si>
    <t xml:space="preserve">Depreciation </t>
  </si>
  <si>
    <t>Sharing of Gains/(Losses)</t>
  </si>
  <si>
    <t>Total O&amp;M Expenses after sharing of Gains/(losses)</t>
  </si>
  <si>
    <t>FY 2020-21</t>
  </si>
  <si>
    <t>Sr. No.</t>
  </si>
  <si>
    <t>(C ) Net Fixed Assets</t>
  </si>
  <si>
    <t>Addition of Loan during the year</t>
  </si>
  <si>
    <t xml:space="preserve">Sr. No. </t>
  </si>
  <si>
    <t>Form 13</t>
  </si>
  <si>
    <t>Total Revenue</t>
  </si>
  <si>
    <t>a</t>
  </si>
  <si>
    <t>Total Expenses</t>
  </si>
  <si>
    <t>b</t>
  </si>
  <si>
    <t>Profit Before Tax</t>
  </si>
  <si>
    <t>c=a-b</t>
  </si>
  <si>
    <t>Tax Adjustment</t>
  </si>
  <si>
    <t>Add</t>
  </si>
  <si>
    <t>Depreciation considered in Expenses</t>
  </si>
  <si>
    <t>d</t>
  </si>
  <si>
    <t>Other disallowance while computing IT</t>
  </si>
  <si>
    <t>e</t>
  </si>
  <si>
    <t>Total Tax Disallowances</t>
  </si>
  <si>
    <t>f=d+e</t>
  </si>
  <si>
    <t>Less</t>
  </si>
  <si>
    <t>Tax Depreciation</t>
  </si>
  <si>
    <t>g</t>
  </si>
  <si>
    <t>Other expenses allowed for computing Income Tax</t>
  </si>
  <si>
    <t>h</t>
  </si>
  <si>
    <t>Deduction - U/s 80 IA</t>
  </si>
  <si>
    <t>i</t>
  </si>
  <si>
    <t>Other Deduction under IT</t>
  </si>
  <si>
    <t>j</t>
  </si>
  <si>
    <t>Exempt Income under IT</t>
  </si>
  <si>
    <t>k</t>
  </si>
  <si>
    <t>Total Tax Allowances</t>
  </si>
  <si>
    <t>l=g to k</t>
  </si>
  <si>
    <t>Total Taxable Income</t>
  </si>
  <si>
    <t>m=c+f-l</t>
  </si>
  <si>
    <t>n= m x Tax</t>
  </si>
  <si>
    <t xml:space="preserve">q = MAT working </t>
  </si>
  <si>
    <t xml:space="preserve">Tax Applicable </t>
  </si>
  <si>
    <t>Tax Paid</t>
  </si>
  <si>
    <t>s</t>
  </si>
  <si>
    <t>Tax Paid to Tax Provision</t>
  </si>
  <si>
    <t>t=s/r</t>
  </si>
  <si>
    <t>Tax to be recovered through ARR</t>
  </si>
  <si>
    <t>u = tx s</t>
  </si>
  <si>
    <t>MAT Computation</t>
  </si>
  <si>
    <t xml:space="preserve"> Add: Disallowances under Income Tax</t>
  </si>
  <si>
    <t>Sub total</t>
  </si>
  <si>
    <t xml:space="preserve"> Less: Deductions under Income Tax</t>
  </si>
  <si>
    <t>Book Profit</t>
  </si>
  <si>
    <t>Tax Payable at Normal rate (Corporate Tax Rate)</t>
  </si>
  <si>
    <t>r=max(n,q)</t>
  </si>
  <si>
    <t>k=c+d-e</t>
  </si>
  <si>
    <t>Computation of Working Capital Interest</t>
  </si>
  <si>
    <t>Interest Rate (%) - SBI Base Rate +150 basis points</t>
  </si>
  <si>
    <t>Total Working Capital Requirement</t>
  </si>
  <si>
    <t>Form 4.1</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</si>
  <si>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</si>
  <si>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</si>
  <si>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</si>
  <si>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</si>
  <si>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</si>
  <si>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</si>
  <si>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</si>
  <si>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</si>
  <si>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</si>
  <si>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Return on Regulatory Equity at the beginning of the year</t>
  </si>
  <si>
    <t>Return on Regulatory Equity addition during the year</t>
  </si>
  <si>
    <t>Total Return on Equity</t>
  </si>
  <si>
    <t>Repayment of Normative loan during the year</t>
  </si>
  <si>
    <t>Provision for bad and doubtful debts</t>
  </si>
  <si>
    <t>Contribution to contingency reserves</t>
  </si>
  <si>
    <t>Power Purchase Expenses</t>
  </si>
  <si>
    <t>Intra-State Transmission Charges</t>
  </si>
  <si>
    <t>MSLDC Fees &amp; Charges</t>
  </si>
  <si>
    <t>Less: Income from other business</t>
  </si>
  <si>
    <t>Less: Receipts on account of Cross-Subsidy Surcharge</t>
  </si>
  <si>
    <t>Form 2</t>
  </si>
  <si>
    <t>S. No.</t>
  </si>
  <si>
    <t>Source of Power (Station wise)</t>
  </si>
  <si>
    <t>Utility share (%)</t>
  </si>
  <si>
    <t>Utility share (MW)</t>
  </si>
  <si>
    <t>Total Energy Sent Out (ESO) from the station (MU)</t>
  </si>
  <si>
    <t>Energy Received (MU)</t>
  </si>
  <si>
    <t>External Losses outside the State (%)</t>
  </si>
  <si>
    <t>Total Annual Fixed charges (Rs Crore)</t>
  </si>
  <si>
    <t>Capacity Charges paid/ payable by Utility (Rs Crore)</t>
  </si>
  <si>
    <t>Total Variable Charges (Rs Crore)</t>
  </si>
  <si>
    <t>Incentive (Rs Crore)</t>
  </si>
  <si>
    <t>Any Other Charges (Please specify the type of charges)</t>
  </si>
  <si>
    <t>O&amp;M expenses for a month</t>
  </si>
  <si>
    <t>One and half months equivalent of the expected revenue from charges for use of Distribution Wires</t>
  </si>
  <si>
    <t>Less: Amount held as security deposit</t>
  </si>
  <si>
    <t>One and half months equivalent of the expected revenue from sale of electricity including revenue from CSS and Additional Surcharge</t>
  </si>
  <si>
    <t>Category</t>
  </si>
  <si>
    <t>Form 5.1</t>
  </si>
  <si>
    <t>Form 5.2</t>
  </si>
  <si>
    <t>A) Distribution Wires Business</t>
  </si>
  <si>
    <t>B) Retail Supply Business</t>
  </si>
  <si>
    <t>Retail Supply Business</t>
  </si>
  <si>
    <t>Interest on deposit from Consumers and Distribution System Users</t>
  </si>
  <si>
    <t>Aggregate Revenue Requirement from Retail Tariff</t>
  </si>
  <si>
    <t>Aggregate Revenue Requirement from Distribution Wires</t>
  </si>
  <si>
    <t>Power Purchase Expenses (including Inter-State Transmission Charges)</t>
  </si>
  <si>
    <t>Interest on Consumer Security Deposit</t>
  </si>
  <si>
    <t>Less: Receipts on account of Additional Surcharge, if any</t>
  </si>
  <si>
    <t>Form 1 : Customer Sales Forecast</t>
  </si>
  <si>
    <t>Consumer Category &amp; Consumption Slab</t>
  </si>
  <si>
    <t>HT Category</t>
  </si>
  <si>
    <t>LT Category</t>
  </si>
  <si>
    <t>Voltage Level</t>
  </si>
  <si>
    <t>Energy Input</t>
  </si>
  <si>
    <t xml:space="preserve">Direct Sale </t>
  </si>
  <si>
    <t>Total Output</t>
  </si>
  <si>
    <t>Total Losses</t>
  </si>
  <si>
    <t>Total Losses (% of Energy Input)</t>
  </si>
  <si>
    <t>Total Technical Loss</t>
  </si>
  <si>
    <t>Total Technical Losses (% of Energy Input)</t>
  </si>
  <si>
    <t>Total Commercial Loss</t>
  </si>
  <si>
    <t>Total Commercial Loss (% of Energy Input)</t>
  </si>
  <si>
    <t>Apr-Sep          (Actual)</t>
  </si>
  <si>
    <t xml:space="preserve"> Total                      (Estimated)</t>
  </si>
  <si>
    <t>Form 1.1 : Wheeling Forecast</t>
  </si>
  <si>
    <t>Energy Sent to Lower network</t>
  </si>
  <si>
    <t>Installed Capacity    (MW)</t>
  </si>
  <si>
    <t>External Losses (%)</t>
  </si>
  <si>
    <t>Unit received at periphery (%)</t>
  </si>
  <si>
    <t>Variable Cost per unit including Fuel Price Adjustment (Rs/kWh)</t>
  </si>
  <si>
    <t>Long term / Medium term Sources</t>
  </si>
  <si>
    <t>Short term Sources</t>
  </si>
  <si>
    <t>Total Operation &amp; Maintenance Expenses</t>
  </si>
  <si>
    <t>Sales</t>
  </si>
  <si>
    <t>MU</t>
  </si>
  <si>
    <t>Details of number of employees</t>
  </si>
  <si>
    <t>Less: R&amp;M Expenses Capitalised</t>
  </si>
  <si>
    <t>Net R&amp;M Expenses</t>
  </si>
  <si>
    <t>Form 5: Assets &amp; Depreciation</t>
  </si>
  <si>
    <t>For Retail Supply Business</t>
  </si>
  <si>
    <t>For Distribution Wires and Retail Supply Business</t>
  </si>
  <si>
    <t>For Distribution Wires Business</t>
  </si>
  <si>
    <t>Form 6: Interest on Loan Capital</t>
  </si>
  <si>
    <t>Form 7: Interest on Working Capital</t>
  </si>
  <si>
    <t>Distribution Wires Business</t>
  </si>
  <si>
    <t>Interest on Security Deposit</t>
  </si>
  <si>
    <t>Maintenance Spares at 1% of Opening GFA</t>
  </si>
  <si>
    <t>Less: One month equivalent of cost of power purchase, transmission charges and MSLDC Charges</t>
  </si>
  <si>
    <t>Supervision charges for capital works</t>
  </si>
  <si>
    <t>Income from advertisements</t>
  </si>
  <si>
    <t>Oct-Mar          (Estimated)</t>
  </si>
  <si>
    <t>Form 13:  Revenue from Sale of Electricity</t>
  </si>
  <si>
    <t xml:space="preserve">     Percentage (%)</t>
  </si>
  <si>
    <t>Customer Sales Forecast</t>
  </si>
  <si>
    <t>Wheeling Forecast</t>
  </si>
  <si>
    <t>Distribution Losses</t>
  </si>
  <si>
    <t>Form 1.1</t>
  </si>
  <si>
    <t>Form 1.2</t>
  </si>
  <si>
    <t>Intra-State Transmission Charges and MSLDC Charges</t>
  </si>
  <si>
    <t>Form 2.2</t>
  </si>
  <si>
    <t>Administration &amp; General Expenses</t>
  </si>
  <si>
    <t>Repair &amp; Maintenance Expenses</t>
  </si>
  <si>
    <t>Assets &amp; Depreciation (Distribution Wires + Retail Supply Business)</t>
  </si>
  <si>
    <t>Assets &amp; Depreciation (Distribution Wires Business)</t>
  </si>
  <si>
    <t>Assets &amp; Depreciation (Retail Supply Business)</t>
  </si>
  <si>
    <t>Interest on Working Capital and Interest on Consumer Security Deposit</t>
  </si>
  <si>
    <t>Form 14.1</t>
  </si>
  <si>
    <t>Form 14.2</t>
  </si>
  <si>
    <t>Form 13.1</t>
  </si>
  <si>
    <t>Form 13.2</t>
  </si>
  <si>
    <t>Form 13.3</t>
  </si>
  <si>
    <t>Cross-subsidy Trajectory</t>
  </si>
  <si>
    <t>Form 15</t>
  </si>
  <si>
    <t>Form 16</t>
  </si>
  <si>
    <t>Form 17</t>
  </si>
  <si>
    <t>No. of consumers</t>
  </si>
  <si>
    <t>Sales in MU</t>
  </si>
  <si>
    <t>Revenue from Fixed/Demand Charges (Rs. Crore)</t>
  </si>
  <si>
    <t>Revenue from Energy Charges (Rs. Crore)</t>
  </si>
  <si>
    <t>Total Revenue (Rs. Crore)</t>
  </si>
  <si>
    <t>Government subsidy (Rs. Crore)</t>
  </si>
  <si>
    <t>Total revenue (Rs. Crore)</t>
  </si>
  <si>
    <t xml:space="preserve">Note: </t>
  </si>
  <si>
    <t>Estimated Revenue at existing tariff</t>
  </si>
  <si>
    <t xml:space="preserve">Components of tariff </t>
  </si>
  <si>
    <t>Relevant sales &amp; load/demand data for revenue calculation</t>
  </si>
  <si>
    <t>Full year revenue excluding Government subsidy (Rs. Crore)</t>
  </si>
  <si>
    <t>Full year revenue (including subsidy) (Rs. Crore)</t>
  </si>
  <si>
    <t>Average Billing Rate (Rs/kWh)</t>
  </si>
  <si>
    <t>Fuel surcharge per unit, if any</t>
  </si>
  <si>
    <t>Contract Demand in KVA/MVA</t>
  </si>
  <si>
    <t>Revenue from Fixed Charges</t>
  </si>
  <si>
    <t>Revenue from Demand Charges</t>
  </si>
  <si>
    <t>Revenue from Energy Charges</t>
  </si>
  <si>
    <t>Revenue from fuel surcharge</t>
  </si>
  <si>
    <t>Year : FY 2019-20</t>
  </si>
  <si>
    <t>Projected Average Cost of Supply (Rs/kWh)</t>
  </si>
  <si>
    <t>Ratio of Average Billing Rate to Projected Average Cost of Supply (%)</t>
  </si>
  <si>
    <t>% increase / decrease in Cross-subsidy</t>
  </si>
  <si>
    <t>% increase in tariff (%)</t>
  </si>
  <si>
    <t>Existing Tariff</t>
  </si>
  <si>
    <t>Previous Tariff Order</t>
  </si>
  <si>
    <t>Proposed Tariff</t>
  </si>
  <si>
    <t>….</t>
  </si>
  <si>
    <t>MSLDC Charges</t>
  </si>
  <si>
    <t>Estimated Revenue at Proposed tariff</t>
  </si>
  <si>
    <t>Form 18</t>
  </si>
  <si>
    <t>Rebate given to Consumer Category</t>
  </si>
  <si>
    <t>Consumer Category</t>
  </si>
  <si>
    <t>Consumer Category 1</t>
  </si>
  <si>
    <t>Consumer Category 2</t>
  </si>
  <si>
    <t>Consumer Category 3</t>
  </si>
  <si>
    <t>... ... ...</t>
  </si>
  <si>
    <t xml:space="preserve">Total </t>
  </si>
  <si>
    <t xml:space="preserve">Approved Tariff </t>
  </si>
  <si>
    <t>Rs./kWh</t>
  </si>
  <si>
    <t>Rebate given</t>
  </si>
  <si>
    <t>Rs. Crore</t>
  </si>
  <si>
    <t>Revenue Realised</t>
  </si>
  <si>
    <t>Rebate Given to consumer category</t>
  </si>
  <si>
    <t>Applicable Tariff after rebate</t>
  </si>
  <si>
    <t>MYT Order</t>
  </si>
  <si>
    <t>April-March      (Audited )</t>
  </si>
  <si>
    <t>True-Up requirement</t>
  </si>
  <si>
    <t>MTR Order*</t>
  </si>
  <si>
    <t>Apr-Sep    (Actual)</t>
  </si>
  <si>
    <t>Provisional True-Up requirement</t>
  </si>
  <si>
    <t>(c ) = (b) - (a)</t>
  </si>
  <si>
    <t>(d)</t>
  </si>
  <si>
    <t>(e)</t>
  </si>
  <si>
    <r>
      <rPr>
        <b/>
        <sz val="11"/>
        <rFont val="Times New Roman"/>
        <family val="1"/>
      </rPr>
      <t>Note</t>
    </r>
    <r>
      <rPr>
        <sz val="11"/>
        <rFont val="Times New Roman"/>
        <family val="1"/>
      </rPr>
      <t>: * - In case MTR Order is yet to be issued, then MYT Order values to be captured under this column</t>
    </r>
  </si>
  <si>
    <t>April-March      (Actual )</t>
  </si>
  <si>
    <t>Aggregate Revenue Requirement from Retail Supply</t>
  </si>
  <si>
    <t>Sub-total</t>
  </si>
  <si>
    <t>Past Sales Data$</t>
  </si>
  <si>
    <t>Past Wheeling Data$</t>
  </si>
  <si>
    <t>A)</t>
  </si>
  <si>
    <t>Demand (MW)</t>
  </si>
  <si>
    <t>Supply (MW)</t>
  </si>
  <si>
    <t>Long Term Supply</t>
  </si>
  <si>
    <t>Medium Term Supply</t>
  </si>
  <si>
    <t>Short Term Supply</t>
  </si>
  <si>
    <t>Total Supply</t>
  </si>
  <si>
    <t>FY 2021-22</t>
  </si>
  <si>
    <t>FY 2022-23</t>
  </si>
  <si>
    <t>FY 2023-24</t>
  </si>
  <si>
    <t>FY 2024-25</t>
  </si>
  <si>
    <t>Form 1.3</t>
  </si>
  <si>
    <t>Total Cost of Power Purchase (Rs Crore)</t>
  </si>
  <si>
    <t>Average Cost of Power Purchase (Rs/kWh)</t>
  </si>
  <si>
    <t>R &amp; M Expenses</t>
  </si>
  <si>
    <t>Notes:</t>
  </si>
  <si>
    <t>Notes -</t>
  </si>
  <si>
    <t>1) Licensees are required to provide the details for the customer categories applicable to their licence area</t>
  </si>
  <si>
    <t>2) $- Seperate details of actual Wheeling for each Distribution Franchisee area, if any, shall be provided</t>
  </si>
  <si>
    <t>2) $- Seperate details of actual Sales for each Distribution Franchisee area, if any, shall be provided</t>
  </si>
  <si>
    <t>(f) = (e) - (d)</t>
  </si>
  <si>
    <t>Addition of Normative Loan due to capitalisation during the year</t>
  </si>
  <si>
    <t>Average Balance of Net Normative Loan</t>
  </si>
  <si>
    <t>Weighted average Rate of Interest on actual Loans (%)</t>
  </si>
  <si>
    <t>Total Interest &amp; Financing Charges</t>
  </si>
  <si>
    <t>B) Existing Actual Long-term Loans</t>
  </si>
  <si>
    <t>Average Loan Balance</t>
  </si>
  <si>
    <t>C ) Actual Loans drawn during the year</t>
  </si>
  <si>
    <t>Actual Working Capital Interest$</t>
  </si>
  <si>
    <t>Petitioner should submit documentary evidence for actual interest on working capital incurred</t>
  </si>
  <si>
    <t xml:space="preserve">Notes: </t>
  </si>
  <si>
    <t>Less: Amount held as Security Deposit from Distribution System Users</t>
  </si>
  <si>
    <t>Consumer Contribution and Grants used during the year for Capitalisation</t>
  </si>
  <si>
    <r>
      <rPr>
        <b/>
        <sz val="11"/>
        <rFont val="Times New Roman"/>
        <family val="1"/>
      </rPr>
      <t>Note</t>
    </r>
    <r>
      <rPr>
        <sz val="11"/>
        <rFont val="Times New Roman"/>
        <family val="1"/>
      </rPr>
      <t>: 1. * - Documentary proof in the form of Challans for actual Income Tax paid needs to be submitted</t>
    </r>
  </si>
  <si>
    <t>2. Income tax paid on incentive, efficiency gains, Delayed Payment Charges, and Interest on Delayed Payment to be excluded from actual Income Tax paid, and shown separately</t>
  </si>
  <si>
    <t>Form 12 (B):  MAT Credit Available</t>
  </si>
  <si>
    <t>Opening Balance of MAT Credit available</t>
  </si>
  <si>
    <t>MAT paid during the year</t>
  </si>
  <si>
    <t>MAT Credit availed during the year</t>
  </si>
  <si>
    <t>Closing Balance of MAT Credit available</t>
  </si>
  <si>
    <t>4 = 1+2-3</t>
  </si>
  <si>
    <t>Form 12 (C):  Income Tax on Regulatory Profit Before Tax</t>
  </si>
  <si>
    <t>Tax Payable under MAT Rate</t>
  </si>
  <si>
    <t xml:space="preserve">Form 12 (A): Income Tax </t>
  </si>
  <si>
    <t>3) The amount of subsidy received from the State Government should be clearly indicated for each category under the respective column and the relevant GR should be mentioned in the note below</t>
  </si>
  <si>
    <t>Sanctioned Load in kW</t>
  </si>
  <si>
    <t>Ratio of Average Billing Rate to Average Cost of Supply (%)</t>
  </si>
  <si>
    <t>...</t>
  </si>
  <si>
    <t>A) Payment of Generator Bills</t>
  </si>
  <si>
    <t>Bill Details</t>
  </si>
  <si>
    <t>Payment made</t>
  </si>
  <si>
    <t>Delay in payment (days)</t>
  </si>
  <si>
    <t>Amount Pending (Rs. Crore)</t>
  </si>
  <si>
    <t>Month/Date</t>
  </si>
  <si>
    <t>Amount (Rs. Crore)</t>
  </si>
  <si>
    <t>Due date</t>
  </si>
  <si>
    <t>% of Bill amount paid</t>
  </si>
  <si>
    <t>Schedule Payment</t>
  </si>
  <si>
    <t>% of Amount paid</t>
  </si>
  <si>
    <t>Schedule Payment against Long Term Loans</t>
  </si>
  <si>
    <t>Long Term Loan 1</t>
  </si>
  <si>
    <t>Long Term Loan 2</t>
  </si>
  <si>
    <t>Long Term Loan 3</t>
  </si>
  <si>
    <t>Payment Efficiency</t>
  </si>
  <si>
    <t>No. of consumers (Nos.)</t>
  </si>
  <si>
    <t>Input Energy (MU)</t>
  </si>
  <si>
    <t>Energy Sales (MU)</t>
  </si>
  <si>
    <t>Amount Billed (Rs. Crore)</t>
  </si>
  <si>
    <t>Amount Collected (Rs. Crore)</t>
  </si>
  <si>
    <t>Metered Consumers</t>
  </si>
  <si>
    <t>Unmetered Consumers</t>
  </si>
  <si>
    <t>Metered</t>
  </si>
  <si>
    <t xml:space="preserve">Unmetered </t>
  </si>
  <si>
    <t>Unmetered Sales</t>
  </si>
  <si>
    <t>Total in %</t>
  </si>
  <si>
    <t xml:space="preserve">Form 8: Return on Regulatory Equity </t>
  </si>
  <si>
    <t>Form 9: Non-Tariff Income</t>
  </si>
  <si>
    <t>Contribution to Contingency Reserves</t>
  </si>
  <si>
    <t>Form 11:  Contribution to Contingency Reserves</t>
  </si>
  <si>
    <t>Form 15: Cross Subsidy Trajectory</t>
  </si>
  <si>
    <t>Form 16 : Billing Efficiency and Collection Efficiency</t>
  </si>
  <si>
    <t>Billing Efficiency (%)</t>
  </si>
  <si>
    <t>Collection Efficiency (%)</t>
  </si>
  <si>
    <t>Metered Sales$</t>
  </si>
  <si>
    <t>Note</t>
  </si>
  <si>
    <t>$ - Assessed consumption for each category shall be indicated seperately</t>
  </si>
  <si>
    <t>B) Collection Efficiency</t>
  </si>
  <si>
    <t>A) Billing Efficiency</t>
  </si>
  <si>
    <t>Form 17: Trajectory for Billing Efficiency and Collection Efficiency</t>
  </si>
  <si>
    <t>Form 20 : Truing up Summary</t>
  </si>
  <si>
    <t>Form 19 : Rebate given to Consumer Category</t>
  </si>
  <si>
    <t>Form 18: Payment Efficiency</t>
  </si>
  <si>
    <t>Form 19</t>
  </si>
  <si>
    <t>Form 20</t>
  </si>
  <si>
    <t>Billing Efficiency and Collection Efficiency</t>
  </si>
  <si>
    <t>Trajectory for Billing Efficiency and Collection Efficiency</t>
  </si>
  <si>
    <t>Return on Regulatory Equity Capital</t>
  </si>
  <si>
    <t>A&amp;G Expenses</t>
  </si>
  <si>
    <t>Assessed Sales</t>
  </si>
  <si>
    <t>Opening Balance of Contingency Reserves</t>
  </si>
  <si>
    <t>Opening Gross Fixed Assets</t>
  </si>
  <si>
    <t>Opening Balance of Contingency Reserves as % of Opening GFA</t>
  </si>
  <si>
    <t>Contribution to Contingency Reserves during the year</t>
  </si>
  <si>
    <t>Utilisation of Contingency Reserves during the year</t>
  </si>
  <si>
    <t>Closing Balance of Contingency Reserves</t>
  </si>
  <si>
    <t>Closing Balance of Contingency Reserves as % of Opening GFA</t>
  </si>
  <si>
    <t>Documentary evidence towards investment of amounts under Contingency Reserve should be submitted</t>
  </si>
  <si>
    <t>Receivables for the year</t>
  </si>
  <si>
    <t>Provision for bad &amp; doubtful debts during the year</t>
  </si>
  <si>
    <t>Actual bad and doubtful debts written off</t>
  </si>
  <si>
    <t>Opening Balance of Provision for bad and doubtful debts</t>
  </si>
  <si>
    <t>Opening Balance of Provision of bad and doubtful debt as % of Receivables</t>
  </si>
  <si>
    <t>Closing Balance of Provision for bad and doubtful debts</t>
  </si>
  <si>
    <t>Documentary evidence towards actual debts written off should be submitted</t>
  </si>
  <si>
    <t>Form 2.2: Intra-State Transmission Charges and MSLDC Charges</t>
  </si>
  <si>
    <t>Form 2.1</t>
  </si>
  <si>
    <t>Power Procurement Quantum</t>
  </si>
  <si>
    <t>B) Details of Sales</t>
  </si>
  <si>
    <t>B) Details of Wheeling</t>
  </si>
  <si>
    <t>Power Purchase Requirement (MU)</t>
  </si>
  <si>
    <t>Energy Requirement</t>
  </si>
  <si>
    <t xml:space="preserve">B) </t>
  </si>
  <si>
    <t>Total Energy Availability</t>
  </si>
  <si>
    <t>Demand-Supply Gap/(Surplus) (MW)</t>
  </si>
  <si>
    <t>Gap /(Surplus) (MU)</t>
  </si>
  <si>
    <t>A) Power Procurement Quantum</t>
  </si>
  <si>
    <t>B) Energy Charge (Rs./kWh)</t>
  </si>
  <si>
    <t>Energy Charge (Rs./kWh)</t>
  </si>
  <si>
    <t>Contracted Capacity (MW)</t>
  </si>
  <si>
    <t>Energy Requirement met (MU)</t>
  </si>
  <si>
    <t>Energy requirement to be met (MU)</t>
  </si>
  <si>
    <t>Notes</t>
  </si>
  <si>
    <t>Approved Project Cost</t>
  </si>
  <si>
    <t>Opening CWIP</t>
  </si>
  <si>
    <t>Investment during the year</t>
  </si>
  <si>
    <t>Capital Work in Progress</t>
  </si>
  <si>
    <t>Closing CWIP</t>
  </si>
  <si>
    <t>Works Capitalised</t>
  </si>
  <si>
    <t>Interest Capitalised</t>
  </si>
  <si>
    <t>Expenses Capitalised</t>
  </si>
  <si>
    <t>Total Capitalisation</t>
  </si>
  <si>
    <t>Form 4.3:  Capital Work-in-progress - Project-wise details</t>
  </si>
  <si>
    <t>Form 4:  Summary of Capital Expenditure and Capitalisation</t>
  </si>
  <si>
    <t>IDC</t>
  </si>
  <si>
    <t>Capitalisation + IDC</t>
  </si>
  <si>
    <t>Form 4.2</t>
  </si>
  <si>
    <t>Form 4.3</t>
  </si>
  <si>
    <t>Capital Work-in-progress - Project-wise details</t>
  </si>
  <si>
    <t>Summary of Capital Expenditure and Capitalisation</t>
  </si>
  <si>
    <t>3) Licensees should submit separate data for all sub-categories and consumption slabs within each category</t>
  </si>
  <si>
    <t>Circle 1/Area 1</t>
  </si>
  <si>
    <t>Actual Losses</t>
  </si>
  <si>
    <t>Approved Losses</t>
  </si>
  <si>
    <t>Demand &amp; Supply Position</t>
  </si>
  <si>
    <t>Form 2:  Power Purchase Expenses</t>
  </si>
  <si>
    <t>Quantum of energy requirement to be met shall be considered on Merit Order principle.</t>
  </si>
  <si>
    <t>Assumptions considered for estimation of energy charges for different sources shall be submitted</t>
  </si>
  <si>
    <t>Form 2.1 : Power Procurement Quantum &amp; Energy Availability</t>
  </si>
  <si>
    <t>Assumptions considered for estimation of complete energy availability shall be submitted along with documentary evidence, as applicable</t>
  </si>
  <si>
    <t>Actual Average Billing Rate (Rs./kWh)</t>
  </si>
  <si>
    <t>Average Billing Rate approved in MYT/MTR Order (Rs./kWh)</t>
  </si>
  <si>
    <t>(c )</t>
  </si>
  <si>
    <t>(f)</t>
  </si>
  <si>
    <t>(h)</t>
  </si>
  <si>
    <t>(k)</t>
  </si>
  <si>
    <t>Revenue from FAC (Rs. Crore)</t>
  </si>
  <si>
    <t>(m)</t>
  </si>
  <si>
    <t>(g) = (c )+(d)+(e)+(f)</t>
  </si>
  <si>
    <t>(i)=(g)+(h)</t>
  </si>
  <si>
    <t>(j)=(i)x10/(b)</t>
  </si>
  <si>
    <t>(l)=(k)-(j)</t>
  </si>
  <si>
    <t>Variation in ABR*</t>
  </si>
  <si>
    <r>
      <t xml:space="preserve">4) * - In case the variation between ABR approved by the Commission and actual ABR for the year for any category/sub-category is greater than </t>
    </r>
    <r>
      <rPr>
        <u/>
        <sz val="11"/>
        <rFont val="Times New Roman"/>
        <family val="1"/>
      </rPr>
      <t>+</t>
    </r>
    <r>
      <rPr>
        <sz val="11"/>
        <rFont val="Times New Roman"/>
        <family val="1"/>
      </rPr>
      <t>5%, then the Licensee should submit a justification for the same</t>
    </r>
  </si>
  <si>
    <t>1) The licensee shall include all relevant information on categories, sub-categories and slabs, such as metered and non-metered consumption, as applicable for its licence area</t>
  </si>
  <si>
    <r>
      <rPr>
        <b/>
        <sz val="11"/>
        <color rgb="FF000000"/>
        <rFont val="Book Antiqua"/>
        <family val="1"/>
      </rPr>
      <t>Note</t>
    </r>
    <r>
      <rPr>
        <sz val="11"/>
        <color rgb="FF000000"/>
        <rFont val="Book Antiqua"/>
        <family val="1"/>
      </rPr>
      <t>- Cross-subsidy shall be expressed as the Ratio of Average Billing Rate to Average Cost of Supply in above table for each category &amp; sub-category</t>
    </r>
  </si>
  <si>
    <t>Total Sales</t>
  </si>
  <si>
    <t>Receivables at beginning of year (Rs. Crore)</t>
  </si>
  <si>
    <t>Receivables at end of year (Rs. Crore)</t>
  </si>
  <si>
    <t>Arrears Collected (Rs. Crore)*</t>
  </si>
  <si>
    <t>* - Arrears collected would be included under Amount Collected, but are to be shown separately under these columns</t>
  </si>
  <si>
    <t>B) Scheduled Payment against Loans</t>
  </si>
  <si>
    <t>(e)=(d)x(c )</t>
  </si>
  <si>
    <t>(f)=(d)x(b)</t>
  </si>
  <si>
    <r>
      <rPr>
        <b/>
        <sz val="11"/>
        <rFont val="Times New Roman"/>
        <family val="1"/>
      </rPr>
      <t>Note</t>
    </r>
    <r>
      <rPr>
        <sz val="11"/>
        <rFont val="Times New Roman"/>
        <family val="1"/>
      </rPr>
      <t>: Detailed justification for rebate given to any consumer category should be submitted</t>
    </r>
  </si>
  <si>
    <t>Form 1.2 : Voltage Wise Sales</t>
  </si>
  <si>
    <t>Volatge Level</t>
  </si>
  <si>
    <t>Sales at 220 kV</t>
  </si>
  <si>
    <t>Sales at 66 kV</t>
  </si>
  <si>
    <t>Sales at 33 kV</t>
  </si>
  <si>
    <t>Sales at 11 kV</t>
  </si>
  <si>
    <t>Sales at LT Level</t>
  </si>
  <si>
    <t>Form 1.3 : Distribution Losses</t>
  </si>
  <si>
    <t>Form 1.4 : Energy Balance</t>
  </si>
  <si>
    <t>Form 1.5 : Demand &amp; Supply Position</t>
  </si>
  <si>
    <t>Loan 1</t>
  </si>
  <si>
    <t>Loan 2</t>
  </si>
  <si>
    <t>Loan 3</t>
  </si>
  <si>
    <t>Separate detailed computations for FERV component to be submitted</t>
  </si>
  <si>
    <t>MERC Approval No.</t>
  </si>
  <si>
    <t>MERC Approval Date</t>
  </si>
  <si>
    <t>Capital Cost</t>
  </si>
  <si>
    <t xml:space="preserve">Actual </t>
  </si>
  <si>
    <t>Actual Capital Cost Incurred</t>
  </si>
  <si>
    <t>Source of Financing for Capital Expenditure</t>
  </si>
  <si>
    <t>MERC Approved Cost</t>
  </si>
  <si>
    <t>Approved Start Date</t>
  </si>
  <si>
    <t>Actual Start Date</t>
  </si>
  <si>
    <t>Approved Date of Completion</t>
  </si>
  <si>
    <t>Actual Date of Completion</t>
  </si>
  <si>
    <t>Reasons for Delay, if any</t>
  </si>
  <si>
    <t>Cumulative Expenditure Incurred till beginning of the Year</t>
  </si>
  <si>
    <t>Capital Expenditure Capitalised</t>
  </si>
  <si>
    <t xml:space="preserve">Form 4.2: Capitalisation Plan </t>
  </si>
  <si>
    <t xml:space="preserve">Form 4.1: Capital Expenditure Plan </t>
  </si>
  <si>
    <t>Net Entitlement after sharing of gains/(losses)</t>
  </si>
  <si>
    <t>UoM</t>
  </si>
  <si>
    <t>Total (A)</t>
  </si>
  <si>
    <t>Inter-State Transmission loss</t>
  </si>
  <si>
    <t>1.n</t>
  </si>
  <si>
    <t>%</t>
  </si>
  <si>
    <t>Power Purchase within Maharashtra</t>
  </si>
  <si>
    <t>4.n</t>
  </si>
  <si>
    <t>Total (C)</t>
  </si>
  <si>
    <t>Total Power Purchase Payable (A+C)</t>
  </si>
  <si>
    <t>Surplus Energy Traded (D)</t>
  </si>
  <si>
    <t>Total Power Purchase available at G&lt;&gt;T Periphery (B+C-D)</t>
  </si>
  <si>
    <t>Intra-State Transmission Loss</t>
  </si>
  <si>
    <t>Power Purchase outside State of Maharashtra</t>
  </si>
  <si>
    <t>Total Purchase at State of Maharashtra periphery (B)</t>
  </si>
  <si>
    <t>Sales at 220 kV level</t>
  </si>
  <si>
    <t>Sales at 66 kV level</t>
  </si>
  <si>
    <t>Energy Available for sale at 33kV</t>
  </si>
  <si>
    <t xml:space="preserve">Distribution Loss </t>
  </si>
  <si>
    <t>HT Sales</t>
  </si>
  <si>
    <t>LT Sales</t>
  </si>
  <si>
    <t>Form 1.4</t>
  </si>
  <si>
    <t>Form 1.5</t>
  </si>
  <si>
    <t>Energy Balance</t>
  </si>
  <si>
    <t>Voltage wise Sales</t>
  </si>
  <si>
    <t>Sales at 110 kV/132 kV</t>
  </si>
  <si>
    <t>Total Sales at HT level</t>
  </si>
  <si>
    <t>Sales at 110 kV/132 kV level</t>
  </si>
  <si>
    <t>Sales to Own Supply Consumers</t>
  </si>
  <si>
    <t>Sales to Open Access Consumers</t>
  </si>
  <si>
    <t>Sales by Licensee to Change-over consumers on other Licensee's network</t>
  </si>
  <si>
    <t>Sales by Other Licensee to consumers on Licensee's network</t>
  </si>
  <si>
    <t>Energy Requirement at G&lt;&gt;T Periphery</t>
  </si>
  <si>
    <t>Energy Injected and drawn at 33kV</t>
  </si>
  <si>
    <t>Total Energy Available for Sale at 33kV</t>
  </si>
  <si>
    <t>(g)</t>
  </si>
  <si>
    <t>(k) = (j) - (g)</t>
  </si>
  <si>
    <t>FY 2023-24 - Projected</t>
  </si>
  <si>
    <t>FY 2024-25 - Projected</t>
  </si>
  <si>
    <t>Opex Schemes</t>
  </si>
  <si>
    <t>Form 5.1: Assets &amp; Depreciation</t>
  </si>
  <si>
    <t>Form 5.2: Assets &amp; Depreciation</t>
  </si>
  <si>
    <t>(i) = (h) - (g)</t>
  </si>
  <si>
    <t>Actual Working Capital Interest</t>
  </si>
  <si>
    <t>B) Fourth Control Period</t>
  </si>
  <si>
    <t xml:space="preserve">One and half months equivalent of the expected revenue from charges for use of Distribution Wires </t>
  </si>
  <si>
    <t>Interest Rate (%) - Bank Rate</t>
  </si>
  <si>
    <t>Capitalisation during the year $</t>
  </si>
  <si>
    <t xml:space="preserve">Return on Regulatory Equity at the beginning of the year </t>
  </si>
  <si>
    <t xml:space="preserve">Return on Regulatory Equity addition during the year </t>
  </si>
  <si>
    <r>
      <rPr>
        <b/>
        <sz val="11"/>
        <rFont val="Times New Roman"/>
        <family val="1"/>
      </rPr>
      <t>Note</t>
    </r>
    <r>
      <rPr>
        <sz val="11"/>
        <rFont val="Times New Roman"/>
        <family val="1"/>
      </rPr>
      <t>: #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</si>
  <si>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 xml:space="preserve">Base Rate of Return on Equity </t>
  </si>
  <si>
    <t>$$ Pre tax Retrun on Equity to be considered as computed in Form 12 based on effective tax rate</t>
  </si>
  <si>
    <t>Pretax Return on Equity after considering effective Tax rate $$</t>
  </si>
  <si>
    <t>In case the Licensee does not invest in authorized securities within a period of six months of the close of the Year, then the contribution allowed in ARR shall be disallowed in True-up</t>
  </si>
  <si>
    <t>No investment in contingency reserves for consecutive two years shall lead to disallowance of contribution to contingency reserves in ARR from subsequent year</t>
  </si>
  <si>
    <t>April-March      (Audited )*</t>
  </si>
  <si>
    <t>(c)</t>
  </si>
  <si>
    <t>Form 12 (D):  Computation of Effective Tax Rate</t>
  </si>
  <si>
    <t>Actual Income Tax paid by the Entity #</t>
  </si>
  <si>
    <t>Effective Tax Rate of the Company (%) $</t>
  </si>
  <si>
    <t>c = (b/a)</t>
  </si>
  <si>
    <t>Rate of Pre Tax Return on Equity (%)</t>
  </si>
  <si>
    <r>
      <rPr>
        <b/>
        <sz val="11"/>
        <rFont val="Times New Roman"/>
        <family val="1"/>
      </rPr>
      <t>Note</t>
    </r>
    <r>
      <rPr>
        <sz val="11"/>
        <rFont val="Times New Roman"/>
        <family val="1"/>
      </rPr>
      <t xml:space="preserve">: # Actual tax paid on income from any other regulated or unregulated Business or Other Business shall be excluded for the calculation of effective tax rate </t>
    </r>
  </si>
  <si>
    <t># Income tax paid on incentive, efficiency gains, Delayed Payment Charges, Interest on Delayed Payment, Income from Other Business, Income from any other source not considered in ARR is to be excluded from actual Income Tax paid, and shown separately</t>
  </si>
  <si>
    <t xml:space="preserve">$ In case Entity is paying Minimum Alternate Tax (MAT), effective rate shall be considered as MAT rate including surcharge and cess </t>
  </si>
  <si>
    <t>Year : FY 2020-21</t>
  </si>
  <si>
    <t>Year : FY 2021-22</t>
  </si>
  <si>
    <t>Year : FY 2023-24</t>
  </si>
  <si>
    <t>Year : FY 2024-25</t>
  </si>
  <si>
    <t>Expected Revenue at existing Tariff for FY 2024-25</t>
  </si>
  <si>
    <t>Expected Revenue at existing Tariff for FY 2023-24</t>
  </si>
  <si>
    <t>Expected Revenue at existing Tariff for FY 2022-23</t>
  </si>
  <si>
    <t>Expected Revenue at proposed Tariff for FY 2023-24</t>
  </si>
  <si>
    <t>Expected Revenue at proposed Tariff for FY 2024-25</t>
  </si>
  <si>
    <t>Depreciation Schedule</t>
  </si>
  <si>
    <t>Form 21</t>
  </si>
  <si>
    <t>Land</t>
  </si>
  <si>
    <t>Depreciation as on 1st April 2005</t>
  </si>
  <si>
    <t>2005-06</t>
  </si>
  <si>
    <t>2006-07</t>
  </si>
  <si>
    <t>2007-08</t>
  </si>
  <si>
    <t>2008-09</t>
  </si>
  <si>
    <t>2009-10</t>
  </si>
  <si>
    <t>2010-11</t>
  </si>
  <si>
    <t>2011-12</t>
  </si>
  <si>
    <t>2012-13</t>
  </si>
  <si>
    <t>2013-14</t>
  </si>
  <si>
    <t>2014-15</t>
  </si>
  <si>
    <t>2015-16</t>
  </si>
  <si>
    <t>2016-17</t>
  </si>
  <si>
    <t>2017-18</t>
  </si>
  <si>
    <t>2018-19</t>
  </si>
  <si>
    <t>Depriciation as on 1st april</t>
  </si>
  <si>
    <t>Asset crossing 90% depreciation</t>
  </si>
  <si>
    <t>Remaining Depreciable value</t>
  </si>
  <si>
    <t xml:space="preserve">Opening </t>
  </si>
  <si>
    <t>Addition</t>
  </si>
  <si>
    <t>2019-20</t>
  </si>
  <si>
    <t>2020-21</t>
  </si>
  <si>
    <t>2021-22</t>
  </si>
  <si>
    <t>2022-23</t>
  </si>
  <si>
    <t>2023-24</t>
  </si>
  <si>
    <t>2024-25</t>
  </si>
  <si>
    <t>Building</t>
  </si>
  <si>
    <t>Plant and Machinery</t>
  </si>
  <si>
    <t>Lines and Cable Network</t>
  </si>
  <si>
    <t xml:space="preserve"> </t>
  </si>
  <si>
    <t>Vehicle</t>
  </si>
  <si>
    <t>Formula</t>
  </si>
  <si>
    <t>Form 21:  Depreciation Schedule</t>
  </si>
  <si>
    <t>Total Gross Income of Regulated Entity (Rs. Crore)</t>
  </si>
  <si>
    <t>Base Rate of Return on Equity (%)</t>
  </si>
  <si>
    <t>Year</t>
  </si>
  <si>
    <t>Depreciation Rate for that Year</t>
  </si>
  <si>
    <t>Depreciation during the Year</t>
  </si>
  <si>
    <t xml:space="preserve">Regulatory Equity at the beginning of the year </t>
  </si>
  <si>
    <t>Equity portion of capitalisation during the year #</t>
  </si>
  <si>
    <t>(Numbers)</t>
  </si>
  <si>
    <t>Detailed Justification shall be provided for variation in approved capital expenditure and capitalisation vis-a-vis actual capital expenditure and capitalisation</t>
  </si>
  <si>
    <t>Form 3.2: Employee Expenses</t>
  </si>
  <si>
    <t>Form 3.3: Administration &amp; General Expenses</t>
  </si>
  <si>
    <t>Form 3.4: Repair &amp; Maintenance Expenses</t>
  </si>
  <si>
    <r>
      <rPr>
        <b/>
        <sz val="11"/>
        <rFont val="Times New Roman"/>
        <family val="1"/>
      </rPr>
      <t>Note</t>
    </r>
    <r>
      <rPr>
        <sz val="11"/>
        <rFont val="Times New Roman"/>
        <family val="1"/>
      </rPr>
      <t xml:space="preserve">: </t>
    </r>
  </si>
  <si>
    <t xml:space="preserve">          1. Expenses that would be classified as O&amp;M expenses shall not be categorised under non-DPR schemes</t>
  </si>
  <si>
    <t>Grant/Consumer Contribution</t>
  </si>
  <si>
    <t>(i)</t>
  </si>
  <si>
    <t>(l)</t>
  </si>
  <si>
    <t>(n)</t>
  </si>
  <si>
    <t>(p)</t>
  </si>
  <si>
    <t>(q)</t>
  </si>
  <si>
    <t>(r)</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</si>
  <si>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</si>
  <si>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</si>
  <si>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</si>
  <si>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Revised Normative</t>
  </si>
  <si>
    <t>Form 10: Write-off of Provision for Bad and doubtful Debts</t>
  </si>
  <si>
    <t>2) In 'consumers', the  number of consumers at the end of  the year should be indicated</t>
  </si>
  <si>
    <t>2) In 'consumers', the number of consumers at the end of  the year should be indicated</t>
  </si>
  <si>
    <t>Based on Meter Reading</t>
  </si>
  <si>
    <t>A) Payment of Generator &amp; Transmission Bills</t>
  </si>
  <si>
    <t>Write-off of Provision for bad and doubtful debts</t>
  </si>
  <si>
    <t>Form 3:  Summary of Operations and Maintenance Expenses</t>
  </si>
  <si>
    <t>Operation and Maintenance Expenses -Normative</t>
  </si>
  <si>
    <t>Form 3.1: Operation and Maintenance Expenses -Normative</t>
  </si>
  <si>
    <t>2. Distribution Licensee shall submit certification from the Statutory Auditor for the capping of depreciation at ninety per cent of the allowable capital cost of the asset</t>
  </si>
  <si>
    <t>(d) = (a)+(b)-(c)</t>
  </si>
  <si>
    <t>(g) = (d)+(e)-(f)</t>
  </si>
  <si>
    <t>(j) = (g)+(h)-(i)</t>
  </si>
  <si>
    <t>(j)</t>
  </si>
  <si>
    <t>(m) = (j)+(k)-(l)</t>
  </si>
  <si>
    <t>(o)</t>
  </si>
  <si>
    <t>(p) = (m)+(n)-(o)</t>
  </si>
  <si>
    <t>(s) = (p)+(q)-(r)</t>
  </si>
  <si>
    <t xml:space="preserve">Deviation = Approved - Actual on account of </t>
  </si>
  <si>
    <t>Change in Scope of Work (a)</t>
  </si>
  <si>
    <t>Material Cost (b)</t>
  </si>
  <si>
    <t>IDC (c)</t>
  </si>
  <si>
    <t>Others (d)</t>
  </si>
  <si>
    <t>Total Deviation (a+b+c+d)</t>
  </si>
  <si>
    <t>Change in Scope of Work</t>
  </si>
  <si>
    <t>Any other reason</t>
  </si>
  <si>
    <t>Note: 1. Please give Income Tax computation for each year separately for Distribution Company as a whole</t>
  </si>
  <si>
    <t xml:space="preserve"> MTR Petition Formats - Distribution Wires and Retail Supply</t>
  </si>
  <si>
    <t>Revenue from Sale of Electricity for FY 2019-20, FY 2020-21 and FY 2021-22</t>
  </si>
  <si>
    <t>Form 13.1:  Expected Revenue at Existing Tariff- FY 2022-23</t>
  </si>
  <si>
    <t>Form 13.2:  Expected Revenue at Existing Tariff- FY 2023-24</t>
  </si>
  <si>
    <t>Form 13.3:  Expected Revenue at Existing Tariff- FY 2024-25</t>
  </si>
  <si>
    <t>Form 13.1:  Expected Revenue at Proposed Tariff- FY 2023-24</t>
  </si>
  <si>
    <t>Form 14.2:  Expected Revenue at Proposed Tariff- FY 2024-25</t>
  </si>
  <si>
    <t>MTR Petition Formats - Distribution Wires and Retail Supply</t>
  </si>
  <si>
    <t>FY 2019-20*</t>
  </si>
  <si>
    <t>Revised Projections</t>
  </si>
  <si>
    <t>(c) = (b) - (a)</t>
  </si>
  <si>
    <t>(m) = (k)+(l)</t>
  </si>
  <si>
    <t>(n) = (m) - (j)</t>
  </si>
  <si>
    <r>
      <rPr>
        <b/>
        <sz val="11"/>
        <rFont val="Times New Roman"/>
        <family val="1"/>
      </rPr>
      <t>Note</t>
    </r>
    <r>
      <rPr>
        <sz val="11"/>
        <rFont val="Times New Roman"/>
        <family val="1"/>
      </rPr>
      <t>: *- Truing Up for FY 2019-20 to be done under MERC MYT Regulations 2015 with reference to amounts approved in the MYT Order for FY 2020-21 to FY 2024-25</t>
    </r>
  </si>
  <si>
    <t>(j) = (h)+(i)</t>
  </si>
  <si>
    <t>2) Licensees should submit separate data for all sub-categories and consumption slabs within each category</t>
  </si>
  <si>
    <t>FY 2019-20 - Actual$</t>
  </si>
  <si>
    <t>FY 2020-21 - Actual$</t>
  </si>
  <si>
    <t>FY 2021-22 - Actual$</t>
  </si>
  <si>
    <t>FY 2022-23 - Estimated$</t>
  </si>
  <si>
    <t>2) *- In case MYT Order is yet to be issued, then MTR Order values to be captured under this column</t>
  </si>
  <si>
    <t>3) *- In case MYT Order is yet to be issued, then MTR Order values to be captured under this column</t>
  </si>
  <si>
    <t>Total Sales at EHT level</t>
  </si>
  <si>
    <t>Sales at 650 V</t>
  </si>
  <si>
    <t>FY 2019-20 - Actual vs. Approved</t>
  </si>
  <si>
    <t>FY 2020-21 - Actual vs. Approved</t>
  </si>
  <si>
    <t>FY 2021-22 - Actual vs. Approved</t>
  </si>
  <si>
    <t>FY 2022-23 - Estimated vs. Approved</t>
  </si>
  <si>
    <t>Revised Projection</t>
  </si>
  <si>
    <t>1) *- Truing Up for FY 2019-20 to be done under MERC MYT Regulations 2015 with reference to amounts approved in the MYT Order for FY 2020-21 to FY 2024-25</t>
  </si>
  <si>
    <t>MTR Petition Formats - Distribution &amp; Retail Supply</t>
  </si>
  <si>
    <t>MTR Petition Formats - Distribution and Retail Supply</t>
  </si>
  <si>
    <t>FY 2019-20 -Actual</t>
  </si>
  <si>
    <t>FY 2020-21 -MYT Order</t>
  </si>
  <si>
    <t>FY 2020-21 -Actual</t>
  </si>
  <si>
    <t>FY 2021-22 - MYT Order</t>
  </si>
  <si>
    <t>FY 2021-22 - Actual</t>
  </si>
  <si>
    <t>FY 2022-23 - MYT Order</t>
  </si>
  <si>
    <t>FY 2022-23 - Estimated</t>
  </si>
  <si>
    <t>FY 2023-24 - MYT Order</t>
  </si>
  <si>
    <t>FY 2023-24 - Revised Projected</t>
  </si>
  <si>
    <t>FY 2024-25 - MYT Order</t>
  </si>
  <si>
    <t>FY 2024-25 - Revised Projected</t>
  </si>
  <si>
    <t>FY 2019-20 - Actual</t>
  </si>
  <si>
    <t>FY 2020-21 - Actual</t>
  </si>
  <si>
    <t>Revised Projected</t>
  </si>
  <si>
    <t>MYT Order*</t>
  </si>
  <si>
    <t>Revised Normative#</t>
  </si>
  <si>
    <t>(l) = (k) - (j)</t>
  </si>
  <si>
    <t>* - Truing Up for FY 2019-20 to be done under MERC MYT Regulations 2015 with reference to amounts approved in the MYT Order for FY 2020-21 to FY 2024-25</t>
  </si>
  <si>
    <t># Revised Normative O&amp;M expenses for each Year of the Control Period to be computed by escalating Trued-up O&amp;M expenses of FY 2019-20 by WPI (30%) &amp; CPI (70%) of respective past five financial years, reduced by efficiency factor of 1%</t>
  </si>
  <si>
    <t>Distribution Licensee shall submit documentary evidence and justification for impact of wage revision to be considered in the trued-up years</t>
  </si>
  <si>
    <t>MTR Petition Formats- Distribution &amp; Retail Supply</t>
  </si>
  <si>
    <t xml:space="preserve"> MTR Petition Formats- Distribution &amp; Retail Supply</t>
  </si>
  <si>
    <r>
      <rPr>
        <b/>
        <sz val="11"/>
        <rFont val="Times New Roman"/>
        <family val="1"/>
      </rPr>
      <t>Note</t>
    </r>
    <r>
      <rPr>
        <sz val="11"/>
        <rFont val="Times New Roman"/>
        <family val="1"/>
      </rPr>
      <t>: * - Truing Up for FY 2019-20 to be done under MERC MYT Regulations 2015 with reference to amounts approved in the MYT Order for FY 2020-21 to FY 2024-25</t>
    </r>
  </si>
  <si>
    <t>Actual Capex till FY 2018-19</t>
  </si>
  <si>
    <t>Actual Progress till FY 2018-19</t>
  </si>
  <si>
    <t>Actual Capitalization till FY 2018-19</t>
  </si>
  <si>
    <t>Note: * - Truing Up for FY 2019-20 to be done under MERC MYT Regulations 2015 with reference to amounts approved in the MYT Order for FY 2020-21 to FY 2024-25</t>
  </si>
  <si>
    <t>A) FY 2019-20</t>
  </si>
  <si>
    <t xml:space="preserve"> * - Truing Up for FY 2019-20 to be done under MERC MYT Regulations 2015 with reference to amounts approved in the MYT Order for FY 2020-21 to FY 2024-25</t>
  </si>
  <si>
    <t>(i) = (h)-(g)</t>
  </si>
  <si>
    <t>Additional Return on Equity</t>
  </si>
  <si>
    <t>Unit</t>
  </si>
  <si>
    <t>Additional Return on Equity Computation</t>
  </si>
  <si>
    <t>Total Additional Return on Equity</t>
  </si>
  <si>
    <t>Additional Rate of Return on Equity for Wire Availability (a)</t>
  </si>
  <si>
    <t>Note:</t>
  </si>
  <si>
    <t>Wires Availability above 98% (95% for MSEDCL)</t>
  </si>
  <si>
    <t>% of Assessed bills with respect total bills issued during the year</t>
  </si>
  <si>
    <t>Collection Efficiency for the year</t>
  </si>
  <si>
    <t>Additional Rate of Return for collection efficiency (b)</t>
  </si>
  <si>
    <t>Additional Rate of Return on Equity for Assesment of bills (a)</t>
  </si>
  <si>
    <t>Total Additional Return on Equity (c) = (a) + (b)</t>
  </si>
  <si>
    <t>Revised Normative*</t>
  </si>
  <si>
    <t>* Working Capital shall be computed based on revised normative O&amp;M expenses and actual revenue from sale of electricity excluding incentive</t>
  </si>
  <si>
    <r>
      <rPr>
        <b/>
        <sz val="11"/>
        <rFont val="Times New Roman"/>
        <family val="1"/>
      </rPr>
      <t>Note</t>
    </r>
    <r>
      <rPr>
        <sz val="11"/>
        <rFont val="Times New Roman"/>
        <family val="1"/>
      </rPr>
      <t>:  * - Truing Up for FY 2019-20 to be done under MERC MYT Regulations 2015 with reference to amounts approved in the MYT Order for FY 2020-21 to FY 2024-25</t>
    </r>
  </si>
  <si>
    <t xml:space="preserve">$ Any additional capitalization after cut-off date excluding due to Change in Law shall be excluded for consideration on base rate of return on equity </t>
  </si>
  <si>
    <r>
      <rPr>
        <b/>
        <sz val="11"/>
        <rFont val="Times New Roman"/>
        <family val="1"/>
      </rPr>
      <t>Note</t>
    </r>
    <r>
      <rPr>
        <sz val="11"/>
        <rFont val="Times New Roman"/>
        <family val="1"/>
      </rPr>
      <t>: 1. * - Truing Up for FY 2019-20 to be done under MERC MYT Regulations 2015 with reference to amounts approved in the MYT Order for FY 2020-21 to FY 2024-25</t>
    </r>
  </si>
  <si>
    <t>FY 2019-20#</t>
  </si>
  <si>
    <t>2. Income tax paid on incentive, efficiency gains, Delayed Payment Charges, Interest on Delayed Payment, Income from Other Business, Income from any other source not considered in ARR is to be excluded from actual Income Tax paid, and shown separately</t>
  </si>
  <si>
    <t>3. # - Truing Up for FY 2019-20 to be done under MERC MYT Regulations 2015 with reference to amounts approved in the MYT Order for FY 2020-21 to FY 2024-25</t>
  </si>
  <si>
    <t>FY 2021-22*</t>
  </si>
  <si>
    <t>Additional Rate of Return on Equity (%)</t>
  </si>
  <si>
    <t>(e )</t>
  </si>
  <si>
    <t>Total Rate of Return on Equity (%)</t>
  </si>
  <si>
    <t>(f)= (d)+(e)</t>
  </si>
  <si>
    <t>g = f /(1-c)</t>
  </si>
  <si>
    <t>* In case audited acounts for FY 2021-22 is not available, the lastest available audited accounts may be considered for allowance of income tax for future years</t>
  </si>
  <si>
    <t>Approved in MYT Order</t>
  </si>
  <si>
    <t xml:space="preserve">Revised Projected </t>
  </si>
  <si>
    <r>
      <t xml:space="preserve">Note: </t>
    </r>
    <r>
      <rPr>
        <sz val="11"/>
        <rFont val="Times New Roman"/>
        <family val="1"/>
      </rPr>
      <t xml:space="preserve">Distribution Licensee shall submit documentary evidence for the claim of wires availability </t>
    </r>
  </si>
  <si>
    <r>
      <t xml:space="preserve">Note: </t>
    </r>
    <r>
      <rPr>
        <sz val="11"/>
        <rFont val="Times New Roman"/>
        <family val="1"/>
      </rPr>
      <t>Distribution Licensee shall submit documentary evidence for the claim of assesment of bills and collection efficiency during the year</t>
    </r>
  </si>
  <si>
    <t>FY 2019-20 -MYT Order</t>
  </si>
  <si>
    <t>Asset as on 1st April/Asset Addition during the Year</t>
  </si>
  <si>
    <t>HT - I Industry</t>
  </si>
  <si>
    <t>HT - II Commercial</t>
  </si>
  <si>
    <t>HT - III Group Housing</t>
  </si>
  <si>
    <t>HT IV- PWW</t>
  </si>
  <si>
    <t>HT V- Railways, Metro, Monorail</t>
  </si>
  <si>
    <t>HT VI-(B) Public services (Others)</t>
  </si>
  <si>
    <t>HT-VII Temporary Supply</t>
  </si>
  <si>
    <t>LT-I (A) Residential (BPL)</t>
  </si>
  <si>
    <t>LT - I(B) Residential</t>
  </si>
  <si>
    <t>0 – 100 units</t>
  </si>
  <si>
    <t>101 – 300 units</t>
  </si>
  <si>
    <t>301 - 500 units</t>
  </si>
  <si>
    <t>&gt; 501 units</t>
  </si>
  <si>
    <t>LT - II (a) Commercial</t>
  </si>
  <si>
    <t>0 - 500 units</t>
  </si>
  <si>
    <t>&gt; 500 units</t>
  </si>
  <si>
    <t>LT - II (c) Commercial &gt;50</t>
  </si>
  <si>
    <t>LT - III (A) Industry (upto 20 kW)</t>
  </si>
  <si>
    <t>LT-III (b) Industrial above 20 kW</t>
  </si>
  <si>
    <t>LT-IV PWW</t>
  </si>
  <si>
    <t>LT - V Advertisement &amp; Hoardings</t>
  </si>
  <si>
    <t>LT - VI Street Lights</t>
  </si>
  <si>
    <t>LT - VII (a) Temporary Supply Religious</t>
  </si>
  <si>
    <t>LT - VII (b) Temporary Supply Others</t>
  </si>
  <si>
    <t>LT - VIII Crematorium and Burial Grounds</t>
  </si>
  <si>
    <t>LT - IX (B) Public Services -others</t>
  </si>
  <si>
    <t>LT-X (A) Agriculture- Pumpsets</t>
  </si>
  <si>
    <t>LT-X (B) Agriculture- Others</t>
  </si>
  <si>
    <t>LT XI Vehicle Charging</t>
  </si>
  <si>
    <t>LT - IX (A) Public Services -Govt. Hosp. &amp; Edu. Institutions</t>
  </si>
  <si>
    <t>HT VI-(A)Public services (Govt. Hospitals and Educational Institutions)</t>
  </si>
  <si>
    <t>TPC-G</t>
  </si>
  <si>
    <t xml:space="preserve">Welspun Energy Maharashtra </t>
  </si>
  <si>
    <t>Bilateral Power Purchase</t>
  </si>
  <si>
    <t xml:space="preserve">Short Term Non-Solar Purchase </t>
  </si>
  <si>
    <t>Other Charges</t>
  </si>
  <si>
    <t>Stand By Charges</t>
  </si>
  <si>
    <t>REC Procurement Solar</t>
  </si>
  <si>
    <t>REC Procurement Non-Solar</t>
  </si>
  <si>
    <t>Payment for Stand in Energy Purchase In FY2016-17 &amp; 2017-18</t>
  </si>
  <si>
    <t>Prior Period Payments for Pool Imbalances of FY2017-18 &amp; 2018-19</t>
  </si>
  <si>
    <t>TPC-G Pat Period</t>
  </si>
  <si>
    <t>Manikaran Power Limited</t>
  </si>
  <si>
    <t>Solar Energy</t>
  </si>
  <si>
    <t>Non-Solar Energy</t>
  </si>
  <si>
    <t>LT – I (B) Residential</t>
  </si>
  <si>
    <t>LT - III (A) Industry (upto 20kW)</t>
  </si>
  <si>
    <t>LT-III (b) Industrial above 20kW</t>
  </si>
  <si>
    <t>LT - IX (B) Public Services - Others</t>
  </si>
  <si>
    <t xml:space="preserve">Pool Imbalances </t>
  </si>
  <si>
    <t>C) Total Distribution Business Business</t>
  </si>
  <si>
    <t xml:space="preserve">LAND             </t>
  </si>
  <si>
    <t>BUILDINGS</t>
  </si>
  <si>
    <t>PLANT &amp; MACHINERY</t>
  </si>
  <si>
    <t>CABLES &amp; MAINS / PILLARS/ST.LIGHTING</t>
  </si>
  <si>
    <t>METERS AND INSTALLATIONS</t>
  </si>
  <si>
    <t>STREET LIGHTING LAMPS</t>
  </si>
  <si>
    <t>D. E. A. ON HIRE</t>
  </si>
  <si>
    <t>MOTOR VEHICLES</t>
  </si>
  <si>
    <t>TOOLS AND EQUIPMENTS</t>
  </si>
  <si>
    <t>FURNITURE AND OFFICE EQUIPMENTS</t>
  </si>
  <si>
    <t>SECURITY EQUIPMENTS</t>
  </si>
  <si>
    <t>HT-1 Industrial</t>
  </si>
  <si>
    <t>HT-2 Commercial</t>
  </si>
  <si>
    <t>HT-3 Group Hsg</t>
  </si>
  <si>
    <t>HT-4 Railway Metro</t>
  </si>
  <si>
    <t>HT 5A Govt Sch &amp; Hosp.</t>
  </si>
  <si>
    <t>HT  5B Public Ser. Oths</t>
  </si>
  <si>
    <t>HT 6 EV chg.</t>
  </si>
  <si>
    <t>LT-1 A (BPL)</t>
  </si>
  <si>
    <t>LT-1 B Residential</t>
  </si>
  <si>
    <t>LT2 (a)Comm  &lt; 20 kW</t>
  </si>
  <si>
    <t>LT2 (b) 20-50 kW Comm.</t>
  </si>
  <si>
    <t>LT2 (c) &gt;50 kW Comm.</t>
  </si>
  <si>
    <t>LT3A   Industrial &lt;20 kW</t>
  </si>
  <si>
    <t>LT 3B &gt;20 kW Industrial</t>
  </si>
  <si>
    <t>LT-4A Schools &amp; Hosp</t>
  </si>
  <si>
    <t>LT-4B Public Service</t>
  </si>
  <si>
    <t>LT-4B Public Ltg</t>
  </si>
  <si>
    <t>LT-5B Agriculture</t>
  </si>
  <si>
    <t>LT-6 Vehicle Chg</t>
  </si>
  <si>
    <t>Sub-Total</t>
  </si>
  <si>
    <t>LT2 (a)Comm &lt;20</t>
  </si>
  <si>
    <t>LT2 (b) 20-50 Comm.</t>
  </si>
  <si>
    <t>LT2 (c) &gt;50 Comm.</t>
  </si>
  <si>
    <t>LT 3B &gt;20 Industrial</t>
  </si>
  <si>
    <t>LT-11 Vehicle Chg</t>
  </si>
  <si>
    <t>Diff</t>
  </si>
  <si>
    <t>LT-6 Public Ltg</t>
  </si>
  <si>
    <t>Penalty (PF)</t>
  </si>
  <si>
    <t>TDLRC</t>
  </si>
  <si>
    <t>DIFF. IN M'TAX</t>
  </si>
  <si>
    <t>TOD CHARGES</t>
  </si>
  <si>
    <t>Penalty (CD)</t>
  </si>
  <si>
    <t>Grand Total</t>
  </si>
  <si>
    <t>HT 7 Temp</t>
  </si>
  <si>
    <t>HT-4 PWW</t>
  </si>
  <si>
    <t>HT 6A Sch &amp; Hosp</t>
  </si>
  <si>
    <t>HT  6B Public Service</t>
  </si>
  <si>
    <t>Revenue from Wheeling Charges (Rs. Crore)</t>
  </si>
  <si>
    <t>LT 5B Agriculture Other</t>
  </si>
  <si>
    <t>Green Energy Cess</t>
  </si>
  <si>
    <t>HT 4 Public Water Works</t>
  </si>
  <si>
    <t>HT-5B Railway Metro</t>
  </si>
  <si>
    <t>HT 6A Govt Sch &amp; Hosp.</t>
  </si>
  <si>
    <t>HT  6B Public Ser. Oths</t>
  </si>
  <si>
    <t>HT 7 Temp Supply</t>
  </si>
  <si>
    <t>Sub-total (HT)</t>
  </si>
  <si>
    <t>LT I A BPL</t>
  </si>
  <si>
    <t>LT I B Residential</t>
  </si>
  <si>
    <t>LT II A Comm.&lt;20kw</t>
  </si>
  <si>
    <t>LT II B Comm. 20 to 50 Kw</t>
  </si>
  <si>
    <t>LT II C Comm. &gt; 50kw</t>
  </si>
  <si>
    <t>LT III Ind. Below 20kw</t>
  </si>
  <si>
    <t>LT III B Ind above 20 kw</t>
  </si>
  <si>
    <t>LT 4 Public Water Works</t>
  </si>
  <si>
    <t>LT V Advt.</t>
  </si>
  <si>
    <t>LT VI SL &amp; Outdoor Chowkies</t>
  </si>
  <si>
    <t>LT VII A Temp Religious</t>
  </si>
  <si>
    <t>LT VII B Temp. Others</t>
  </si>
  <si>
    <t>LT VIII Crematorium</t>
  </si>
  <si>
    <t>LT IX A Govt. Sch &amp; Hosp.</t>
  </si>
  <si>
    <t>LTIX B Public Ser. Oth.</t>
  </si>
  <si>
    <t>LT XI Vehicle Chg.</t>
  </si>
  <si>
    <t>Sub-total ( LT)</t>
  </si>
  <si>
    <t>Total (HT+LT)</t>
  </si>
  <si>
    <t>Share of General Administration Expenses</t>
  </si>
  <si>
    <t>Meter &amp; Equipment</t>
  </si>
  <si>
    <t>Contract Charges</t>
  </si>
  <si>
    <t>Income from recovery against theft and / or pilferage of electricity</t>
  </si>
  <si>
    <t>Interest Subsidy on REC loan</t>
  </si>
  <si>
    <t>Others</t>
  </si>
  <si>
    <t>APDRP Loan</t>
  </si>
  <si>
    <t>LT - II (b) Commercial &gt;20 &amp; &lt;=50 kW</t>
  </si>
  <si>
    <t>LT - IX (A) Public Services Govt. Hosp. &amp; Edu. Institutions</t>
  </si>
  <si>
    <t>HT VI-(A)Public services (Govt. Hospitals and Edu. Institutions)</t>
  </si>
  <si>
    <t>BEST Undertaking</t>
  </si>
  <si>
    <t>Form 25: Mid Term Review Petition - Computation of wheeling charge</t>
  </si>
  <si>
    <t>GFA attributable to HT Network (%)</t>
  </si>
  <si>
    <t>GFA attributable to LT Network (%)</t>
  </si>
  <si>
    <t>Charge recoverable from LT consumers</t>
  </si>
  <si>
    <t>HT Sales (MU)</t>
  </si>
  <si>
    <t>LT Sales (MU)</t>
  </si>
  <si>
    <t>Total Sales (MU)</t>
  </si>
  <si>
    <t>Charge recoverable from HT consumers</t>
  </si>
  <si>
    <t>LT Wheeling Charge (Rs./kWh)</t>
  </si>
  <si>
    <t>Computation of wheeling loss</t>
  </si>
  <si>
    <t>Total Distribution Loss (MU)</t>
  </si>
  <si>
    <t>Line length attributable to HT network (%)</t>
  </si>
  <si>
    <t>Line length attributable to LT network (%)</t>
  </si>
  <si>
    <t>LT loss corresponding to LT consumers</t>
  </si>
  <si>
    <t>Wheeling loss corresponding to HT consumers</t>
  </si>
  <si>
    <t>Wheeling loss corresponding to LT consumers</t>
  </si>
  <si>
    <t>HT Wheeling Charge (%)</t>
  </si>
  <si>
    <t>LT Wheeling Charge (%)</t>
  </si>
  <si>
    <t>Avg. Wheeling Charge (%)</t>
  </si>
  <si>
    <t>BEST License Area</t>
  </si>
  <si>
    <t>https://sbi.co.in/web/interest-rates/interest-rates/mclr-historical-data</t>
  </si>
  <si>
    <t>Less: Amount held as Security Deposit from consumers</t>
  </si>
  <si>
    <t xml:space="preserve">Sales are excluding street lights for 19-20 </t>
  </si>
  <si>
    <t>Sales are excluding street lights for 20-21</t>
  </si>
  <si>
    <t>As per directive from commission HT sales is calculated on KWH billing for billing effieciency while in form 1 HT sales is done on KVaH basis</t>
  </si>
  <si>
    <t>COMM_NAME</t>
  </si>
  <si>
    <t>COMM_CODE</t>
  </si>
  <si>
    <t>COMM_WT</t>
  </si>
  <si>
    <t>INDX042012</t>
  </si>
  <si>
    <t>INDX052012</t>
  </si>
  <si>
    <t>INDX062012</t>
  </si>
  <si>
    <t>INDX072012</t>
  </si>
  <si>
    <t>INDX082012</t>
  </si>
  <si>
    <t>INDX092012</t>
  </si>
  <si>
    <t>INDX102012</t>
  </si>
  <si>
    <t>INDX112012</t>
  </si>
  <si>
    <t>INDX122012</t>
  </si>
  <si>
    <t>INDX012013</t>
  </si>
  <si>
    <t>INDX022013</t>
  </si>
  <si>
    <t>INDX032013</t>
  </si>
  <si>
    <t>INDX042013</t>
  </si>
  <si>
    <t>INDX052013</t>
  </si>
  <si>
    <t>INDX062013</t>
  </si>
  <si>
    <t>INDX072013</t>
  </si>
  <si>
    <t>INDX082013</t>
  </si>
  <si>
    <t>INDX092013</t>
  </si>
  <si>
    <t>INDX102013</t>
  </si>
  <si>
    <t>INDX112013</t>
  </si>
  <si>
    <t>INDX122013</t>
  </si>
  <si>
    <t>INDX012014</t>
  </si>
  <si>
    <t>INDX022014</t>
  </si>
  <si>
    <t>INDX032014</t>
  </si>
  <si>
    <t>INDX042014</t>
  </si>
  <si>
    <t>INDX052014</t>
  </si>
  <si>
    <t>INDX062014</t>
  </si>
  <si>
    <t>INDX072014</t>
  </si>
  <si>
    <t>INDX082014</t>
  </si>
  <si>
    <t>INDX092014</t>
  </si>
  <si>
    <t>INDX102014</t>
  </si>
  <si>
    <t>INDX112014</t>
  </si>
  <si>
    <t>INDX122014</t>
  </si>
  <si>
    <t>INDX012015</t>
  </si>
  <si>
    <t>INDX022015</t>
  </si>
  <si>
    <t>INDX032015</t>
  </si>
  <si>
    <t>INDX042015</t>
  </si>
  <si>
    <t>INDX052015</t>
  </si>
  <si>
    <t>INDX062015</t>
  </si>
  <si>
    <t>INDX072015</t>
  </si>
  <si>
    <t>INDX082015</t>
  </si>
  <si>
    <t>INDX092015</t>
  </si>
  <si>
    <t>INDX102015</t>
  </si>
  <si>
    <t>INDX112015</t>
  </si>
  <si>
    <t>INDX122015</t>
  </si>
  <si>
    <t>INDX012016</t>
  </si>
  <si>
    <t>INDX022016</t>
  </si>
  <si>
    <t>INDX032016</t>
  </si>
  <si>
    <t>INDX042016</t>
  </si>
  <si>
    <t>INDX052016</t>
  </si>
  <si>
    <t>INDX062016</t>
  </si>
  <si>
    <t>INDX072016</t>
  </si>
  <si>
    <t>INDX082016</t>
  </si>
  <si>
    <t>INDX092016</t>
  </si>
  <si>
    <t>INDX102016</t>
  </si>
  <si>
    <t>INDX112016</t>
  </si>
  <si>
    <t>INDX122016</t>
  </si>
  <si>
    <t>INDX012017</t>
  </si>
  <si>
    <t>INDX022017</t>
  </si>
  <si>
    <t>INDX032017</t>
  </si>
  <si>
    <t>INDX042017</t>
  </si>
  <si>
    <t>INDX052017</t>
  </si>
  <si>
    <t>INDX062017</t>
  </si>
  <si>
    <t>INDX072017</t>
  </si>
  <si>
    <t>INDX082017</t>
  </si>
  <si>
    <t>INDX092017</t>
  </si>
  <si>
    <t>INDX102017</t>
  </si>
  <si>
    <t>INDX112017</t>
  </si>
  <si>
    <t>INDX122017</t>
  </si>
  <si>
    <t>INDX012018</t>
  </si>
  <si>
    <t>INDX022018</t>
  </si>
  <si>
    <t>INDX032018</t>
  </si>
  <si>
    <t>INDX042018</t>
  </si>
  <si>
    <t>INDX052018</t>
  </si>
  <si>
    <t>INDX062018</t>
  </si>
  <si>
    <t>INDX072018</t>
  </si>
  <si>
    <t>INDX082018</t>
  </si>
  <si>
    <t>INDX092018</t>
  </si>
  <si>
    <t>INDX102018</t>
  </si>
  <si>
    <t>INDX112018</t>
  </si>
  <si>
    <t>INDX122018</t>
  </si>
  <si>
    <t>INDX012019</t>
  </si>
  <si>
    <t>INDX022019</t>
  </si>
  <si>
    <t>INDX032019</t>
  </si>
  <si>
    <t>INDX042019</t>
  </si>
  <si>
    <t>INDX052019</t>
  </si>
  <si>
    <t>INDX062019</t>
  </si>
  <si>
    <t>INDX072019</t>
  </si>
  <si>
    <t>INDX082019</t>
  </si>
  <si>
    <t>All commodities</t>
  </si>
  <si>
    <t>1000000000</t>
  </si>
  <si>
    <t>https://eaindustry.nic.in/indx_download_1112/monthly_index.xls</t>
  </si>
  <si>
    <t>https://eaindustry.nic.in/indx_download_1112/fin_year_index.xls</t>
  </si>
  <si>
    <t>Annual WPI</t>
  </si>
  <si>
    <t>Escalation rate</t>
  </si>
  <si>
    <t>FY2012-13</t>
  </si>
  <si>
    <t>FY2013-14</t>
  </si>
  <si>
    <t>FY2014-15</t>
  </si>
  <si>
    <t>FY2015-16</t>
  </si>
  <si>
    <t>FY2016-17</t>
  </si>
  <si>
    <t>FY2017-18</t>
  </si>
  <si>
    <t>FY2018-19</t>
  </si>
  <si>
    <t>http://labourbureaunew.gov.in/LBO_Press_Release.htm</t>
  </si>
  <si>
    <t>Annual CPI</t>
  </si>
  <si>
    <t>April</t>
  </si>
  <si>
    <t>June</t>
  </si>
  <si>
    <t>July</t>
  </si>
  <si>
    <t>August</t>
  </si>
  <si>
    <t>Sept</t>
  </si>
  <si>
    <t>Avg.</t>
  </si>
  <si>
    <t>CPI escalation</t>
  </si>
  <si>
    <t>WPI escalation</t>
  </si>
  <si>
    <t>Weight</t>
  </si>
  <si>
    <t>INDX092019</t>
  </si>
  <si>
    <t>INDX102019</t>
  </si>
  <si>
    <t>INDX112019</t>
  </si>
  <si>
    <t>INDX122019</t>
  </si>
  <si>
    <t>INDX012020</t>
  </si>
  <si>
    <t>INDX022020</t>
  </si>
  <si>
    <t>INDX032020</t>
  </si>
  <si>
    <t>INDX042020</t>
  </si>
  <si>
    <t>INDX052020</t>
  </si>
  <si>
    <t>INDX062020</t>
  </si>
  <si>
    <t>INDX072020</t>
  </si>
  <si>
    <t>INDX082020</t>
  </si>
  <si>
    <t>INDX092020</t>
  </si>
  <si>
    <t>INDX102020</t>
  </si>
  <si>
    <t>INDX112020</t>
  </si>
  <si>
    <t>INDX122020</t>
  </si>
  <si>
    <t>INDX012021</t>
  </si>
  <si>
    <t>INDX022021</t>
  </si>
  <si>
    <t>INDX032021</t>
  </si>
  <si>
    <t>INDX042021</t>
  </si>
  <si>
    <t>INDX052021</t>
  </si>
  <si>
    <t>INDX062021</t>
  </si>
  <si>
    <t>INDX072021</t>
  </si>
  <si>
    <t>INDX082021</t>
  </si>
  <si>
    <t>INDX092021</t>
  </si>
  <si>
    <t>INDX102021</t>
  </si>
  <si>
    <t>INDX112021</t>
  </si>
  <si>
    <t>INDX122021</t>
  </si>
  <si>
    <t>INDX012022</t>
  </si>
  <si>
    <t>INDX022022</t>
  </si>
  <si>
    <t>INDX032022</t>
  </si>
  <si>
    <t>INDX042022</t>
  </si>
  <si>
    <t>INDX052022</t>
  </si>
  <si>
    <t>INDX062022</t>
  </si>
  <si>
    <t>Add: Return on Internal fund</t>
  </si>
  <si>
    <t>Add: Sharing of Gain/(Loss) of Distribution loss</t>
  </si>
  <si>
    <t>Add: Sharing of Gain/(Loss) on IoWC</t>
  </si>
  <si>
    <t>Add: O&amp;M sharing of gain and loss</t>
  </si>
  <si>
    <t>Other Expenses</t>
  </si>
  <si>
    <t>Add: Sharing of Gain &amp; Loss on IoWC</t>
  </si>
  <si>
    <t>Add: Return on Internal Fund</t>
  </si>
  <si>
    <t>Recovery of gap/(surplus) of previous years till third control period-Wire Business</t>
  </si>
  <si>
    <t>Add: return on Internal fund</t>
  </si>
  <si>
    <t>Add: O&amp;M sharing gain and loss</t>
  </si>
  <si>
    <t xml:space="preserve">Walwhan Solar Energy Maharashtra (Erstwhile Welspun) </t>
  </si>
  <si>
    <t xml:space="preserve">Bilateral Power Purchase </t>
  </si>
  <si>
    <t>Short-Term Non-Solar Purchase</t>
  </si>
  <si>
    <t xml:space="preserve">REC Procurement - Solar </t>
  </si>
  <si>
    <t xml:space="preserve">REC Procurement - Non-Solar </t>
  </si>
  <si>
    <t>Short-Term Solar Purchase</t>
  </si>
  <si>
    <t>C) Total Distribution Business</t>
  </si>
  <si>
    <t xml:space="preserve">Linking factor from 2001 series to 2016 series </t>
  </si>
  <si>
    <t>Esc. Rate for FY 2021-22</t>
  </si>
  <si>
    <t>Esc. Rate for FY 2020-21</t>
  </si>
  <si>
    <t>Esc. Rate for FY 2019-20</t>
  </si>
  <si>
    <t>Normative O&amp;M Expenses for FY 2015-16</t>
  </si>
  <si>
    <t>Normative O&amp;M Expenses  for FY 2016-17</t>
  </si>
  <si>
    <t>Normative O&amp;M Expenses  for FY 2017-18</t>
  </si>
  <si>
    <t>Normative O&amp;M Expenses  for FY 2018-19</t>
  </si>
  <si>
    <t>Normative O&amp;M Expenses  by BEST for FY 2019-20</t>
  </si>
  <si>
    <t>Normative O&amp;M Expenses  by BEST for FY 2020-21</t>
  </si>
  <si>
    <t>Normative O&amp;M Expenses  by BEST for FY 2021-22</t>
  </si>
  <si>
    <t xml:space="preserve">Approved </t>
  </si>
  <si>
    <t>Submitted</t>
  </si>
  <si>
    <t>Normative O&amp;M Expenses  by BEST for FY 2022-23</t>
  </si>
  <si>
    <t>Normative O&amp;M Expenses  by BEST for FY 2023-24</t>
  </si>
  <si>
    <t>Normative O&amp;M Expenses  by BEST for FY 2024-25</t>
  </si>
  <si>
    <t xml:space="preserve">Normative based on escalation </t>
  </si>
  <si>
    <t>Actual O&amp;M</t>
  </si>
  <si>
    <t>O&amp;M After sharing of Gains/Losses</t>
  </si>
  <si>
    <t>Normative based on escalation</t>
  </si>
  <si>
    <t>Total Distribution Business</t>
  </si>
  <si>
    <t>Less: Amount held as security deposit &amp; distribution system users</t>
  </si>
  <si>
    <r>
      <rPr>
        <b/>
        <sz val="11"/>
        <rFont val="Times New Roman"/>
        <family val="1"/>
      </rPr>
      <t>Note</t>
    </r>
    <r>
      <rPr>
        <sz val="11"/>
        <rFont val="Times New Roman"/>
        <family val="1"/>
      </rPr>
      <t>: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</si>
  <si>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Total O&amp;M Expenses (Actual)</t>
  </si>
  <si>
    <t>Total O&amp;M Expenses (Actuals)</t>
  </si>
  <si>
    <t xml:space="preserve">Total O&amp;M Expenses (Actuals) </t>
  </si>
  <si>
    <t xml:space="preserve">Efficiency Factor </t>
  </si>
  <si>
    <t>No. of Consumers</t>
  </si>
  <si>
    <t>Annual Growth in 3 years. (CAGR - 3 Years)</t>
  </si>
  <si>
    <t>Efficiency factor</t>
  </si>
  <si>
    <t>if it is more than 2% then 1% efficiency factor will be zero, hence proportion to be linked with 1% and 2% of open access increase</t>
  </si>
  <si>
    <t>CAGR - 3 years</t>
  </si>
  <si>
    <t xml:space="preserve">BEST Undertaking
MTR Petition Formats - Distribution &amp; Retail Supply
Form 8:  Base Return on Regulatory Equity </t>
  </si>
  <si>
    <t>Total Distribution Business Business</t>
  </si>
  <si>
    <t>SAIDI in Minutes</t>
  </si>
  <si>
    <t xml:space="preserve">Wires Availibility </t>
  </si>
  <si>
    <t xml:space="preserve">DO NOT DELETE </t>
  </si>
  <si>
    <t>S.No</t>
  </si>
  <si>
    <t>Revised estimates</t>
  </si>
  <si>
    <t>Capitalisation including IDC during the year</t>
  </si>
  <si>
    <t>Less: Consumer contribution received during the year</t>
  </si>
  <si>
    <t>Less: Government grant received during the year</t>
  </si>
  <si>
    <t>Allowable capital cost</t>
  </si>
  <si>
    <t>Cumulative Grants at the end of the year</t>
  </si>
  <si>
    <t>Addition of Grant during the year</t>
  </si>
  <si>
    <t>Rate of Interest on internal funds</t>
  </si>
  <si>
    <t>Return on Internal Fund</t>
  </si>
  <si>
    <t xml:space="preserve">Projected </t>
  </si>
  <si>
    <t xml:space="preserve">Prompt payment Discount      </t>
  </si>
  <si>
    <t>Power factor Incentive</t>
  </si>
  <si>
    <t>ECS discount</t>
  </si>
  <si>
    <t>Load factor Incentive</t>
  </si>
  <si>
    <t>Load management rebate</t>
  </si>
  <si>
    <t>Discount on Digital Payment  to Consumers</t>
  </si>
  <si>
    <t>Reimbursement of Transaction charges against payment through Visa  Master Debit/Credit card.</t>
  </si>
  <si>
    <t>Form 24 : Incentive for Distribution Loss Reduction</t>
  </si>
  <si>
    <t>Sl. No.</t>
  </si>
  <si>
    <t>Units</t>
  </si>
  <si>
    <t>Rs. / unit</t>
  </si>
  <si>
    <t>Amount retained by BEST (1/3rd of incentive/(loss))</t>
  </si>
  <si>
    <t>Amount passed on to consumers by BEST (2/3rd of above incentive/(loss))</t>
  </si>
  <si>
    <t>Calculation of Normative sales considering same Energy input</t>
  </si>
  <si>
    <t>Sr.No.</t>
  </si>
  <si>
    <t>Energy Sales</t>
  </si>
  <si>
    <t>Energy Requirement at T&lt; &gt;D interface</t>
  </si>
  <si>
    <t>Energy Requirement at G&lt; &gt;T interface</t>
  </si>
  <si>
    <t>ACOS</t>
  </si>
  <si>
    <t xml:space="preserve">Old 2004-05 Series </t>
  </si>
  <si>
    <t>FY 2014-15</t>
  </si>
  <si>
    <t>FY 2015-16</t>
  </si>
  <si>
    <t>FY 2016-17</t>
  </si>
  <si>
    <t xml:space="preserve">WPI </t>
  </si>
  <si>
    <t>2004-05 Series</t>
  </si>
  <si>
    <t>Diff between Scenario 1 &amp; Scenario 2</t>
  </si>
  <si>
    <t>Scenario 1</t>
  </si>
  <si>
    <t>Scenario 2</t>
  </si>
  <si>
    <t>Scenario 3</t>
  </si>
  <si>
    <t>Form 5.3: Assets &amp; Depreciation</t>
  </si>
  <si>
    <t>Gross Fixed Asset (A)</t>
  </si>
  <si>
    <t>Particular</t>
  </si>
  <si>
    <t>FY 2012-13</t>
  </si>
  <si>
    <t>FY 2013-14</t>
  </si>
  <si>
    <t>Opening GFA</t>
  </si>
  <si>
    <t>Capitalision with IDC</t>
  </si>
  <si>
    <t>Retirement</t>
  </si>
  <si>
    <t>Adjustments</t>
  </si>
  <si>
    <t>Closing  GFA</t>
  </si>
  <si>
    <t>Average GFA</t>
  </si>
  <si>
    <t>Depreciation (B)</t>
  </si>
  <si>
    <t>Audited opening GFA</t>
  </si>
  <si>
    <t>Audited closing GFA</t>
  </si>
  <si>
    <t>Average audited GFA</t>
  </si>
  <si>
    <t>Audited depreciation</t>
  </si>
  <si>
    <t>Average Depreciation on average audited GFA</t>
  </si>
  <si>
    <t>Depreciation</t>
  </si>
  <si>
    <t>Average Depreciation on opening audited GFA</t>
  </si>
  <si>
    <t>Closing</t>
  </si>
  <si>
    <t>BEST Submission</t>
  </si>
  <si>
    <t>Approved by commission</t>
  </si>
  <si>
    <t>True Up FY 2019-20, FY 2020-21 &amp; FY 2021-22 - BEST</t>
  </si>
  <si>
    <t>Efforts of BEST Management</t>
  </si>
  <si>
    <t>Yes</t>
  </si>
  <si>
    <r>
      <rPr>
        <b/>
        <sz val="11"/>
        <rFont val="Calibri"/>
        <family val="2"/>
        <scheme val="minor"/>
      </rPr>
      <t>Note</t>
    </r>
    <r>
      <rPr>
        <sz val="11"/>
        <rFont val="Calibri"/>
        <family val="2"/>
        <scheme val="minor"/>
      </rPr>
      <t>: Please give detailed explanation separately for the deviations on account of uncontrollable factors</t>
    </r>
  </si>
  <si>
    <t xml:space="preserve">Past Revenue Gap </t>
  </si>
  <si>
    <t>Past Revenue Gap</t>
  </si>
  <si>
    <t>]</t>
  </si>
  <si>
    <t xml:space="preserve">ARR with Revenue Gap </t>
  </si>
  <si>
    <t>Form 22</t>
  </si>
  <si>
    <t>Form 23</t>
  </si>
  <si>
    <t>Form 24</t>
  </si>
  <si>
    <t>Return as interest on Internal Fund</t>
  </si>
  <si>
    <t>Incentive for Distribution Loss Reduction</t>
  </si>
  <si>
    <t>Walwhan Solar Energy Maharashtra (Erstwhile Welspun)</t>
  </si>
  <si>
    <t>3.1.1</t>
  </si>
  <si>
    <t>Traders</t>
  </si>
  <si>
    <t>3.1.2</t>
  </si>
  <si>
    <t>IEX (Purchase)</t>
  </si>
  <si>
    <t>3.1.3</t>
  </si>
  <si>
    <t>IEX (Sale)</t>
  </si>
  <si>
    <t>Short Term Non-Solar Purchase</t>
  </si>
  <si>
    <t>Standby Support from MSEDCL</t>
  </si>
  <si>
    <t>MSLDC Pool Imbalance</t>
  </si>
  <si>
    <t>TPC-G Past Period</t>
  </si>
  <si>
    <t>2.1.1</t>
  </si>
  <si>
    <t>Trader</t>
  </si>
  <si>
    <t>2.1.2</t>
  </si>
  <si>
    <t>2.1.3</t>
  </si>
  <si>
    <t>2.1.4</t>
  </si>
  <si>
    <t>STOA Application processing Fee of MSLDC</t>
  </si>
  <si>
    <t xml:space="preserve">MSLDC Pool Imbalance </t>
  </si>
  <si>
    <t>REC Procurement-Solar</t>
  </si>
  <si>
    <t>REC Procurement-Non-Solar</t>
  </si>
  <si>
    <t>Payment for stand-by energy purchase in FY 2016-17 &amp; FY 2017-18</t>
  </si>
  <si>
    <t>Prior period payments for pool imbalances of FY 2017-18 &amp; FY 2018-19</t>
  </si>
  <si>
    <t>3.2.1</t>
  </si>
  <si>
    <t>Payment of 20% Bill Amount of Provisional Fixed Charge Bill (Rs.112.68 Crore) under Intra State ABT for the financial year 2011-12 to 2017-18</t>
  </si>
  <si>
    <t>3.2.2</t>
  </si>
  <si>
    <t xml:space="preserve">MSLDC_Payment of FBSM Bills (1307) of  FY 2017-18                                   </t>
  </si>
  <si>
    <t>3.2.3</t>
  </si>
  <si>
    <t>Payment of charges to MSLDC UI Account for paying same for the DSM bills issued by WRPC.</t>
  </si>
  <si>
    <t>3.2.4</t>
  </si>
  <si>
    <t>Refund of Provisional Bill amount collected towards payment of WRPC from MSPC UI Account</t>
  </si>
  <si>
    <t>Stand-by Charges</t>
  </si>
  <si>
    <t>Bilateral Rebate</t>
  </si>
  <si>
    <t>RPS Rebate</t>
  </si>
  <si>
    <t>Rebate of 1% on Trans.Charges</t>
  </si>
  <si>
    <t>Rebate of 1% on monthly MSLDC Charges</t>
  </si>
  <si>
    <t>Prior Period  (RPS )_Additional Power of March-2019</t>
  </si>
  <si>
    <t>Prior Period  (RPS )_PXIL_REC GST</t>
  </si>
  <si>
    <t>Aggregate Revenue Requirement from Retail Supply+Distribution</t>
  </si>
  <si>
    <t>Prior Period  (RPS )_Additional Power of March-2020 from M/s.Walwhan</t>
  </si>
  <si>
    <t>Pool Imbalances</t>
  </si>
  <si>
    <t>MSLDC pool imbalnce cost  DSM/WRPC PAYMENT (1307) for FY 2017-18.</t>
  </si>
  <si>
    <t xml:space="preserve">MSLDC pool imbalnce cost for FY 2018-19 and FY 2019-20.  A/C. No. (1307) </t>
  </si>
  <si>
    <t>MS/MSPC/FCRbill//00071 dtd.06.01.2021.Fixed Cost Reconciliation and Carrying Cost bills for FY 208-19.    100/1307</t>
  </si>
  <si>
    <t>MSLDC  veriable ch..as per MERC Order 297 of  2018  dtd.03.10.2019 and 90 of 2020 dtd.20.07. 2020 FY 2011-12 to 2017-18</t>
  </si>
  <si>
    <t>Total Power Purchase</t>
  </si>
  <si>
    <t>Long Term/ Medium Term Supply</t>
  </si>
  <si>
    <t>PPA with solar power generator</t>
  </si>
  <si>
    <t>PPA with biomass power generator</t>
  </si>
  <si>
    <t>Augmentation/Replacement at Existing RSS</t>
  </si>
  <si>
    <t>Unit-5</t>
  </si>
  <si>
    <t>Unit-7</t>
  </si>
  <si>
    <t>Unit-8</t>
  </si>
  <si>
    <t>Hydro</t>
  </si>
  <si>
    <t>SHARE OF GENERAL ADMINISTRATION</t>
  </si>
  <si>
    <t>Adjustment for transfer to other division</t>
  </si>
  <si>
    <t>REC Loan Tranche 1 ( Aug 2015)</t>
  </si>
  <si>
    <t>REC Loan Tranche 2 ( Mar 2017)</t>
  </si>
  <si>
    <t>REC Loan Tranche 3 (Mar 2018)</t>
  </si>
  <si>
    <t>REC Loan Tranche 4 (Oct 2018)</t>
  </si>
  <si>
    <t>Net Employee Expenses (including Wage Impact)</t>
  </si>
  <si>
    <t xml:space="preserve">Wage Impact </t>
  </si>
  <si>
    <t>Net Employee Expenses (Excluding Wage Impact) for Sharing of Gains &amp; Losses</t>
  </si>
  <si>
    <t>As per Existing Methodology</t>
  </si>
  <si>
    <t>As per Regulation</t>
  </si>
  <si>
    <t>As per ARR</t>
  </si>
  <si>
    <t>Sr. no.</t>
  </si>
  <si>
    <t>FY 2019-20 (Actual)</t>
  </si>
  <si>
    <t>Capital Connection Fee</t>
  </si>
  <si>
    <t>Loan</t>
  </si>
  <si>
    <t>Internal Source</t>
  </si>
  <si>
    <t>Total of Capitalisation including IDC</t>
  </si>
  <si>
    <t>FY 2020-21 (Actual)</t>
  </si>
  <si>
    <t>FY 2021-22 (Actual)</t>
  </si>
  <si>
    <t>FY 2022-23 (Actual)</t>
  </si>
  <si>
    <t>FY 2024-25 (Actual)</t>
  </si>
  <si>
    <t>FY 2023-24 (Actual)</t>
  </si>
  <si>
    <t>Reduction in Power Purchase due to actual distribution loss less than the normative target</t>
  </si>
  <si>
    <t>Actual Power Purchase Cost for the year</t>
  </si>
  <si>
    <t>Average Power Purchase Rate</t>
  </si>
  <si>
    <t>Power Purchase Cost gain/(loss) due to actual distribution loss</t>
  </si>
  <si>
    <t>Energy input @ Normative Distribution Loss</t>
  </si>
  <si>
    <t>April-March (Audited )</t>
  </si>
  <si>
    <t>Rent of land or buildings</t>
  </si>
  <si>
    <t>Interest on advances to Suppliers / Contractors</t>
  </si>
  <si>
    <t>Rentral from contractors</t>
  </si>
  <si>
    <t xml:space="preserve">Income from consumers charges levied as per Schedule of Charges approved by Commission </t>
  </si>
  <si>
    <t>Share of  General Administration</t>
  </si>
  <si>
    <t xml:space="preserve">Functional Allowance as per Agreement </t>
  </si>
  <si>
    <t>Medical Allowance</t>
  </si>
  <si>
    <t>Rebate under Incentive Scheme 2020</t>
  </si>
  <si>
    <t xml:space="preserve">Percentage Annual Change in WPI </t>
  </si>
  <si>
    <t xml:space="preserve">CPI </t>
  </si>
  <si>
    <t xml:space="preserve">Percentage Annual Change in CPI </t>
  </si>
  <si>
    <t>Average from FY 2015-16-FY 2019-20</t>
  </si>
  <si>
    <t>Weights</t>
  </si>
  <si>
    <t>Escalation Factor</t>
  </si>
  <si>
    <t>Efficiency Factor</t>
  </si>
  <si>
    <t xml:space="preserve">Escalation Factor Net of Efficiency Factor </t>
  </si>
  <si>
    <t>For FY 2019-20</t>
  </si>
  <si>
    <t>For FY 2020-21</t>
  </si>
  <si>
    <t>For FY 2021-22</t>
  </si>
  <si>
    <t>1.2(a)</t>
  </si>
  <si>
    <t>Purchase of Additional Solar RE Power generated from Walwhan Solar Energy Maharashtra (Erstwhile Welspun) Ltd. Plant, 20 MW Solar Palnt Mangalwedha for FY 2019-20</t>
  </si>
  <si>
    <t xml:space="preserve">Wage Revision Impact </t>
  </si>
  <si>
    <t>Base load G&lt;&gt;T (3.18% InSTS loss)</t>
  </si>
  <si>
    <t>Peak load G&lt;&gt;T (3.18% InSTS loss)</t>
  </si>
  <si>
    <t xml:space="preserve">Manikaran Power Ltd. (Medium Term) </t>
  </si>
  <si>
    <t>RPS-Non-Solar_IEX_GTAM_GDAM</t>
  </si>
  <si>
    <t>Short Term Solar Purchase</t>
  </si>
  <si>
    <t>RPS-Solar_IEX_GTAM_GDAM</t>
  </si>
  <si>
    <t>DSM Energy</t>
  </si>
  <si>
    <t>3.3.1</t>
  </si>
  <si>
    <t>2.2.1</t>
  </si>
  <si>
    <t>2.3.1</t>
  </si>
  <si>
    <t>Deviation Settlement (DSM) Energy</t>
  </si>
  <si>
    <t>2.5.1</t>
  </si>
  <si>
    <t>Net DSM Charges (Payable/Receivable)</t>
  </si>
  <si>
    <t>2.5.2</t>
  </si>
  <si>
    <t>Additional DSM Charges Payable</t>
  </si>
  <si>
    <t>Prior Period  (RPS )_Additional Power of March-2021 from M/s.Walwhan</t>
  </si>
  <si>
    <t>Pool Imbalances (FBSM) of Prior period</t>
  </si>
  <si>
    <t xml:space="preserve">Month </t>
  </si>
  <si>
    <t xml:space="preserve">CPI 2016 Series Data </t>
  </si>
  <si>
    <t xml:space="preserve">CPI 2001 Series Data </t>
  </si>
  <si>
    <t>New CPI Numbers considered via multiplying linkage factor - 2.88</t>
  </si>
  <si>
    <t xml:space="preserve">Average </t>
  </si>
  <si>
    <t>Wtd Avg. Base Rate during the year for Interest on working capital (IoWC)</t>
  </si>
  <si>
    <t>FY</t>
  </si>
  <si>
    <t xml:space="preserve">From </t>
  </si>
  <si>
    <t>To</t>
  </si>
  <si>
    <t>Days</t>
  </si>
  <si>
    <t xml:space="preserve">Rate </t>
  </si>
  <si>
    <t>Wtd Avg. Base Rate</t>
  </si>
  <si>
    <t>IoWC Rate</t>
  </si>
  <si>
    <t>Source:</t>
  </si>
  <si>
    <t>(MUs)</t>
  </si>
  <si>
    <t>New RSS Commissioning</t>
  </si>
  <si>
    <t>* DPRs submitted to MERC , approval awaited and ** DPRs are to be submitted to MERC.</t>
  </si>
  <si>
    <t>BEST/FY21/02</t>
  </si>
  <si>
    <t>Revamping of RSS &amp; other schemes(Non-DPR)</t>
  </si>
  <si>
    <t>Business Process Automation (BPA)</t>
  </si>
  <si>
    <t>Street Lighting (lamps &amp; Cables)</t>
  </si>
  <si>
    <t>Furniture, Office Eq., Tools, Civil Engg. Works, Motor Vehicle etc. &amp; Share of G A</t>
  </si>
  <si>
    <t>GFA</t>
  </si>
  <si>
    <t xml:space="preserve">New RSS </t>
  </si>
  <si>
    <t>BEST/FY16/01</t>
  </si>
  <si>
    <t>MERC/CAPEX /FY 2016-17/00770 dtd.28.09.2016</t>
  </si>
  <si>
    <t>28.09.2016</t>
  </si>
  <si>
    <t>BEST/FY16/02</t>
  </si>
  <si>
    <t>MERC/DESK TECH_V/ CAP/DPR/20122013/02688</t>
  </si>
  <si>
    <t>22.02.2013</t>
  </si>
  <si>
    <t>BEST/FY17/02</t>
  </si>
  <si>
    <t>MERC/CAPEX/2017-18/ 4706</t>
  </si>
  <si>
    <t>16.11.2017</t>
  </si>
  <si>
    <t>BEST/FY18/02</t>
  </si>
  <si>
    <t>BEST/FY18/02A</t>
  </si>
  <si>
    <t>MERC/CAP/DPR/2019-20/ 135</t>
  </si>
  <si>
    <t>10.05.2019</t>
  </si>
  <si>
    <t>BEST/FY20/02</t>
  </si>
  <si>
    <t>MERC/CAP/DPR/2020-21/553</t>
  </si>
  <si>
    <t>15.12.2021</t>
  </si>
  <si>
    <t>New DSS &amp; Aug. &amp; Alt. to exist. DSS</t>
  </si>
  <si>
    <t>BEST/FY17/03</t>
  </si>
  <si>
    <t>MERC/CAPEX/2017-18/4 708</t>
  </si>
  <si>
    <t>Extension of Distribution Network</t>
  </si>
  <si>
    <t>BEST/FY17/04</t>
  </si>
  <si>
    <t>MERC/CAPEX/2017-18/ 4784</t>
  </si>
  <si>
    <t>28.11.2017</t>
  </si>
  <si>
    <t xml:space="preserve"> SCADA,BPA &amp; Distribution Automation</t>
  </si>
  <si>
    <t>BEST/FY18/08A</t>
  </si>
  <si>
    <t>MERC/CAPEX/2017-18/4759</t>
  </si>
  <si>
    <t>22.11.17</t>
  </si>
  <si>
    <t>BEST/FY18/08B</t>
  </si>
  <si>
    <t>MERC/CAPEX/2017-18/47886</t>
  </si>
  <si>
    <t>13.12.17</t>
  </si>
  <si>
    <t>IPDS/BEST/FY15-16/01</t>
  </si>
  <si>
    <t>IPDS L&amp;T-PART</t>
  </si>
  <si>
    <t>26.07.2019</t>
  </si>
  <si>
    <t>IPDS BEST-PART</t>
  </si>
  <si>
    <t>A) Distribution Wire Business</t>
  </si>
  <si>
    <t xml:space="preserve">accounts </t>
  </si>
  <si>
    <t xml:space="preserve">For Wires Business </t>
  </si>
  <si>
    <t xml:space="preserve">For Supply Business </t>
  </si>
  <si>
    <t xml:space="preserve">Total Additional Return on Equity </t>
  </si>
  <si>
    <t xml:space="preserve">Base Return on Equity </t>
  </si>
  <si>
    <t>ARR With Past Revenue Gap/(Surplus)</t>
  </si>
  <si>
    <t xml:space="preserve">Actual Interest Rate </t>
  </si>
  <si>
    <t xml:space="preserve">Actual Working Capital </t>
  </si>
  <si>
    <t xml:space="preserve"> Total Return on Equity </t>
  </si>
  <si>
    <t xml:space="preserve">Total Return on Equity </t>
  </si>
  <si>
    <t>(in Cr.)</t>
  </si>
  <si>
    <t>re</t>
  </si>
  <si>
    <t>Inter Discom Sale (IDT)</t>
  </si>
  <si>
    <t>Prior Period  (RPS )_Additional Power of March-2022 from M/s.Walwhan</t>
  </si>
  <si>
    <t>Prior Period Payment of DSM Bills</t>
  </si>
  <si>
    <t>TPC-G Credit Bill (Oct-2021 to Mar-2022)</t>
  </si>
  <si>
    <t xml:space="preserve">Capitalisation during the year excluding of grant </t>
  </si>
  <si>
    <t>Capitalisation during the year excluding of grant $</t>
  </si>
  <si>
    <t>April-March      (Projected)</t>
  </si>
  <si>
    <t>Year : FY 2022-23 (Apr to Sep)</t>
  </si>
  <si>
    <t>Green Energy Cess (Rs. Crore)</t>
  </si>
  <si>
    <t>Grants for Street Lights</t>
  </si>
  <si>
    <t>A&amp; G Expenses</t>
  </si>
  <si>
    <t>R&amp;M Expenses</t>
  </si>
  <si>
    <t>ED &amp; M.Tax paid to Government</t>
  </si>
  <si>
    <t xml:space="preserve">Regulated average GFA </t>
  </si>
  <si>
    <t xml:space="preserve">Fixed Charges (Per Month Per Connection)  </t>
  </si>
  <si>
    <t>Demand Charges (Per Month Per kVA)</t>
  </si>
  <si>
    <t xml:space="preserve">Energy Charges (Rs. Per kVAh/kWh) </t>
  </si>
  <si>
    <t>Wheeling Charges (Rs. Per kVAh/kWh)</t>
  </si>
  <si>
    <t>0-100</t>
  </si>
  <si>
    <t>101-300</t>
  </si>
  <si>
    <t>301-500</t>
  </si>
  <si>
    <t>501&lt;</t>
  </si>
  <si>
    <t>LT 5A Agriculture Pumpset</t>
  </si>
  <si>
    <t>As per Wheeling Charges</t>
  </si>
  <si>
    <t>Input cells</t>
  </si>
  <si>
    <t>Utility Name</t>
  </si>
  <si>
    <t>BEST</t>
  </si>
  <si>
    <t>Select here</t>
  </si>
  <si>
    <t>Wires Availability</t>
  </si>
  <si>
    <t>Max. RoE Eligibility</t>
  </si>
  <si>
    <t>Target Wires Availability</t>
  </si>
  <si>
    <t>SAIDI</t>
  </si>
  <si>
    <t>Actual Wires Availability</t>
  </si>
  <si>
    <t>Additional RoE %</t>
  </si>
  <si>
    <t>Supply Business</t>
  </si>
  <si>
    <t>Reduction in assesement of bill</t>
  </si>
  <si>
    <t>Addnl ROE</t>
  </si>
  <si>
    <t>Total No. of Bills issued during year</t>
  </si>
  <si>
    <t>No of Assessed Bills</t>
  </si>
  <si>
    <t>% of Assessed Bills</t>
  </si>
  <si>
    <t>Reduction in % of Assessed Bills</t>
  </si>
  <si>
    <t>Overall Collection Efficiency during year</t>
  </si>
  <si>
    <t>Improvement in Collection Efficiency</t>
  </si>
  <si>
    <t>LT-1 B Residential - 0-100</t>
  </si>
  <si>
    <t xml:space="preserve">Wheeling Charges Per Unit </t>
  </si>
  <si>
    <t xml:space="preserve">Energy Charge Per Unit </t>
  </si>
  <si>
    <t>Category wise provided above</t>
  </si>
  <si>
    <t>Opex/Totex Schemes</t>
  </si>
  <si>
    <t xml:space="preserve">Smart Meters </t>
  </si>
  <si>
    <t>Energy Meters (Smart Meters)</t>
  </si>
  <si>
    <t xml:space="preserve">Assumption </t>
  </si>
  <si>
    <t>RAC</t>
  </si>
  <si>
    <t xml:space="preserve">Tariff Scenario </t>
  </si>
  <si>
    <t>Existing tariff (Rs./kWh)</t>
  </si>
  <si>
    <t>Increase (%)</t>
  </si>
  <si>
    <t>Proposed tariff (Rs./kWh)</t>
  </si>
  <si>
    <t>Fixed Charge</t>
  </si>
  <si>
    <t>Energy Charge</t>
  </si>
  <si>
    <t xml:space="preserve">HT  - II Commercial </t>
  </si>
  <si>
    <t>HT  - III Group Housing</t>
  </si>
  <si>
    <t>HT  - IV (A) Railways</t>
  </si>
  <si>
    <t>HT - V (A) Public services (Govt. Hospital &amp; Educational Institutions)</t>
  </si>
  <si>
    <t>HT - V (B) Public services (Others)</t>
  </si>
  <si>
    <t>HT - VI Electrical Vehicle</t>
  </si>
  <si>
    <t>LT - I (A) Residential (BPL)</t>
  </si>
  <si>
    <t xml:space="preserve">LT - I (B) Residential </t>
  </si>
  <si>
    <t>0-100 Units</t>
  </si>
  <si>
    <t>101-300 Units</t>
  </si>
  <si>
    <t>301-500 Units</t>
  </si>
  <si>
    <t>&gt; 501 Units</t>
  </si>
  <si>
    <t>LT-III (b) Industrial</t>
  </si>
  <si>
    <t>LT - IV (A) Public Services - Govt. Hosp. &amp; Edu. Institutions)</t>
  </si>
  <si>
    <t>LT - IV (B) Public Services - Others</t>
  </si>
  <si>
    <t>LT-V (A) Agriculture- Pumpsets</t>
  </si>
  <si>
    <t>LT-V (B) Agriculture- Others</t>
  </si>
  <si>
    <t>LT VI Vehicle Charging</t>
  </si>
  <si>
    <t>LT - II (b) Commercial                           
&gt;20 &amp; &lt;=50 kW</t>
  </si>
  <si>
    <t>LT - II (c) Commercial                            
&gt;50</t>
  </si>
  <si>
    <t xml:space="preserve">Wheeling Charges </t>
  </si>
  <si>
    <t>Total Revenue Gap/(Surplus) Standalone basis</t>
  </si>
  <si>
    <t>Total Revenue Gap/(Surplus) Cummulative basis</t>
  </si>
  <si>
    <t>on Cummulative Basis</t>
  </si>
  <si>
    <t xml:space="preserve">Interest on Bill Discounting </t>
  </si>
  <si>
    <t>Revenue from Wheeling Charges</t>
  </si>
  <si>
    <t>HT loss corresponding to HT consumers</t>
  </si>
  <si>
    <t>Sales Growth Rate</t>
  </si>
  <si>
    <t xml:space="preserve">Wires </t>
  </si>
  <si>
    <t xml:space="preserve">Supply </t>
  </si>
  <si>
    <t xml:space="preserve">O&amp;M </t>
  </si>
  <si>
    <t>As per Regulations</t>
  </si>
  <si>
    <t>IoWC</t>
  </si>
  <si>
    <t>IoL</t>
  </si>
  <si>
    <t>Assets &amp; Depreciation</t>
  </si>
  <si>
    <t xml:space="preserve">Growth in Non Tariff Income </t>
  </si>
  <si>
    <t>MTR Petition Formats - Distribution &amp; Retail Supply - BEST</t>
  </si>
  <si>
    <t>BEST Undertaking
MTR Petition Formats - Distribution &amp; Retail Supply
Form 23:  Other Expenses</t>
  </si>
  <si>
    <t xml:space="preserve">FY 2021-22 </t>
  </si>
  <si>
    <t>Normative Distribution loss  (target)</t>
  </si>
  <si>
    <t>Energy input @ Actual Distribution Los</t>
  </si>
  <si>
    <t>Normative Distribution Loss</t>
  </si>
  <si>
    <t>Welspun Solar Energy</t>
  </si>
  <si>
    <t xml:space="preserve">Medium-Term </t>
  </si>
  <si>
    <t>Manikaran Power</t>
  </si>
  <si>
    <t>Sales are excluding street lights for 21-22</t>
  </si>
  <si>
    <t>No of Consumers 2023-24</t>
  </si>
  <si>
    <t>No of Consumers 2024-25</t>
  </si>
  <si>
    <t xml:space="preserve">Sai Wardha </t>
  </si>
  <si>
    <t xml:space="preserve">TPC-Hydro </t>
  </si>
  <si>
    <t>New RTC</t>
  </si>
  <si>
    <t xml:space="preserve">New RTC </t>
  </si>
  <si>
    <t>Charge recoverable from HT</t>
  </si>
  <si>
    <t xml:space="preserve">Others </t>
  </si>
  <si>
    <t xml:space="preserve">Revenue from Wheeling Charges </t>
  </si>
  <si>
    <t xml:space="preserve">FY 2022-23 </t>
  </si>
  <si>
    <t>Fuel surcharge per unit, if any*</t>
  </si>
  <si>
    <t xml:space="preserve">*The FAC rates applicable for H2 Only. </t>
  </si>
  <si>
    <t>LT-VI Vehicle Chg</t>
  </si>
  <si>
    <t>Revenue From Sale of Power @existing Tariff</t>
  </si>
  <si>
    <t>Revenue Gap/ (Surplus) @existing Tariff</t>
  </si>
  <si>
    <t xml:space="preserve">Net ARR </t>
  </si>
  <si>
    <t>Recovery of gap/(surplus) of previous years approved in MYT Order</t>
  </si>
  <si>
    <t xml:space="preserve"> Provisional bill of variable cost to MSLDC FBSM pool for  2nd half for FY 2019-20 (1307)</t>
  </si>
  <si>
    <t xml:space="preserve"> Provisional monthly Energy Balancing and settlement Account under Intra State ABT of MSLDC for the month from April’2020 to September’2020 &amp;(1307)</t>
  </si>
  <si>
    <t xml:space="preserve"> Provisional monthly Energy Balancing and settlement Account under Intra State ABT to MSLDC for the month March’2021 -  Payable amount(1307)</t>
  </si>
  <si>
    <t>Particulars - Gap / (Surplus) Computation</t>
  </si>
  <si>
    <t>FY2019-20</t>
  </si>
  <si>
    <t>FY2020-21</t>
  </si>
  <si>
    <t>FY2021-22</t>
  </si>
  <si>
    <t>FY2022-23</t>
  </si>
  <si>
    <t>FY2023-24</t>
  </si>
  <si>
    <t>Opening Balance</t>
  </si>
  <si>
    <t>Gap/(Surplus) Addition during the year</t>
  </si>
  <si>
    <t xml:space="preserve">Carrying cost / (Holding Cost) on past recovery </t>
  </si>
  <si>
    <t>D</t>
  </si>
  <si>
    <t>Closing Balance</t>
  </si>
  <si>
    <t>Total of Past Recoveries/ (Surplus) in FY 2023-24</t>
  </si>
  <si>
    <t>F = D+E</t>
  </si>
  <si>
    <t>Particulars - Interest Computation</t>
  </si>
  <si>
    <t xml:space="preserve">Carrying cost / (Holding Cost) Rate </t>
  </si>
  <si>
    <t>Less: Incentive</t>
  </si>
  <si>
    <t>Average Balance</t>
  </si>
  <si>
    <t>Carrying cost / (Holding Cost) Cost</t>
  </si>
  <si>
    <t>G=A*F</t>
  </si>
  <si>
    <t>Total Carrying cost / (Holding Cost) Cost</t>
  </si>
  <si>
    <t>H</t>
  </si>
  <si>
    <t>E=(A+B-C+D)</t>
  </si>
  <si>
    <t>E=(B+C-D)</t>
  </si>
  <si>
    <t>F= Average (B,E)</t>
  </si>
  <si>
    <t>Amount (Rs. Crs)</t>
  </si>
  <si>
    <t>Final True Up Requirement for FY 19-20</t>
  </si>
  <si>
    <t>Final True Up Requirement for FY 20-21</t>
  </si>
  <si>
    <t>Final True Up Requirement for FY 21-22</t>
  </si>
  <si>
    <t>Provisional True Up Requirement for FY 22-23</t>
  </si>
  <si>
    <t>Revenue Gap for FY 23-24</t>
  </si>
  <si>
    <t>Revenue Gap for FY 24-25</t>
  </si>
  <si>
    <t>Impact of Review Order</t>
  </si>
  <si>
    <t>Carrying Cost</t>
  </si>
  <si>
    <t>Total Revenue Gap for the MYT Period</t>
  </si>
  <si>
    <t>9=sum(1 to 8)</t>
  </si>
  <si>
    <t>Financial Year</t>
  </si>
  <si>
    <t>Revenue at Existing Tariff</t>
  </si>
  <si>
    <t>Revenue at Proposed Tariff</t>
  </si>
  <si>
    <t>Revenue Recovery</t>
  </si>
  <si>
    <t>Total Additional Recovery</t>
  </si>
  <si>
    <t>Past Adjustements, if any</t>
  </si>
  <si>
    <t xml:space="preserve">Approved Rates for FY 2024-25 </t>
  </si>
  <si>
    <t>Form 5.3</t>
  </si>
  <si>
    <t xml:space="preserve">Form 5.3, 22, 23 &amp; 24 are additional worksheets prepared by BEST and reference purposed only they have been serially numbered. </t>
  </si>
  <si>
    <t xml:space="preserve">Approved Rates for FY 2023-24 </t>
  </si>
  <si>
    <t>Grants for IPDS Scheme/RDSS Scheme</t>
  </si>
  <si>
    <t>Standalone Basis</t>
  </si>
  <si>
    <t>RDSS - Network Infra (Loss Reduction)</t>
  </si>
  <si>
    <t xml:space="preserve">Yet to Approve DPR </t>
  </si>
  <si>
    <t>RDSS - Implementation of SCADA &amp; DMS</t>
  </si>
  <si>
    <t xml:space="preserve">RDSS - Network Infra (Loss Reduction)
</t>
  </si>
  <si>
    <t>BEST Undertaking
Form 22 - Return as interest on Internal Fund
MTR Petition Formats - Distribution &amp; Retail Supply</t>
  </si>
  <si>
    <t xml:space="preserve">ABR at Proposed Tariff </t>
  </si>
  <si>
    <t xml:space="preserve">ABR at existing Tariff </t>
  </si>
  <si>
    <t>HT Wheeling Charge (Rs./kVAh)</t>
  </si>
  <si>
    <t xml:space="preserve">Business Process Automation </t>
  </si>
  <si>
    <t>HT-VI Electrical vehicle</t>
  </si>
  <si>
    <t>HT IV- Railways, Metro, Monorail</t>
  </si>
  <si>
    <t>HT V-(A)Public services Govt. Hospitals and Educational Institutions)</t>
  </si>
  <si>
    <t>HT V-(B) Public services Others)</t>
  </si>
  <si>
    <t>LT - II (b) Commercial 
&gt;20 &amp; &lt;=50 kW</t>
  </si>
  <si>
    <t>LT - II (c) Commercial 
&gt;50</t>
  </si>
  <si>
    <t>LT - IV (A) Public Services - (Govt. Hosp. &amp; Edu. Institutions)</t>
  </si>
  <si>
    <r>
      <rPr>
        <b/>
        <sz val="11"/>
        <rFont val="Times New Roman"/>
        <family val="1"/>
      </rPr>
      <t xml:space="preserve">LT - I(B) Residential 
</t>
    </r>
    <r>
      <rPr>
        <sz val="11"/>
        <rFont val="Times New Roman"/>
        <family val="1"/>
      </rPr>
      <t>0 – 100 units</t>
    </r>
  </si>
  <si>
    <t xml:space="preserve">Sub-Total </t>
  </si>
  <si>
    <t>A) Wheeling Forecast (in MUs)</t>
  </si>
  <si>
    <t>€</t>
  </si>
  <si>
    <t>April-March      
(Audited )</t>
  </si>
  <si>
    <t>April-March 
(Audited )</t>
  </si>
  <si>
    <t>HT-3 Group Housing</t>
  </si>
  <si>
    <t>HT-5 (A) Railways, Metro, Monorail</t>
  </si>
  <si>
    <t>LT - II (a) Commercial (&lt;=20kW)</t>
  </si>
  <si>
    <t>LT - II (b) Commercial  (&gt;20 &amp; &lt;=50 kW)</t>
  </si>
  <si>
    <t>LT - II (c) Commercial (&gt;50 kW)</t>
  </si>
  <si>
    <t>LT III (B) Industry (Above 20 kW)</t>
  </si>
  <si>
    <t>LT IV Public Water Works</t>
  </si>
  <si>
    <t xml:space="preserve">LT - IX (A) Public Services -Govt. Hosp. &amp; Edu. Institutions </t>
  </si>
  <si>
    <t>LT - IX (B) Public Services others</t>
  </si>
  <si>
    <t>LT - XI (Electric Vehicle Charging Stations)</t>
  </si>
  <si>
    <t>A) Sales Forecast</t>
  </si>
  <si>
    <t>Energy Sales (MU) (All units in kWh)</t>
  </si>
  <si>
    <t>FY 2023-24 Estimated  (All numbers are in kWh)</t>
  </si>
  <si>
    <t>FY 2024-25 Estimated  (All numbers are in kWh)</t>
  </si>
  <si>
    <r>
      <t xml:space="preserve">Sales in MU
</t>
    </r>
    <r>
      <rPr>
        <sz val="11"/>
        <rFont val="Times New Roman"/>
        <family val="1"/>
      </rPr>
      <t>(HT units is in KVAh and LT is in kWh)</t>
    </r>
  </si>
  <si>
    <t>FY 2022-23 (H1 actual)</t>
  </si>
  <si>
    <t>Year : FY 2022-23 (H2 estimated)</t>
  </si>
  <si>
    <t>PF for H1 actual</t>
  </si>
  <si>
    <t>FY 2023-24 Estimated  (HT Numbers are in KVAh and LT in kWh)</t>
  </si>
  <si>
    <t>FY 2024-25 Estimated  (HT Numbers are in KVAh and LT in kWh)</t>
  </si>
  <si>
    <t>(HT Numbers are in KVAh and LT in kWh)</t>
  </si>
  <si>
    <t>FY 2022-23 H1 Actual</t>
  </si>
  <si>
    <t>FY 2022-23 H2 Projection</t>
  </si>
  <si>
    <t>LT-4 PWW</t>
  </si>
  <si>
    <t>LT- 5 Advertisement &amp; Hoardings</t>
  </si>
  <si>
    <t>Sales Numbers of HT Category from FY 20-21 onwards are in kVAh, rest numbers are in kWh</t>
  </si>
  <si>
    <t>1) For FY 2019-20 above sales units are in kWh. However, from FY 20-21 onwards sales units of HT category are in kVAh and LT Category in kWh</t>
  </si>
  <si>
    <t>Voltage wise Sales (In MUs)</t>
  </si>
  <si>
    <t>FY 22-23</t>
  </si>
  <si>
    <t>FY 2018-19
Actual</t>
  </si>
  <si>
    <t>Sales (In kWh)</t>
  </si>
  <si>
    <t>FY 2018-19
H1 actual</t>
  </si>
  <si>
    <t>FY 2018-19
H2 actual</t>
  </si>
  <si>
    <t>HT VII - Temporary Supply</t>
  </si>
  <si>
    <t>LT V - Advertisement and Hoardings</t>
  </si>
  <si>
    <t>LT VI - Street Lights</t>
  </si>
  <si>
    <t>LT VII - Temporary Supply (Religious)</t>
  </si>
  <si>
    <t>LT VII - Temporary Supply (Others)</t>
  </si>
  <si>
    <t>LT VIII - Crematoriums and Burial Grounds</t>
  </si>
  <si>
    <t>Existing Category</t>
  </si>
  <si>
    <t>Proposed Category</t>
  </si>
  <si>
    <t>HT - Public Services (Others)</t>
  </si>
  <si>
    <t>HT - Commercial</t>
  </si>
  <si>
    <t>LT - Public Services (Others)</t>
  </si>
  <si>
    <t>LT - Non-Residential or Commercial</t>
  </si>
  <si>
    <t>LT - Residential</t>
  </si>
  <si>
    <t>HT IV - Public Water Works and Sewerage Treatment Plant</t>
  </si>
  <si>
    <t>LT IV - Public Water Works and Sewerage Treatment Plant</t>
  </si>
  <si>
    <t>Category rationalised in MYT Order 30.03.2020</t>
  </si>
  <si>
    <t>301-501</t>
  </si>
  <si>
    <t>Proportion %</t>
  </si>
  <si>
    <t>Actual Sales FY 18-19 As per new Categories</t>
  </si>
  <si>
    <t>CAGR for 4 yrs
(FY 22-23 to FY 18-19)</t>
  </si>
  <si>
    <t>Growth rate assum</t>
  </si>
  <si>
    <t>Base Year  = 2018-19</t>
  </si>
  <si>
    <t>Tariff category</t>
  </si>
  <si>
    <t>FY 2011-12</t>
  </si>
  <si>
    <t>FY 20214-15</t>
  </si>
  <si>
    <t>YoY</t>
  </si>
  <si>
    <t>2 year</t>
  </si>
  <si>
    <t>3 year</t>
  </si>
  <si>
    <t>4 year</t>
  </si>
  <si>
    <t>5 year</t>
  </si>
  <si>
    <t>7 year</t>
  </si>
  <si>
    <t>10 year</t>
  </si>
  <si>
    <t>FY 23-24</t>
  </si>
  <si>
    <t>FY 24-25</t>
  </si>
  <si>
    <t>Growth rate considered
for FY 24&amp;FY25</t>
  </si>
  <si>
    <t>Projection</t>
  </si>
  <si>
    <t>FY 2022-23 - H1 Actual</t>
  </si>
  <si>
    <t>FY 2022-23 Actual   (MU) (All numbers are in kWh)</t>
  </si>
  <si>
    <t>FY 2022-23 (MU) Estimated (All numbers are in kWh)</t>
  </si>
  <si>
    <t>Proj Oct-Nov</t>
  </si>
  <si>
    <t>Increase/
(Decreased)</t>
  </si>
  <si>
    <t>Act (Oct-Nov)</t>
  </si>
  <si>
    <t>All figures are in kWh (MU)</t>
  </si>
  <si>
    <t>Sales figures are in kWh (MU)</t>
  </si>
  <si>
    <t>Net Metering</t>
  </si>
  <si>
    <t>FY 2022-23 - H2 Projection</t>
  </si>
  <si>
    <t>Hydro - Khopoli</t>
  </si>
  <si>
    <t>Hydro - Bhira</t>
  </si>
  <si>
    <t>Hydro - Bhivpuri</t>
  </si>
  <si>
    <t>TPC-G Unit No-5</t>
  </si>
  <si>
    <t>TPC-G Unit No-7_gas_APM</t>
  </si>
  <si>
    <t>TPC-G Unit No-8</t>
  </si>
  <si>
    <t>TPC-G Breakup</t>
  </si>
  <si>
    <t>FY 24</t>
  </si>
  <si>
    <t>FY 25</t>
  </si>
  <si>
    <t>Total Generation (MU)</t>
  </si>
  <si>
    <t>BEST's 
Share</t>
  </si>
  <si>
    <t>Share %</t>
  </si>
  <si>
    <t>ECR (Rs. kWh)</t>
  </si>
  <si>
    <t>Technical Minimum (BEST's share)</t>
  </si>
  <si>
    <t>PPA (MU)</t>
  </si>
  <si>
    <t>TPC - G (Hydro)</t>
  </si>
  <si>
    <t>New Contract RTC/Bilateral</t>
  </si>
  <si>
    <t>DAM</t>
  </si>
  <si>
    <t>Solar New</t>
  </si>
  <si>
    <t xml:space="preserve">Solar New </t>
  </si>
  <si>
    <t>SECI Hybrid - Solar (Tranche III)</t>
  </si>
  <si>
    <t>SECI Hybrid - Wind (Tranche III)</t>
  </si>
  <si>
    <t>DAM/(IEX Sale)</t>
  </si>
  <si>
    <t>New Bilateral Power Purchase</t>
  </si>
  <si>
    <t>Adjustment of sales</t>
  </si>
  <si>
    <t>Growth rate for consumers</t>
  </si>
  <si>
    <t>Numbers w.r.t HT Category from FY 20-21 onwards are in kVAh and rest numbers are in kWh</t>
  </si>
  <si>
    <t>Note: Sales Numbers of HT Category from FY 20-21 onwards are in kVAh, rest numbers are in kWh</t>
  </si>
  <si>
    <t>FC</t>
  </si>
  <si>
    <t>VC</t>
  </si>
  <si>
    <t>Total tariff</t>
  </si>
  <si>
    <t>WPI 31.01.18</t>
  </si>
  <si>
    <t>WPI 31.01.22</t>
  </si>
  <si>
    <t>Variation rate applies</t>
  </si>
  <si>
    <t>% of variation</t>
  </si>
  <si>
    <t>Base Tariff</t>
  </si>
  <si>
    <t>Index tariff for 22-23</t>
  </si>
  <si>
    <t>WPI 31.01.23</t>
  </si>
  <si>
    <t>Index tariff for 23-24</t>
  </si>
  <si>
    <t>WPI 31.01.24</t>
  </si>
  <si>
    <t>Index tariff for 24-25</t>
  </si>
  <si>
    <t>Existing</t>
  </si>
  <si>
    <t>Green Energy cess</t>
  </si>
  <si>
    <t>Receivables for the year #</t>
  </si>
  <si>
    <t># Receivable amount as per Proforma account of Electricity Business, as Statement of Accounts of Electricity Business does not reflect amount of  Recievables</t>
  </si>
  <si>
    <r>
      <rPr>
        <b/>
        <sz val="11"/>
        <rFont val="Times New Roman"/>
        <family val="1"/>
      </rPr>
      <t>Note</t>
    </r>
    <r>
      <rPr>
        <sz val="11"/>
        <rFont val="Times New Roman"/>
        <family val="1"/>
      </rPr>
      <t>: 1.</t>
    </r>
  </si>
  <si>
    <t>FY 2019-20 (True-up)</t>
  </si>
  <si>
    <t>FY 2020-21 (True-up)</t>
  </si>
  <si>
    <t>FY 2021-22 (True-up)</t>
  </si>
  <si>
    <t>FY 2022-23 (Prov.true-up)</t>
  </si>
  <si>
    <t>FY 2023-24 (Projected Tariff)</t>
  </si>
  <si>
    <t>FY 2024-25 (Projected Tariff)</t>
  </si>
  <si>
    <t xml:space="preserve">TPC-G </t>
  </si>
  <si>
    <t>APDRP</t>
  </si>
  <si>
    <t>REC Long Term</t>
  </si>
  <si>
    <t>April19- Mar20</t>
  </si>
  <si>
    <t>Considered for Projection</t>
  </si>
  <si>
    <t>MANIKARAN</t>
  </si>
  <si>
    <t>13.05.2020</t>
  </si>
  <si>
    <t>31.05.2020</t>
  </si>
  <si>
    <t>29.05.2020</t>
  </si>
  <si>
    <t>02.06.2020</t>
  </si>
  <si>
    <t>30.06.2020</t>
  </si>
  <si>
    <t>31.07.2020</t>
  </si>
  <si>
    <t>30.07.2020</t>
  </si>
  <si>
    <t>04.08.2020</t>
  </si>
  <si>
    <t>31.08.2020</t>
  </si>
  <si>
    <t>28.08.2020</t>
  </si>
  <si>
    <t>T PC-G</t>
  </si>
  <si>
    <t>03.09.2020</t>
  </si>
  <si>
    <t>30.09.2020</t>
  </si>
  <si>
    <t>05.10.2020</t>
  </si>
  <si>
    <t>31.10.2020</t>
  </si>
  <si>
    <t>29.10.2020</t>
  </si>
  <si>
    <t>03.11.2020</t>
  </si>
  <si>
    <t>30.11.2020</t>
  </si>
  <si>
    <t>01.12.2020</t>
  </si>
  <si>
    <t>03.12.2020</t>
  </si>
  <si>
    <t>31.12.2020</t>
  </si>
  <si>
    <t>30.12.2020</t>
  </si>
  <si>
    <t>04.01.2021</t>
  </si>
  <si>
    <t>31.01.2021</t>
  </si>
  <si>
    <t>29.01.2021</t>
  </si>
  <si>
    <t>04.02.2021</t>
  </si>
  <si>
    <t>28.02.2021</t>
  </si>
  <si>
    <t>02.03.2021</t>
  </si>
  <si>
    <t>31.03.2021</t>
  </si>
  <si>
    <t>30.3.2021</t>
  </si>
  <si>
    <t>TPCG</t>
  </si>
  <si>
    <t>19.04.2021</t>
  </si>
  <si>
    <t>30.04.21</t>
  </si>
  <si>
    <t>30-06-2021 BD</t>
  </si>
  <si>
    <t>05.04.2021</t>
  </si>
  <si>
    <t>30.04.2021</t>
  </si>
  <si>
    <t>APDRP LOAN</t>
  </si>
  <si>
    <t>REC LONG TERM LOAN</t>
  </si>
  <si>
    <t>Apr20-Mar21</t>
  </si>
  <si>
    <t>17.05.2021</t>
  </si>
  <si>
    <t>28.05.2021</t>
  </si>
  <si>
    <t>05.05.2021</t>
  </si>
  <si>
    <t>31.05.2021</t>
  </si>
  <si>
    <t>30.06.2021</t>
  </si>
  <si>
    <t>04.06.2021</t>
  </si>
  <si>
    <t>14.07.2021</t>
  </si>
  <si>
    <t>30.07.2021</t>
  </si>
  <si>
    <t>01.08.2021 BD</t>
  </si>
  <si>
    <t>08.07.2021</t>
  </si>
  <si>
    <t>31.07.2021</t>
  </si>
  <si>
    <t>11.08.2021</t>
  </si>
  <si>
    <t>30.08.2021</t>
  </si>
  <si>
    <t>01.09.2021 BD</t>
  </si>
  <si>
    <t>03.08.2021</t>
  </si>
  <si>
    <t>31.08.2021</t>
  </si>
  <si>
    <t>14.09.2021</t>
  </si>
  <si>
    <t>30.09.2021</t>
  </si>
  <si>
    <t>30.09.2021 BD</t>
  </si>
  <si>
    <t>02.09.2021</t>
  </si>
  <si>
    <t>18.10.2021</t>
  </si>
  <si>
    <t>29.10.2021</t>
  </si>
  <si>
    <t>30.10.2021 BD</t>
  </si>
  <si>
    <t>04.10.2021</t>
  </si>
  <si>
    <t>31.10.2021</t>
  </si>
  <si>
    <t>15.11.2021</t>
  </si>
  <si>
    <t>30.11.2021</t>
  </si>
  <si>
    <t>03.12.2021</t>
  </si>
  <si>
    <t>12.11.2021</t>
  </si>
  <si>
    <t>13.12.2021</t>
  </si>
  <si>
    <t>30.12.2021</t>
  </si>
  <si>
    <t>16.2.2022</t>
  </si>
  <si>
    <t>14.03.2022 BD</t>
  </si>
  <si>
    <t>20.01.2022</t>
  </si>
  <si>
    <t>28.01.2022</t>
  </si>
  <si>
    <t>03.01.2022</t>
  </si>
  <si>
    <t>10.02.2022</t>
  </si>
  <si>
    <t>02.03.2022</t>
  </si>
  <si>
    <t>05.02.2022</t>
  </si>
  <si>
    <t>28.02.2022</t>
  </si>
  <si>
    <t>17.03.2022</t>
  </si>
  <si>
    <t>30.03.2022</t>
  </si>
  <si>
    <t>01.02.2022 BD</t>
  </si>
  <si>
    <t>03.03.2022</t>
  </si>
  <si>
    <t>31.03.2022</t>
  </si>
  <si>
    <t>29.04.2022</t>
  </si>
  <si>
    <t>03.05.22 BD</t>
  </si>
  <si>
    <t>03.04.2022</t>
  </si>
  <si>
    <t>30.4.2022</t>
  </si>
  <si>
    <t>29.04.22</t>
  </si>
  <si>
    <t>23.04.22 SUPP</t>
  </si>
  <si>
    <t>FY 2122</t>
  </si>
  <si>
    <t>Apr21-Mar22</t>
  </si>
  <si>
    <t>ADDITION</t>
  </si>
  <si>
    <t>DEDUCTION</t>
  </si>
  <si>
    <t>Meters Installation</t>
  </si>
  <si>
    <t>Street Lighting Lamps/Lanterns</t>
  </si>
  <si>
    <t>Furniture &amp; Office Equipments</t>
  </si>
  <si>
    <t>Tools &amp; Equipments</t>
  </si>
  <si>
    <t>D.E.A. on Hire</t>
  </si>
  <si>
    <t>RDSS - Network Infra (Modernisation)</t>
  </si>
  <si>
    <t xml:space="preserve">RDSS - Network Infra (Modernisation)
</t>
  </si>
  <si>
    <t>Interest on Security Deposit paid</t>
  </si>
  <si>
    <t>Total Wire + Supply</t>
  </si>
  <si>
    <t>ARR</t>
  </si>
  <si>
    <t>FY2024-25</t>
  </si>
  <si>
    <t>Revenue gap</t>
  </si>
  <si>
    <t xml:space="preserve">Recovery of balance gap/(Surplus) of Current Control Period </t>
  </si>
  <si>
    <t>ARR for Wires Business (along with past recoveries with carrying cost)</t>
  </si>
  <si>
    <t>Total revenue</t>
  </si>
  <si>
    <t>Total gap/(surplus)</t>
  </si>
  <si>
    <t>Total ARR</t>
  </si>
  <si>
    <t>Wire Business</t>
  </si>
  <si>
    <t>Wires ARR (A)</t>
  </si>
  <si>
    <t>Add:  Gap/ (surplus) allocated in Wires &amp; Supply ratio of 3rd Control Period (B)</t>
  </si>
  <si>
    <t>Add:  Gap/ (surplus) allocated in Wires &amp; Supply ratio of 4th Control Period along with carrying cost (C )</t>
  </si>
  <si>
    <t>Wires ARR incl.Gap / (Surplus) (D=A+B+C)</t>
  </si>
  <si>
    <t>Revenue from Wheeling Charges at propsoed tariff (E )</t>
  </si>
  <si>
    <t>Revenue gap for Wire Business  (F=D-E)</t>
  </si>
  <si>
    <t>Recovery of Wheeling charges to Wires ARR (F=E/D)</t>
  </si>
  <si>
    <t>Supply ARR (A)</t>
  </si>
  <si>
    <t>Variable cost of PP (B)</t>
  </si>
  <si>
    <t>Fixed cost (Other elements + Fixed cost of PP) (C )</t>
  </si>
  <si>
    <t>Ratio of Variable to Supply ARR (for the purpose of gap/ (surplus) allocation (D=B/A)</t>
  </si>
  <si>
    <t>Add: the Gap/ (surplus) allocated in Wires &amp; Supply ratio (E )</t>
  </si>
  <si>
    <t>Add:  Gap/ (surplus) allocated in Wires &amp; Supply ratio of 4th Control Period along with carrying cost (F)</t>
  </si>
  <si>
    <t>Supply ARR incl.Gap / (Surplus) (G=A+E+F)</t>
  </si>
  <si>
    <t>Variable cost of PP (H=B+E*D)</t>
  </si>
  <si>
    <t>Fixed cost (Other elements + Fixed cost of PP) (I=G-H)</t>
  </si>
  <si>
    <t>Total Revenue (excl Wheeling charges) at proposed tariff (J)</t>
  </si>
  <si>
    <t>Revenue from Fixed/ Demand  Charges (K)</t>
  </si>
  <si>
    <t>Revenue from Energy &amp; other charges (Total revenue minus Fixed/ Demand  Charges minus Wheeling charges) (L=J-K)</t>
  </si>
  <si>
    <t>Revenue gap/(Surplus) (M=G-J)</t>
  </si>
  <si>
    <t>Recovery of Supply ARR-up (N=J/G)</t>
  </si>
  <si>
    <t>Recovery of Fixed cost from Fixed charges(O=K/I)</t>
  </si>
  <si>
    <t>Recovery of Variable cost from Energy charges etc(P=L/H)</t>
  </si>
  <si>
    <t>RPS-Solar_IEX</t>
  </si>
  <si>
    <t>RPS-Non-Solar_IEX</t>
  </si>
  <si>
    <t>RPS-Non-Solar</t>
  </si>
  <si>
    <t>RPS-Solar</t>
  </si>
  <si>
    <t>Revenue from Fixed/ Demand  Charges (D)</t>
  </si>
  <si>
    <t>FY 2023-24 (Proposed Tariff)</t>
  </si>
  <si>
    <t>FY 2024-25 (Proposed Tariff)</t>
  </si>
  <si>
    <t>Supply ARR including past gap (A)</t>
  </si>
  <si>
    <t>Variable cost of PP (including past gap) (B)</t>
  </si>
  <si>
    <t>Fixed cost (Other elements + Fixed cost of PP) (C=A-B )</t>
  </si>
  <si>
    <t>Total Wheeling Charge (Rs. /unit)</t>
  </si>
  <si>
    <t>Proportion of Fixed Charges</t>
  </si>
  <si>
    <t>Proportion of fixed charges in Supply ARR (including gap)</t>
  </si>
  <si>
    <t>Recovery of Fixed cost from Fixed charges/Demand charges (E=D/C)</t>
  </si>
  <si>
    <t>Buisness Process Automation</t>
  </si>
  <si>
    <t>BEST/FY19/06</t>
  </si>
  <si>
    <t>BEST/FY 23/06</t>
  </si>
  <si>
    <t xml:space="preserve">Non DPR Scheme </t>
  </si>
  <si>
    <t>PROP</t>
  </si>
  <si>
    <t>`</t>
  </si>
  <si>
    <t>Revenue gap recovery required in FY 23-24 and FY 24-25</t>
  </si>
  <si>
    <t>Working of Revenue gap - Wire and Supply Business wise</t>
  </si>
  <si>
    <t>% of recovery of ARR of Wire Business</t>
  </si>
  <si>
    <t>% of recovery of ARR of Supply Business (Fixed/Variable cost)</t>
  </si>
  <si>
    <r>
      <rPr>
        <b/>
        <i/>
        <sz val="11"/>
        <rFont val="Calibri"/>
        <family val="2"/>
        <scheme val="minor"/>
      </rPr>
      <t>Note</t>
    </r>
    <r>
      <rPr>
        <i/>
        <sz val="11"/>
        <rFont val="Calibri"/>
        <family val="2"/>
        <scheme val="minor"/>
      </rPr>
      <t>: Please give detailed explanation separately for the deviations on account of uncontrollable factors</t>
    </r>
  </si>
  <si>
    <t>DO NOT DELETE</t>
  </si>
  <si>
    <t>NOT APPLICABLE</t>
  </si>
  <si>
    <t>HT IV- PWW from FY2016-17 - (Previously up to FY2015-16 billed under HT-I Industrial)</t>
  </si>
  <si>
    <t>HT V- Railways, Metro, Monorail  from Nov 16-(previously up to FY2015-16 billed under HT-II Commercial)</t>
  </si>
  <si>
    <t>HT VI-(A)Public services (Govt. Hospitals and Educational Institutions) from FY2016-17 (Previously up to FY2015-16  billed under HT V)</t>
  </si>
  <si>
    <t>HT VI-(B) Public services (Others) from FY2016-17 (Previously  up to Fy2015-16 billed under HT V)</t>
  </si>
  <si>
    <t>HT-VII Temporary Supply from FY 2016-17 (Previously up to FY2015-16-  billed under HT - IV Temporary)</t>
  </si>
  <si>
    <t>LT - II (c) Commercial
&gt;50</t>
  </si>
  <si>
    <t>LT III(B) Industry Above 20 kW (Previously LT IV (A) &amp; (B) up to FY2015-16)</t>
  </si>
  <si>
    <t xml:space="preserve"> LT - IV (a) Industrial upto FY 15-16</t>
  </si>
  <si>
    <t>LT - IV (b) Industrial upto FY 15-16</t>
  </si>
  <si>
    <t>LT-IV PWW (Previously up to FY2015-16 billed under LT IV (A) &amp; (B) Industrial)</t>
  </si>
  <si>
    <t xml:space="preserve">LT - IX (A) Public Services -Govt. Hosp. &amp; Edu. Institutions from FY2016-17 onwards  (up to FY2015-16 Hospital and Educational Institutions&lt;=20 Kw) </t>
  </si>
  <si>
    <t xml:space="preserve">LT - IX (B) Public Services -others from FY2016-17 onwards  (up to FY2015-16 Hospital and Educational Institutions&gt;20 Kw) </t>
  </si>
  <si>
    <t>Sai Wardha</t>
  </si>
  <si>
    <t xml:space="preserve">Past Period Pool Imbalance </t>
  </si>
  <si>
    <t>BEST/FY13/09B</t>
  </si>
  <si>
    <t>New Receiving Statations</t>
  </si>
  <si>
    <t>MERC/DESK TECH _V/CAP/DPR/20122013/02979</t>
  </si>
  <si>
    <t>28.03.2013</t>
  </si>
  <si>
    <t>New RSS to meet increasing load</t>
  </si>
  <si>
    <t>MERC/CAPEX/FY          2016-17/00770 dtd.28.09.2016</t>
  </si>
  <si>
    <t>WIP</t>
  </si>
  <si>
    <t xml:space="preserve">Augementation / Replacement at existing RSS </t>
  </si>
  <si>
    <t xml:space="preserve">Revamping of existing  RSS </t>
  </si>
  <si>
    <t>MERC/DESK TECH_V/CAP/DPR/20122013/02688</t>
  </si>
  <si>
    <t>Revamping of exist. RSS to meet increased load</t>
  </si>
  <si>
    <t>-</t>
  </si>
  <si>
    <t>MERC/CAPEX/2017-18 /4706</t>
  </si>
  <si>
    <t>MERC/CAPEX/2019-20 /135</t>
  </si>
  <si>
    <t>MERC/CAPEX/2020-21/553</t>
  </si>
  <si>
    <t>New Distribution Substation &amp; Augmentation &amp; alteration to existing DSS</t>
  </si>
  <si>
    <t xml:space="preserve">New Distribution Substation </t>
  </si>
  <si>
    <t>MERC/CAPEX/2017-18/4708</t>
  </si>
  <si>
    <t>New DSS to meet increasing load</t>
  </si>
  <si>
    <t xml:space="preserve">Extension of Distribution Netwrok </t>
  </si>
  <si>
    <t>SCADA,Computerisation &amp; digitisation</t>
  </si>
  <si>
    <t>SCADA</t>
  </si>
  <si>
    <t>MERC/CAPEX/2017-18 /4759</t>
  </si>
  <si>
    <t>22.11.2017</t>
  </si>
  <si>
    <t>Improved service to consumers</t>
  </si>
  <si>
    <t>IPDS L&amp;T -PART</t>
  </si>
  <si>
    <t>MERC/CAPEX/2019-20/418</t>
  </si>
  <si>
    <t>26.07.19</t>
  </si>
  <si>
    <t>IPDS BEST -PART</t>
  </si>
  <si>
    <t>14.11.2022</t>
  </si>
  <si>
    <t>Furniture, Office Eq., Tools, Civil Engg. Works, Motor Vehicle etc.</t>
  </si>
  <si>
    <t>BEST/FY21/01</t>
  </si>
  <si>
    <t>MERC/CAPEX /FY 2020-21/</t>
  </si>
  <si>
    <t>16.07.2020</t>
  </si>
  <si>
    <t>BEST/FY21/03</t>
  </si>
  <si>
    <t>MERC/CAPEX/2020-21/552</t>
  </si>
  <si>
    <t>BEST/FY21/04</t>
  </si>
  <si>
    <t>MERC/CAPEX/2020-21/</t>
  </si>
  <si>
    <t>22.06.2020</t>
  </si>
  <si>
    <t>Digitisation</t>
  </si>
  <si>
    <t>13.12.2017</t>
  </si>
  <si>
    <t>Integrated Power Development Scheme (IPDS)</t>
  </si>
  <si>
    <t>BEST/FY15-16/01</t>
  </si>
  <si>
    <t>IPDS-L &amp; T</t>
  </si>
  <si>
    <t>MERC/CAPEX/2019-20 /418</t>
  </si>
  <si>
    <t>IPDS BEST</t>
  </si>
  <si>
    <t>14.11.22</t>
  </si>
  <si>
    <t>MERC/CAPEX/FY 2016-17 /00770 dtd.28.09.2016</t>
  </si>
  <si>
    <t>BANK</t>
  </si>
  <si>
    <t>IPDS DPR (L&amp;T)</t>
  </si>
  <si>
    <t>IPDS DPR (BEST)</t>
  </si>
  <si>
    <t>(ii) Yet to receive in-principle MERC approval</t>
  </si>
  <si>
    <t>IPDS DPR</t>
  </si>
  <si>
    <t>BEST/FY 18/06</t>
  </si>
  <si>
    <t>Energy Meters</t>
  </si>
  <si>
    <t>MERC/CAPEX/2017-18/5091</t>
  </si>
  <si>
    <t>04.01.2018</t>
  </si>
  <si>
    <t>Accurate &amp; reliable energy measurement</t>
  </si>
  <si>
    <t>Apr-16</t>
  </si>
  <si>
    <t>Mar-18</t>
  </si>
  <si>
    <t>BEST/FY 19/06</t>
  </si>
  <si>
    <t>MERC/CAPEX/2019-20 / 1110</t>
  </si>
  <si>
    <t>28.11.2019</t>
  </si>
  <si>
    <t>Apr-18</t>
  </si>
  <si>
    <t>Mar-21</t>
  </si>
  <si>
    <t>BEST/FY2015-16/01</t>
  </si>
  <si>
    <t>MERC/CAPEX/2019-20/116</t>
  </si>
  <si>
    <t>18.04.2019</t>
  </si>
  <si>
    <t>Mar-20</t>
  </si>
  <si>
    <t>Apr-21</t>
  </si>
  <si>
    <t>Mar-23</t>
  </si>
  <si>
    <t xml:space="preserve">RDSS - ERP, Billing Software and IT/OT enablement works 
</t>
  </si>
  <si>
    <t>RDSS Scheme</t>
  </si>
  <si>
    <t xml:space="preserve">RDSS - Auxiliary component cost for Consumer metering
</t>
  </si>
  <si>
    <t xml:space="preserve">MERC/DESK TECH_V/CAP/DPR/20122013/02979 </t>
  </si>
  <si>
    <t>70:30</t>
  </si>
  <si>
    <t>MERC/CAPEX /FY 2020-21/ dated 16.07.2020</t>
  </si>
  <si>
    <t>MERC/DESK TECH_V/CAP/DPR/20122013/02688 Dtd.22.02.2013</t>
  </si>
  <si>
    <t>MERC/CAPEX/2017-18/ 4706  Dtd. 16.11.2017</t>
  </si>
  <si>
    <t>MERC/CAPEX/2017-18/ 4706  Dtd. 10.05.2019</t>
  </si>
  <si>
    <t>MERC/CAP/DPR/2020-21/553 Dtd 15.12.2021</t>
  </si>
  <si>
    <t>MERC/CAPEX/2017-18/ 4708 Dtd.16.11.2017</t>
  </si>
  <si>
    <t>MERC/CAPEX/2017-18/ 4708 Dtd.15.12.2021</t>
  </si>
  <si>
    <t>MERC/CAPEX/2017-18/ 4784 Dtd.28.11.2017</t>
  </si>
  <si>
    <t>MERC/CAPEX/2017-18/ 4784 Dtd.22.06.2020</t>
  </si>
  <si>
    <t>MERC/CAPEX/2017-18/ 4759</t>
  </si>
  <si>
    <t>MERC/CAPEX/2017-18/ 4886</t>
  </si>
  <si>
    <t>IPDS L&amp; T</t>
  </si>
  <si>
    <t>MERC/CAPEX/2019-20 /418 Dtd. 26.07.2019</t>
  </si>
  <si>
    <t>60% Grant (70:30 on BEST 40% anmt.)</t>
  </si>
  <si>
    <t>Prop. Cost</t>
  </si>
  <si>
    <t>14/11/2022</t>
  </si>
  <si>
    <t xml:space="preserve">Not yet approved </t>
  </si>
  <si>
    <t>MERC/CAPEX/2019-20/ 116</t>
  </si>
  <si>
    <t>Propo Cost</t>
  </si>
  <si>
    <t>BEST/FY23/06</t>
  </si>
  <si>
    <t>MERC/DESK TECH_V/ CAP /DPR/20122013 /02979</t>
  </si>
  <si>
    <t>MERC/CAPEX/2017-18/4706</t>
  </si>
  <si>
    <t>MERC/CAPEX/2019-20/ 135</t>
  </si>
  <si>
    <t>MERC/CAPEX/2017-18/4784</t>
  </si>
  <si>
    <t>SCADA,BPA &amp; Distribution Automation</t>
  </si>
  <si>
    <t>MERC/CAPEX/2017-18/4886</t>
  </si>
  <si>
    <t>BEST/FY15-16/01 L&amp;T PART</t>
  </si>
  <si>
    <t>MERC/CAPEX/2019-20/ 418</t>
  </si>
  <si>
    <t>BEST/FY15-16/01 -BEST PART</t>
  </si>
  <si>
    <t>Revamping of RSS &amp; other schemes (Non-DPR)</t>
  </si>
  <si>
    <t>Buisness Process Automation (BPA)</t>
  </si>
  <si>
    <t>BEST/FY18/08A (SCADA)</t>
  </si>
  <si>
    <t>BEST/FY15-16/01 BEST PART</t>
  </si>
  <si>
    <t>BEST/FY18/06</t>
  </si>
  <si>
    <t>MERC/CAPEX/2017-18/ 5091</t>
  </si>
  <si>
    <t>08.04.2019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</si>
</sst>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4" formatCode="_ &quot;₹&quot;\ * #,##0.00_ ;_ &quot;₹&quot;\ * \-#,##0.00_ ;_ &quot;₹&quot;\ * &quot;-&quot;??_ ;_ @_ "/>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_(* #,##0_);_(* \(#,##0\);_(* &quot;-&quot;??_);_(@_)"/>
    <numFmt numFmtId="169" formatCode="_-* #,##0_-;\-* #,##0_-;_-* &quot;-&quot;??_-;_-@_-"/>
    <numFmt numFmtId="170" formatCode="_ * #,##0_ ;_ * \-#,##0_ ;_ * &quot;-&quot;??_ ;_ @_ "/>
    <numFmt numFmtId="171" formatCode="0.00000"/>
    <numFmt numFmtId="172" formatCode="0.0"/>
    <numFmt numFmtId="173" formatCode="[$-409]mmm\-yy;@"/>
    <numFmt numFmtId="174" formatCode="_ * #,##0.000000_ ;_ * \-#,##0.000000_ ;_ * &quot;-&quot;??_ ;_ @_ "/>
    <numFmt numFmtId="175" formatCode="0.000000000000000%"/>
    <numFmt numFmtId="176" formatCode="0.000%"/>
    <numFmt numFmtId="177" formatCode="_ * #,##0.00000_ ;_ * \-#,##0.00000_ ;_ * &quot;-&quot;??_ ;_ @_ "/>
    <numFmt numFmtId="178" formatCode="0&quot; Rs/kVA/Month&quot;"/>
    <numFmt numFmtId="179" formatCode="0.00&quot; Rs/kWh&quot;"/>
    <numFmt numFmtId="180" formatCode="0.00&quot; Rs/Con/Month&quot;"/>
    <numFmt numFmtId="181" formatCode="0.00&quot; Rs/Kw/Month&quot;"/>
    <numFmt numFmtId="182" formatCode="0&quot; Rs/kW/Month&quot;"/>
    <numFmt numFmtId="183" formatCode="&quot;₹&quot;\ #,##0.00"/>
    <numFmt numFmtId="184" formatCode="_ * #,##0.0_ ;_ * \-#,##0.0_ ;_ * &quot;-&quot;??_ ;_ @_ "/>
    <numFmt numFmtId="185" formatCode="0.0%"/>
    <numFmt numFmtId="186" formatCode="_(* #,##0.00_);_(* \(#,##0.00\);_(* &quot;-&quot;_);_(@_)"/>
    <numFmt numFmtId="187" formatCode="_(* #,##0.0000000000000000_);_(* \(#,##0.0000000000000000\);_(* &quot;-&quot;??_);_(@_)"/>
    <numFmt numFmtId="188" formatCode="_(* #,##0.0000_);_(* \(#,##0.0000\);_(* &quot;-&quot;??_);_(@_)"/>
    <numFmt numFmtId="189" formatCode="_(* #,##0.000000_);_(* \(#,##0.000000\);_(* &quot;-&quot;??_);_(@_)"/>
    <numFmt numFmtId="190" formatCode="0.000"/>
    <numFmt numFmtId="191" formatCode="0.0000%"/>
    <numFmt numFmtId="192" formatCode="0.00000000000000%"/>
    <numFmt numFmtId="193" formatCode="0.0000"/>
    <numFmt numFmtId="194" formatCode="0.00&quot; Rs/kVAh&quot;"/>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1"/>
      <color indexed="8"/>
      <name val="Times New Roman"/>
      <family val="1"/>
    </font>
    <font>
      <b/>
      <sz val="12"/>
      <name val="Times New Roman"/>
      <family val="1"/>
    </font>
    <font>
      <b/>
      <sz val="14"/>
      <name val="Times New Roman"/>
      <family val="1"/>
    </font>
    <font>
      <sz val="11"/>
      <color indexed="9"/>
      <name val="Times New Roman"/>
      <family val="1"/>
    </font>
    <font>
      <sz val="11"/>
      <color indexed="13"/>
      <name val="Times New Roman"/>
      <family val="1"/>
    </font>
    <font>
      <sz val="11"/>
      <color indexed="50"/>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u/>
      <sz val="11"/>
      <name val="Times New Roman"/>
      <family val="1"/>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sz val="10"/>
      <name val="Times New Roman"/>
      <family val="1"/>
    </font>
    <font>
      <i/>
      <sz val="11"/>
      <name val="Times New Roman"/>
      <family val="1"/>
    </font>
    <font>
      <b/>
      <sz val="11"/>
      <name val="Book Antiqua"/>
      <family val="1"/>
    </font>
    <font>
      <b/>
      <sz val="11"/>
      <color rgb="FF000000"/>
      <name val="Book Antiqua"/>
      <family val="1"/>
    </font>
    <font>
      <sz val="11"/>
      <name val="Book Antiqua"/>
      <family val="1"/>
    </font>
    <font>
      <sz val="11"/>
      <color rgb="FF000000"/>
      <name val="Book Antiqua"/>
      <family val="1"/>
    </font>
    <font>
      <b/>
      <u/>
      <sz val="11"/>
      <name val="Times New Roman"/>
      <family val="1"/>
    </font>
    <font>
      <i/>
      <sz val="11"/>
      <color theme="1"/>
      <name val="Times New Roman"/>
      <family val="1"/>
    </font>
    <font>
      <b/>
      <sz val="10"/>
      <name val="Times New Roman"/>
      <family val="1"/>
    </font>
    <font>
      <sz val="10"/>
      <color theme="1"/>
      <name val="Arial"/>
      <family val="2"/>
    </font>
    <font>
      <b/>
      <sz val="10"/>
      <color theme="1"/>
      <name val="Arial"/>
      <family val="2"/>
    </font>
    <font>
      <b/>
      <sz val="12"/>
      <color theme="1"/>
      <name val="Arial"/>
      <family val="2"/>
    </font>
    <font>
      <b/>
      <sz val="11"/>
      <color rgb="FF000000"/>
      <name val="Times New Roman"/>
      <family val="1"/>
    </font>
    <font>
      <sz val="11"/>
      <color rgb="FF000000"/>
      <name val="Times New Roman"/>
      <family val="1"/>
    </font>
    <font>
      <sz val="10"/>
      <name val="Arial"/>
      <family val="2"/>
    </font>
    <font>
      <sz val="10"/>
      <name val="Arial"/>
      <family val="2"/>
    </font>
    <font>
      <b/>
      <i/>
      <sz val="11"/>
      <name val="Times New Roman"/>
      <family val="1"/>
    </font>
    <font>
      <b/>
      <sz val="10"/>
      <name val="Arial"/>
      <family val="2"/>
    </font>
    <font>
      <b/>
      <sz val="11"/>
      <color theme="1"/>
      <name val="Calibri"/>
      <family val="2"/>
      <scheme val="minor"/>
    </font>
    <font>
      <sz val="11"/>
      <name val="Calibri"/>
      <family val="2"/>
      <scheme val="minor"/>
    </font>
    <font>
      <sz val="10"/>
      <color indexed="8"/>
      <name val="Arial"/>
      <family val="2"/>
    </font>
    <font>
      <u/>
      <sz val="10"/>
      <color theme="10"/>
      <name val="Arial"/>
      <family val="2"/>
    </font>
    <font>
      <b/>
      <sz val="11"/>
      <color rgb="FFFF0000"/>
      <name val="Times New Roman"/>
      <family val="1"/>
    </font>
    <font>
      <sz val="12"/>
      <color theme="1"/>
      <name val="Times New Roman"/>
      <family val="1"/>
    </font>
    <font>
      <b/>
      <sz val="10"/>
      <name val="Calibri"/>
      <family val="2"/>
      <scheme val="minor"/>
    </font>
    <font>
      <sz val="10"/>
      <name val="Calibri"/>
      <family val="2"/>
      <scheme val="minor"/>
    </font>
    <font>
      <b/>
      <sz val="11"/>
      <color indexed="9"/>
      <name val="Calibri"/>
      <family val="2"/>
      <scheme val="minor"/>
    </font>
    <font>
      <b/>
      <sz val="11"/>
      <name val="Calibri"/>
      <family val="2"/>
      <scheme val="minor"/>
    </font>
    <font>
      <sz val="12"/>
      <name val="Calibri"/>
      <family val="2"/>
      <scheme val="minor"/>
    </font>
    <font>
      <sz val="9"/>
      <color indexed="81"/>
      <name val="Tahoma"/>
      <family val="2"/>
    </font>
    <font>
      <b/>
      <sz val="9"/>
      <color indexed="81"/>
      <name val="Tahoma"/>
      <family val="2"/>
    </font>
    <font>
      <u/>
      <sz val="11"/>
      <color theme="10"/>
      <name val="Calibri"/>
      <family val="2"/>
      <scheme val="minor"/>
    </font>
    <font>
      <sz val="7"/>
      <name val="Book Antiqua"/>
      <family val="1"/>
    </font>
    <font>
      <sz val="10"/>
      <color theme="1"/>
      <name val="Times New Roman"/>
      <family val="1"/>
    </font>
    <font>
      <sz val="10"/>
      <color rgb="FF000000"/>
      <name val="Arial"/>
      <family val="2"/>
    </font>
    <font>
      <sz val="11"/>
      <color theme="0"/>
      <name val="Calibri"/>
      <family val="2"/>
      <scheme val="minor"/>
    </font>
    <font>
      <b/>
      <sz val="10"/>
      <color theme="1"/>
      <name val="Times New Roman"/>
      <family val="1"/>
    </font>
    <font>
      <sz val="11"/>
      <color rgb="FFFF0000"/>
      <name val="Times New Roman"/>
      <family val="1"/>
    </font>
    <font>
      <b/>
      <sz val="8"/>
      <color theme="1"/>
      <name val="Times New Roman"/>
      <family val="1"/>
    </font>
    <font>
      <sz val="9"/>
      <color theme="1"/>
      <name val="Times New Roman"/>
      <family val="1"/>
    </font>
    <font>
      <b/>
      <sz val="11"/>
      <color theme="0"/>
      <name val="Times New Roman"/>
      <family val="1"/>
    </font>
    <font>
      <sz val="11"/>
      <color theme="0"/>
      <name val="Times New Roman"/>
      <family val="1"/>
    </font>
    <font>
      <b/>
      <sz val="10"/>
      <color theme="0"/>
      <name val="Times New Roman"/>
      <family val="1"/>
    </font>
    <font>
      <sz val="10"/>
      <color indexed="8"/>
      <name val="Times New Roman"/>
      <family val="1"/>
    </font>
    <font>
      <b/>
      <sz val="10"/>
      <color rgb="FF000000"/>
      <name val="Times New Roman"/>
      <family val="1"/>
    </font>
    <font>
      <sz val="10"/>
      <color rgb="FF000000"/>
      <name val="Times New Roman"/>
      <family val="1"/>
    </font>
    <font>
      <b/>
      <sz val="11"/>
      <color theme="0"/>
      <name val="Calibri"/>
      <family val="2"/>
      <scheme val="minor"/>
    </font>
    <font>
      <sz val="11"/>
      <color rgb="FFFF0000"/>
      <name val="Calibri"/>
      <family val="2"/>
      <scheme val="minor"/>
    </font>
    <font>
      <b/>
      <u/>
      <sz val="10"/>
      <name val="Arial"/>
      <family val="2"/>
    </font>
    <font>
      <b/>
      <i/>
      <sz val="10"/>
      <name val="Times New Roman"/>
      <family val="1"/>
    </font>
    <font>
      <b/>
      <sz val="10"/>
      <color theme="1"/>
      <name val="Calibri"/>
      <family val="2"/>
      <scheme val="minor"/>
    </font>
    <font>
      <i/>
      <sz val="11"/>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vertAlign val="superscript"/>
      <sz val="11"/>
      <color theme="0"/>
      <name val="Times New Roman"/>
      <family val="1"/>
    </font>
    <font>
      <sz val="10"/>
      <color theme="0"/>
      <name val="Arial"/>
      <family val="2"/>
    </font>
    <font>
      <i/>
      <u/>
      <sz val="11"/>
      <name val="Times New Roman"/>
      <family val="1"/>
    </font>
  </fonts>
  <fills count="3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indexed="65"/>
        <bgColor indexed="64"/>
      </patternFill>
    </fill>
    <fill>
      <patternFill patternType="solid">
        <fgColor rgb="FFFFCC99"/>
        <bgColor indexed="64"/>
      </patternFill>
    </fill>
    <fill>
      <patternFill patternType="solid">
        <fgColor rgb="FFFBCBA3"/>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FF"/>
        <bgColor rgb="FFFFFFFF"/>
      </patternFill>
    </fill>
    <fill>
      <patternFill patternType="solid">
        <fgColor theme="2" tint="-9.9978637043366805E-2"/>
        <bgColor indexed="64"/>
      </patternFill>
    </fill>
    <fill>
      <patternFill patternType="solid">
        <fgColor rgb="FF00206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70C0"/>
        <bgColor indexed="64"/>
      </patternFill>
    </fill>
  </fills>
  <borders count="61">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s>
  <cellStyleXfs count="114">
    <xf numFmtId="0" fontId="0" fillId="0" borderId="0"/>
    <xf numFmtId="0" fontId="26" fillId="0" borderId="0" applyNumberFormat="0" applyFill="0" applyBorder="0" applyAlignment="0" applyProtection="0"/>
    <xf numFmtId="0" fontId="27" fillId="0" borderId="1"/>
    <xf numFmtId="0" fontId="27" fillId="0" borderId="1"/>
    <xf numFmtId="38" fontId="28" fillId="2" borderId="0" applyNumberFormat="0" applyBorder="0" applyAlignment="0" applyProtection="0"/>
    <xf numFmtId="0" fontId="29" fillId="0" borderId="2" applyNumberFormat="0" applyAlignment="0" applyProtection="0">
      <alignment horizontal="left" vertical="center"/>
    </xf>
    <xf numFmtId="0" fontId="29" fillId="0" borderId="3">
      <alignment horizontal="left" vertical="center"/>
    </xf>
    <xf numFmtId="10" fontId="28" fillId="3" borderId="4" applyNumberFormat="0" applyBorder="0" applyAlignment="0" applyProtection="0"/>
    <xf numFmtId="37" fontId="30" fillId="0" borderId="0"/>
    <xf numFmtId="166" fontId="31" fillId="0" borderId="0"/>
    <xf numFmtId="0" fontId="25" fillId="0" borderId="0"/>
    <xf numFmtId="0" fontId="25" fillId="0" borderId="0"/>
    <xf numFmtId="0" fontId="16" fillId="0" borderId="0"/>
    <xf numFmtId="0" fontId="16" fillId="0" borderId="0"/>
    <xf numFmtId="0" fontId="25" fillId="0" borderId="0">
      <alignment vertical="center"/>
    </xf>
    <xf numFmtId="0" fontId="25" fillId="0" borderId="0">
      <alignment vertical="center"/>
    </xf>
    <xf numFmtId="167" fontId="25" fillId="0" borderId="0" applyFont="0" applyFill="0" applyBorder="0" applyAlignment="0" applyProtection="0"/>
    <xf numFmtId="10" fontId="25" fillId="0" borderId="0" applyFont="0" applyFill="0" applyBorder="0" applyAlignment="0" applyProtection="0"/>
    <xf numFmtId="0" fontId="25" fillId="0" borderId="0"/>
    <xf numFmtId="0" fontId="37" fillId="0" borderId="0"/>
    <xf numFmtId="164" fontId="37" fillId="0" borderId="0" applyFont="0" applyFill="0" applyBorder="0" applyAlignment="0" applyProtection="0"/>
    <xf numFmtId="9" fontId="37" fillId="0" borderId="0" applyFont="0" applyFill="0" applyBorder="0" applyAlignment="0" applyProtection="0"/>
    <xf numFmtId="165" fontId="40" fillId="0" borderId="0" applyFont="0" applyFill="0" applyBorder="0" applyAlignment="0" applyProtection="0"/>
    <xf numFmtId="0" fontId="41" fillId="0" borderId="0"/>
    <xf numFmtId="9" fontId="40" fillId="0" borderId="0" applyFont="0" applyFill="0" applyBorder="0" applyAlignment="0" applyProtection="0"/>
    <xf numFmtId="0" fontId="42" fillId="0" borderId="0"/>
    <xf numFmtId="164" fontId="25" fillId="0" borderId="0" applyFont="0" applyFill="0" applyBorder="0" applyAlignment="0" applyProtection="0"/>
    <xf numFmtId="0" fontId="25"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alignment vertical="center"/>
    </xf>
    <xf numFmtId="16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64" fontId="25" fillId="0" borderId="0" applyFont="0" applyFill="0" applyBorder="0" applyAlignment="0" applyProtection="0"/>
    <xf numFmtId="43"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40"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0" fontId="25" fillId="0" borderId="0" applyBorder="0" applyProtection="0"/>
    <xf numFmtId="167" fontId="40"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alignment vertical="center"/>
    </xf>
    <xf numFmtId="0" fontId="13" fillId="0" borderId="0"/>
    <xf numFmtId="164" fontId="13" fillId="0" borderId="0" applyFont="0" applyFill="0" applyBorder="0" applyAlignment="0" applyProtection="0"/>
    <xf numFmtId="165" fontId="25"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56" fillId="0" borderId="0" applyFont="0" applyFill="0" applyBorder="0" applyAlignment="0" applyProtection="0"/>
    <xf numFmtId="9" fontId="57" fillId="0" borderId="0" applyFont="0" applyFill="0" applyBorder="0" applyAlignment="0" applyProtection="0"/>
    <xf numFmtId="164" fontId="25" fillId="0" borderId="0" applyFont="0" applyFill="0" applyBorder="0" applyAlignment="0" applyProtection="0"/>
    <xf numFmtId="0" fontId="12" fillId="0" borderId="0"/>
    <xf numFmtId="0" fontId="63" fillId="0" borderId="0" applyNumberForma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25" fillId="0" borderId="0"/>
    <xf numFmtId="0" fontId="10" fillId="0" borderId="0"/>
    <xf numFmtId="9" fontId="10" fillId="0" borderId="0" applyFont="0" applyFill="0" applyBorder="0" applyAlignment="0" applyProtection="0"/>
    <xf numFmtId="0" fontId="73" fillId="0" borderId="0" applyNumberFormat="0" applyFill="0" applyBorder="0" applyAlignment="0" applyProtection="0"/>
    <xf numFmtId="0" fontId="76" fillId="0" borderId="0"/>
    <xf numFmtId="0" fontId="9" fillId="0" borderId="0"/>
    <xf numFmtId="9" fontId="9" fillId="0" borderId="0" applyFont="0" applyFill="0" applyBorder="0" applyAlignment="0" applyProtection="0"/>
    <xf numFmtId="164" fontId="9" fillId="0" borderId="0" applyFont="0" applyFill="0" applyBorder="0" applyAlignment="0" applyProtection="0"/>
    <xf numFmtId="43" fontId="25" fillId="0" borderId="0" applyFont="0" applyFill="0" applyBorder="0" applyAlignment="0" applyProtection="0"/>
    <xf numFmtId="0" fontId="8" fillId="0" borderId="0"/>
    <xf numFmtId="164" fontId="8" fillId="0" borderId="0" applyFont="0" applyFill="0" applyBorder="0" applyAlignment="0" applyProtection="0"/>
    <xf numFmtId="0" fontId="7" fillId="0" borderId="0"/>
    <xf numFmtId="43" fontId="7" fillId="0" borderId="0" applyFont="0" applyFill="0" applyBorder="0" applyAlignment="0" applyProtection="0"/>
    <xf numFmtId="164" fontId="25" fillId="0" borderId="0" applyFont="0" applyFill="0" applyBorder="0" applyAlignment="0" applyProtection="0"/>
    <xf numFmtId="9" fontId="7"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cellStyleXfs>
  <cellXfs count="2513">
    <xf numFmtId="0" fontId="0" fillId="0" borderId="0" xfId="0"/>
    <xf numFmtId="0" fontId="14" fillId="0" borderId="0" xfId="10" applyFont="1"/>
    <xf numFmtId="0" fontId="14" fillId="0" borderId="0" xfId="10" applyFont="1" applyFill="1"/>
    <xf numFmtId="0" fontId="14" fillId="0" borderId="4" xfId="10" applyFont="1" applyFill="1" applyBorder="1"/>
    <xf numFmtId="0" fontId="15" fillId="0" borderId="4" xfId="10" applyFont="1" applyFill="1" applyBorder="1"/>
    <xf numFmtId="0" fontId="14" fillId="0" borderId="0" xfId="10" applyFont="1" applyBorder="1"/>
    <xf numFmtId="0" fontId="15" fillId="0" borderId="0" xfId="10" applyFont="1" applyFill="1" applyBorder="1" applyAlignment="1">
      <alignment horizontal="center"/>
    </xf>
    <xf numFmtId="0" fontId="14" fillId="0" borderId="0" xfId="10" applyFont="1" applyAlignment="1">
      <alignment horizontal="centerContinuous"/>
    </xf>
    <xf numFmtId="0" fontId="15" fillId="0" borderId="0" xfId="10" applyFont="1" applyBorder="1"/>
    <xf numFmtId="0" fontId="14" fillId="5" borderId="0" xfId="10" applyFont="1" applyFill="1" applyBorder="1"/>
    <xf numFmtId="0" fontId="15" fillId="0" borderId="0" xfId="10" applyFont="1" applyAlignment="1">
      <alignment horizontal="centerContinuous"/>
    </xf>
    <xf numFmtId="0" fontId="14" fillId="0" borderId="4" xfId="10" applyFont="1" applyBorder="1"/>
    <xf numFmtId="0" fontId="14" fillId="5" borderId="4" xfId="10" applyFont="1" applyFill="1" applyBorder="1"/>
    <xf numFmtId="0" fontId="14" fillId="0" borderId="0" xfId="10" applyFont="1" applyFill="1" applyBorder="1"/>
    <xf numFmtId="0" fontId="15" fillId="4" borderId="4" xfId="10" applyFont="1" applyFill="1" applyBorder="1"/>
    <xf numFmtId="0" fontId="14" fillId="0" borderId="0" xfId="14" applyFont="1">
      <alignment vertical="center"/>
    </xf>
    <xf numFmtId="0" fontId="15" fillId="0" borderId="0" xfId="14" applyFont="1" applyAlignment="1">
      <alignment horizontal="centerContinuous" vertical="center"/>
    </xf>
    <xf numFmtId="0" fontId="14" fillId="0" borderId="0" xfId="14" applyFont="1" applyAlignment="1">
      <alignment horizontal="centerContinuous" vertical="center"/>
    </xf>
    <xf numFmtId="0" fontId="15" fillId="0" borderId="0" xfId="10" applyFont="1" applyBorder="1" applyAlignment="1">
      <alignment horizontal="centerContinuous" vertical="top"/>
    </xf>
    <xf numFmtId="0" fontId="14" fillId="0" borderId="0" xfId="10" applyFont="1" applyBorder="1" applyAlignment="1">
      <alignment horizontal="centerContinuous"/>
    </xf>
    <xf numFmtId="0" fontId="15" fillId="0" borderId="0" xfId="10" applyFont="1" applyBorder="1" applyAlignment="1">
      <alignment horizontal="centerContinuous"/>
    </xf>
    <xf numFmtId="0" fontId="15" fillId="0" borderId="0" xfId="14" applyFont="1" applyAlignment="1">
      <alignment horizontal="right" vertical="center"/>
    </xf>
    <xf numFmtId="0" fontId="15" fillId="0" borderId="0" xfId="14" applyFont="1">
      <alignment vertical="center"/>
    </xf>
    <xf numFmtId="0" fontId="15" fillId="7" borderId="0" xfId="14" applyFont="1" applyFill="1" applyBorder="1" applyAlignment="1">
      <alignment horizontal="center" vertical="center" wrapText="1"/>
    </xf>
    <xf numFmtId="0" fontId="14" fillId="7" borderId="0" xfId="14" applyFont="1" applyFill="1" applyBorder="1">
      <alignment vertical="center"/>
    </xf>
    <xf numFmtId="0" fontId="14" fillId="0" borderId="4" xfId="14" applyFont="1" applyBorder="1">
      <alignment vertical="center"/>
    </xf>
    <xf numFmtId="0" fontId="15" fillId="5" borderId="4" xfId="10" applyFont="1" applyFill="1" applyBorder="1" applyAlignment="1" applyProtection="1">
      <alignment horizontal="left"/>
    </xf>
    <xf numFmtId="0" fontId="14" fillId="5" borderId="4" xfId="10" applyFont="1" applyFill="1" applyBorder="1" applyAlignment="1" applyProtection="1">
      <alignment horizontal="left"/>
    </xf>
    <xf numFmtId="0" fontId="15" fillId="0" borderId="4" xfId="14" applyFont="1" applyBorder="1">
      <alignment vertical="center"/>
    </xf>
    <xf numFmtId="0" fontId="14" fillId="5" borderId="4" xfId="10" quotePrefix="1" applyFont="1" applyFill="1" applyBorder="1" applyAlignment="1">
      <alignment horizontal="left" vertical="top" wrapText="1"/>
    </xf>
    <xf numFmtId="0" fontId="23" fillId="0" borderId="0" xfId="10" applyFont="1" applyAlignment="1">
      <alignment horizontal="center" vertical="center"/>
    </xf>
    <xf numFmtId="0" fontId="24" fillId="0" borderId="0" xfId="14" applyFont="1">
      <alignment vertical="center"/>
    </xf>
    <xf numFmtId="0" fontId="18" fillId="0" borderId="0" xfId="14" applyFont="1" applyAlignment="1">
      <alignment horizontal="right" vertical="center"/>
    </xf>
    <xf numFmtId="0" fontId="14" fillId="7" borderId="4" xfId="14" applyFont="1" applyFill="1" applyBorder="1">
      <alignment vertical="center"/>
    </xf>
    <xf numFmtId="0" fontId="14" fillId="0" borderId="0" xfId="14" applyFont="1" applyAlignment="1">
      <alignment vertical="center"/>
    </xf>
    <xf numFmtId="0" fontId="14" fillId="0" borderId="0" xfId="10" applyFont="1" applyBorder="1" applyAlignment="1"/>
    <xf numFmtId="0" fontId="14" fillId="0" borderId="0" xfId="10" applyFont="1" applyBorder="1" applyAlignment="1">
      <alignment vertical="top"/>
    </xf>
    <xf numFmtId="0" fontId="14" fillId="0" borderId="4" xfId="10" applyFont="1" applyBorder="1" applyAlignment="1">
      <alignment vertical="top"/>
    </xf>
    <xf numFmtId="0" fontId="15" fillId="0" borderId="4" xfId="10" applyFont="1" applyBorder="1"/>
    <xf numFmtId="0" fontId="33" fillId="0" borderId="0" xfId="10" applyFont="1" applyBorder="1" applyAlignment="1">
      <alignment horizontal="left"/>
    </xf>
    <xf numFmtId="0" fontId="14" fillId="0" borderId="0" xfId="10" applyFont="1" applyBorder="1" applyAlignment="1">
      <alignment horizontal="center"/>
    </xf>
    <xf numFmtId="0" fontId="15" fillId="0" borderId="0" xfId="10" applyFont="1" applyBorder="1" applyAlignment="1">
      <alignment horizontal="left"/>
    </xf>
    <xf numFmtId="0" fontId="15" fillId="0" borderId="0" xfId="10" applyFont="1" applyBorder="1" applyAlignment="1">
      <alignment horizontal="right"/>
    </xf>
    <xf numFmtId="0" fontId="14" fillId="0" borderId="0" xfId="14" applyFont="1" applyFill="1" applyBorder="1">
      <alignment vertical="center"/>
    </xf>
    <xf numFmtId="0" fontId="15" fillId="0" borderId="0" xfId="10" applyFont="1" applyBorder="1" applyAlignment="1">
      <alignment horizontal="justify" vertical="top" wrapText="1"/>
    </xf>
    <xf numFmtId="0" fontId="15" fillId="0" borderId="0" xfId="10" applyFont="1" applyBorder="1" applyAlignment="1">
      <alignment vertical="center"/>
    </xf>
    <xf numFmtId="0" fontId="15" fillId="0" borderId="0" xfId="10" applyFont="1" applyBorder="1" applyAlignment="1">
      <alignment horizontal="left" vertical="top"/>
    </xf>
    <xf numFmtId="0" fontId="14" fillId="0" borderId="0" xfId="10" applyFont="1" applyBorder="1" applyAlignment="1">
      <alignment horizontal="centerContinuous" vertical="top"/>
    </xf>
    <xf numFmtId="0" fontId="36" fillId="0" borderId="0" xfId="10" applyFont="1" applyFill="1" applyBorder="1"/>
    <xf numFmtId="0" fontId="15" fillId="0" borderId="0" xfId="10" applyFont="1" applyBorder="1" applyAlignment="1">
      <alignment horizontal="center"/>
    </xf>
    <xf numFmtId="0" fontId="15" fillId="0" borderId="4" xfId="10" applyFont="1" applyBorder="1" applyAlignment="1">
      <alignment vertical="top"/>
    </xf>
    <xf numFmtId="0" fontId="14" fillId="7" borderId="0" xfId="10" applyFont="1" applyFill="1" applyBorder="1"/>
    <xf numFmtId="0" fontId="14" fillId="0" borderId="4" xfId="10" applyFont="1" applyFill="1" applyBorder="1" applyAlignment="1" applyProtection="1">
      <alignment vertical="top" wrapText="1"/>
    </xf>
    <xf numFmtId="0" fontId="14" fillId="0" borderId="4" xfId="10" applyFont="1" applyFill="1" applyBorder="1" applyAlignment="1" applyProtection="1">
      <alignment horizontal="left" vertical="top" wrapText="1"/>
    </xf>
    <xf numFmtId="0" fontId="14" fillId="0" borderId="4" xfId="10" applyFont="1" applyFill="1" applyBorder="1" applyAlignment="1">
      <alignment vertical="top"/>
    </xf>
    <xf numFmtId="0" fontId="36" fillId="0" borderId="0" xfId="14" applyFont="1" applyFill="1">
      <alignment vertical="center"/>
    </xf>
    <xf numFmtId="0" fontId="15" fillId="0" borderId="0" xfId="10" applyFont="1" applyBorder="1" applyAlignment="1"/>
    <xf numFmtId="0" fontId="15" fillId="0" borderId="0" xfId="14" applyFont="1" applyFill="1" applyBorder="1" applyAlignment="1">
      <alignment horizontal="left" vertical="center"/>
    </xf>
    <xf numFmtId="0" fontId="14" fillId="0" borderId="0" xfId="14" applyFont="1" applyAlignment="1">
      <alignment vertical="center" wrapText="1"/>
    </xf>
    <xf numFmtId="0" fontId="33" fillId="0" borderId="4" xfId="10" applyFont="1" applyBorder="1" applyAlignment="1">
      <alignment horizontal="left"/>
    </xf>
    <xf numFmtId="0" fontId="14" fillId="0" borderId="0" xfId="10" applyFont="1" applyBorder="1" applyAlignment="1">
      <alignment vertical="center"/>
    </xf>
    <xf numFmtId="0" fontId="14" fillId="0" borderId="4" xfId="10" applyFont="1" applyFill="1" applyBorder="1" applyAlignment="1" applyProtection="1">
      <alignment horizontal="left" vertical="center"/>
    </xf>
    <xf numFmtId="0" fontId="14" fillId="0" borderId="0" xfId="10" applyFont="1" applyFill="1" applyBorder="1" applyAlignment="1">
      <alignment vertical="center"/>
    </xf>
    <xf numFmtId="0" fontId="14" fillId="0" borderId="4" xfId="10" applyFont="1" applyBorder="1" applyAlignment="1">
      <alignment horizontal="center" vertical="top"/>
    </xf>
    <xf numFmtId="0" fontId="15" fillId="0" borderId="4" xfId="10" applyFont="1" applyFill="1" applyBorder="1" applyAlignment="1">
      <alignment horizontal="left"/>
    </xf>
    <xf numFmtId="0" fontId="32" fillId="0" borderId="4" xfId="10" applyFont="1" applyFill="1" applyBorder="1"/>
    <xf numFmtId="0" fontId="14" fillId="0" borderId="0" xfId="10" applyFont="1" applyAlignment="1">
      <alignment vertical="center"/>
    </xf>
    <xf numFmtId="0" fontId="15" fillId="0" borderId="4" xfId="10" applyFont="1" applyBorder="1" applyAlignment="1">
      <alignment horizontal="left" vertical="top"/>
    </xf>
    <xf numFmtId="0" fontId="14" fillId="0" borderId="0" xfId="14" applyFont="1" applyAlignment="1">
      <alignment horizontal="center" vertical="center"/>
    </xf>
    <xf numFmtId="0" fontId="14" fillId="0" borderId="4" xfId="14" applyFont="1" applyBorder="1" applyAlignment="1">
      <alignment horizontal="center" vertical="center"/>
    </xf>
    <xf numFmtId="0" fontId="15" fillId="0" borderId="4" xfId="14" applyFont="1" applyBorder="1" applyAlignment="1">
      <alignment horizontal="center" vertical="center"/>
    </xf>
    <xf numFmtId="0" fontId="14" fillId="0" borderId="4" xfId="14" applyFont="1" applyBorder="1" applyAlignment="1">
      <alignment vertical="top" wrapText="1"/>
    </xf>
    <xf numFmtId="0" fontId="15" fillId="0" borderId="4" xfId="14" applyFont="1" applyBorder="1" applyAlignment="1">
      <alignment vertical="top" wrapText="1"/>
    </xf>
    <xf numFmtId="0" fontId="16" fillId="0" borderId="0" xfId="10" applyFont="1" applyAlignment="1">
      <alignment vertical="center"/>
    </xf>
    <xf numFmtId="0" fontId="25" fillId="0" borderId="0" xfId="10" applyAlignment="1">
      <alignment vertical="center"/>
    </xf>
    <xf numFmtId="0" fontId="14" fillId="0" borderId="4" xfId="10" applyFont="1" applyFill="1" applyBorder="1" applyAlignment="1">
      <alignment vertical="top" wrapText="1"/>
    </xf>
    <xf numFmtId="0" fontId="14" fillId="0" borderId="4" xfId="14" applyFont="1" applyFill="1" applyBorder="1">
      <alignment vertical="center"/>
    </xf>
    <xf numFmtId="0" fontId="14" fillId="0" borderId="4" xfId="14" applyFont="1" applyFill="1" applyBorder="1" applyAlignment="1">
      <alignment vertical="top" wrapText="1"/>
    </xf>
    <xf numFmtId="0" fontId="14" fillId="0" borderId="0" xfId="15" applyFont="1" applyAlignment="1">
      <alignment vertical="center"/>
    </xf>
    <xf numFmtId="0" fontId="24" fillId="0" borderId="4" xfId="14" applyFont="1" applyBorder="1">
      <alignment vertical="center"/>
    </xf>
    <xf numFmtId="0" fontId="24" fillId="0" borderId="4" xfId="14" applyFont="1" applyBorder="1" applyAlignment="1">
      <alignment horizontal="center" vertical="center"/>
    </xf>
    <xf numFmtId="0" fontId="24" fillId="0" borderId="4" xfId="14" applyFont="1" applyFill="1" applyBorder="1" applyAlignment="1">
      <alignment horizontal="left" vertical="center"/>
    </xf>
    <xf numFmtId="0" fontId="39" fillId="0" borderId="4" xfId="19" applyFont="1" applyBorder="1" applyAlignment="1">
      <alignment vertical="center"/>
    </xf>
    <xf numFmtId="0" fontId="39" fillId="0" borderId="4" xfId="19" applyFont="1" applyBorder="1" applyAlignment="1">
      <alignment horizontal="center" vertical="center"/>
    </xf>
    <xf numFmtId="164" fontId="16" fillId="0" borderId="4" xfId="20" applyFont="1" applyBorder="1" applyAlignment="1">
      <alignment vertical="center"/>
    </xf>
    <xf numFmtId="0" fontId="38" fillId="0" borderId="4" xfId="19" applyFont="1" applyBorder="1" applyAlignment="1">
      <alignment vertical="center"/>
    </xf>
    <xf numFmtId="0" fontId="38" fillId="0" borderId="4" xfId="19" applyFont="1" applyBorder="1" applyAlignment="1">
      <alignment horizontal="center" vertical="center"/>
    </xf>
    <xf numFmtId="0" fontId="39" fillId="0" borderId="4" xfId="19" applyFont="1" applyFill="1" applyBorder="1" applyAlignment="1">
      <alignment horizontal="center" vertical="center"/>
    </xf>
    <xf numFmtId="0" fontId="38" fillId="0" borderId="4" xfId="19" applyFont="1" applyBorder="1" applyAlignment="1">
      <alignment horizontal="center" vertical="center" wrapText="1"/>
    </xf>
    <xf numFmtId="2" fontId="38" fillId="0" borderId="4" xfId="19" applyNumberFormat="1" applyFont="1" applyBorder="1" applyAlignment="1">
      <alignment vertical="center"/>
    </xf>
    <xf numFmtId="2" fontId="39" fillId="0" borderId="4" xfId="19" applyNumberFormat="1" applyFont="1" applyBorder="1" applyAlignment="1">
      <alignment vertical="center"/>
    </xf>
    <xf numFmtId="2" fontId="14" fillId="0" borderId="4" xfId="19" applyNumberFormat="1" applyFont="1" applyBorder="1" applyAlignment="1">
      <alignment vertical="center"/>
    </xf>
    <xf numFmtId="0" fontId="38" fillId="0" borderId="4" xfId="19" applyFont="1" applyBorder="1" applyAlignment="1">
      <alignment horizontal="left" vertical="center"/>
    </xf>
    <xf numFmtId="0" fontId="38" fillId="8" borderId="4" xfId="19" applyFont="1" applyFill="1" applyBorder="1" applyAlignment="1">
      <alignment horizontal="center" vertical="center"/>
    </xf>
    <xf numFmtId="0" fontId="38" fillId="8" borderId="4" xfId="19" applyFont="1" applyFill="1" applyBorder="1" applyAlignment="1">
      <alignment horizontal="left" vertical="center"/>
    </xf>
    <xf numFmtId="0" fontId="14" fillId="8" borderId="0" xfId="14" applyFont="1" applyFill="1">
      <alignment vertical="center"/>
    </xf>
    <xf numFmtId="0" fontId="38" fillId="8" borderId="4" xfId="19" applyFont="1" applyFill="1" applyBorder="1" applyAlignment="1">
      <alignment horizontal="center" vertical="center" wrapText="1"/>
    </xf>
    <xf numFmtId="0" fontId="14" fillId="8" borderId="4" xfId="14" applyFont="1" applyFill="1" applyBorder="1">
      <alignment vertical="center"/>
    </xf>
    <xf numFmtId="0" fontId="14" fillId="0" borderId="0" xfId="10" applyFont="1" applyAlignment="1">
      <alignment vertical="top"/>
    </xf>
    <xf numFmtId="0" fontId="25" fillId="0" borderId="4" xfId="10" applyBorder="1"/>
    <xf numFmtId="0" fontId="14" fillId="5" borderId="4" xfId="14" applyFont="1" applyFill="1" applyBorder="1">
      <alignment vertical="center"/>
    </xf>
    <xf numFmtId="0" fontId="15" fillId="0" borderId="4" xfId="10" applyFont="1" applyBorder="1" applyAlignment="1">
      <alignment vertical="top" wrapText="1"/>
    </xf>
    <xf numFmtId="0" fontId="15" fillId="5" borderId="4" xfId="10" applyFont="1" applyFill="1" applyBorder="1" applyAlignment="1">
      <alignment horizontal="center" vertical="center" wrapText="1"/>
    </xf>
    <xf numFmtId="0" fontId="15" fillId="5" borderId="4" xfId="10" applyFont="1" applyFill="1" applyBorder="1" applyAlignment="1">
      <alignment horizontal="center" vertical="center"/>
    </xf>
    <xf numFmtId="0" fontId="15" fillId="0" borderId="0" xfId="10" applyFont="1" applyBorder="1" applyAlignment="1">
      <alignment horizontal="left" vertical="center"/>
    </xf>
    <xf numFmtId="0" fontId="15" fillId="0" borderId="0" xfId="10" applyFont="1" applyBorder="1" applyAlignment="1">
      <alignment horizontal="centerContinuous" vertical="center"/>
    </xf>
    <xf numFmtId="0" fontId="14" fillId="5" borderId="4" xfId="10" applyFont="1" applyFill="1" applyBorder="1" applyAlignment="1">
      <alignment horizontal="center" vertical="center"/>
    </xf>
    <xf numFmtId="0" fontId="14" fillId="0" borderId="4" xfId="10" applyFont="1" applyBorder="1" applyAlignment="1">
      <alignment vertical="center"/>
    </xf>
    <xf numFmtId="0" fontId="15" fillId="5" borderId="4" xfId="10" applyFont="1" applyFill="1" applyBorder="1" applyAlignment="1" applyProtection="1">
      <alignment vertical="center" wrapText="1"/>
    </xf>
    <xf numFmtId="0" fontId="15" fillId="5" borderId="0" xfId="10" applyFont="1" applyFill="1" applyBorder="1" applyAlignment="1">
      <alignment vertical="center"/>
    </xf>
    <xf numFmtId="0" fontId="14" fillId="0" borderId="4" xfId="10" applyFont="1" applyFill="1" applyBorder="1" applyAlignment="1" applyProtection="1">
      <alignment horizontal="center" vertical="center"/>
    </xf>
    <xf numFmtId="0" fontId="15" fillId="0" borderId="4" xfId="10" applyFont="1" applyFill="1" applyBorder="1" applyAlignment="1" applyProtection="1">
      <alignment horizontal="left" vertical="center" wrapText="1"/>
    </xf>
    <xf numFmtId="0" fontId="15" fillId="0" borderId="4" xfId="10" applyFont="1" applyFill="1" applyBorder="1" applyAlignment="1" applyProtection="1">
      <alignment horizontal="center" vertical="center" wrapText="1"/>
    </xf>
    <xf numFmtId="0" fontId="15" fillId="0" borderId="4" xfId="10" applyFont="1" applyFill="1" applyBorder="1" applyAlignment="1" applyProtection="1">
      <alignment horizontal="left" vertical="center"/>
    </xf>
    <xf numFmtId="0" fontId="14" fillId="0" borderId="4" xfId="10" applyFont="1" applyBorder="1" applyAlignment="1">
      <alignment vertical="top" wrapText="1"/>
    </xf>
    <xf numFmtId="0" fontId="15" fillId="0" borderId="4" xfId="10" applyFont="1" applyBorder="1" applyAlignment="1">
      <alignment horizontal="center" vertical="top"/>
    </xf>
    <xf numFmtId="0" fontId="14" fillId="4" borderId="4" xfId="10" applyFont="1" applyFill="1" applyBorder="1" applyAlignment="1">
      <alignment horizontal="center"/>
    </xf>
    <xf numFmtId="0" fontId="14" fillId="5" borderId="4" xfId="10" applyFont="1" applyFill="1" applyBorder="1" applyAlignment="1">
      <alignment horizontal="left" vertical="top" wrapText="1"/>
    </xf>
    <xf numFmtId="0" fontId="15" fillId="0" borderId="0" xfId="10" applyFont="1" applyBorder="1" applyAlignment="1">
      <alignment horizontal="centerContinuous"/>
    </xf>
    <xf numFmtId="0" fontId="14" fillId="0" borderId="0" xfId="10" applyFont="1" applyBorder="1"/>
    <xf numFmtId="0" fontId="15" fillId="5" borderId="0" xfId="10" applyFont="1" applyFill="1" applyBorder="1" applyAlignment="1">
      <alignment horizontal="left" vertical="top"/>
    </xf>
    <xf numFmtId="0" fontId="15" fillId="5" borderId="0" xfId="10" applyFont="1" applyFill="1" applyBorder="1" applyAlignment="1">
      <alignment horizontal="left"/>
    </xf>
    <xf numFmtId="0" fontId="14" fillId="5" borderId="0" xfId="10" applyFont="1" applyFill="1" applyBorder="1" applyAlignment="1">
      <alignment horizontal="center" vertical="center"/>
    </xf>
    <xf numFmtId="0" fontId="14" fillId="5" borderId="0" xfId="14" applyFont="1" applyFill="1" applyBorder="1">
      <alignment vertical="center"/>
    </xf>
    <xf numFmtId="0" fontId="15" fillId="0" borderId="4" xfId="14" applyFont="1" applyFill="1" applyBorder="1" applyAlignment="1">
      <alignment vertical="center" wrapText="1"/>
    </xf>
    <xf numFmtId="0" fontId="15" fillId="0" borderId="0" xfId="14" applyFont="1" applyBorder="1">
      <alignment vertical="center"/>
    </xf>
    <xf numFmtId="0" fontId="15" fillId="4" borderId="4" xfId="14" applyFont="1" applyFill="1" applyBorder="1" applyAlignment="1">
      <alignment horizontal="center" vertical="center" wrapText="1"/>
    </xf>
    <xf numFmtId="0" fontId="15" fillId="0" borderId="0" xfId="10" applyFont="1" applyBorder="1" applyAlignment="1">
      <alignment horizontal="center" vertical="center"/>
    </xf>
    <xf numFmtId="0" fontId="14" fillId="0" borderId="0" xfId="14" applyFont="1" applyBorder="1">
      <alignment vertical="center"/>
    </xf>
    <xf numFmtId="0" fontId="14" fillId="0" borderId="0" xfId="0" applyFont="1"/>
    <xf numFmtId="0" fontId="15" fillId="0" borderId="0" xfId="10" applyFont="1" applyBorder="1" applyAlignment="1">
      <alignment vertical="top"/>
    </xf>
    <xf numFmtId="0" fontId="15" fillId="0" borderId="0" xfId="14" applyFont="1" applyAlignment="1">
      <alignment vertical="center"/>
    </xf>
    <xf numFmtId="0" fontId="15" fillId="0" borderId="0" xfId="14" applyFont="1" applyAlignment="1">
      <alignment horizontal="center" vertical="center"/>
    </xf>
    <xf numFmtId="0" fontId="14" fillId="0" borderId="0" xfId="10" applyFont="1" applyAlignment="1">
      <alignment horizontal="center" vertical="center"/>
    </xf>
    <xf numFmtId="0" fontId="15" fillId="0" borderId="0" xfId="10" applyFont="1" applyBorder="1" applyAlignment="1">
      <alignment horizontal="center" vertical="center"/>
    </xf>
    <xf numFmtId="0" fontId="14" fillId="0" borderId="4" xfId="10" applyFont="1" applyBorder="1" applyAlignment="1">
      <alignment horizontal="center" vertical="center"/>
    </xf>
    <xf numFmtId="0" fontId="15" fillId="4" borderId="4" xfId="10" applyFont="1" applyFill="1" applyBorder="1" applyAlignment="1">
      <alignment horizontal="center" vertical="center"/>
    </xf>
    <xf numFmtId="0" fontId="15" fillId="4" borderId="4" xfId="10" applyFont="1" applyFill="1" applyBorder="1" applyAlignment="1">
      <alignment horizontal="center" vertical="center" wrapText="1"/>
    </xf>
    <xf numFmtId="0" fontId="15" fillId="0" borderId="0" xfId="10" applyFont="1" applyBorder="1" applyAlignment="1">
      <alignment horizontal="center" vertical="top"/>
    </xf>
    <xf numFmtId="0" fontId="15" fillId="7" borderId="4" xfId="14" applyFont="1" applyFill="1" applyBorder="1" applyAlignment="1">
      <alignment horizontal="center" vertical="center" wrapText="1"/>
    </xf>
    <xf numFmtId="0" fontId="14" fillId="5" borderId="4" xfId="14" applyFont="1" applyFill="1" applyBorder="1" applyAlignment="1">
      <alignment horizontal="center" vertical="center"/>
    </xf>
    <xf numFmtId="0" fontId="15" fillId="5" borderId="4" xfId="14" applyFont="1" applyFill="1" applyBorder="1" applyAlignment="1">
      <alignment horizontal="center" vertical="center"/>
    </xf>
    <xf numFmtId="0" fontId="15" fillId="5" borderId="4" xfId="14" applyFont="1" applyFill="1" applyBorder="1">
      <alignment vertical="center"/>
    </xf>
    <xf numFmtId="0" fontId="15" fillId="0" borderId="0" xfId="10" applyFont="1" applyBorder="1" applyAlignment="1">
      <alignment horizontal="right" vertical="top"/>
    </xf>
    <xf numFmtId="0" fontId="15" fillId="5" borderId="0" xfId="14" applyFont="1" applyFill="1" applyBorder="1" applyAlignment="1">
      <alignment horizontal="center" vertical="center"/>
    </xf>
    <xf numFmtId="0" fontId="15" fillId="5" borderId="0" xfId="14" applyFont="1" applyFill="1" applyBorder="1">
      <alignment vertical="center"/>
    </xf>
    <xf numFmtId="0" fontId="14" fillId="0" borderId="0" xfId="0" applyFont="1" applyBorder="1" applyAlignment="1">
      <alignment vertical="top" wrapText="1"/>
    </xf>
    <xf numFmtId="0" fontId="14" fillId="0" borderId="0" xfId="14" applyFont="1" applyAlignment="1">
      <alignment horizontal="right" vertical="center"/>
    </xf>
    <xf numFmtId="0" fontId="15" fillId="0" borderId="0" xfId="14" applyFont="1" applyBorder="1" applyAlignment="1">
      <alignment horizontal="center" vertical="center"/>
    </xf>
    <xf numFmtId="0" fontId="15" fillId="5" borderId="0" xfId="10" applyFont="1" applyFill="1" applyBorder="1" applyAlignment="1" applyProtection="1">
      <alignment horizontal="left"/>
    </xf>
    <xf numFmtId="0" fontId="15" fillId="0" borderId="0" xfId="15" applyFont="1" applyAlignment="1">
      <alignment horizontal="center" vertical="center"/>
    </xf>
    <xf numFmtId="0" fontId="15" fillId="6" borderId="4" xfId="10" applyFont="1" applyFill="1" applyBorder="1"/>
    <xf numFmtId="0" fontId="15" fillId="0" borderId="0" xfId="10" applyFont="1"/>
    <xf numFmtId="0" fontId="15" fillId="5" borderId="4" xfId="10" applyFont="1" applyFill="1" applyBorder="1" applyAlignment="1">
      <alignment vertical="center"/>
    </xf>
    <xf numFmtId="0" fontId="34" fillId="0" borderId="0" xfId="10" applyFont="1" applyAlignment="1">
      <alignment vertical="center"/>
    </xf>
    <xf numFmtId="0" fontId="15" fillId="0" borderId="0" xfId="14" applyFont="1" applyAlignment="1">
      <alignment vertical="center" wrapText="1"/>
    </xf>
    <xf numFmtId="0" fontId="15" fillId="7" borderId="0" xfId="10" applyFont="1" applyFill="1" applyBorder="1" applyAlignment="1">
      <alignment vertical="center"/>
    </xf>
    <xf numFmtId="0" fontId="14" fillId="0" borderId="4" xfId="10" applyFont="1" applyBorder="1" applyAlignment="1">
      <alignment horizontal="center"/>
    </xf>
    <xf numFmtId="0" fontId="16" fillId="0" borderId="0" xfId="10" applyFont="1" applyAlignment="1">
      <alignment vertical="center" wrapText="1"/>
    </xf>
    <xf numFmtId="0" fontId="14" fillId="0" borderId="0" xfId="10" applyFont="1" applyBorder="1" applyAlignment="1">
      <alignment horizontal="center" vertical="center"/>
    </xf>
    <xf numFmtId="0" fontId="19" fillId="0" borderId="0" xfId="14" applyFont="1" applyAlignment="1">
      <alignment vertical="center"/>
    </xf>
    <xf numFmtId="0" fontId="14" fillId="0" borderId="4" xfId="14" applyFont="1" applyFill="1" applyBorder="1" applyAlignment="1">
      <alignment horizontal="center" vertical="center"/>
    </xf>
    <xf numFmtId="0" fontId="15" fillId="0" borderId="4" xfId="10" applyFont="1" applyFill="1" applyBorder="1" applyAlignment="1">
      <alignment horizontal="center" vertical="center" wrapText="1"/>
    </xf>
    <xf numFmtId="0" fontId="14" fillId="0" borderId="4" xfId="14" applyFont="1" applyBorder="1" applyAlignment="1">
      <alignment vertical="center" wrapText="1"/>
    </xf>
    <xf numFmtId="0" fontId="14" fillId="0" borderId="0" xfId="10" applyFont="1" applyFill="1" applyBorder="1" applyAlignment="1">
      <alignment vertical="top"/>
    </xf>
    <xf numFmtId="0" fontId="33" fillId="0" borderId="0" xfId="10" applyFont="1" applyBorder="1" applyAlignment="1">
      <alignment horizontal="left" vertical="top"/>
    </xf>
    <xf numFmtId="0" fontId="33" fillId="0" borderId="0" xfId="10" applyFont="1" applyBorder="1" applyAlignment="1">
      <alignment horizontal="justify" vertical="top" wrapText="1"/>
    </xf>
    <xf numFmtId="0" fontId="14" fillId="0" borderId="0" xfId="10" applyFont="1" applyBorder="1" applyAlignment="1">
      <alignment horizontal="justify" vertical="top" wrapText="1"/>
    </xf>
    <xf numFmtId="0" fontId="15" fillId="0" borderId="0" xfId="10" applyFont="1" applyBorder="1" applyAlignment="1">
      <alignment vertical="center" wrapText="1"/>
    </xf>
    <xf numFmtId="0" fontId="15" fillId="0" borderId="4" xfId="10" quotePrefix="1" applyFont="1" applyFill="1" applyBorder="1" applyAlignment="1">
      <alignment horizontal="center" vertical="top" wrapText="1"/>
    </xf>
    <xf numFmtId="0" fontId="14" fillId="0" borderId="4" xfId="34" applyFont="1" applyBorder="1">
      <alignment vertical="center"/>
    </xf>
    <xf numFmtId="0" fontId="15" fillId="0" borderId="4" xfId="10" applyFont="1" applyFill="1" applyBorder="1" applyProtection="1"/>
    <xf numFmtId="0" fontId="15" fillId="0" borderId="0" xfId="14" applyFont="1" applyAlignment="1">
      <alignment horizontal="left" vertical="center"/>
    </xf>
    <xf numFmtId="0" fontId="15" fillId="9" borderId="0" xfId="10" applyFont="1" applyFill="1"/>
    <xf numFmtId="0" fontId="14" fillId="9" borderId="0" xfId="10" applyFont="1" applyFill="1"/>
    <xf numFmtId="0" fontId="14" fillId="9" borderId="0" xfId="10" applyFont="1" applyFill="1" applyAlignment="1">
      <alignment vertical="top"/>
    </xf>
    <xf numFmtId="0" fontId="43" fillId="9" borderId="0" xfId="10" applyFont="1" applyFill="1" applyAlignment="1">
      <alignment vertical="top"/>
    </xf>
    <xf numFmtId="0" fontId="15" fillId="0" borderId="4" xfId="14" applyFont="1" applyFill="1" applyBorder="1">
      <alignment vertical="center"/>
    </xf>
    <xf numFmtId="0" fontId="15" fillId="5" borderId="0" xfId="14" applyFont="1" applyFill="1">
      <alignment vertical="center"/>
    </xf>
    <xf numFmtId="0" fontId="14" fillId="5" borderId="0" xfId="14" applyFont="1" applyFill="1">
      <alignment vertical="center"/>
    </xf>
    <xf numFmtId="0" fontId="15" fillId="5" borderId="4" xfId="10" applyFont="1" applyFill="1" applyBorder="1" applyAlignment="1" applyProtection="1">
      <alignment horizontal="center" vertical="center" wrapText="1"/>
    </xf>
    <xf numFmtId="0" fontId="14" fillId="0" borderId="0" xfId="10" applyFont="1" applyBorder="1" applyAlignment="1">
      <alignment horizontal="centerContinuous" vertical="center"/>
    </xf>
    <xf numFmtId="0" fontId="15" fillId="0" borderId="0" xfId="10" applyFont="1" applyBorder="1" applyAlignment="1">
      <alignment horizontal="right" vertical="center"/>
    </xf>
    <xf numFmtId="0" fontId="47" fillId="0" borderId="0" xfId="10" applyFont="1" applyBorder="1" applyAlignment="1">
      <alignment vertical="center"/>
    </xf>
    <xf numFmtId="0" fontId="46" fillId="0" borderId="0" xfId="10" applyFont="1" applyBorder="1" applyAlignment="1">
      <alignment horizontal="right" vertical="center"/>
    </xf>
    <xf numFmtId="0" fontId="14" fillId="0" borderId="4" xfId="10" applyFont="1" applyFill="1" applyBorder="1" applyAlignment="1" applyProtection="1">
      <alignment horizontal="center" vertical="top" wrapText="1"/>
    </xf>
    <xf numFmtId="0" fontId="15" fillId="0" borderId="0" xfId="10" applyFont="1" applyAlignment="1">
      <alignment horizontal="center" vertical="center"/>
    </xf>
    <xf numFmtId="0" fontId="15" fillId="4" borderId="4" xfId="14" applyFont="1" applyFill="1" applyBorder="1" applyAlignment="1">
      <alignment horizontal="center" vertical="center" wrapText="1"/>
    </xf>
    <xf numFmtId="0" fontId="15" fillId="0" borderId="0" xfId="14" applyFont="1" applyAlignment="1">
      <alignment horizontal="center" vertical="center"/>
    </xf>
    <xf numFmtId="0" fontId="15" fillId="0" borderId="0" xfId="10" applyFont="1" applyBorder="1" applyAlignment="1">
      <alignment horizontal="center" vertical="center"/>
    </xf>
    <xf numFmtId="0" fontId="15" fillId="0" borderId="0" xfId="14" applyFont="1" applyAlignment="1">
      <alignment horizontal="center" vertical="center"/>
    </xf>
    <xf numFmtId="0" fontId="15" fillId="0" borderId="0" xfId="10" applyFont="1" applyBorder="1" applyAlignment="1">
      <alignment horizontal="center" vertical="center"/>
    </xf>
    <xf numFmtId="0" fontId="15" fillId="4" borderId="4" xfId="14" applyFont="1" applyFill="1" applyBorder="1" applyAlignment="1">
      <alignment horizontal="center" vertical="center" wrapText="1"/>
    </xf>
    <xf numFmtId="0" fontId="15" fillId="0" borderId="0" xfId="14" applyFont="1" applyAlignment="1">
      <alignment horizontal="center" vertical="center"/>
    </xf>
    <xf numFmtId="0" fontId="15" fillId="0" borderId="0" xfId="10" applyFont="1" applyBorder="1" applyAlignment="1">
      <alignment horizontal="center" vertical="center"/>
    </xf>
    <xf numFmtId="0" fontId="14" fillId="0" borderId="0" xfId="10" applyFont="1" applyFill="1" applyBorder="1" applyAlignment="1" applyProtection="1">
      <alignment horizontal="center" vertical="center"/>
    </xf>
    <xf numFmtId="0" fontId="15" fillId="0" borderId="0" xfId="10" applyFont="1" applyFill="1" applyBorder="1" applyAlignment="1" applyProtection="1">
      <alignment horizontal="left" vertical="center" wrapText="1"/>
    </xf>
    <xf numFmtId="0" fontId="15" fillId="0" borderId="0" xfId="10" applyFont="1" applyFill="1" applyBorder="1" applyAlignment="1" applyProtection="1">
      <alignment horizontal="center" vertical="center" wrapText="1"/>
    </xf>
    <xf numFmtId="0" fontId="15" fillId="0" borderId="0" xfId="10" applyFont="1" applyFill="1" applyBorder="1" applyAlignment="1" applyProtection="1">
      <alignment horizontal="left" vertical="center"/>
    </xf>
    <xf numFmtId="0" fontId="15" fillId="4" borderId="4" xfId="14" applyFont="1" applyFill="1" applyBorder="1" applyAlignment="1">
      <alignment horizontal="center" vertical="center" wrapText="1"/>
    </xf>
    <xf numFmtId="0" fontId="15" fillId="4" borderId="4" xfId="14" applyFont="1" applyFill="1" applyBorder="1" applyAlignment="1">
      <alignment horizontal="center" vertical="center"/>
    </xf>
    <xf numFmtId="0" fontId="15" fillId="0" borderId="0" xfId="14" applyFont="1" applyAlignment="1">
      <alignment horizontal="center" vertical="center"/>
    </xf>
    <xf numFmtId="0" fontId="15" fillId="0" borderId="0" xfId="10" applyFont="1" applyBorder="1" applyAlignment="1">
      <alignment horizontal="center" vertical="center"/>
    </xf>
    <xf numFmtId="0" fontId="15" fillId="4" borderId="4" xfId="10" applyFont="1" applyFill="1" applyBorder="1" applyAlignment="1">
      <alignment horizontal="center" vertical="center" wrapText="1"/>
    </xf>
    <xf numFmtId="0" fontId="15" fillId="0" borderId="0" xfId="10" applyFont="1" applyBorder="1" applyAlignment="1">
      <alignment horizontal="center" vertical="center" wrapText="1"/>
    </xf>
    <xf numFmtId="0" fontId="15" fillId="8" borderId="4" xfId="14" applyFont="1" applyFill="1" applyBorder="1" applyAlignment="1">
      <alignment horizontal="center" vertical="center" wrapText="1"/>
    </xf>
    <xf numFmtId="0" fontId="14" fillId="0" borderId="0" xfId="14" applyFont="1" applyBorder="1" applyAlignment="1">
      <alignment horizontal="center" vertical="center"/>
    </xf>
    <xf numFmtId="0" fontId="14" fillId="0" borderId="0" xfId="10" applyFont="1" applyAlignment="1">
      <alignment vertical="center" wrapText="1"/>
    </xf>
    <xf numFmtId="0" fontId="14" fillId="0" borderId="0" xfId="14" applyFont="1" applyBorder="1" applyAlignment="1">
      <alignment vertical="center" wrapText="1"/>
    </xf>
    <xf numFmtId="0" fontId="15" fillId="0" borderId="0" xfId="14" applyFont="1" applyBorder="1" applyAlignment="1">
      <alignment vertical="center" wrapText="1"/>
    </xf>
    <xf numFmtId="0" fontId="14" fillId="0" borderId="4" xfId="14" applyFont="1" applyFill="1" applyBorder="1" applyAlignment="1">
      <alignment vertical="center" wrapText="1"/>
    </xf>
    <xf numFmtId="0" fontId="15" fillId="0" borderId="4" xfId="14" applyFont="1" applyBorder="1" applyAlignment="1">
      <alignment vertical="center" wrapText="1"/>
    </xf>
    <xf numFmtId="0" fontId="14" fillId="7" borderId="4" xfId="14" applyFont="1" applyFill="1" applyBorder="1" applyAlignment="1">
      <alignment horizontal="center" vertical="center"/>
    </xf>
    <xf numFmtId="0" fontId="15" fillId="0" borderId="4" xfId="14" applyFont="1" applyFill="1" applyBorder="1" applyAlignment="1">
      <alignment vertical="top" wrapText="1"/>
    </xf>
    <xf numFmtId="0" fontId="15" fillId="4" borderId="4" xfId="14" applyFont="1" applyFill="1" applyBorder="1" applyAlignment="1">
      <alignment vertical="center" wrapText="1"/>
    </xf>
    <xf numFmtId="0" fontId="15" fillId="0" borderId="0" xfId="15" applyFont="1" applyAlignment="1">
      <alignment vertical="center" wrapText="1"/>
    </xf>
    <xf numFmtId="0" fontId="15" fillId="5" borderId="0" xfId="10" applyFont="1" applyFill="1" applyBorder="1" applyAlignment="1">
      <alignment vertical="center" wrapText="1"/>
    </xf>
    <xf numFmtId="0" fontId="14" fillId="11" borderId="4" xfId="14" applyFont="1" applyFill="1" applyBorder="1" applyAlignment="1">
      <alignment horizontal="center" vertical="center"/>
    </xf>
    <xf numFmtId="0" fontId="14" fillId="11" borderId="4" xfId="14" applyFont="1" applyFill="1" applyBorder="1">
      <alignment vertical="center"/>
    </xf>
    <xf numFmtId="0" fontId="14" fillId="5" borderId="0" xfId="10" quotePrefix="1" applyFont="1" applyFill="1" applyBorder="1" applyAlignment="1">
      <alignment horizontal="left" vertical="top" wrapText="1"/>
    </xf>
    <xf numFmtId="0" fontId="16" fillId="0" borderId="0" xfId="10" applyFont="1" applyAlignment="1">
      <alignment horizontal="center" vertical="center" wrapText="1"/>
    </xf>
    <xf numFmtId="0" fontId="14" fillId="0" borderId="0" xfId="10" applyFont="1" applyAlignment="1">
      <alignment horizontal="left" vertical="center" wrapText="1"/>
    </xf>
    <xf numFmtId="0" fontId="15" fillId="0" borderId="0" xfId="14" applyFont="1" applyFill="1" applyBorder="1" applyAlignment="1">
      <alignment horizontal="center" vertical="center"/>
    </xf>
    <xf numFmtId="0" fontId="46" fillId="0" borderId="0" xfId="10" applyFont="1" applyBorder="1" applyAlignment="1">
      <alignment vertical="center" wrapText="1"/>
    </xf>
    <xf numFmtId="0" fontId="15" fillId="0" borderId="0" xfId="14" applyFont="1" applyFill="1" applyBorder="1">
      <alignment vertical="center"/>
    </xf>
    <xf numFmtId="0" fontId="14" fillId="0" borderId="0" xfId="14" applyFont="1" applyFill="1" applyBorder="1" applyAlignment="1">
      <alignment horizontal="center" vertical="center"/>
    </xf>
    <xf numFmtId="0" fontId="15" fillId="0" borderId="6" xfId="14" applyFont="1" applyFill="1" applyBorder="1" applyAlignment="1">
      <alignment horizontal="center" vertical="center"/>
    </xf>
    <xf numFmtId="0" fontId="15" fillId="0" borderId="7" xfId="10" applyFont="1" applyFill="1" applyBorder="1" applyAlignment="1" applyProtection="1">
      <alignment horizontal="center" vertical="center" wrapText="1"/>
    </xf>
    <xf numFmtId="0" fontId="15" fillId="0" borderId="0" xfId="10" applyFont="1" applyBorder="1" applyAlignment="1">
      <alignment horizontal="center" wrapText="1"/>
    </xf>
    <xf numFmtId="0" fontId="15" fillId="0" borderId="0" xfId="10" applyFont="1" applyBorder="1" applyAlignment="1">
      <alignment wrapText="1"/>
    </xf>
    <xf numFmtId="0" fontId="15" fillId="0" borderId="0" xfId="10" applyFont="1" applyBorder="1" applyAlignment="1">
      <alignment vertical="top" wrapText="1"/>
    </xf>
    <xf numFmtId="0" fontId="15" fillId="0" borderId="4" xfId="10" applyFont="1" applyFill="1" applyBorder="1" applyAlignment="1">
      <alignment horizontal="left" vertical="top" wrapText="1"/>
    </xf>
    <xf numFmtId="0" fontId="15" fillId="4" borderId="4" xfId="14" applyFont="1" applyFill="1" applyBorder="1" applyAlignment="1">
      <alignment horizontal="center" vertical="center" wrapText="1"/>
    </xf>
    <xf numFmtId="0" fontId="15" fillId="4" borderId="5" xfId="14" applyFont="1" applyFill="1" applyBorder="1" applyAlignment="1">
      <alignment horizontal="center" vertical="center" wrapText="1"/>
    </xf>
    <xf numFmtId="0" fontId="15" fillId="0" borderId="0" xfId="10" applyFont="1" applyBorder="1" applyAlignment="1">
      <alignment horizontal="center" vertical="center"/>
    </xf>
    <xf numFmtId="0" fontId="15" fillId="4" borderId="4" xfId="14" applyFont="1" applyFill="1" applyBorder="1" applyAlignment="1">
      <alignment horizontal="center" vertical="center" wrapText="1"/>
    </xf>
    <xf numFmtId="0" fontId="15" fillId="4" borderId="4" xfId="10" applyFont="1" applyFill="1" applyBorder="1" applyAlignment="1">
      <alignment horizontal="center" vertical="center"/>
    </xf>
    <xf numFmtId="0" fontId="15" fillId="4" borderId="4" xfId="10" applyFont="1" applyFill="1" applyBorder="1" applyAlignment="1">
      <alignment horizontal="center" vertical="center" wrapText="1"/>
    </xf>
    <xf numFmtId="0" fontId="15" fillId="0" borderId="0" xfId="14" applyFont="1" applyAlignment="1">
      <alignment horizontal="center" vertical="center"/>
    </xf>
    <xf numFmtId="0" fontId="14" fillId="0" borderId="4" xfId="0" applyFont="1" applyFill="1" applyBorder="1" applyAlignment="1" applyProtection="1">
      <alignment horizontal="center" vertical="center"/>
    </xf>
    <xf numFmtId="0" fontId="14" fillId="0" borderId="4" xfId="0" applyFont="1" applyBorder="1" applyAlignment="1">
      <alignment vertical="top" wrapText="1"/>
    </xf>
    <xf numFmtId="0" fontId="15" fillId="0" borderId="4" xfId="14" applyFont="1" applyFill="1" applyBorder="1" applyAlignment="1">
      <alignment horizontal="center" vertical="center" wrapText="1"/>
    </xf>
    <xf numFmtId="0" fontId="14" fillId="0" borderId="0" xfId="14" applyFont="1" applyFill="1">
      <alignment vertical="center"/>
    </xf>
    <xf numFmtId="0" fontId="14" fillId="7" borderId="0" xfId="14" applyFont="1" applyFill="1" applyBorder="1" applyAlignment="1">
      <alignment horizontal="center" vertical="center"/>
    </xf>
    <xf numFmtId="0" fontId="14" fillId="13" borderId="4" xfId="14" applyFont="1" applyFill="1" applyBorder="1" applyAlignment="1">
      <alignment vertical="center" wrapText="1"/>
    </xf>
    <xf numFmtId="0" fontId="48" fillId="0" borderId="0" xfId="14" applyFont="1" applyAlignment="1">
      <alignment vertical="center"/>
    </xf>
    <xf numFmtId="0" fontId="48" fillId="5" borderId="0" xfId="10" applyFont="1" applyFill="1" applyBorder="1" applyAlignment="1">
      <alignment horizontal="left" vertical="top"/>
    </xf>
    <xf numFmtId="0" fontId="48" fillId="0" borderId="0" xfId="14" applyFont="1">
      <alignment vertical="center"/>
    </xf>
    <xf numFmtId="0" fontId="32" fillId="0" borderId="0" xfId="14" applyFont="1">
      <alignment vertical="center"/>
    </xf>
    <xf numFmtId="0" fontId="15" fillId="4" borderId="7" xfId="10" applyFont="1" applyFill="1" applyBorder="1" applyAlignment="1" applyProtection="1">
      <alignment horizontal="center" vertical="center" wrapText="1"/>
    </xf>
    <xf numFmtId="0" fontId="15" fillId="4" borderId="4" xfId="14" applyFont="1" applyFill="1" applyBorder="1" applyAlignment="1">
      <alignment horizontal="center" vertical="center" wrapText="1"/>
    </xf>
    <xf numFmtId="0" fontId="15" fillId="0" borderId="0" xfId="10" applyFont="1" applyBorder="1" applyAlignment="1">
      <alignment horizontal="center" vertical="center"/>
    </xf>
    <xf numFmtId="0" fontId="15" fillId="5" borderId="0" xfId="10" applyFont="1" applyFill="1" applyBorder="1" applyAlignment="1">
      <alignment horizontal="center"/>
    </xf>
    <xf numFmtId="0" fontId="14" fillId="5" borderId="0" xfId="10" applyFont="1" applyFill="1" applyBorder="1" applyAlignment="1">
      <alignment horizontal="center"/>
    </xf>
    <xf numFmtId="0" fontId="14" fillId="0" borderId="0" xfId="10" applyFont="1" applyAlignment="1">
      <alignment horizontal="center"/>
    </xf>
    <xf numFmtId="0" fontId="15" fillId="7" borderId="0" xfId="10" applyFont="1" applyFill="1" applyBorder="1" applyAlignment="1">
      <alignment horizontal="center"/>
    </xf>
    <xf numFmtId="0" fontId="38" fillId="0" borderId="4" xfId="0" applyNumberFormat="1" applyFont="1" applyBorder="1"/>
    <xf numFmtId="0" fontId="39" fillId="0" borderId="4" xfId="0" applyNumberFormat="1" applyFont="1" applyBorder="1"/>
    <xf numFmtId="0" fontId="39" fillId="0" borderId="4" xfId="0" applyNumberFormat="1" applyFont="1" applyBorder="1" applyAlignment="1">
      <alignment horizontal="left"/>
    </xf>
    <xf numFmtId="0" fontId="38" fillId="0" borderId="4" xfId="0" applyNumberFormat="1" applyFont="1" applyBorder="1" applyAlignment="1">
      <alignment horizontal="left"/>
    </xf>
    <xf numFmtId="0" fontId="49" fillId="0" borderId="4" xfId="0" applyNumberFormat="1" applyFont="1" applyBorder="1"/>
    <xf numFmtId="0" fontId="15" fillId="0" borderId="0" xfId="10" applyFont="1" applyBorder="1" applyAlignment="1">
      <alignment horizontal="right" wrapText="1"/>
    </xf>
    <xf numFmtId="0" fontId="14" fillId="0" borderId="0" xfId="10" applyFont="1" applyBorder="1" applyAlignment="1">
      <alignment wrapText="1"/>
    </xf>
    <xf numFmtId="0" fontId="15" fillId="0" borderId="0" xfId="10" applyFont="1" applyBorder="1" applyAlignment="1">
      <alignment horizontal="center" vertical="center"/>
    </xf>
    <xf numFmtId="0" fontId="25" fillId="0" borderId="0" xfId="10" applyAlignment="1">
      <alignment horizontal="center" vertical="center"/>
    </xf>
    <xf numFmtId="0" fontId="15" fillId="4" borderId="4" xfId="14" applyFont="1" applyFill="1" applyBorder="1" applyAlignment="1">
      <alignment horizontal="center" vertical="center" wrapText="1"/>
    </xf>
    <xf numFmtId="0" fontId="15" fillId="4" borderId="4" xfId="14" applyFont="1" applyFill="1" applyBorder="1" applyAlignment="1">
      <alignment horizontal="center" vertical="center"/>
    </xf>
    <xf numFmtId="0" fontId="15" fillId="4" borderId="5" xfId="14" applyFont="1" applyFill="1" applyBorder="1" applyAlignment="1">
      <alignment horizontal="center" vertical="center" wrapText="1"/>
    </xf>
    <xf numFmtId="0" fontId="15" fillId="0" borderId="0" xfId="10" applyFont="1" applyBorder="1" applyAlignment="1">
      <alignment horizontal="center" vertical="center"/>
    </xf>
    <xf numFmtId="0" fontId="15" fillId="8" borderId="4" xfId="10" applyFont="1" applyFill="1" applyBorder="1" applyAlignment="1">
      <alignment horizontal="center" vertical="center" wrapText="1"/>
    </xf>
    <xf numFmtId="0" fontId="15" fillId="0" borderId="0" xfId="10" applyFont="1" applyBorder="1" applyAlignment="1">
      <alignment horizontal="center" vertical="center" wrapText="1"/>
    </xf>
    <xf numFmtId="0" fontId="39" fillId="0" borderId="7" xfId="19" applyFont="1" applyBorder="1" applyAlignment="1">
      <alignment horizontal="center" vertical="center"/>
    </xf>
    <xf numFmtId="0" fontId="39" fillId="0" borderId="9" xfId="19" applyFont="1" applyBorder="1" applyAlignment="1">
      <alignment horizontal="center" vertical="center"/>
    </xf>
    <xf numFmtId="0" fontId="39" fillId="0" borderId="6" xfId="19" applyFont="1" applyBorder="1" applyAlignment="1">
      <alignment horizontal="center" vertical="center"/>
    </xf>
    <xf numFmtId="0" fontId="15" fillId="8" borderId="4" xfId="14" applyFont="1" applyFill="1" applyBorder="1" applyAlignment="1">
      <alignment horizontal="center" vertical="center" wrapText="1"/>
    </xf>
    <xf numFmtId="0" fontId="15" fillId="4" borderId="4" xfId="63" applyFont="1" applyFill="1" applyBorder="1" applyAlignment="1">
      <alignment horizontal="center" vertical="center" wrapText="1"/>
    </xf>
    <xf numFmtId="0" fontId="14" fillId="8" borderId="4" xfId="14" applyFont="1" applyFill="1" applyBorder="1" applyAlignment="1">
      <alignment horizontal="center" vertical="center"/>
    </xf>
    <xf numFmtId="0" fontId="14" fillId="5" borderId="0" xfId="10" applyFont="1" applyFill="1" applyBorder="1" applyAlignment="1">
      <alignment vertical="center"/>
    </xf>
    <xf numFmtId="0" fontId="38" fillId="0" borderId="9" xfId="19" applyFont="1" applyBorder="1" applyAlignment="1">
      <alignment horizontal="center" vertical="center"/>
    </xf>
    <xf numFmtId="0" fontId="39" fillId="0" borderId="9" xfId="19" applyFont="1" applyFill="1" applyBorder="1" applyAlignment="1">
      <alignment horizontal="center" vertical="center"/>
    </xf>
    <xf numFmtId="0" fontId="38" fillId="0" borderId="9" xfId="19" applyFont="1" applyBorder="1" applyAlignment="1">
      <alignment horizontal="center" vertical="center" wrapText="1"/>
    </xf>
    <xf numFmtId="164" fontId="50" fillId="0" borderId="4" xfId="20" applyFont="1" applyBorder="1" applyAlignment="1">
      <alignment vertical="center"/>
    </xf>
    <xf numFmtId="0" fontId="15" fillId="4" borderId="4" xfId="63" applyFont="1" applyFill="1" applyBorder="1" applyAlignment="1">
      <alignment horizontal="center" vertical="center" wrapText="1"/>
    </xf>
    <xf numFmtId="0" fontId="15" fillId="0" borderId="0" xfId="10" applyFont="1" applyAlignment="1">
      <alignment horizontal="left"/>
    </xf>
    <xf numFmtId="169" fontId="51" fillId="0" borderId="4" xfId="66" applyNumberFormat="1" applyFont="1" applyBorder="1"/>
    <xf numFmtId="169" fontId="52" fillId="17" borderId="4" xfId="66" applyNumberFormat="1" applyFont="1" applyFill="1" applyBorder="1"/>
    <xf numFmtId="165" fontId="52" fillId="17" borderId="4" xfId="66" applyFont="1" applyFill="1" applyBorder="1"/>
    <xf numFmtId="0" fontId="24" fillId="7" borderId="4" xfId="14" applyFont="1" applyFill="1" applyBorder="1">
      <alignment vertical="center"/>
    </xf>
    <xf numFmtId="0" fontId="24" fillId="7" borderId="4" xfId="14" applyFont="1" applyFill="1" applyBorder="1" applyAlignment="1">
      <alignment horizontal="left" vertical="center"/>
    </xf>
    <xf numFmtId="0" fontId="39" fillId="12" borderId="4" xfId="19" applyFont="1" applyFill="1" applyBorder="1" applyAlignment="1">
      <alignment vertical="center"/>
    </xf>
    <xf numFmtId="164" fontId="16" fillId="12" borderId="4" xfId="20" applyFont="1" applyFill="1" applyBorder="1" applyAlignment="1">
      <alignment vertical="center"/>
    </xf>
    <xf numFmtId="169" fontId="51" fillId="7" borderId="4" xfId="66" applyNumberFormat="1" applyFont="1" applyFill="1" applyBorder="1"/>
    <xf numFmtId="169" fontId="51" fillId="12" borderId="4" xfId="66" applyNumberFormat="1" applyFont="1" applyFill="1" applyBorder="1"/>
    <xf numFmtId="0" fontId="14" fillId="7" borderId="0" xfId="10" applyFont="1" applyFill="1"/>
    <xf numFmtId="0" fontId="17" fillId="0" borderId="0" xfId="10" applyFont="1" applyAlignment="1">
      <alignment horizontal="left"/>
    </xf>
    <xf numFmtId="0" fontId="14" fillId="0" borderId="4" xfId="10" applyFont="1" applyBorder="1" applyAlignment="1">
      <alignment horizontal="left" vertical="top"/>
    </xf>
    <xf numFmtId="0" fontId="14" fillId="0" borderId="4" xfId="10" applyFont="1" applyBorder="1" applyAlignment="1">
      <alignment horizontal="left" vertical="top" wrapText="1"/>
    </xf>
    <xf numFmtId="0" fontId="14" fillId="7" borderId="0" xfId="63" applyFont="1" applyFill="1">
      <alignment vertical="center"/>
    </xf>
    <xf numFmtId="0" fontId="15" fillId="7" borderId="0" xfId="10" applyFont="1" applyFill="1" applyAlignment="1">
      <alignment horizontal="centerContinuous"/>
    </xf>
    <xf numFmtId="0" fontId="33" fillId="0" borderId="0" xfId="10" applyFont="1" applyAlignment="1">
      <alignment horizontal="left"/>
    </xf>
    <xf numFmtId="0" fontId="15" fillId="0" borderId="0" xfId="10" applyFont="1" applyAlignment="1">
      <alignment horizontal="left" vertical="top"/>
    </xf>
    <xf numFmtId="0" fontId="15" fillId="7" borderId="0" xfId="27" applyFont="1" applyFill="1" applyAlignment="1">
      <alignment horizontal="left" vertical="top"/>
    </xf>
    <xf numFmtId="0" fontId="15" fillId="7" borderId="0" xfId="10" applyFont="1" applyFill="1" applyAlignment="1">
      <alignment horizontal="left" vertical="top"/>
    </xf>
    <xf numFmtId="0" fontId="15" fillId="10" borderId="4" xfId="10" applyFont="1" applyFill="1" applyBorder="1" applyAlignment="1">
      <alignment horizontal="center" vertical="center" wrapText="1"/>
    </xf>
    <xf numFmtId="0" fontId="54" fillId="0" borderId="4" xfId="10" applyFont="1" applyBorder="1" applyAlignment="1">
      <alignment vertical="center"/>
    </xf>
    <xf numFmtId="0" fontId="15" fillId="0" borderId="4" xfId="10" applyFont="1" applyBorder="1" applyAlignment="1">
      <alignment vertical="center"/>
    </xf>
    <xf numFmtId="0" fontId="14" fillId="7" borderId="0" xfId="63" applyFont="1" applyFill="1" applyAlignment="1">
      <alignment vertical="center"/>
    </xf>
    <xf numFmtId="0" fontId="15" fillId="4" borderId="4" xfId="63" applyFont="1" applyFill="1" applyBorder="1" applyAlignment="1">
      <alignment horizontal="center" vertical="center" wrapText="1"/>
    </xf>
    <xf numFmtId="0" fontId="15" fillId="4" borderId="4" xfId="14" applyFont="1" applyFill="1" applyBorder="1" applyAlignment="1">
      <alignment horizontal="center" vertical="center" wrapText="1"/>
    </xf>
    <xf numFmtId="0" fontId="15" fillId="4" borderId="4" xfId="14" applyFont="1" applyFill="1" applyBorder="1" applyAlignment="1">
      <alignment horizontal="center" vertical="center"/>
    </xf>
    <xf numFmtId="0" fontId="15" fillId="0" borderId="0" xfId="10" applyFont="1" applyBorder="1" applyAlignment="1">
      <alignment horizontal="center" vertical="center"/>
    </xf>
    <xf numFmtId="0" fontId="15" fillId="8" borderId="4" xfId="10" applyFont="1" applyFill="1" applyBorder="1" applyAlignment="1">
      <alignment horizontal="center" vertical="center" wrapText="1"/>
    </xf>
    <xf numFmtId="0" fontId="15" fillId="0" borderId="0" xfId="14" applyFont="1" applyAlignment="1">
      <alignment horizontal="center" vertical="center"/>
    </xf>
    <xf numFmtId="0" fontId="15" fillId="4" borderId="5" xfId="14" applyFont="1" applyFill="1" applyBorder="1" applyAlignment="1">
      <alignment horizontal="center" vertical="center" wrapText="1"/>
    </xf>
    <xf numFmtId="0" fontId="14" fillId="0" borderId="0" xfId="10" applyFont="1" applyAlignment="1">
      <alignment horizontal="left" vertical="center" wrapText="1"/>
    </xf>
    <xf numFmtId="0" fontId="16" fillId="0" borderId="0" xfId="10" applyFont="1" applyAlignment="1">
      <alignment horizontal="center" vertical="center" wrapText="1"/>
    </xf>
    <xf numFmtId="0" fontId="15" fillId="10" borderId="4" xfId="10" applyFont="1" applyFill="1" applyBorder="1" applyAlignment="1">
      <alignment horizontal="center" vertical="center" wrapText="1"/>
    </xf>
    <xf numFmtId="0" fontId="15" fillId="8" borderId="4" xfId="14" applyFont="1" applyFill="1" applyBorder="1" applyAlignment="1">
      <alignment horizontal="center" vertical="center" wrapText="1"/>
    </xf>
    <xf numFmtId="0" fontId="15" fillId="4" borderId="4" xfId="63" applyFont="1" applyFill="1" applyBorder="1" applyAlignment="1">
      <alignment horizontal="center" vertical="center"/>
    </xf>
    <xf numFmtId="0" fontId="15" fillId="7" borderId="4" xfId="14" applyFont="1" applyFill="1" applyBorder="1" applyAlignment="1">
      <alignment horizontal="center" vertical="center"/>
    </xf>
    <xf numFmtId="0" fontId="39" fillId="0" borderId="4" xfId="0" applyNumberFormat="1" applyFont="1" applyBorder="1" applyAlignment="1">
      <alignment horizontal="center"/>
    </xf>
    <xf numFmtId="0" fontId="38" fillId="0" borderId="4" xfId="0" applyNumberFormat="1" applyFont="1" applyBorder="1" applyAlignment="1">
      <alignment horizontal="center"/>
    </xf>
    <xf numFmtId="0" fontId="14" fillId="0" borderId="0" xfId="14" applyFont="1" applyAlignment="1">
      <alignment horizontal="left" vertical="center"/>
    </xf>
    <xf numFmtId="0" fontId="15" fillId="8" borderId="4" xfId="14" applyFont="1" applyFill="1" applyBorder="1" applyAlignment="1">
      <alignment horizontal="center" vertical="center"/>
    </xf>
    <xf numFmtId="0" fontId="15" fillId="0" borderId="4" xfId="27" applyFont="1" applyFill="1" applyBorder="1"/>
    <xf numFmtId="0" fontId="14" fillId="0" borderId="4" xfId="27" applyFont="1" applyFill="1" applyBorder="1"/>
    <xf numFmtId="0" fontId="15" fillId="0" borderId="4" xfId="27" applyFont="1" applyFill="1" applyBorder="1" applyAlignment="1">
      <alignment horizontal="left"/>
    </xf>
    <xf numFmtId="0" fontId="32" fillId="0" borderId="4" xfId="27" applyFont="1" applyFill="1" applyBorder="1"/>
    <xf numFmtId="0" fontId="14" fillId="0" borderId="4" xfId="27" applyFont="1" applyFill="1" applyBorder="1" applyAlignment="1">
      <alignment horizontal="left"/>
    </xf>
    <xf numFmtId="0" fontId="14" fillId="0" borderId="0" xfId="10" applyFont="1" applyBorder="1" applyAlignment="1">
      <alignment horizontal="center" vertical="top"/>
    </xf>
    <xf numFmtId="164" fontId="16" fillId="0" borderId="5" xfId="20" applyFont="1" applyBorder="1" applyAlignment="1">
      <alignment vertical="center"/>
    </xf>
    <xf numFmtId="0" fontId="39" fillId="0" borderId="4" xfId="19" applyFont="1" applyFill="1" applyBorder="1" applyAlignment="1">
      <alignment vertical="center"/>
    </xf>
    <xf numFmtId="0" fontId="38" fillId="0" borderId="4" xfId="19" applyFont="1" applyFill="1" applyBorder="1" applyAlignment="1">
      <alignment vertical="center"/>
    </xf>
    <xf numFmtId="0" fontId="44" fillId="10" borderId="4" xfId="10" applyFont="1" applyFill="1" applyBorder="1" applyAlignment="1">
      <alignment horizontal="center" vertical="center" wrapText="1"/>
    </xf>
    <xf numFmtId="0" fontId="15" fillId="4" borderId="4" xfId="14" applyFont="1" applyFill="1" applyBorder="1" applyAlignment="1">
      <alignment horizontal="center" vertical="center" wrapText="1"/>
    </xf>
    <xf numFmtId="0" fontId="14" fillId="0" borderId="4" xfId="10" applyFont="1" applyFill="1" applyBorder="1" applyAlignment="1" applyProtection="1">
      <alignment horizontal="center" vertical="center" wrapText="1"/>
    </xf>
    <xf numFmtId="0" fontId="14" fillId="0" borderId="0" xfId="0" applyFont="1" applyAlignment="1">
      <alignment wrapText="1"/>
    </xf>
    <xf numFmtId="43" fontId="39" fillId="0" borderId="7" xfId="19" applyNumberFormat="1" applyFont="1" applyBorder="1" applyAlignment="1">
      <alignment horizontal="center" vertical="center"/>
    </xf>
    <xf numFmtId="43" fontId="39" fillId="0" borderId="9" xfId="19" applyNumberFormat="1" applyFont="1" applyBorder="1" applyAlignment="1">
      <alignment horizontal="center" vertical="center"/>
    </xf>
    <xf numFmtId="164" fontId="38" fillId="0" borderId="9" xfId="19" applyNumberFormat="1" applyFont="1" applyBorder="1" applyAlignment="1">
      <alignment horizontal="center" vertical="center"/>
    </xf>
    <xf numFmtId="43" fontId="15" fillId="7" borderId="4" xfId="69" applyFont="1" applyFill="1" applyBorder="1" applyAlignment="1">
      <alignment horizontal="center" vertical="center" wrapText="1"/>
    </xf>
    <xf numFmtId="0" fontId="15" fillId="0" borderId="4" xfId="0" applyFont="1" applyBorder="1" applyAlignment="1">
      <alignment vertical="top" wrapText="1"/>
    </xf>
    <xf numFmtId="0" fontId="14" fillId="0" borderId="4" xfId="0" applyFont="1" applyBorder="1"/>
    <xf numFmtId="43" fontId="14" fillId="0" borderId="4" xfId="69" applyFont="1" applyBorder="1"/>
    <xf numFmtId="43" fontId="14" fillId="0" borderId="4" xfId="69" applyFont="1" applyBorder="1" applyAlignment="1">
      <alignment vertical="top" wrapText="1"/>
    </xf>
    <xf numFmtId="43" fontId="14" fillId="0" borderId="4" xfId="69" applyFont="1" applyBorder="1" applyAlignment="1">
      <alignment vertical="top"/>
    </xf>
    <xf numFmtId="43" fontId="15" fillId="0" borderId="4" xfId="69" applyFont="1" applyBorder="1" applyAlignment="1">
      <alignment horizontal="right"/>
    </xf>
    <xf numFmtId="43" fontId="14" fillId="7" borderId="4" xfId="69" applyFont="1" applyFill="1" applyBorder="1" applyAlignment="1">
      <alignment horizontal="center" vertical="center" wrapText="1"/>
    </xf>
    <xf numFmtId="43" fontId="14" fillId="0" borderId="4" xfId="69" applyFont="1" applyFill="1" applyBorder="1" applyAlignment="1" applyProtection="1">
      <alignment vertical="top" wrapText="1"/>
    </xf>
    <xf numFmtId="43" fontId="15" fillId="0" borderId="4" xfId="69" applyFont="1" applyBorder="1"/>
    <xf numFmtId="164" fontId="14" fillId="0" borderId="4" xfId="10" applyNumberFormat="1" applyFont="1" applyBorder="1"/>
    <xf numFmtId="164" fontId="15" fillId="0" borderId="4" xfId="10" applyNumberFormat="1" applyFont="1" applyBorder="1"/>
    <xf numFmtId="164" fontId="15" fillId="0" borderId="4" xfId="14" applyNumberFormat="1" applyFont="1" applyBorder="1">
      <alignment vertical="center"/>
    </xf>
    <xf numFmtId="43" fontId="14" fillId="0" borderId="4" xfId="69" applyFont="1" applyBorder="1" applyAlignment="1">
      <alignment vertical="center"/>
    </xf>
    <xf numFmtId="43" fontId="15" fillId="0" borderId="4" xfId="69" applyFont="1" applyBorder="1" applyAlignment="1">
      <alignment vertical="center"/>
    </xf>
    <xf numFmtId="43" fontId="14" fillId="0" borderId="4" xfId="69" applyFont="1" applyBorder="1" applyAlignment="1">
      <alignment horizontal="left" vertical="top"/>
    </xf>
    <xf numFmtId="43" fontId="35" fillId="0" borderId="4" xfId="69" applyFont="1" applyBorder="1"/>
    <xf numFmtId="43" fontId="15" fillId="0" borderId="4" xfId="69" applyFont="1" applyBorder="1" applyAlignment="1">
      <alignment horizontal="left" vertical="top"/>
    </xf>
    <xf numFmtId="43" fontId="15" fillId="0" borderId="4" xfId="69" applyFont="1" applyBorder="1" applyAlignment="1">
      <alignment horizontal="center"/>
    </xf>
    <xf numFmtId="43" fontId="14" fillId="0" borderId="4" xfId="69" applyFont="1" applyFill="1" applyBorder="1" applyAlignment="1" applyProtection="1">
      <alignment horizontal="center" vertical="center" wrapText="1"/>
    </xf>
    <xf numFmtId="43" fontId="14" fillId="0" borderId="6" xfId="69" applyFont="1" applyFill="1" applyBorder="1" applyAlignment="1" applyProtection="1">
      <alignment horizontal="center" vertical="center" wrapText="1"/>
    </xf>
    <xf numFmtId="43" fontId="15" fillId="0" borderId="4" xfId="69" applyFont="1" applyFill="1" applyBorder="1" applyAlignment="1" applyProtection="1">
      <alignment horizontal="center" vertical="center" wrapText="1"/>
    </xf>
    <xf numFmtId="43" fontId="15" fillId="0" borderId="4" xfId="69" applyFont="1" applyBorder="1" applyAlignment="1">
      <alignment horizontal="center" vertical="center" wrapText="1"/>
    </xf>
    <xf numFmtId="43" fontId="15" fillId="0" borderId="6" xfId="69" applyFont="1" applyFill="1" applyBorder="1" applyAlignment="1" applyProtection="1">
      <alignment horizontal="center" vertical="center" wrapText="1"/>
    </xf>
    <xf numFmtId="43" fontId="15" fillId="0" borderId="4" xfId="69" applyFont="1" applyBorder="1" applyAlignment="1">
      <alignment horizontal="center" vertical="center"/>
    </xf>
    <xf numFmtId="2" fontId="14" fillId="0" borderId="4" xfId="10" applyNumberFormat="1" applyFont="1" applyBorder="1"/>
    <xf numFmtId="0" fontId="14" fillId="0" borderId="6" xfId="14" applyFont="1" applyFill="1" applyBorder="1">
      <alignment vertical="center"/>
    </xf>
    <xf numFmtId="0" fontId="24" fillId="0" borderId="4" xfId="0" applyFont="1" applyBorder="1" applyAlignment="1">
      <alignment horizontal="left"/>
    </xf>
    <xf numFmtId="0" fontId="24" fillId="0" borderId="4" xfId="0" applyFont="1" applyBorder="1" applyAlignment="1">
      <alignment horizontal="left" vertical="center" wrapText="1"/>
    </xf>
    <xf numFmtId="0" fontId="15" fillId="7" borderId="0" xfId="14" applyFont="1" applyFill="1" applyBorder="1" applyAlignment="1">
      <alignment vertical="center"/>
    </xf>
    <xf numFmtId="0" fontId="24" fillId="0" borderId="6" xfId="0" applyFont="1" applyBorder="1" applyAlignment="1">
      <alignment horizontal="left"/>
    </xf>
    <xf numFmtId="0" fontId="14" fillId="0" borderId="7" xfId="14" applyFont="1" applyFill="1" applyBorder="1">
      <alignment vertical="center"/>
    </xf>
    <xf numFmtId="2" fontId="24" fillId="0" borderId="16" xfId="0" applyNumberFormat="1" applyFont="1" applyBorder="1"/>
    <xf numFmtId="43" fontId="15" fillId="0" borderId="4" xfId="69" applyFont="1" applyFill="1" applyBorder="1" applyAlignment="1">
      <alignment horizontal="center" vertical="center" wrapText="1"/>
    </xf>
    <xf numFmtId="43" fontId="14" fillId="0" borderId="4" xfId="69" applyFont="1" applyFill="1" applyBorder="1" applyAlignment="1">
      <alignment vertical="center"/>
    </xf>
    <xf numFmtId="43" fontId="14" fillId="0" borderId="0" xfId="69" applyFont="1" applyAlignment="1">
      <alignment vertical="center"/>
    </xf>
    <xf numFmtId="43" fontId="14" fillId="0" borderId="7" xfId="69" applyFont="1" applyFill="1" applyBorder="1" applyAlignment="1">
      <alignment vertical="center"/>
    </xf>
    <xf numFmtId="43" fontId="14" fillId="9" borderId="4" xfId="69" applyFont="1" applyFill="1" applyBorder="1"/>
    <xf numFmtId="43" fontId="14" fillId="0" borderId="4" xfId="69" applyFont="1" applyFill="1" applyBorder="1" applyAlignment="1">
      <alignment horizontal="center" vertical="center" wrapText="1"/>
    </xf>
    <xf numFmtId="43" fontId="15" fillId="0" borderId="4" xfId="69" applyFont="1" applyFill="1" applyBorder="1" applyAlignment="1">
      <alignment vertical="center"/>
    </xf>
    <xf numFmtId="0" fontId="14" fillId="0" borderId="4" xfId="10" applyFont="1" applyFill="1" applyBorder="1" applyAlignment="1">
      <alignment horizontal="center" vertical="center" wrapText="1"/>
    </xf>
    <xf numFmtId="43" fontId="14" fillId="0" borderId="7" xfId="69" applyFont="1" applyFill="1" applyBorder="1" applyAlignment="1">
      <alignment horizontal="center" vertical="center" wrapText="1"/>
    </xf>
    <xf numFmtId="43" fontId="14" fillId="0" borderId="7" xfId="69" applyFont="1" applyFill="1" applyBorder="1" applyAlignment="1" applyProtection="1">
      <alignment horizontal="center" vertical="center" wrapText="1"/>
    </xf>
    <xf numFmtId="43" fontId="15" fillId="9" borderId="4" xfId="69" applyFont="1" applyFill="1" applyBorder="1" applyAlignment="1">
      <alignment vertical="top"/>
    </xf>
    <xf numFmtId="43" fontId="58" fillId="9" borderId="4" xfId="69" applyFont="1" applyFill="1" applyBorder="1" applyAlignment="1">
      <alignment vertical="top"/>
    </xf>
    <xf numFmtId="0" fontId="14" fillId="0" borderId="9" xfId="14" applyFont="1" applyFill="1" applyBorder="1">
      <alignment vertical="center"/>
    </xf>
    <xf numFmtId="43" fontId="14" fillId="0" borderId="7" xfId="69" applyFont="1" applyBorder="1" applyAlignment="1">
      <alignment vertical="center"/>
    </xf>
    <xf numFmtId="43" fontId="14" fillId="0" borderId="6" xfId="69" applyFont="1" applyFill="1" applyBorder="1" applyAlignment="1">
      <alignment vertical="center"/>
    </xf>
    <xf numFmtId="43" fontId="14" fillId="0" borderId="6" xfId="69" applyFont="1" applyFill="1" applyBorder="1" applyAlignment="1">
      <alignment horizontal="center" vertical="center" wrapText="1"/>
    </xf>
    <xf numFmtId="43" fontId="14" fillId="0" borderId="4" xfId="69" applyFont="1" applyBorder="1" applyAlignment="1">
      <alignment horizontal="center"/>
    </xf>
    <xf numFmtId="43" fontId="14" fillId="0" borderId="4" xfId="69" applyFont="1" applyBorder="1" applyAlignment="1">
      <alignment horizontal="center" vertical="center"/>
    </xf>
    <xf numFmtId="43" fontId="35" fillId="0" borderId="4" xfId="69" applyFont="1" applyFill="1" applyBorder="1" applyAlignment="1">
      <alignment horizontal="center"/>
    </xf>
    <xf numFmtId="43" fontId="35" fillId="0" borderId="4" xfId="69" applyFont="1" applyFill="1" applyBorder="1"/>
    <xf numFmtId="43" fontId="17" fillId="0" borderId="4" xfId="69" applyFont="1" applyFill="1" applyBorder="1"/>
    <xf numFmtId="0" fontId="24" fillId="0" borderId="4" xfId="14" applyFont="1" applyFill="1" applyBorder="1" applyAlignment="1">
      <alignment vertical="top" wrapText="1"/>
    </xf>
    <xf numFmtId="43" fontId="14" fillId="0" borderId="4" xfId="69" applyFont="1" applyFill="1" applyBorder="1" applyAlignment="1">
      <alignment horizontal="center" vertical="center"/>
    </xf>
    <xf numFmtId="43" fontId="14" fillId="0" borderId="7" xfId="69" applyFont="1" applyFill="1" applyBorder="1" applyAlignment="1">
      <alignment horizontal="center" vertical="center"/>
    </xf>
    <xf numFmtId="43" fontId="15" fillId="0" borderId="4" xfId="69" applyFont="1" applyFill="1" applyBorder="1" applyAlignment="1">
      <alignment horizontal="center" vertical="center"/>
    </xf>
    <xf numFmtId="43" fontId="15" fillId="0" borderId="0" xfId="69" applyFont="1" applyAlignment="1">
      <alignment vertical="center"/>
    </xf>
    <xf numFmtId="9" fontId="14" fillId="0" borderId="4" xfId="70" applyFont="1" applyBorder="1" applyAlignment="1">
      <alignment vertical="center"/>
    </xf>
    <xf numFmtId="10" fontId="15" fillId="0" borderId="4" xfId="70" applyNumberFormat="1" applyFont="1" applyBorder="1" applyAlignment="1">
      <alignment vertical="center"/>
    </xf>
    <xf numFmtId="170" fontId="15" fillId="0" borderId="4" xfId="69" applyNumberFormat="1" applyFont="1" applyFill="1" applyBorder="1" applyAlignment="1">
      <alignment vertical="center"/>
    </xf>
    <xf numFmtId="170" fontId="14" fillId="0" borderId="4" xfId="69" applyNumberFormat="1" applyFont="1" applyBorder="1" applyAlignment="1">
      <alignment vertical="center"/>
    </xf>
    <xf numFmtId="170" fontId="14" fillId="0" borderId="7" xfId="69" applyNumberFormat="1" applyFont="1" applyFill="1" applyBorder="1" applyAlignment="1">
      <alignment vertical="center"/>
    </xf>
    <xf numFmtId="170" fontId="14" fillId="0" borderId="6" xfId="69" applyNumberFormat="1" applyFont="1" applyFill="1" applyBorder="1" applyAlignment="1">
      <alignment vertical="center"/>
    </xf>
    <xf numFmtId="170" fontId="14" fillId="0" borderId="4" xfId="69" applyNumberFormat="1" applyFont="1" applyFill="1" applyBorder="1" applyAlignment="1">
      <alignment vertical="center"/>
    </xf>
    <xf numFmtId="170" fontId="14" fillId="9" borderId="4" xfId="69" applyNumberFormat="1" applyFont="1" applyFill="1" applyBorder="1"/>
    <xf numFmtId="170" fontId="15" fillId="9" borderId="4" xfId="69" applyNumberFormat="1" applyFont="1" applyFill="1" applyBorder="1" applyAlignment="1">
      <alignment vertical="top"/>
    </xf>
    <xf numFmtId="43" fontId="15" fillId="0" borderId="4" xfId="14" applyNumberFormat="1" applyFont="1" applyBorder="1">
      <alignment vertical="center"/>
    </xf>
    <xf numFmtId="43" fontId="14" fillId="0" borderId="0" xfId="14" applyNumberFormat="1" applyFont="1">
      <alignment vertical="center"/>
    </xf>
    <xf numFmtId="0" fontId="0" fillId="0" borderId="4" xfId="0" applyBorder="1"/>
    <xf numFmtId="0" fontId="55" fillId="0" borderId="4" xfId="0" applyFont="1" applyFill="1" applyBorder="1"/>
    <xf numFmtId="43" fontId="14" fillId="5" borderId="4" xfId="69" applyFont="1" applyFill="1" applyBorder="1" applyAlignment="1">
      <alignment horizontal="left" vertical="top"/>
    </xf>
    <xf numFmtId="43" fontId="14" fillId="0" borderId="4" xfId="69" applyFont="1" applyFill="1" applyBorder="1" applyAlignment="1">
      <alignment vertical="top" wrapText="1"/>
    </xf>
    <xf numFmtId="43" fontId="14" fillId="0" borderId="4" xfId="69" applyFont="1" applyBorder="1" applyAlignment="1">
      <alignment horizontal="left"/>
    </xf>
    <xf numFmtId="43" fontId="14" fillId="0" borderId="8" xfId="69" applyFont="1" applyFill="1" applyBorder="1" applyAlignment="1">
      <alignment vertical="top" wrapText="1"/>
    </xf>
    <xf numFmtId="43" fontId="15" fillId="0" borderId="4" xfId="69" applyFont="1" applyFill="1" applyBorder="1" applyAlignment="1">
      <alignment vertical="top"/>
    </xf>
    <xf numFmtId="43" fontId="15" fillId="0" borderId="4" xfId="69" applyFont="1" applyBorder="1" applyAlignment="1">
      <alignment vertical="top"/>
    </xf>
    <xf numFmtId="43" fontId="15" fillId="0" borderId="4" xfId="69" applyFont="1" applyFill="1" applyBorder="1" applyAlignment="1">
      <alignment vertical="top" wrapText="1"/>
    </xf>
    <xf numFmtId="43" fontId="15" fillId="7" borderId="7" xfId="69" applyFont="1" applyFill="1" applyBorder="1" applyAlignment="1">
      <alignment horizontal="center" vertical="center" wrapText="1"/>
    </xf>
    <xf numFmtId="43" fontId="14" fillId="0" borderId="7" xfId="69" applyFont="1" applyFill="1" applyBorder="1" applyAlignment="1" applyProtection="1">
      <alignment horizontal="center" vertical="center" wrapText="1"/>
    </xf>
    <xf numFmtId="43" fontId="14" fillId="0" borderId="6" xfId="69" applyFont="1" applyFill="1" applyBorder="1" applyAlignment="1" applyProtection="1">
      <alignment horizontal="center" vertical="center" wrapText="1"/>
    </xf>
    <xf numFmtId="43" fontId="14" fillId="0" borderId="7" xfId="69" applyFont="1" applyBorder="1" applyAlignment="1">
      <alignment horizontal="center"/>
    </xf>
    <xf numFmtId="43" fontId="14" fillId="0" borderId="4" xfId="69" applyFont="1" applyFill="1" applyBorder="1" applyAlignment="1" applyProtection="1">
      <alignment horizontal="left" vertical="center"/>
    </xf>
    <xf numFmtId="43" fontId="15" fillId="0" borderId="0" xfId="69" applyFont="1" applyFill="1" applyBorder="1" applyAlignment="1" applyProtection="1">
      <alignment horizontal="center" vertical="center" wrapText="1"/>
    </xf>
    <xf numFmtId="43" fontId="14" fillId="0" borderId="0" xfId="69" applyFont="1"/>
    <xf numFmtId="43" fontId="14" fillId="0" borderId="0" xfId="69" applyFont="1" applyBorder="1"/>
    <xf numFmtId="43" fontId="15" fillId="4" borderId="4" xfId="69" applyFont="1" applyFill="1" applyBorder="1" applyAlignment="1">
      <alignment horizontal="center" vertical="center"/>
    </xf>
    <xf numFmtId="43" fontId="14" fillId="7" borderId="4" xfId="69" applyFont="1" applyFill="1" applyBorder="1" applyAlignment="1">
      <alignment vertical="center"/>
    </xf>
    <xf numFmtId="43" fontId="15" fillId="7" borderId="4" xfId="69" applyFont="1" applyFill="1" applyBorder="1" applyAlignment="1">
      <alignment horizontal="left" vertical="center"/>
    </xf>
    <xf numFmtId="43" fontId="15" fillId="0" borderId="4" xfId="69" quotePrefix="1" applyFont="1" applyBorder="1" applyAlignment="1">
      <alignment horizontal="center" vertical="top" wrapText="1"/>
    </xf>
    <xf numFmtId="43" fontId="15" fillId="0" borderId="4" xfId="69" quotePrefix="1" applyFont="1" applyBorder="1" applyAlignment="1">
      <alignment vertical="top" wrapText="1"/>
    </xf>
    <xf numFmtId="43" fontId="15" fillId="0" borderId="4" xfId="69" applyFont="1" applyBorder="1" applyAlignment="1"/>
    <xf numFmtId="43" fontId="15" fillId="7" borderId="4" xfId="69" applyFont="1" applyFill="1" applyBorder="1" applyAlignment="1">
      <alignment vertical="center"/>
    </xf>
    <xf numFmtId="43" fontId="15" fillId="0" borderId="4" xfId="69" applyFont="1" applyFill="1" applyBorder="1" applyAlignment="1" applyProtection="1">
      <alignment horizontal="left" vertical="top" wrapText="1"/>
    </xf>
    <xf numFmtId="43" fontId="14" fillId="7" borderId="4" xfId="69" applyFont="1" applyFill="1" applyBorder="1" applyAlignment="1">
      <alignment horizontal="right" vertical="center" wrapText="1"/>
    </xf>
    <xf numFmtId="43" fontId="15" fillId="0" borderId="4" xfId="69" applyFont="1" applyFill="1" applyBorder="1" applyAlignment="1" applyProtection="1">
      <alignment horizontal="right" vertical="center" wrapText="1"/>
    </xf>
    <xf numFmtId="43" fontId="14" fillId="0" borderId="4" xfId="69" applyFont="1" applyFill="1" applyBorder="1" applyAlignment="1" applyProtection="1">
      <alignment horizontal="right" vertical="center" wrapText="1"/>
    </xf>
    <xf numFmtId="43" fontId="14" fillId="0" borderId="4" xfId="69" applyFont="1" applyBorder="1" applyAlignment="1">
      <alignment horizontal="right" vertical="center"/>
    </xf>
    <xf numFmtId="0" fontId="25" fillId="0" borderId="0" xfId="10"/>
    <xf numFmtId="0" fontId="15" fillId="8" borderId="7" xfId="10" applyFont="1" applyFill="1" applyBorder="1" applyAlignment="1">
      <alignment vertical="top" wrapText="1"/>
    </xf>
    <xf numFmtId="43" fontId="25" fillId="0" borderId="4" xfId="10" applyNumberFormat="1" applyBorder="1"/>
    <xf numFmtId="0" fontId="14" fillId="0" borderId="8" xfId="10" applyFont="1" applyBorder="1" applyAlignment="1">
      <alignment vertical="center" wrapText="1"/>
    </xf>
    <xf numFmtId="10" fontId="25" fillId="0" borderId="4" xfId="10" applyNumberFormat="1" applyBorder="1"/>
    <xf numFmtId="0" fontId="14" fillId="0" borderId="4" xfId="10" applyFont="1" applyBorder="1" applyAlignment="1">
      <alignment wrapText="1"/>
    </xf>
    <xf numFmtId="164" fontId="14" fillId="0" borderId="4" xfId="71" applyFont="1" applyBorder="1" applyAlignment="1">
      <alignment horizontal="right" vertical="top"/>
    </xf>
    <xf numFmtId="164" fontId="15" fillId="0" borderId="4" xfId="71" applyNumberFormat="1" applyFont="1" applyBorder="1" applyAlignment="1">
      <alignment horizontal="right" vertical="top"/>
    </xf>
    <xf numFmtId="164" fontId="15" fillId="0" borderId="4" xfId="71" applyFont="1" applyBorder="1" applyAlignment="1">
      <alignment horizontal="right" vertical="top"/>
    </xf>
    <xf numFmtId="164" fontId="14" fillId="0" borderId="0" xfId="71" applyFont="1" applyBorder="1" applyAlignment="1">
      <alignment horizontal="right" vertical="top"/>
    </xf>
    <xf numFmtId="164" fontId="15" fillId="0" borderId="0" xfId="71" applyFont="1" applyBorder="1" applyAlignment="1">
      <alignment horizontal="left" vertical="top"/>
    </xf>
    <xf numFmtId="0" fontId="15" fillId="8" borderId="4" xfId="10" applyFont="1" applyFill="1" applyBorder="1" applyAlignment="1">
      <alignment vertical="top" wrapText="1"/>
    </xf>
    <xf numFmtId="0" fontId="25" fillId="0" borderId="0" xfId="10" applyFont="1"/>
    <xf numFmtId="0" fontId="14" fillId="0" borderId="7" xfId="10" applyFont="1" applyBorder="1" applyAlignment="1">
      <alignment horizontal="center" vertical="top"/>
    </xf>
    <xf numFmtId="0" fontId="25" fillId="0" borderId="0" xfId="10" applyBorder="1"/>
    <xf numFmtId="43" fontId="14" fillId="0" borderId="6" xfId="69" applyFont="1" applyFill="1" applyBorder="1" applyAlignment="1" applyProtection="1">
      <alignment horizontal="right" vertical="center" wrapText="1"/>
    </xf>
    <xf numFmtId="43" fontId="35" fillId="0" borderId="4" xfId="69" applyFont="1" applyFill="1" applyBorder="1" applyAlignment="1">
      <alignment horizontal="right" vertical="center"/>
    </xf>
    <xf numFmtId="43" fontId="14" fillId="0" borderId="0" xfId="10" applyNumberFormat="1" applyFont="1" applyBorder="1"/>
    <xf numFmtId="43" fontId="15" fillId="7" borderId="4" xfId="69" applyFont="1" applyFill="1" applyBorder="1" applyAlignment="1">
      <alignment vertical="center" wrapText="1"/>
    </xf>
    <xf numFmtId="43" fontId="15" fillId="0" borderId="4" xfId="69" applyFont="1" applyBorder="1" applyAlignment="1">
      <alignment vertical="top" wrapText="1"/>
    </xf>
    <xf numFmtId="10" fontId="14" fillId="0" borderId="4" xfId="70" applyNumberFormat="1" applyFont="1" applyBorder="1" applyAlignment="1">
      <alignment vertical="center"/>
    </xf>
    <xf numFmtId="0" fontId="14" fillId="7" borderId="0" xfId="14" applyFont="1" applyFill="1">
      <alignment vertical="center"/>
    </xf>
    <xf numFmtId="10" fontId="14" fillId="0" borderId="4" xfId="70" applyNumberFormat="1" applyFont="1" applyBorder="1" applyAlignment="1">
      <alignment vertical="top" wrapText="1"/>
    </xf>
    <xf numFmtId="0" fontId="63" fillId="0" borderId="0" xfId="73"/>
    <xf numFmtId="0" fontId="25" fillId="0" borderId="4" xfId="10" applyFont="1" applyBorder="1"/>
    <xf numFmtId="172" fontId="25" fillId="0" borderId="4" xfId="10" applyNumberFormat="1" applyBorder="1"/>
    <xf numFmtId="10" fontId="12" fillId="0" borderId="4" xfId="24" applyNumberFormat="1" applyFont="1" applyBorder="1"/>
    <xf numFmtId="43" fontId="12" fillId="0" borderId="4" xfId="39" applyFont="1" applyBorder="1"/>
    <xf numFmtId="10" fontId="0" fillId="0" borderId="0" xfId="75" applyNumberFormat="1" applyFont="1"/>
    <xf numFmtId="10" fontId="25" fillId="0" borderId="0" xfId="10" applyNumberFormat="1"/>
    <xf numFmtId="0" fontId="59" fillId="0" borderId="4" xfId="10" applyFont="1" applyBorder="1"/>
    <xf numFmtId="9" fontId="59" fillId="0" borderId="4" xfId="10" applyNumberFormat="1" applyFont="1" applyBorder="1"/>
    <xf numFmtId="9" fontId="25" fillId="0" borderId="0" xfId="10" applyNumberFormat="1"/>
    <xf numFmtId="10" fontId="0" fillId="0" borderId="0" xfId="75" applyNumberFormat="1" applyFont="1" applyFill="1"/>
    <xf numFmtId="49" fontId="62" fillId="0" borderId="0" xfId="0" applyNumberFormat="1" applyFont="1" applyBorder="1"/>
    <xf numFmtId="171" fontId="62" fillId="0" borderId="0" xfId="0" applyNumberFormat="1" applyFont="1" applyBorder="1"/>
    <xf numFmtId="172" fontId="62" fillId="0" borderId="0" xfId="0" applyNumberFormat="1" applyFont="1" applyBorder="1" applyAlignment="1">
      <alignment wrapText="1"/>
    </xf>
    <xf numFmtId="0" fontId="15" fillId="0" borderId="4" xfId="14" applyFont="1" applyFill="1" applyBorder="1" applyAlignment="1">
      <alignment horizontal="center" vertical="center"/>
    </xf>
    <xf numFmtId="10" fontId="15" fillId="0" borderId="0" xfId="70" applyNumberFormat="1" applyFont="1" applyAlignment="1">
      <alignment vertical="center"/>
    </xf>
    <xf numFmtId="0" fontId="15" fillId="4" borderId="4" xfId="14" applyFont="1" applyFill="1" applyBorder="1" applyAlignment="1">
      <alignment horizontal="center" vertical="center" wrapText="1"/>
    </xf>
    <xf numFmtId="0" fontId="15" fillId="4" borderId="5" xfId="14" applyFont="1" applyFill="1" applyBorder="1" applyAlignment="1">
      <alignment horizontal="center" vertical="center" wrapText="1"/>
    </xf>
    <xf numFmtId="43" fontId="15" fillId="4" borderId="5" xfId="69" applyFont="1" applyFill="1" applyBorder="1" applyAlignment="1">
      <alignment horizontal="center" vertical="center" wrapText="1"/>
    </xf>
    <xf numFmtId="43" fontId="14" fillId="5" borderId="4" xfId="69" applyFont="1" applyFill="1" applyBorder="1" applyAlignment="1">
      <alignment vertical="center"/>
    </xf>
    <xf numFmtId="43" fontId="15" fillId="5" borderId="4" xfId="69" applyFont="1" applyFill="1" applyBorder="1" applyAlignment="1">
      <alignment vertical="center"/>
    </xf>
    <xf numFmtId="9" fontId="14" fillId="5" borderId="4" xfId="70" applyFont="1" applyFill="1" applyBorder="1" applyAlignment="1">
      <alignment vertical="center"/>
    </xf>
    <xf numFmtId="9" fontId="15" fillId="5" borderId="4" xfId="70" applyFont="1" applyFill="1" applyBorder="1" applyAlignment="1">
      <alignment vertical="center"/>
    </xf>
    <xf numFmtId="43" fontId="14" fillId="7" borderId="4" xfId="69" applyFont="1" applyFill="1" applyBorder="1" applyAlignment="1">
      <alignment horizontal="center" vertical="center"/>
    </xf>
    <xf numFmtId="43" fontId="14" fillId="0" borderId="0" xfId="69" applyFont="1" applyAlignment="1">
      <alignment horizontal="centerContinuous" vertical="center"/>
    </xf>
    <xf numFmtId="43" fontId="15" fillId="0" borderId="0" xfId="69" applyFont="1" applyBorder="1" applyAlignment="1">
      <alignment horizontal="centerContinuous" vertical="top"/>
    </xf>
    <xf numFmtId="43" fontId="15" fillId="4" borderId="4" xfId="69" applyFont="1" applyFill="1" applyBorder="1" applyAlignment="1">
      <alignment horizontal="center" vertical="center" wrapText="1"/>
    </xf>
    <xf numFmtId="43" fontId="14" fillId="0" borderId="4" xfId="69" applyFont="1" applyBorder="1" applyAlignment="1"/>
    <xf numFmtId="43" fontId="35" fillId="0" borderId="4" xfId="69" applyFont="1" applyFill="1" applyBorder="1" applyAlignment="1"/>
    <xf numFmtId="43" fontId="15" fillId="0" borderId="4" xfId="69" applyFont="1" applyBorder="1" applyAlignment="1">
      <alignment horizontal="centerContinuous"/>
    </xf>
    <xf numFmtId="43" fontId="15" fillId="4" borderId="4" xfId="69" applyFont="1" applyFill="1" applyBorder="1" applyAlignment="1">
      <alignment horizontal="center" vertical="center" wrapText="1"/>
    </xf>
    <xf numFmtId="43" fontId="15" fillId="4" borderId="5" xfId="69" applyFont="1" applyFill="1" applyBorder="1" applyAlignment="1">
      <alignment horizontal="center" vertical="center" wrapText="1"/>
    </xf>
    <xf numFmtId="43" fontId="39" fillId="0" borderId="4" xfId="69" applyFont="1" applyBorder="1"/>
    <xf numFmtId="43" fontId="38" fillId="0" borderId="4" xfId="69" applyFont="1" applyBorder="1"/>
    <xf numFmtId="43" fontId="14" fillId="0" borderId="0" xfId="69" applyFont="1" applyBorder="1" applyAlignment="1">
      <alignment vertical="center"/>
    </xf>
    <xf numFmtId="10" fontId="39" fillId="0" borderId="4" xfId="70" applyNumberFormat="1" applyFont="1" applyBorder="1"/>
    <xf numFmtId="43" fontId="15" fillId="0" borderId="4" xfId="69" applyFont="1" applyFill="1" applyBorder="1" applyAlignment="1">
      <alignment horizontal="right" vertical="center" wrapText="1"/>
    </xf>
    <xf numFmtId="43" fontId="14" fillId="0" borderId="4" xfId="69" applyFont="1" applyFill="1" applyBorder="1"/>
    <xf numFmtId="43" fontId="14" fillId="0" borderId="4" xfId="69" applyFont="1" applyFill="1" applyBorder="1" applyAlignment="1">
      <alignment horizontal="right" vertical="center"/>
    </xf>
    <xf numFmtId="43" fontId="25" fillId="0" borderId="4" xfId="69" applyFont="1" applyBorder="1"/>
    <xf numFmtId="43" fontId="0" fillId="0" borderId="4" xfId="69" applyFont="1" applyBorder="1"/>
    <xf numFmtId="173" fontId="25" fillId="0" borderId="4" xfId="69" applyNumberFormat="1" applyFont="1" applyBorder="1"/>
    <xf numFmtId="173" fontId="0" fillId="0" borderId="4" xfId="69" applyNumberFormat="1" applyFont="1" applyBorder="1"/>
    <xf numFmtId="43" fontId="0" fillId="0" borderId="4" xfId="69" applyFont="1" applyFill="1" applyBorder="1"/>
    <xf numFmtId="0" fontId="25" fillId="0" borderId="4" xfId="0" applyFont="1" applyFill="1" applyBorder="1"/>
    <xf numFmtId="43" fontId="14" fillId="0" borderId="4" xfId="69" applyFont="1" applyFill="1" applyBorder="1" applyAlignment="1" applyProtection="1">
      <alignment horizontal="left" vertical="center" wrapText="1"/>
    </xf>
    <xf numFmtId="43" fontId="14" fillId="0" borderId="4" xfId="69" applyFont="1" applyBorder="1" applyAlignment="1">
      <alignment horizontal="center" vertical="top"/>
    </xf>
    <xf numFmtId="43" fontId="14" fillId="0" borderId="4" xfId="69" applyFont="1" applyFill="1" applyBorder="1" applyAlignment="1" applyProtection="1">
      <alignment horizontal="left"/>
    </xf>
    <xf numFmtId="43" fontId="14" fillId="0" borderId="4" xfId="69" applyFont="1" applyFill="1" applyBorder="1" applyAlignment="1">
      <alignment horizontal="center"/>
    </xf>
    <xf numFmtId="43" fontId="14" fillId="0" borderId="4" xfId="69" applyFont="1" applyFill="1" applyBorder="1" applyAlignment="1" applyProtection="1">
      <alignment horizontal="left" wrapText="1"/>
    </xf>
    <xf numFmtId="43" fontId="15" fillId="0" borderId="0" xfId="69" applyFont="1"/>
    <xf numFmtId="43" fontId="14" fillId="0" borderId="0" xfId="69" applyFont="1" applyFill="1"/>
    <xf numFmtId="43" fontId="14" fillId="0" borderId="0" xfId="69" applyFont="1" applyFill="1" applyBorder="1"/>
    <xf numFmtId="43" fontId="14" fillId="0" borderId="0" xfId="69" applyFont="1" applyFill="1" applyBorder="1" applyAlignment="1">
      <alignment horizontal="center"/>
    </xf>
    <xf numFmtId="43" fontId="15" fillId="0" borderId="0" xfId="69" applyFont="1" applyAlignment="1">
      <alignment horizontal="right" vertical="center"/>
    </xf>
    <xf numFmtId="43" fontId="15" fillId="8" borderId="4" xfId="69" applyFont="1" applyFill="1" applyBorder="1" applyAlignment="1">
      <alignment horizontal="center" vertical="center"/>
    </xf>
    <xf numFmtId="43" fontId="15" fillId="8" borderId="4" xfId="69" applyFont="1" applyFill="1" applyBorder="1" applyAlignment="1">
      <alignment horizontal="center" vertical="center" wrapText="1"/>
    </xf>
    <xf numFmtId="43" fontId="15" fillId="0" borderId="0" xfId="69" applyFont="1" applyBorder="1" applyAlignment="1">
      <alignment vertical="center"/>
    </xf>
    <xf numFmtId="43" fontId="15" fillId="0" borderId="0" xfId="69" applyFont="1" applyFill="1" applyBorder="1" applyAlignment="1">
      <alignment horizontal="center" vertical="center"/>
    </xf>
    <xf numFmtId="43" fontId="15" fillId="0" borderId="0" xfId="69" applyFont="1" applyFill="1" applyBorder="1" applyAlignment="1"/>
    <xf numFmtId="43" fontId="14" fillId="0" borderId="0" xfId="69" applyFont="1" applyAlignment="1">
      <alignment vertical="top"/>
    </xf>
    <xf numFmtId="43" fontId="15" fillId="0" borderId="0" xfId="69" applyFont="1" applyBorder="1" applyAlignment="1">
      <alignment horizontal="center" vertical="center"/>
    </xf>
    <xf numFmtId="43" fontId="15" fillId="0" borderId="0" xfId="69" applyFont="1" applyBorder="1" applyAlignment="1">
      <alignment horizontal="right"/>
    </xf>
    <xf numFmtId="43" fontId="15" fillId="0" borderId="4" xfId="69" applyFont="1" applyFill="1" applyBorder="1" applyAlignment="1" applyProtection="1">
      <alignment horizontal="left" vertical="center"/>
    </xf>
    <xf numFmtId="43" fontId="15" fillId="0" borderId="0" xfId="69" applyFont="1" applyFill="1" applyBorder="1" applyAlignment="1" applyProtection="1">
      <alignment horizontal="left" vertical="center"/>
    </xf>
    <xf numFmtId="43" fontId="14" fillId="0" borderId="0" xfId="69" applyFont="1" applyBorder="1" applyAlignment="1">
      <alignment horizontal="centerContinuous"/>
    </xf>
    <xf numFmtId="43" fontId="14" fillId="0" borderId="0" xfId="69" applyFont="1" applyFill="1" applyBorder="1" applyAlignment="1">
      <alignment horizontal="centerContinuous"/>
    </xf>
    <xf numFmtId="43" fontId="15" fillId="0" borderId="0" xfId="69" applyFont="1" applyFill="1" applyBorder="1" applyAlignment="1">
      <alignment horizontal="centerContinuous"/>
    </xf>
    <xf numFmtId="43" fontId="15" fillId="0" borderId="0" xfId="69" applyFont="1" applyBorder="1" applyAlignment="1">
      <alignment horizontal="center"/>
    </xf>
    <xf numFmtId="43" fontId="15" fillId="0" borderId="0" xfId="69" applyFont="1" applyBorder="1" applyAlignment="1">
      <alignment horizontal="centerContinuous"/>
    </xf>
    <xf numFmtId="43" fontId="15" fillId="0" borderId="0" xfId="69" applyFont="1" applyBorder="1"/>
    <xf numFmtId="43" fontId="15" fillId="0" borderId="0" xfId="69" applyFont="1" applyAlignment="1">
      <alignment horizontal="left"/>
    </xf>
    <xf numFmtId="43" fontId="15" fillId="0" borderId="0" xfId="69" applyFont="1" applyAlignment="1">
      <alignment horizontal="center"/>
    </xf>
    <xf numFmtId="43" fontId="15" fillId="0" borderId="0" xfId="69" applyFont="1" applyAlignment="1">
      <alignment horizontal="right"/>
    </xf>
    <xf numFmtId="43" fontId="15" fillId="0" borderId="0" xfId="69" applyFont="1" applyAlignment="1">
      <alignment horizontal="centerContinuous"/>
    </xf>
    <xf numFmtId="43" fontId="33" fillId="0" borderId="0" xfId="69" applyFont="1" applyAlignment="1">
      <alignment horizontal="left"/>
    </xf>
    <xf numFmtId="43" fontId="14" fillId="7" borderId="0" xfId="69" applyFont="1" applyFill="1" applyAlignment="1">
      <alignment vertical="center"/>
    </xf>
    <xf numFmtId="43" fontId="15" fillId="4" borderId="4" xfId="69" quotePrefix="1" applyFont="1" applyFill="1" applyBorder="1" applyAlignment="1">
      <alignment horizontal="center" vertical="center" wrapText="1"/>
    </xf>
    <xf numFmtId="43" fontId="15" fillId="0" borderId="0" xfId="69" applyFont="1" applyAlignment="1">
      <alignment horizontal="left" vertical="top"/>
    </xf>
    <xf numFmtId="43" fontId="15" fillId="7" borderId="0" xfId="69" applyFont="1" applyFill="1" applyAlignment="1">
      <alignment horizontal="left" vertical="top"/>
    </xf>
    <xf numFmtId="43" fontId="33" fillId="7" borderId="0" xfId="69" applyFont="1" applyFill="1" applyAlignment="1">
      <alignment horizontal="left"/>
    </xf>
    <xf numFmtId="43" fontId="15" fillId="7" borderId="0" xfId="69" applyFont="1" applyFill="1" applyAlignment="1">
      <alignment horizontal="centerContinuous"/>
    </xf>
    <xf numFmtId="43" fontId="15" fillId="0" borderId="0" xfId="69" applyFont="1" applyAlignment="1">
      <alignment horizontal="centerContinuous" vertical="center"/>
    </xf>
    <xf numFmtId="43" fontId="14" fillId="7" borderId="0" xfId="69" applyFont="1" applyFill="1" applyBorder="1" applyAlignment="1">
      <alignment horizontal="centerContinuous"/>
    </xf>
    <xf numFmtId="43" fontId="14" fillId="7" borderId="0" xfId="69" applyFont="1" applyFill="1" applyBorder="1" applyAlignment="1">
      <alignment horizontal="left"/>
    </xf>
    <xf numFmtId="43" fontId="14" fillId="5" borderId="4" xfId="69" applyFont="1" applyFill="1" applyBorder="1" applyAlignment="1" applyProtection="1">
      <alignment horizontal="left"/>
    </xf>
    <xf numFmtId="43" fontId="14" fillId="5" borderId="4" xfId="69" applyFont="1" applyFill="1" applyBorder="1" applyAlignment="1" applyProtection="1">
      <alignment horizontal="center"/>
    </xf>
    <xf numFmtId="43" fontId="15" fillId="5" borderId="4" xfId="69" applyFont="1" applyFill="1" applyBorder="1" applyAlignment="1" applyProtection="1">
      <alignment horizontal="center"/>
    </xf>
    <xf numFmtId="43" fontId="15" fillId="5" borderId="4" xfId="69" applyFont="1" applyFill="1" applyBorder="1" applyAlignment="1" applyProtection="1">
      <alignment horizontal="left"/>
    </xf>
    <xf numFmtId="43" fontId="14" fillId="5" borderId="4" xfId="69" quotePrefix="1" applyFont="1" applyFill="1" applyBorder="1" applyAlignment="1">
      <alignment horizontal="left" vertical="top" wrapText="1"/>
    </xf>
    <xf numFmtId="43" fontId="14" fillId="5" borderId="0" xfId="69" quotePrefix="1" applyFont="1" applyFill="1" applyBorder="1" applyAlignment="1">
      <alignment horizontal="left" vertical="top" wrapText="1"/>
    </xf>
    <xf numFmtId="43" fontId="14" fillId="7" borderId="0" xfId="69" applyFont="1" applyFill="1" applyBorder="1" applyAlignment="1">
      <alignment vertical="center"/>
    </xf>
    <xf numFmtId="9" fontId="14" fillId="0" borderId="0" xfId="70" applyFont="1" applyAlignment="1">
      <alignment vertical="center"/>
    </xf>
    <xf numFmtId="10" fontId="14" fillId="0" borderId="4" xfId="70" applyNumberFormat="1" applyFont="1" applyBorder="1" applyAlignment="1">
      <alignment horizontal="right" vertical="center"/>
    </xf>
    <xf numFmtId="10" fontId="14" fillId="5" borderId="4" xfId="70" applyNumberFormat="1" applyFont="1" applyFill="1" applyBorder="1" applyAlignment="1" applyProtection="1">
      <alignment horizontal="right"/>
    </xf>
    <xf numFmtId="10" fontId="14" fillId="7" borderId="4" xfId="70" applyNumberFormat="1" applyFont="1" applyFill="1" applyBorder="1" applyAlignment="1">
      <alignment horizontal="right" vertical="center"/>
    </xf>
    <xf numFmtId="10" fontId="14" fillId="7" borderId="0" xfId="70" applyNumberFormat="1" applyFont="1" applyFill="1" applyBorder="1" applyAlignment="1">
      <alignment horizontal="right" vertical="center"/>
    </xf>
    <xf numFmtId="10" fontId="14" fillId="0" borderId="0" xfId="70" applyNumberFormat="1" applyFont="1" applyAlignment="1">
      <alignment horizontal="right" vertical="center"/>
    </xf>
    <xf numFmtId="10" fontId="14" fillId="5" borderId="4" xfId="70" applyNumberFormat="1" applyFont="1" applyFill="1" applyBorder="1" applyAlignment="1" applyProtection="1">
      <alignment horizontal="left"/>
    </xf>
    <xf numFmtId="170" fontId="14" fillId="0" borderId="4" xfId="69" applyNumberFormat="1" applyFont="1" applyBorder="1" applyAlignment="1">
      <alignment horizontal="center" vertical="center"/>
    </xf>
    <xf numFmtId="1" fontId="14" fillId="0" borderId="4" xfId="69" applyNumberFormat="1" applyFont="1" applyBorder="1" applyAlignment="1">
      <alignment horizontal="center" vertical="center"/>
    </xf>
    <xf numFmtId="43" fontId="15" fillId="0" borderId="0" xfId="69" applyFont="1" applyAlignment="1">
      <alignment horizontal="left" vertical="center"/>
    </xf>
    <xf numFmtId="43" fontId="34" fillId="0" borderId="0" xfId="69" applyFont="1" applyAlignment="1">
      <alignment vertical="center"/>
    </xf>
    <xf numFmtId="43" fontId="15" fillId="0" borderId="0" xfId="69" applyFont="1" applyAlignment="1">
      <alignment horizontal="center" vertical="center"/>
    </xf>
    <xf numFmtId="43" fontId="15" fillId="0" borderId="0" xfId="69" applyFont="1" applyBorder="1" applyAlignment="1">
      <alignment horizontal="left" vertical="center"/>
    </xf>
    <xf numFmtId="43" fontId="15" fillId="0" borderId="0" xfId="69" applyFont="1" applyBorder="1" applyAlignment="1">
      <alignment horizontal="centerContinuous" vertical="center"/>
    </xf>
    <xf numFmtId="43" fontId="15" fillId="5" borderId="0" xfId="69" applyFont="1" applyFill="1" applyBorder="1" applyAlignment="1">
      <alignment horizontal="left" vertical="top"/>
    </xf>
    <xf numFmtId="43" fontId="15" fillId="0" borderId="0" xfId="69" applyFont="1" applyFill="1" applyBorder="1" applyAlignment="1">
      <alignment vertical="center" wrapText="1"/>
    </xf>
    <xf numFmtId="43" fontId="14" fillId="0" borderId="0" xfId="69" applyFont="1" applyBorder="1" applyAlignment="1"/>
    <xf numFmtId="43" fontId="14" fillId="5" borderId="4" xfId="69" applyFont="1" applyFill="1" applyBorder="1" applyAlignment="1">
      <alignment horizontal="center" vertical="center"/>
    </xf>
    <xf numFmtId="43" fontId="15" fillId="7" borderId="4" xfId="69" applyFont="1" applyFill="1" applyBorder="1" applyAlignment="1">
      <alignment horizontal="center" vertical="center"/>
    </xf>
    <xf numFmtId="43" fontId="14" fillId="0" borderId="0" xfId="69" applyFont="1" applyFill="1" applyBorder="1" applyProtection="1"/>
    <xf numFmtId="43" fontId="14" fillId="5" borderId="0" xfId="69" applyFont="1" applyFill="1" applyBorder="1" applyAlignment="1">
      <alignment vertical="center"/>
    </xf>
    <xf numFmtId="43" fontId="15" fillId="0" borderId="4" xfId="69" applyFont="1" applyFill="1" applyBorder="1" applyAlignment="1">
      <alignment vertical="center" wrapText="1"/>
    </xf>
    <xf numFmtId="43" fontId="14" fillId="0" borderId="0" xfId="69" applyFont="1" applyBorder="1" applyAlignment="1">
      <alignment vertical="top"/>
    </xf>
    <xf numFmtId="10" fontId="15" fillId="0" borderId="0" xfId="70" applyNumberFormat="1" applyFont="1" applyFill="1" applyBorder="1" applyAlignment="1">
      <alignment horizontal="right" vertical="center" wrapText="1"/>
    </xf>
    <xf numFmtId="1" fontId="14" fillId="5" borderId="4" xfId="70" applyNumberFormat="1" applyFont="1" applyFill="1" applyBorder="1" applyAlignment="1">
      <alignment horizontal="center" vertical="center"/>
    </xf>
    <xf numFmtId="43" fontId="15" fillId="5" borderId="4" xfId="69" applyFont="1" applyFill="1" applyBorder="1" applyAlignment="1">
      <alignment horizontal="center" vertical="center"/>
    </xf>
    <xf numFmtId="43" fontId="15" fillId="0" borderId="0" xfId="69" applyFont="1" applyAlignment="1">
      <alignment vertical="center" wrapText="1"/>
    </xf>
    <xf numFmtId="43" fontId="14" fillId="0" borderId="4" xfId="69" applyFont="1" applyBorder="1" applyAlignment="1">
      <alignment vertical="center" wrapText="1"/>
    </xf>
    <xf numFmtId="43" fontId="14" fillId="0" borderId="4" xfId="69" applyFont="1" applyBorder="1" applyAlignment="1">
      <alignment horizontal="center" vertical="top" wrapText="1"/>
    </xf>
    <xf numFmtId="43" fontId="14" fillId="5" borderId="4" xfId="69" applyFont="1" applyFill="1" applyBorder="1" applyAlignment="1" applyProtection="1">
      <alignment horizontal="left" vertical="center" wrapText="1"/>
    </xf>
    <xf numFmtId="43" fontId="18" fillId="0" borderId="0" xfId="69" applyFont="1" applyAlignment="1">
      <alignment vertical="center" wrapText="1"/>
    </xf>
    <xf numFmtId="43" fontId="14" fillId="5" borderId="4" xfId="69" applyFont="1" applyFill="1" applyBorder="1" applyAlignment="1" applyProtection="1">
      <alignment horizontal="left" wrapText="1"/>
    </xf>
    <xf numFmtId="43" fontId="15" fillId="0" borderId="0" xfId="69" applyFont="1" applyBorder="1" applyAlignment="1">
      <alignment vertical="top" wrapText="1"/>
    </xf>
    <xf numFmtId="43" fontId="48" fillId="0" borderId="0" xfId="69" applyFont="1" applyAlignment="1">
      <alignment vertical="center"/>
    </xf>
    <xf numFmtId="43" fontId="15" fillId="4" borderId="7" xfId="69" applyFont="1" applyFill="1" applyBorder="1" applyAlignment="1">
      <alignment horizontal="center" vertical="center"/>
    </xf>
    <xf numFmtId="43" fontId="15" fillId="4" borderId="6" xfId="69" applyFont="1" applyFill="1" applyBorder="1" applyAlignment="1">
      <alignment horizontal="center" vertical="center"/>
    </xf>
    <xf numFmtId="43" fontId="16" fillId="0" borderId="0" xfId="69" applyFont="1" applyAlignment="1">
      <alignment vertical="center"/>
    </xf>
    <xf numFmtId="43" fontId="15" fillId="7" borderId="0" xfId="69" applyFont="1" applyFill="1" applyBorder="1" applyAlignment="1">
      <alignment vertical="center"/>
    </xf>
    <xf numFmtId="43" fontId="14" fillId="7" borderId="0" xfId="69" applyFont="1" applyFill="1" applyBorder="1"/>
    <xf numFmtId="43" fontId="15" fillId="0" borderId="0" xfId="69" applyFont="1" applyBorder="1" applyAlignment="1">
      <alignment horizontal="left" vertical="top"/>
    </xf>
    <xf numFmtId="43" fontId="14" fillId="0" borderId="4" xfId="69" applyFont="1" applyFill="1" applyBorder="1" applyAlignment="1" applyProtection="1">
      <alignment horizontal="left" vertical="top" wrapText="1"/>
    </xf>
    <xf numFmtId="43" fontId="14" fillId="0" borderId="4" xfId="69" applyFont="1" applyFill="1" applyBorder="1" applyAlignment="1">
      <alignment vertical="top"/>
    </xf>
    <xf numFmtId="43" fontId="15" fillId="0" borderId="0" xfId="69" applyFont="1" applyBorder="1" applyAlignment="1">
      <alignment vertical="top"/>
    </xf>
    <xf numFmtId="43" fontId="15" fillId="0" borderId="0" xfId="69" applyFont="1" applyBorder="1" applyAlignment="1">
      <alignment horizontal="left"/>
    </xf>
    <xf numFmtId="43" fontId="14" fillId="0" borderId="5" xfId="69" applyFont="1" applyFill="1" applyBorder="1" applyAlignment="1">
      <alignment vertical="top" wrapText="1"/>
    </xf>
    <xf numFmtId="43" fontId="14" fillId="0" borderId="5" xfId="69" applyFont="1" applyFill="1" applyBorder="1" applyAlignment="1" applyProtection="1">
      <alignment vertical="top" wrapText="1"/>
    </xf>
    <xf numFmtId="43" fontId="14" fillId="0" borderId="5" xfId="69" applyFont="1" applyFill="1" applyBorder="1" applyAlignment="1" applyProtection="1">
      <alignment horizontal="left" vertical="top" wrapText="1"/>
    </xf>
    <xf numFmtId="43" fontId="14" fillId="0" borderId="5" xfId="69" applyFont="1" applyFill="1" applyBorder="1" applyAlignment="1">
      <alignment vertical="top"/>
    </xf>
    <xf numFmtId="43" fontId="16" fillId="0" borderId="0" xfId="69" applyFont="1" applyAlignment="1">
      <alignment vertical="center" wrapText="1"/>
    </xf>
    <xf numFmtId="43" fontId="15" fillId="0" borderId="0" xfId="69" applyFont="1" applyBorder="1" applyAlignment="1"/>
    <xf numFmtId="43" fontId="16" fillId="0" borderId="0" xfId="69" applyFont="1" applyAlignment="1"/>
    <xf numFmtId="43" fontId="14" fillId="0" borderId="0" xfId="69" applyFont="1" applyBorder="1" applyAlignment="1">
      <alignment horizontal="center"/>
    </xf>
    <xf numFmtId="43" fontId="14" fillId="0" borderId="0" xfId="69" applyFont="1" applyAlignment="1">
      <alignment horizontal="center" vertical="center"/>
    </xf>
    <xf numFmtId="43" fontId="14" fillId="0" borderId="4" xfId="69" quotePrefix="1" applyFont="1" applyBorder="1" applyAlignment="1">
      <alignment vertical="center"/>
    </xf>
    <xf numFmtId="43" fontId="15" fillId="0" borderId="4" xfId="69" quotePrefix="1" applyFont="1" applyBorder="1" applyAlignment="1">
      <alignment vertical="center"/>
    </xf>
    <xf numFmtId="9" fontId="14" fillId="0" borderId="4" xfId="70" applyFont="1" applyBorder="1" applyAlignment="1">
      <alignment vertical="top" wrapText="1"/>
    </xf>
    <xf numFmtId="1" fontId="14" fillId="0" borderId="4" xfId="70" applyNumberFormat="1" applyFont="1" applyBorder="1" applyAlignment="1">
      <alignment horizontal="center" vertical="center"/>
    </xf>
    <xf numFmtId="43" fontId="14" fillId="0" borderId="0" xfId="69" applyFont="1" applyAlignment="1">
      <alignment vertical="center" wrapText="1"/>
    </xf>
    <xf numFmtId="10" fontId="15" fillId="0" borderId="4" xfId="70" applyNumberFormat="1" applyFont="1" applyBorder="1" applyAlignment="1">
      <alignment horizontal="right" vertical="center"/>
    </xf>
    <xf numFmtId="170" fontId="14" fillId="0" borderId="0" xfId="69" applyNumberFormat="1" applyFont="1" applyAlignment="1">
      <alignment vertical="center"/>
    </xf>
    <xf numFmtId="170" fontId="15" fillId="5" borderId="0" xfId="69" applyNumberFormat="1" applyFont="1" applyFill="1" applyBorder="1" applyAlignment="1">
      <alignment horizontal="left" vertical="top"/>
    </xf>
    <xf numFmtId="170" fontId="15" fillId="4" borderId="4" xfId="69" applyNumberFormat="1" applyFont="1" applyFill="1" applyBorder="1" applyAlignment="1">
      <alignment horizontal="center" vertical="center" wrapText="1"/>
    </xf>
    <xf numFmtId="170" fontId="14" fillId="0" borderId="4" xfId="69" applyNumberFormat="1" applyFont="1" applyBorder="1" applyAlignment="1">
      <alignment horizontal="center" vertical="top" wrapText="1"/>
    </xf>
    <xf numFmtId="170" fontId="14" fillId="0" borderId="4" xfId="69" applyNumberFormat="1" applyFont="1" applyBorder="1" applyAlignment="1">
      <alignment horizontal="center" vertical="center" wrapText="1"/>
    </xf>
    <xf numFmtId="170" fontId="15" fillId="0" borderId="4" xfId="69" applyNumberFormat="1" applyFont="1" applyBorder="1" applyAlignment="1">
      <alignment horizontal="center" vertical="top" wrapText="1"/>
    </xf>
    <xf numFmtId="170" fontId="14" fillId="0" borderId="0" xfId="69" applyNumberFormat="1" applyFont="1" applyBorder="1" applyAlignment="1">
      <alignment horizontal="center" vertical="top" wrapText="1"/>
    </xf>
    <xf numFmtId="170" fontId="15" fillId="0" borderId="0" xfId="69" applyNumberFormat="1" applyFont="1" applyAlignment="1">
      <alignment vertical="center"/>
    </xf>
    <xf numFmtId="170" fontId="15" fillId="7" borderId="0" xfId="69" applyNumberFormat="1" applyFont="1" applyFill="1" applyAlignment="1">
      <alignment vertical="center"/>
    </xf>
    <xf numFmtId="10" fontId="0" fillId="0" borderId="4" xfId="70" applyNumberFormat="1" applyFont="1" applyBorder="1"/>
    <xf numFmtId="10" fontId="25" fillId="0" borderId="8" xfId="10" applyNumberFormat="1" applyBorder="1"/>
    <xf numFmtId="9" fontId="59" fillId="0" borderId="8" xfId="10" applyNumberFormat="1" applyFont="1" applyBorder="1"/>
    <xf numFmtId="10" fontId="0" fillId="0" borderId="4" xfId="75" applyNumberFormat="1" applyFont="1" applyFill="1" applyBorder="1"/>
    <xf numFmtId="0" fontId="25" fillId="0" borderId="4" xfId="10" applyBorder="1" applyAlignment="1">
      <alignment horizontal="right"/>
    </xf>
    <xf numFmtId="10" fontId="0" fillId="0" borderId="4" xfId="75" applyNumberFormat="1" applyFont="1" applyBorder="1"/>
    <xf numFmtId="10" fontId="25" fillId="0" borderId="4" xfId="70" applyNumberFormat="1" applyFont="1" applyBorder="1"/>
    <xf numFmtId="43" fontId="25" fillId="18" borderId="4" xfId="69" applyFont="1" applyFill="1" applyBorder="1"/>
    <xf numFmtId="0" fontId="15" fillId="4" borderId="4" xfId="63" applyFont="1" applyFill="1" applyBorder="1" applyAlignment="1">
      <alignment horizontal="center" vertical="center" wrapText="1"/>
    </xf>
    <xf numFmtId="43" fontId="15" fillId="0" borderId="0" xfId="69" applyFont="1" applyFill="1" applyBorder="1" applyAlignment="1" applyProtection="1">
      <alignment horizontal="left" vertical="center" wrapText="1"/>
    </xf>
    <xf numFmtId="10" fontId="15" fillId="0" borderId="0" xfId="70" applyNumberFormat="1" applyFont="1" applyFill="1" applyBorder="1" applyAlignment="1">
      <alignment vertical="center" wrapText="1"/>
    </xf>
    <xf numFmtId="164" fontId="15" fillId="0" borderId="0" xfId="10" applyNumberFormat="1" applyFont="1" applyFill="1" applyBorder="1" applyAlignment="1">
      <alignment horizontal="center" vertical="center" wrapText="1"/>
    </xf>
    <xf numFmtId="164" fontId="14" fillId="0" borderId="0" xfId="14" applyNumberFormat="1" applyFont="1">
      <alignment vertical="center"/>
    </xf>
    <xf numFmtId="10" fontId="14" fillId="0" borderId="0" xfId="70" applyNumberFormat="1" applyFont="1" applyAlignment="1">
      <alignment vertical="center"/>
    </xf>
    <xf numFmtId="0" fontId="64" fillId="4" borderId="4" xfId="14" applyFont="1" applyFill="1" applyBorder="1" applyAlignment="1">
      <alignment horizontal="center" vertical="center" wrapText="1"/>
    </xf>
    <xf numFmtId="43" fontId="64" fillId="4" borderId="4" xfId="69" applyFont="1" applyFill="1" applyBorder="1" applyAlignment="1">
      <alignment horizontal="center" vertical="center" wrapText="1"/>
    </xf>
    <xf numFmtId="43" fontId="14" fillId="0" borderId="4" xfId="69" applyFont="1" applyBorder="1" applyAlignment="1">
      <alignment wrapText="1"/>
    </xf>
    <xf numFmtId="0" fontId="15" fillId="0" borderId="4" xfId="10" applyFont="1" applyBorder="1" applyAlignment="1">
      <alignment horizontal="center" vertical="center" wrapText="1"/>
    </xf>
    <xf numFmtId="43" fontId="15" fillId="4" borderId="4" xfId="69" applyFont="1" applyFill="1" applyBorder="1" applyAlignment="1">
      <alignment horizontal="center" vertical="center" wrapText="1"/>
    </xf>
    <xf numFmtId="43" fontId="15" fillId="4" borderId="4" xfId="69" applyFont="1" applyFill="1" applyBorder="1" applyAlignment="1">
      <alignment horizontal="center" vertical="center"/>
    </xf>
    <xf numFmtId="43" fontId="14" fillId="0" borderId="4" xfId="14" applyNumberFormat="1" applyFont="1" applyBorder="1">
      <alignment vertical="center"/>
    </xf>
    <xf numFmtId="0" fontId="39" fillId="0" borderId="4" xfId="10" applyFont="1" applyBorder="1"/>
    <xf numFmtId="0" fontId="38" fillId="8" borderId="4" xfId="10" applyFont="1" applyFill="1" applyBorder="1" applyAlignment="1">
      <alignment horizontal="center" wrapText="1"/>
    </xf>
    <xf numFmtId="0" fontId="15" fillId="8" borderId="4" xfId="10" applyFont="1" applyFill="1" applyBorder="1" applyAlignment="1">
      <alignment horizontal="center"/>
    </xf>
    <xf numFmtId="0" fontId="38" fillId="8" borderId="4" xfId="10" applyFont="1" applyFill="1" applyBorder="1" applyAlignment="1">
      <alignment horizontal="center" vertical="center" wrapText="1"/>
    </xf>
    <xf numFmtId="0" fontId="39" fillId="0" borderId="4" xfId="10" applyFont="1" applyBorder="1" applyAlignment="1">
      <alignment horizontal="center" vertical="center" wrapText="1"/>
    </xf>
    <xf numFmtId="0" fontId="39" fillId="0" borderId="4" xfId="10" applyFont="1" applyBorder="1" applyAlignment="1">
      <alignment horizontal="left" vertical="center" wrapText="1"/>
    </xf>
    <xf numFmtId="2" fontId="39" fillId="0" borderId="4" xfId="10" applyNumberFormat="1" applyFont="1" applyBorder="1" applyAlignment="1">
      <alignment horizontal="center"/>
    </xf>
    <xf numFmtId="0" fontId="39" fillId="0" borderId="4" xfId="10" applyFont="1" applyBorder="1" applyAlignment="1">
      <alignment horizontal="center"/>
    </xf>
    <xf numFmtId="43" fontId="39" fillId="0" borderId="4" xfId="74" applyFont="1" applyBorder="1" applyAlignment="1">
      <alignment horizontal="center"/>
    </xf>
    <xf numFmtId="43" fontId="39" fillId="0" borderId="4" xfId="74" applyFont="1" applyBorder="1" applyAlignment="1">
      <alignment horizontal="right"/>
    </xf>
    <xf numFmtId="10" fontId="39" fillId="0" borderId="4" xfId="75" applyNumberFormat="1" applyFont="1" applyBorder="1" applyAlignment="1">
      <alignment horizontal="right" wrapText="1"/>
    </xf>
    <xf numFmtId="10" fontId="39" fillId="0" borderId="4" xfId="75" applyNumberFormat="1" applyFont="1" applyBorder="1" applyAlignment="1">
      <alignment horizontal="right"/>
    </xf>
    <xf numFmtId="0" fontId="14" fillId="0" borderId="0" xfId="76" applyFont="1"/>
    <xf numFmtId="0" fontId="38" fillId="8" borderId="4" xfId="76" applyFont="1" applyFill="1" applyBorder="1" applyAlignment="1">
      <alignment horizontal="center" vertical="center" wrapText="1"/>
    </xf>
    <xf numFmtId="0" fontId="39" fillId="0" borderId="0" xfId="80" applyFont="1"/>
    <xf numFmtId="0" fontId="14" fillId="0" borderId="0" xfId="80" applyFont="1"/>
    <xf numFmtId="0" fontId="38" fillId="0" borderId="0" xfId="80" applyFont="1" applyAlignment="1">
      <alignment wrapText="1"/>
    </xf>
    <xf numFmtId="0" fontId="38" fillId="8" borderId="7" xfId="80" applyFont="1" applyFill="1" applyBorder="1" applyAlignment="1">
      <alignment horizontal="center" vertical="center"/>
    </xf>
    <xf numFmtId="0" fontId="38" fillId="8" borderId="7" xfId="80" applyFont="1" applyFill="1" applyBorder="1" applyAlignment="1">
      <alignment horizontal="center" vertical="center" wrapText="1"/>
    </xf>
    <xf numFmtId="0" fontId="39" fillId="0" borderId="4" xfId="80" applyFont="1" applyBorder="1" applyAlignment="1">
      <alignment horizontal="center" vertical="center"/>
    </xf>
    <xf numFmtId="0" fontId="39" fillId="0" borderId="4" xfId="80" applyFont="1" applyBorder="1"/>
    <xf numFmtId="0" fontId="39" fillId="0" borderId="4" xfId="80" applyFont="1" applyBorder="1" applyAlignment="1">
      <alignment horizontal="center"/>
    </xf>
    <xf numFmtId="0" fontId="39" fillId="0" borderId="4" xfId="80" applyFont="1" applyBorder="1" applyAlignment="1">
      <alignment wrapText="1"/>
    </xf>
    <xf numFmtId="0" fontId="39" fillId="0" borderId="0" xfId="80" applyFont="1" applyAlignment="1">
      <alignment horizontal="center"/>
    </xf>
    <xf numFmtId="0" fontId="38" fillId="8" borderId="6" xfId="80" applyFont="1" applyFill="1" applyBorder="1" applyAlignment="1">
      <alignment horizontal="center" vertical="center"/>
    </xf>
    <xf numFmtId="0" fontId="39" fillId="0" borderId="4" xfId="80" applyFont="1" applyBorder="1" applyAlignment="1">
      <alignment vertical="center"/>
    </xf>
    <xf numFmtId="0" fontId="14" fillId="0" borderId="0" xfId="80" applyFont="1" applyAlignment="1">
      <alignment horizontal="center"/>
    </xf>
    <xf numFmtId="0" fontId="15" fillId="0" borderId="0" xfId="10" applyFont="1" applyBorder="1" applyAlignment="1">
      <alignment horizontal="center" vertical="center"/>
    </xf>
    <xf numFmtId="43" fontId="15" fillId="8" borderId="4" xfId="69" applyFont="1" applyFill="1" applyBorder="1" applyAlignment="1">
      <alignment horizontal="center" vertical="center" wrapText="1"/>
    </xf>
    <xf numFmtId="0" fontId="15" fillId="8" borderId="4" xfId="14" applyFont="1" applyFill="1" applyBorder="1" applyAlignment="1">
      <alignment horizontal="center" vertical="center" wrapText="1"/>
    </xf>
    <xf numFmtId="43" fontId="14" fillId="5" borderId="4" xfId="14" applyNumberFormat="1" applyFont="1" applyFill="1" applyBorder="1">
      <alignment vertical="center"/>
    </xf>
    <xf numFmtId="43" fontId="14" fillId="5" borderId="4" xfId="74" applyFont="1" applyFill="1" applyBorder="1" applyAlignment="1">
      <alignment vertical="center"/>
    </xf>
    <xf numFmtId="43" fontId="15" fillId="5" borderId="4" xfId="14" applyNumberFormat="1" applyFont="1" applyFill="1" applyBorder="1">
      <alignment vertical="center"/>
    </xf>
    <xf numFmtId="43" fontId="15" fillId="5" borderId="4" xfId="74" applyFont="1" applyFill="1" applyBorder="1" applyAlignment="1">
      <alignment vertical="center"/>
    </xf>
    <xf numFmtId="43" fontId="14" fillId="0" borderId="0" xfId="10" applyNumberFormat="1" applyFont="1"/>
    <xf numFmtId="0" fontId="66" fillId="0" borderId="20" xfId="10" applyFont="1" applyBorder="1" applyAlignment="1">
      <alignment horizontal="center"/>
    </xf>
    <xf numFmtId="0" fontId="66" fillId="0" borderId="21" xfId="10" applyFont="1" applyBorder="1" applyAlignment="1">
      <alignment horizontal="center"/>
    </xf>
    <xf numFmtId="0" fontId="67" fillId="0" borderId="16" xfId="10" applyFont="1" applyBorder="1"/>
    <xf numFmtId="10" fontId="67" fillId="0" borderId="22" xfId="75" applyNumberFormat="1" applyFont="1" applyBorder="1"/>
    <xf numFmtId="0" fontId="67" fillId="0" borderId="23" xfId="10" applyFont="1" applyBorder="1"/>
    <xf numFmtId="10" fontId="67" fillId="0" borderId="24" xfId="75" applyNumberFormat="1" applyFont="1" applyBorder="1"/>
    <xf numFmtId="0" fontId="66" fillId="0" borderId="0" xfId="10" applyFont="1" applyBorder="1" applyAlignment="1">
      <alignment horizontal="center"/>
    </xf>
    <xf numFmtId="10" fontId="67" fillId="0" borderId="0" xfId="75" applyNumberFormat="1" applyFont="1" applyBorder="1"/>
    <xf numFmtId="10" fontId="25" fillId="0" borderId="0" xfId="10" applyNumberFormat="1" applyBorder="1"/>
    <xf numFmtId="9" fontId="59" fillId="0" borderId="0" xfId="10" applyNumberFormat="1" applyFont="1" applyBorder="1"/>
    <xf numFmtId="0" fontId="59" fillId="8" borderId="4" xfId="10" applyFont="1" applyFill="1" applyBorder="1" applyAlignment="1">
      <alignment vertical="center"/>
    </xf>
    <xf numFmtId="0" fontId="60" fillId="8" borderId="4" xfId="10" applyFont="1" applyFill="1" applyBorder="1" applyAlignment="1">
      <alignment horizontal="center" vertical="center"/>
    </xf>
    <xf numFmtId="0" fontId="60" fillId="8" borderId="4" xfId="10" applyFont="1" applyFill="1" applyBorder="1" applyAlignment="1">
      <alignment vertical="center"/>
    </xf>
    <xf numFmtId="0" fontId="60" fillId="8" borderId="4" xfId="10" applyFont="1" applyFill="1" applyBorder="1" applyAlignment="1">
      <alignment horizontal="center" vertical="center" wrapText="1"/>
    </xf>
    <xf numFmtId="0" fontId="60" fillId="8" borderId="0" xfId="10" applyFont="1" applyFill="1" applyBorder="1" applyAlignment="1">
      <alignment horizontal="center" vertical="center" wrapText="1"/>
    </xf>
    <xf numFmtId="0" fontId="0" fillId="0" borderId="0" xfId="0" applyAlignment="1">
      <alignment vertical="center"/>
    </xf>
    <xf numFmtId="10" fontId="25" fillId="0" borderId="3" xfId="10" applyNumberFormat="1" applyBorder="1"/>
    <xf numFmtId="9" fontId="59" fillId="0" borderId="3" xfId="10" applyNumberFormat="1" applyFont="1" applyBorder="1"/>
    <xf numFmtId="10" fontId="59" fillId="0" borderId="4" xfId="10" applyNumberFormat="1" applyFont="1" applyBorder="1"/>
    <xf numFmtId="164" fontId="25" fillId="0" borderId="0" xfId="10" applyNumberFormat="1"/>
    <xf numFmtId="164" fontId="14" fillId="0" borderId="4" xfId="14" applyNumberFormat="1" applyFont="1" applyBorder="1">
      <alignment vertical="center"/>
    </xf>
    <xf numFmtId="0" fontId="15" fillId="7" borderId="0" xfId="15" applyFont="1" applyFill="1" applyBorder="1" applyAlignment="1">
      <alignment vertical="center" wrapText="1"/>
    </xf>
    <xf numFmtId="0" fontId="15" fillId="7" borderId="0" xfId="11" applyFont="1" applyFill="1" applyBorder="1" applyAlignment="1">
      <alignment vertical="center" wrapText="1"/>
    </xf>
    <xf numFmtId="0" fontId="15" fillId="7" borderId="0" xfId="11" applyFont="1" applyFill="1" applyBorder="1" applyAlignment="1">
      <alignment horizontal="center" vertical="center" wrapText="1"/>
    </xf>
    <xf numFmtId="0" fontId="15" fillId="7" borderId="0" xfId="11" applyFont="1" applyFill="1" applyBorder="1" applyAlignment="1">
      <alignment vertical="center"/>
    </xf>
    <xf numFmtId="0" fontId="15" fillId="7" borderId="0" xfId="11" applyFont="1" applyFill="1" applyBorder="1" applyAlignment="1">
      <alignment horizontal="left" vertical="center"/>
    </xf>
    <xf numFmtId="0" fontId="15" fillId="7" borderId="0" xfId="11" applyFont="1" applyFill="1" applyBorder="1" applyAlignment="1">
      <alignment horizontal="center" vertical="center"/>
    </xf>
    <xf numFmtId="0" fontId="15" fillId="8" borderId="7" xfId="85" applyFont="1" applyFill="1" applyBorder="1" applyAlignment="1">
      <alignment vertical="center" wrapText="1"/>
    </xf>
    <xf numFmtId="0" fontId="15" fillId="8" borderId="10" xfId="85" applyFont="1" applyFill="1" applyBorder="1" applyAlignment="1">
      <alignment vertical="center" wrapText="1"/>
    </xf>
    <xf numFmtId="0" fontId="15" fillId="8" borderId="4" xfId="85" applyFont="1" applyFill="1" applyBorder="1" applyAlignment="1">
      <alignment vertical="center" wrapText="1"/>
    </xf>
    <xf numFmtId="0" fontId="14" fillId="7" borderId="4" xfId="85" applyFont="1" applyFill="1" applyBorder="1" applyAlignment="1">
      <alignment horizontal="center" vertical="center" wrapText="1"/>
    </xf>
    <xf numFmtId="0" fontId="14" fillId="7" borderId="4" xfId="85" applyFont="1" applyFill="1" applyBorder="1" applyAlignment="1">
      <alignment horizontal="left" vertical="center" wrapText="1"/>
    </xf>
    <xf numFmtId="164" fontId="14" fillId="0" borderId="4" xfId="86" applyFont="1" applyFill="1" applyBorder="1" applyAlignment="1">
      <alignment horizontal="center" vertical="center" wrapText="1"/>
    </xf>
    <xf numFmtId="164" fontId="39" fillId="0" borderId="4" xfId="86" applyFont="1" applyFill="1" applyBorder="1" applyAlignment="1">
      <alignment vertical="center"/>
    </xf>
    <xf numFmtId="43" fontId="39" fillId="0" borderId="4" xfId="85" applyNumberFormat="1" applyFont="1" applyFill="1" applyBorder="1" applyAlignment="1">
      <alignment vertical="center"/>
    </xf>
    <xf numFmtId="2" fontId="39" fillId="0" borderId="4" xfId="85" applyNumberFormat="1" applyFont="1" applyFill="1" applyBorder="1" applyAlignment="1">
      <alignment vertical="center"/>
    </xf>
    <xf numFmtId="164" fontId="14" fillId="0" borderId="4" xfId="71" applyFont="1" applyFill="1" applyBorder="1" applyAlignment="1">
      <alignment horizontal="center" vertical="center" wrapText="1"/>
    </xf>
    <xf numFmtId="164" fontId="39" fillId="0" borderId="4" xfId="85" applyNumberFormat="1" applyFont="1" applyFill="1" applyBorder="1" applyAlignment="1">
      <alignment vertical="center"/>
    </xf>
    <xf numFmtId="0" fontId="14" fillId="7" borderId="0" xfId="85" applyFont="1" applyFill="1" applyBorder="1" applyAlignment="1">
      <alignment horizontal="center" vertical="center" wrapText="1"/>
    </xf>
    <xf numFmtId="0" fontId="14" fillId="7" borderId="0" xfId="85" applyFont="1" applyFill="1" applyBorder="1" applyAlignment="1">
      <alignment horizontal="left" vertical="center" wrapText="1"/>
    </xf>
    <xf numFmtId="2" fontId="14" fillId="7" borderId="0" xfId="85" applyNumberFormat="1" applyFont="1" applyFill="1" applyBorder="1" applyAlignment="1">
      <alignment horizontal="center" vertical="center" wrapText="1"/>
    </xf>
    <xf numFmtId="0" fontId="39" fillId="0" borderId="0" xfId="85" applyFont="1" applyAlignment="1">
      <alignment vertical="center"/>
    </xf>
    <xf numFmtId="43" fontId="14" fillId="0" borderId="0" xfId="85" applyNumberFormat="1" applyFont="1"/>
    <xf numFmtId="0" fontId="14" fillId="0" borderId="0" xfId="85" applyFont="1"/>
    <xf numFmtId="0" fontId="15" fillId="8" borderId="5" xfId="85" applyFont="1" applyFill="1" applyBorder="1" applyAlignment="1">
      <alignment vertical="center" wrapText="1"/>
    </xf>
    <xf numFmtId="0" fontId="14" fillId="14" borderId="0" xfId="80" applyFont="1" applyFill="1"/>
    <xf numFmtId="10" fontId="14" fillId="0" borderId="4" xfId="87" applyNumberFormat="1" applyFont="1" applyFill="1" applyBorder="1" applyAlignment="1">
      <alignment horizontal="right" vertical="center" wrapText="1"/>
    </xf>
    <xf numFmtId="43" fontId="14" fillId="0" borderId="0" xfId="80" applyNumberFormat="1" applyFont="1"/>
    <xf numFmtId="10" fontId="14" fillId="0" borderId="0" xfId="75" applyNumberFormat="1" applyFont="1"/>
    <xf numFmtId="43" fontId="14" fillId="0" borderId="0" xfId="74" applyFont="1"/>
    <xf numFmtId="164" fontId="14" fillId="0" borderId="0" xfId="10" applyNumberFormat="1" applyFont="1"/>
    <xf numFmtId="10" fontId="14" fillId="0" borderId="4" xfId="70" applyNumberFormat="1" applyFont="1" applyFill="1" applyBorder="1" applyAlignment="1">
      <alignment horizontal="right" vertical="center" wrapText="1"/>
    </xf>
    <xf numFmtId="10" fontId="15" fillId="0" borderId="4" xfId="10" applyNumberFormat="1" applyFont="1" applyFill="1" applyBorder="1" applyAlignment="1">
      <alignment horizontal="right" vertical="center" wrapText="1"/>
    </xf>
    <xf numFmtId="0" fontId="61" fillId="0" borderId="0" xfId="14" applyFont="1">
      <alignment vertical="center"/>
    </xf>
    <xf numFmtId="0" fontId="61" fillId="0" borderId="0" xfId="14" applyFont="1" applyAlignment="1">
      <alignment vertical="center"/>
    </xf>
    <xf numFmtId="0" fontId="61" fillId="0" borderId="0" xfId="10" applyFont="1" applyBorder="1"/>
    <xf numFmtId="0" fontId="61" fillId="0" borderId="4" xfId="14" applyFont="1" applyBorder="1" applyAlignment="1">
      <alignment horizontal="center" vertical="center"/>
    </xf>
    <xf numFmtId="0" fontId="61" fillId="0" borderId="4" xfId="14" applyFont="1" applyBorder="1">
      <alignment vertical="center"/>
    </xf>
    <xf numFmtId="0" fontId="69" fillId="0" borderId="4" xfId="14" applyFont="1" applyBorder="1" applyAlignment="1">
      <alignment horizontal="center" vertical="center"/>
    </xf>
    <xf numFmtId="0" fontId="24" fillId="0" borderId="4" xfId="14" applyFont="1" applyFill="1" applyBorder="1">
      <alignment vertical="center"/>
    </xf>
    <xf numFmtId="0" fontId="24" fillId="0" borderId="4" xfId="34" applyFont="1" applyFill="1" applyBorder="1">
      <alignment vertical="center"/>
    </xf>
    <xf numFmtId="43" fontId="14" fillId="0" borderId="4" xfId="0" applyNumberFormat="1" applyFont="1" applyBorder="1" applyAlignment="1">
      <alignment vertical="top" wrapText="1"/>
    </xf>
    <xf numFmtId="43" fontId="14" fillId="7" borderId="4" xfId="69" applyFont="1" applyFill="1" applyBorder="1" applyAlignment="1" applyProtection="1">
      <alignment horizontal="left"/>
    </xf>
    <xf numFmtId="43" fontId="15" fillId="7" borderId="4" xfId="69" applyFont="1" applyFill="1" applyBorder="1" applyAlignment="1" applyProtection="1">
      <alignment horizontal="right"/>
    </xf>
    <xf numFmtId="43" fontId="15" fillId="0" borderId="4" xfId="69" applyFont="1" applyBorder="1" applyAlignment="1">
      <alignment horizontal="right" vertical="top"/>
    </xf>
    <xf numFmtId="0" fontId="24" fillId="0" borderId="4" xfId="0" applyFont="1" applyBorder="1" applyAlignment="1">
      <alignment horizontal="center" vertical="center"/>
    </xf>
    <xf numFmtId="10" fontId="14" fillId="0" borderId="4" xfId="34" applyNumberFormat="1" applyFont="1" applyBorder="1" applyAlignment="1">
      <alignment horizontal="right" vertical="center"/>
    </xf>
    <xf numFmtId="10" fontId="14" fillId="0" borderId="4" xfId="34" applyNumberFormat="1" applyFont="1" applyBorder="1">
      <alignment vertical="center"/>
    </xf>
    <xf numFmtId="0" fontId="14" fillId="20" borderId="0" xfId="14" applyFont="1" applyFill="1">
      <alignment vertical="center"/>
    </xf>
    <xf numFmtId="0" fontId="39" fillId="0" borderId="4" xfId="88" applyNumberFormat="1" applyFont="1" applyBorder="1" applyAlignment="1">
      <alignment horizontal="left"/>
    </xf>
    <xf numFmtId="0" fontId="14" fillId="0" borderId="4" xfId="63" applyFont="1" applyBorder="1" applyAlignment="1">
      <alignment vertical="top" wrapText="1"/>
    </xf>
    <xf numFmtId="43" fontId="14" fillId="7" borderId="0" xfId="69" applyFont="1" applyFill="1" applyBorder="1" applyAlignment="1">
      <alignment horizontal="center" vertical="center"/>
    </xf>
    <xf numFmtId="0" fontId="14" fillId="0" borderId="4" xfId="88" applyFont="1" applyFill="1" applyBorder="1"/>
    <xf numFmtId="0" fontId="15" fillId="7" borderId="4" xfId="10" applyFont="1" applyFill="1" applyBorder="1" applyAlignment="1">
      <alignment horizontal="center" vertical="center"/>
    </xf>
    <xf numFmtId="0" fontId="14" fillId="7" borderId="4" xfId="10" applyFont="1" applyFill="1" applyBorder="1" applyAlignment="1">
      <alignment horizontal="center" vertical="center"/>
    </xf>
    <xf numFmtId="0" fontId="14" fillId="0" borderId="4" xfId="10" applyFont="1" applyFill="1" applyBorder="1" applyAlignment="1">
      <alignment vertical="center" wrapText="1"/>
    </xf>
    <xf numFmtId="0" fontId="14" fillId="0" borderId="0" xfId="0" applyFont="1" applyBorder="1"/>
    <xf numFmtId="0" fontId="15" fillId="0" borderId="4" xfId="63" applyFont="1" applyBorder="1" applyAlignment="1">
      <alignment horizontal="center" vertical="center"/>
    </xf>
    <xf numFmtId="0" fontId="15" fillId="0" borderId="4" xfId="63" applyFont="1" applyBorder="1" applyAlignment="1">
      <alignment vertical="center" wrapText="1"/>
    </xf>
    <xf numFmtId="0" fontId="14" fillId="0" borderId="4" xfId="63" applyFont="1" applyBorder="1" applyAlignment="1">
      <alignment horizontal="center" vertical="center"/>
    </xf>
    <xf numFmtId="0" fontId="15" fillId="0" borderId="4" xfId="63" applyFont="1" applyBorder="1" applyAlignment="1">
      <alignment vertical="top" wrapText="1"/>
    </xf>
    <xf numFmtId="0" fontId="14" fillId="0" borderId="4" xfId="63" applyFont="1" applyFill="1" applyBorder="1" applyAlignment="1">
      <alignment horizontal="center" vertical="center"/>
    </xf>
    <xf numFmtId="0" fontId="14" fillId="0" borderId="4" xfId="63" applyFont="1" applyFill="1" applyBorder="1" applyAlignment="1">
      <alignment vertical="top" wrapText="1"/>
    </xf>
    <xf numFmtId="0" fontId="14" fillId="0" borderId="4" xfId="63" applyFont="1" applyBorder="1">
      <alignment vertical="center"/>
    </xf>
    <xf numFmtId="0" fontId="15" fillId="0" borderId="0" xfId="63" applyFont="1">
      <alignment vertical="center"/>
    </xf>
    <xf numFmtId="2" fontId="14" fillId="0" borderId="4" xfId="14" applyNumberFormat="1" applyFont="1" applyBorder="1" applyAlignment="1">
      <alignment horizontal="center" vertical="center"/>
    </xf>
    <xf numFmtId="43" fontId="14" fillId="7" borderId="4" xfId="14" applyNumberFormat="1" applyFont="1" applyFill="1" applyBorder="1" applyAlignment="1">
      <alignment horizontal="center" vertical="center"/>
    </xf>
    <xf numFmtId="43" fontId="15" fillId="7" borderId="4" xfId="14" applyNumberFormat="1" applyFont="1" applyFill="1" applyBorder="1" applyAlignment="1">
      <alignment horizontal="center" vertical="center"/>
    </xf>
    <xf numFmtId="43" fontId="15" fillId="4" borderId="4" xfId="69" applyFont="1" applyFill="1" applyBorder="1" applyAlignment="1">
      <alignment horizontal="center" vertical="center" wrapText="1"/>
    </xf>
    <xf numFmtId="0" fontId="15" fillId="0" borderId="0" xfId="10" applyFont="1" applyFill="1" applyBorder="1"/>
    <xf numFmtId="2" fontId="15" fillId="6" borderId="4" xfId="10" applyNumberFormat="1" applyFont="1" applyFill="1" applyBorder="1"/>
    <xf numFmtId="0" fontId="15" fillId="0" borderId="0" xfId="10" applyFont="1" applyFill="1"/>
    <xf numFmtId="9" fontId="14" fillId="0" borderId="4" xfId="10" applyNumberFormat="1" applyFont="1" applyFill="1" applyBorder="1"/>
    <xf numFmtId="43" fontId="15" fillId="0" borderId="0" xfId="14" applyNumberFormat="1" applyFont="1" applyBorder="1">
      <alignment vertical="center"/>
    </xf>
    <xf numFmtId="43" fontId="15" fillId="7" borderId="0" xfId="69" applyFont="1" applyFill="1" applyBorder="1" applyAlignment="1">
      <alignment horizontal="center" vertical="center"/>
    </xf>
    <xf numFmtId="10" fontId="14" fillId="0" borderId="0" xfId="70" applyNumberFormat="1" applyFont="1" applyBorder="1" applyAlignment="1">
      <alignment horizontal="right" vertical="center"/>
    </xf>
    <xf numFmtId="0" fontId="14" fillId="0" borderId="0" xfId="10" applyFont="1" applyFill="1" applyAlignment="1">
      <alignment horizontal="center"/>
    </xf>
    <xf numFmtId="0" fontId="14" fillId="0" borderId="0" xfId="10" applyFont="1" applyFill="1" applyAlignment="1">
      <alignment horizontal="center" vertical="center"/>
    </xf>
    <xf numFmtId="0" fontId="0" fillId="0" borderId="4" xfId="0" applyBorder="1" applyAlignment="1">
      <alignment horizontal="center"/>
    </xf>
    <xf numFmtId="43" fontId="60" fillId="0" borderId="4" xfId="69" applyFont="1" applyBorder="1"/>
    <xf numFmtId="0" fontId="60" fillId="8" borderId="4" xfId="0" applyFont="1" applyFill="1" applyBorder="1" applyAlignment="1">
      <alignment horizontal="center" vertical="center" wrapText="1"/>
    </xf>
    <xf numFmtId="0" fontId="60" fillId="0" borderId="4" xfId="0" applyFont="1" applyBorder="1" applyAlignment="1"/>
    <xf numFmtId="0" fontId="59" fillId="8" borderId="4" xfId="0" applyFont="1" applyFill="1" applyBorder="1" applyAlignment="1">
      <alignment horizontal="center" vertical="center" wrapText="1"/>
    </xf>
    <xf numFmtId="164" fontId="0" fillId="0" borderId="0" xfId="0" applyNumberFormat="1"/>
    <xf numFmtId="43" fontId="0" fillId="0" borderId="0" xfId="0" applyNumberFormat="1"/>
    <xf numFmtId="0" fontId="16" fillId="0" borderId="4" xfId="0" applyFont="1" applyBorder="1"/>
    <xf numFmtId="43" fontId="61" fillId="0" borderId="0" xfId="69" applyFont="1" applyAlignment="1">
      <alignment vertical="center"/>
    </xf>
    <xf numFmtId="0" fontId="59" fillId="0" borderId="4" xfId="10" applyFont="1" applyBorder="1" applyAlignment="1">
      <alignment horizontal="center" vertical="center" wrapText="1"/>
    </xf>
    <xf numFmtId="0" fontId="61" fillId="0" borderId="4" xfId="10" applyFont="1" applyBorder="1" applyAlignment="1">
      <alignment horizontal="center" vertical="top"/>
    </xf>
    <xf numFmtId="0" fontId="61" fillId="0" borderId="0" xfId="80" applyFont="1"/>
    <xf numFmtId="0" fontId="61" fillId="0" borderId="0" xfId="76" applyFont="1"/>
    <xf numFmtId="0" fontId="61" fillId="0" borderId="0" xfId="10" applyFont="1"/>
    <xf numFmtId="0" fontId="61" fillId="0" borderId="0" xfId="10" applyFont="1" applyBorder="1" applyAlignment="1">
      <alignment vertical="center"/>
    </xf>
    <xf numFmtId="0" fontId="61" fillId="0" borderId="0" xfId="0" applyFont="1"/>
    <xf numFmtId="0" fontId="70" fillId="0" borderId="4" xfId="14" applyFont="1" applyBorder="1" applyAlignment="1">
      <alignment horizontal="center" vertical="center"/>
    </xf>
    <xf numFmtId="170" fontId="61" fillId="0" borderId="4" xfId="69" applyNumberFormat="1" applyFont="1" applyBorder="1" applyAlignment="1">
      <alignment horizontal="center" vertical="top" wrapText="1"/>
    </xf>
    <xf numFmtId="0" fontId="67" fillId="0" borderId="0" xfId="0" applyFont="1"/>
    <xf numFmtId="43" fontId="61" fillId="0" borderId="0" xfId="69" applyFont="1"/>
    <xf numFmtId="0" fontId="67" fillId="0" borderId="4" xfId="10" applyFont="1" applyBorder="1"/>
    <xf numFmtId="0" fontId="61" fillId="0" borderId="4" xfId="0" applyNumberFormat="1" applyFont="1" applyBorder="1"/>
    <xf numFmtId="0" fontId="61" fillId="5" borderId="4" xfId="14" applyFont="1" applyFill="1" applyBorder="1">
      <alignment vertical="center"/>
    </xf>
    <xf numFmtId="2" fontId="14" fillId="0" borderId="4" xfId="10" applyNumberFormat="1" applyFont="1" applyBorder="1" applyAlignment="1">
      <alignment vertical="center"/>
    </xf>
    <xf numFmtId="0" fontId="24" fillId="0" borderId="4" xfId="0" applyFont="1" applyFill="1" applyBorder="1" applyAlignment="1">
      <alignment horizontal="left"/>
    </xf>
    <xf numFmtId="0" fontId="15" fillId="0" borderId="0" xfId="10" applyFont="1" applyBorder="1" applyAlignment="1">
      <alignment horizontal="center" vertical="center"/>
    </xf>
    <xf numFmtId="0" fontId="15" fillId="0" borderId="0" xfId="14" applyFont="1" applyAlignment="1">
      <alignment horizontal="center" vertical="center"/>
    </xf>
    <xf numFmtId="0" fontId="14" fillId="0" borderId="4" xfId="14" applyFont="1" applyFill="1" applyBorder="1" applyAlignment="1">
      <alignment horizontal="right" vertical="center"/>
    </xf>
    <xf numFmtId="43" fontId="14" fillId="0" borderId="0" xfId="14" applyNumberFormat="1" applyFont="1" applyFill="1" applyBorder="1" applyAlignment="1">
      <alignment horizontal="center" vertical="center"/>
    </xf>
    <xf numFmtId="0" fontId="14" fillId="0" borderId="5" xfId="14" applyFont="1" applyFill="1" applyBorder="1" applyAlignment="1">
      <alignment vertical="center" wrapText="1"/>
    </xf>
    <xf numFmtId="0" fontId="14" fillId="0" borderId="5" xfId="14" applyFont="1" applyFill="1" applyBorder="1" applyAlignment="1">
      <alignment vertical="top" wrapText="1"/>
    </xf>
    <xf numFmtId="0" fontId="15" fillId="0" borderId="5" xfId="14" applyFont="1" applyBorder="1">
      <alignment vertical="center"/>
    </xf>
    <xf numFmtId="43" fontId="14" fillId="0" borderId="4" xfId="69" applyFont="1" applyBorder="1" applyAlignment="1">
      <alignment horizontal="right"/>
    </xf>
    <xf numFmtId="10" fontId="14" fillId="0" borderId="4" xfId="69" applyNumberFormat="1" applyFont="1" applyBorder="1" applyAlignment="1">
      <alignment vertical="center"/>
    </xf>
    <xf numFmtId="10" fontId="14" fillId="5" borderId="4" xfId="70" applyNumberFormat="1" applyFont="1" applyFill="1" applyBorder="1" applyAlignment="1">
      <alignment vertical="center"/>
    </xf>
    <xf numFmtId="10" fontId="15" fillId="5" borderId="4" xfId="70" applyNumberFormat="1" applyFont="1" applyFill="1" applyBorder="1" applyAlignment="1">
      <alignment vertical="center"/>
    </xf>
    <xf numFmtId="175" fontId="14" fillId="0" borderId="0" xfId="70" applyNumberFormat="1" applyFont="1" applyAlignment="1">
      <alignment vertical="center"/>
    </xf>
    <xf numFmtId="43" fontId="14" fillId="0" borderId="0" xfId="69" applyFont="1" applyFill="1" applyAlignment="1">
      <alignment vertical="center"/>
    </xf>
    <xf numFmtId="10" fontId="14" fillId="0" borderId="0" xfId="70" applyNumberFormat="1" applyFont="1" applyFill="1" applyAlignment="1">
      <alignment vertical="center"/>
    </xf>
    <xf numFmtId="170" fontId="14" fillId="0" borderId="4" xfId="69" applyNumberFormat="1" applyFont="1" applyBorder="1" applyAlignment="1">
      <alignment vertical="top" wrapText="1"/>
    </xf>
    <xf numFmtId="170" fontId="15" fillId="0" borderId="4" xfId="69" applyNumberFormat="1" applyFont="1" applyBorder="1" applyAlignment="1">
      <alignment vertical="top" wrapText="1"/>
    </xf>
    <xf numFmtId="170" fontId="25" fillId="0" borderId="4" xfId="69" applyNumberFormat="1" applyFont="1" applyBorder="1"/>
    <xf numFmtId="170" fontId="16" fillId="0" borderId="4" xfId="69" applyNumberFormat="1" applyFont="1" applyBorder="1" applyAlignment="1">
      <alignment vertical="top" wrapText="1"/>
    </xf>
    <xf numFmtId="170" fontId="15" fillId="4" borderId="4" xfId="69" applyNumberFormat="1" applyFont="1" applyFill="1" applyBorder="1"/>
    <xf numFmtId="0" fontId="0" fillId="0" borderId="0" xfId="0" applyAlignment="1">
      <alignment wrapText="1"/>
    </xf>
    <xf numFmtId="10" fontId="0" fillId="0" borderId="4" xfId="70" applyNumberFormat="1" applyFont="1" applyFill="1" applyBorder="1"/>
    <xf numFmtId="10" fontId="59" fillId="0" borderId="4" xfId="70" applyNumberFormat="1" applyFont="1" applyFill="1" applyBorder="1"/>
    <xf numFmtId="173" fontId="25" fillId="0" borderId="4" xfId="69" applyNumberFormat="1" applyFont="1" applyBorder="1" applyAlignment="1">
      <alignment horizontal="center" vertical="center"/>
    </xf>
    <xf numFmtId="0" fontId="59" fillId="0" borderId="4" xfId="10" applyFont="1" applyBorder="1" applyAlignment="1">
      <alignment horizontal="center" vertical="center"/>
    </xf>
    <xf numFmtId="0" fontId="59" fillId="0" borderId="8" xfId="10" applyFont="1" applyBorder="1" applyAlignment="1">
      <alignment horizontal="center" vertical="center" wrapText="1"/>
    </xf>
    <xf numFmtId="0" fontId="59" fillId="0" borderId="25" xfId="10" applyFont="1" applyBorder="1" applyAlignment="1">
      <alignment horizontal="center" vertical="center"/>
    </xf>
    <xf numFmtId="43" fontId="15" fillId="4" borderId="4" xfId="69" applyFont="1" applyFill="1" applyBorder="1" applyAlignment="1">
      <alignment horizontal="center" vertical="center" wrapText="1"/>
    </xf>
    <xf numFmtId="43" fontId="15" fillId="4" borderId="4" xfId="69" applyFont="1" applyFill="1" applyBorder="1" applyAlignment="1">
      <alignment horizontal="center" vertical="center"/>
    </xf>
    <xf numFmtId="0" fontId="60" fillId="0" borderId="0" xfId="89" applyFont="1"/>
    <xf numFmtId="0" fontId="10" fillId="0" borderId="0" xfId="89"/>
    <xf numFmtId="0" fontId="60" fillId="21" borderId="26" xfId="89" applyFont="1" applyFill="1" applyBorder="1" applyAlignment="1">
      <alignment horizontal="center" vertical="center"/>
    </xf>
    <xf numFmtId="0" fontId="60" fillId="21" borderId="27" xfId="89" applyFont="1" applyFill="1" applyBorder="1" applyAlignment="1">
      <alignment horizontal="center" vertical="center"/>
    </xf>
    <xf numFmtId="0" fontId="60" fillId="21" borderId="28" xfId="89" applyFont="1" applyFill="1" applyBorder="1" applyAlignment="1">
      <alignment horizontal="center" vertical="center"/>
    </xf>
    <xf numFmtId="14" fontId="10" fillId="0" borderId="29" xfId="89" applyNumberFormat="1" applyBorder="1"/>
    <xf numFmtId="14" fontId="10" fillId="0" borderId="4" xfId="89" applyNumberFormat="1" applyBorder="1"/>
    <xf numFmtId="0" fontId="10" fillId="0" borderId="4" xfId="89" applyBorder="1"/>
    <xf numFmtId="10" fontId="10" fillId="0" borderId="29" xfId="89" applyNumberFormat="1" applyBorder="1"/>
    <xf numFmtId="10" fontId="0" fillId="0" borderId="0" xfId="90" applyNumberFormat="1" applyFont="1"/>
    <xf numFmtId="10" fontId="10" fillId="0" borderId="0" xfId="89" applyNumberFormat="1"/>
    <xf numFmtId="10" fontId="10" fillId="0" borderId="4" xfId="89" applyNumberFormat="1" applyBorder="1"/>
    <xf numFmtId="14" fontId="10" fillId="0" borderId="7" xfId="89" applyNumberFormat="1" applyBorder="1"/>
    <xf numFmtId="0" fontId="10" fillId="0" borderId="29" xfId="89" applyBorder="1"/>
    <xf numFmtId="10" fontId="10" fillId="0" borderId="7" xfId="89" applyNumberFormat="1" applyBorder="1"/>
    <xf numFmtId="14" fontId="10" fillId="0" borderId="33" xfId="89" applyNumberFormat="1" applyBorder="1"/>
    <xf numFmtId="0" fontId="10" fillId="0" borderId="26" xfId="89" applyBorder="1" applyAlignment="1">
      <alignment horizontal="center" vertical="center" wrapText="1"/>
    </xf>
    <xf numFmtId="10" fontId="0" fillId="0" borderId="29" xfId="90" applyNumberFormat="1" applyFont="1" applyBorder="1"/>
    <xf numFmtId="10" fontId="0" fillId="0" borderId="27" xfId="90" applyNumberFormat="1" applyFont="1" applyBorder="1" applyAlignment="1">
      <alignment horizontal="center" vertical="center"/>
    </xf>
    <xf numFmtId="176" fontId="10" fillId="0" borderId="28" xfId="89" applyNumberFormat="1" applyBorder="1" applyAlignment="1">
      <alignment horizontal="center" vertical="center"/>
    </xf>
    <xf numFmtId="10" fontId="10" fillId="0" borderId="33" xfId="89" applyNumberFormat="1" applyBorder="1"/>
    <xf numFmtId="43" fontId="61" fillId="0" borderId="0" xfId="69" quotePrefix="1" applyFont="1" applyAlignment="1">
      <alignment vertical="center"/>
    </xf>
    <xf numFmtId="43" fontId="68" fillId="0" borderId="0" xfId="69" applyFont="1" applyFill="1" applyAlignment="1">
      <alignment vertical="center"/>
    </xf>
    <xf numFmtId="43" fontId="69" fillId="0" borderId="0" xfId="69" applyFont="1" applyAlignment="1">
      <alignment vertical="center"/>
    </xf>
    <xf numFmtId="43" fontId="67" fillId="0" borderId="0" xfId="69" applyFont="1" applyAlignment="1">
      <alignment vertical="center"/>
    </xf>
    <xf numFmtId="43" fontId="69" fillId="0" borderId="0" xfId="69" applyFont="1" applyAlignment="1">
      <alignment horizontal="center" vertical="center"/>
    </xf>
    <xf numFmtId="43" fontId="61" fillId="0" borderId="0" xfId="69" applyFont="1" applyBorder="1"/>
    <xf numFmtId="43" fontId="67" fillId="0" borderId="0" xfId="69" applyFont="1" applyAlignment="1">
      <alignment vertical="center" wrapText="1"/>
    </xf>
    <xf numFmtId="43" fontId="69" fillId="0" borderId="0" xfId="69" applyFont="1" applyBorder="1" applyAlignment="1">
      <alignment horizontal="center" vertical="center"/>
    </xf>
    <xf numFmtId="43" fontId="61" fillId="0" borderId="0" xfId="69" applyFont="1" applyBorder="1" applyAlignment="1">
      <alignment vertical="top"/>
    </xf>
    <xf numFmtId="43" fontId="69" fillId="0" borderId="0" xfId="69" applyFont="1" applyBorder="1" applyAlignment="1">
      <alignment horizontal="center" vertical="top"/>
    </xf>
    <xf numFmtId="43" fontId="69" fillId="0" borderId="0" xfId="69" applyFont="1" applyBorder="1" applyAlignment="1"/>
    <xf numFmtId="43" fontId="69" fillId="0" borderId="0" xfId="69" applyFont="1" applyAlignment="1">
      <alignment horizontal="right" vertical="center"/>
    </xf>
    <xf numFmtId="43" fontId="69" fillId="4" borderId="7" xfId="69" applyFont="1" applyFill="1" applyBorder="1" applyAlignment="1">
      <alignment vertical="center"/>
    </xf>
    <xf numFmtId="43" fontId="69" fillId="4" borderId="4" xfId="69" applyFont="1" applyFill="1" applyBorder="1" applyAlignment="1">
      <alignment horizontal="center" vertical="center" wrapText="1"/>
    </xf>
    <xf numFmtId="43" fontId="61" fillId="0" borderId="4" xfId="69" applyFont="1" applyBorder="1" applyAlignment="1">
      <alignment horizontal="center" vertical="center"/>
    </xf>
    <xf numFmtId="43" fontId="61" fillId="0" borderId="4" xfId="69" applyFont="1" applyFill="1" applyBorder="1" applyAlignment="1">
      <alignment vertical="center"/>
    </xf>
    <xf numFmtId="43" fontId="61" fillId="0" borderId="4" xfId="69" applyFont="1" applyBorder="1" applyAlignment="1">
      <alignment vertical="center"/>
    </xf>
    <xf numFmtId="43" fontId="61" fillId="0" borderId="4" xfId="69" applyFont="1" applyFill="1" applyBorder="1" applyAlignment="1">
      <alignment vertical="top" wrapText="1"/>
    </xf>
    <xf numFmtId="43" fontId="61" fillId="0" borderId="4" xfId="69" applyFont="1" applyBorder="1" applyAlignment="1">
      <alignment vertical="top" wrapText="1"/>
    </xf>
    <xf numFmtId="43" fontId="69" fillId="0" borderId="4" xfId="69" applyFont="1" applyBorder="1" applyAlignment="1">
      <alignment vertical="center"/>
    </xf>
    <xf numFmtId="43" fontId="69" fillId="0" borderId="4" xfId="69" applyFont="1" applyBorder="1" applyAlignment="1">
      <alignment vertical="top" wrapText="1"/>
    </xf>
    <xf numFmtId="43" fontId="61" fillId="0" borderId="0" xfId="69" applyFont="1" applyAlignment="1">
      <alignment vertical="center" wrapText="1"/>
    </xf>
    <xf numFmtId="43" fontId="61" fillId="0" borderId="4" xfId="69" applyFont="1" applyBorder="1" applyAlignment="1">
      <alignment vertical="center" wrapText="1"/>
    </xf>
    <xf numFmtId="1" fontId="61" fillId="0" borderId="0" xfId="69" applyNumberFormat="1" applyFont="1" applyAlignment="1">
      <alignment horizontal="center" vertical="center"/>
    </xf>
    <xf numFmtId="1" fontId="69" fillId="0" borderId="0" xfId="69" applyNumberFormat="1" applyFont="1" applyAlignment="1">
      <alignment horizontal="center" vertical="center"/>
    </xf>
    <xf numFmtId="1" fontId="69" fillId="0" borderId="0" xfId="69" applyNumberFormat="1" applyFont="1" applyBorder="1" applyAlignment="1">
      <alignment horizontal="center" vertical="center" wrapText="1"/>
    </xf>
    <xf numFmtId="1" fontId="69" fillId="0" borderId="0" xfId="69" applyNumberFormat="1" applyFont="1" applyFill="1" applyBorder="1" applyAlignment="1">
      <alignment horizontal="center" vertical="center"/>
    </xf>
    <xf numFmtId="1" fontId="69" fillId="4" borderId="7" xfId="69" applyNumberFormat="1" applyFont="1" applyFill="1" applyBorder="1" applyAlignment="1">
      <alignment horizontal="center" vertical="center" wrapText="1"/>
    </xf>
    <xf numFmtId="1" fontId="61" fillId="0" borderId="4" xfId="69" applyNumberFormat="1" applyFont="1" applyBorder="1" applyAlignment="1">
      <alignment horizontal="center" vertical="center"/>
    </xf>
    <xf numFmtId="1" fontId="69" fillId="0" borderId="4" xfId="69" applyNumberFormat="1" applyFont="1" applyBorder="1" applyAlignment="1">
      <alignment horizontal="center" vertical="center"/>
    </xf>
    <xf numFmtId="1" fontId="69" fillId="0" borderId="4" xfId="69" applyNumberFormat="1" applyFont="1" applyBorder="1" applyAlignment="1">
      <alignment horizontal="center" vertical="top" wrapText="1"/>
    </xf>
    <xf numFmtId="1" fontId="61" fillId="0" borderId="4" xfId="69" applyNumberFormat="1" applyFont="1" applyBorder="1" applyAlignment="1">
      <alignment horizontal="center" vertical="top" wrapText="1"/>
    </xf>
    <xf numFmtId="164" fontId="69" fillId="0" borderId="4" xfId="69" applyNumberFormat="1" applyFont="1" applyBorder="1" applyAlignment="1">
      <alignment vertical="center"/>
    </xf>
    <xf numFmtId="43" fontId="14" fillId="0" borderId="4" xfId="69" applyFont="1" applyFill="1" applyBorder="1" applyAlignment="1" applyProtection="1">
      <alignment horizontal="left" vertical="top"/>
    </xf>
    <xf numFmtId="43" fontId="61" fillId="0" borderId="4" xfId="69" applyFont="1" applyFill="1" applyBorder="1" applyAlignment="1" applyProtection="1">
      <alignment horizontal="left" vertical="top" wrapText="1"/>
    </xf>
    <xf numFmtId="43" fontId="33" fillId="0" borderId="0" xfId="69" applyFont="1" applyBorder="1" applyAlignment="1">
      <alignment horizontal="left"/>
    </xf>
    <xf numFmtId="43" fontId="17" fillId="0" borderId="0" xfId="69" applyFont="1" applyFill="1" applyBorder="1"/>
    <xf numFmtId="43" fontId="35" fillId="0" borderId="0" xfId="69" applyFont="1" applyFill="1" applyBorder="1"/>
    <xf numFmtId="43" fontId="35" fillId="0" borderId="0" xfId="69" applyFont="1" applyFill="1" applyBorder="1" applyAlignment="1"/>
    <xf numFmtId="0" fontId="59" fillId="0" borderId="0" xfId="0" applyFont="1" applyAlignment="1">
      <alignment horizontal="center" vertical="center"/>
    </xf>
    <xf numFmtId="43" fontId="15" fillId="0" borderId="4" xfId="69" applyFont="1" applyFill="1" applyBorder="1" applyAlignment="1" applyProtection="1">
      <alignment vertical="top" wrapText="1"/>
    </xf>
    <xf numFmtId="43" fontId="74" fillId="0" borderId="0" xfId="69" applyFont="1" applyAlignment="1">
      <alignment horizontal="justify" vertical="center"/>
    </xf>
    <xf numFmtId="43" fontId="36" fillId="0" borderId="0" xfId="69" applyFont="1" applyFill="1" applyAlignment="1">
      <alignment horizontal="center" vertical="center"/>
    </xf>
    <xf numFmtId="43" fontId="16" fillId="0" borderId="0" xfId="69" applyFont="1" applyAlignment="1">
      <alignment horizontal="center" vertical="center"/>
    </xf>
    <xf numFmtId="43" fontId="15" fillId="0" borderId="0" xfId="69" applyFont="1" applyBorder="1" applyAlignment="1">
      <alignment vertical="center" wrapText="1"/>
    </xf>
    <xf numFmtId="43" fontId="16" fillId="0" borderId="0" xfId="69" applyFont="1" applyAlignment="1">
      <alignment horizontal="center" vertical="center" wrapText="1"/>
    </xf>
    <xf numFmtId="43" fontId="15" fillId="0" borderId="0" xfId="69" applyFont="1" applyBorder="1" applyAlignment="1">
      <alignment horizontal="center" vertical="top"/>
    </xf>
    <xf numFmtId="43" fontId="15" fillId="0" borderId="0" xfId="69" applyFont="1" applyFill="1" applyBorder="1" applyAlignment="1">
      <alignment horizontal="left" vertical="center"/>
    </xf>
    <xf numFmtId="43" fontId="15" fillId="8" borderId="7" xfId="69" applyFont="1" applyFill="1" applyBorder="1" applyAlignment="1" applyProtection="1">
      <alignment horizontal="center" vertical="center" wrapText="1"/>
    </xf>
    <xf numFmtId="43" fontId="43" fillId="0" borderId="4" xfId="69" applyFont="1" applyFill="1" applyBorder="1" applyAlignment="1">
      <alignment vertical="center"/>
    </xf>
    <xf numFmtId="43" fontId="15" fillId="0" borderId="0" xfId="69" applyFont="1" applyFill="1" applyAlignment="1">
      <alignment vertical="center"/>
    </xf>
    <xf numFmtId="10" fontId="14" fillId="0" borderId="0" xfId="70" applyNumberFormat="1" applyFont="1" applyBorder="1"/>
    <xf numFmtId="10" fontId="14" fillId="0" borderId="7" xfId="70" applyNumberFormat="1" applyFont="1" applyBorder="1" applyAlignment="1">
      <alignment vertical="center"/>
    </xf>
    <xf numFmtId="10" fontId="15" fillId="0" borderId="4" xfId="70" applyNumberFormat="1" applyFont="1" applyFill="1" applyBorder="1" applyAlignment="1">
      <alignment horizontal="center" vertical="center"/>
    </xf>
    <xf numFmtId="0" fontId="14" fillId="0" borderId="37" xfId="13" applyFont="1" applyBorder="1" applyAlignment="1">
      <alignment horizontal="center"/>
    </xf>
    <xf numFmtId="0" fontId="14" fillId="0" borderId="37" xfId="13" applyFont="1" applyBorder="1" applyAlignment="1">
      <alignment horizontal="center" vertical="center"/>
    </xf>
    <xf numFmtId="0" fontId="14" fillId="0" borderId="37" xfId="13" applyFont="1" applyBorder="1"/>
    <xf numFmtId="0" fontId="14" fillId="0" borderId="37" xfId="13" applyFont="1" applyBorder="1" applyAlignment="1">
      <alignment horizontal="right"/>
    </xf>
    <xf numFmtId="0" fontId="14" fillId="0" borderId="38" xfId="13" applyFont="1" applyBorder="1"/>
    <xf numFmtId="0" fontId="14" fillId="0" borderId="4" xfId="13" applyFont="1" applyBorder="1"/>
    <xf numFmtId="0" fontId="14" fillId="0" borderId="37" xfId="13" quotePrefix="1" applyFont="1" applyBorder="1" applyAlignment="1">
      <alignment horizontal="center" vertical="center"/>
    </xf>
    <xf numFmtId="173" fontId="15" fillId="0" borderId="0" xfId="15" applyNumberFormat="1" applyFont="1" applyAlignment="1">
      <alignment horizontal="right" vertical="center" wrapText="1"/>
    </xf>
    <xf numFmtId="173" fontId="15" fillId="0" borderId="0" xfId="10" applyNumberFormat="1" applyFont="1" applyBorder="1" applyAlignment="1">
      <alignment horizontal="right" vertical="center" wrapText="1"/>
    </xf>
    <xf numFmtId="173" fontId="15" fillId="5" borderId="0" xfId="10" applyNumberFormat="1" applyFont="1" applyFill="1" applyBorder="1" applyAlignment="1">
      <alignment horizontal="right" vertical="center" wrapText="1"/>
    </xf>
    <xf numFmtId="173" fontId="15" fillId="5" borderId="0" xfId="10" applyNumberFormat="1" applyFont="1" applyFill="1" applyBorder="1" applyAlignment="1">
      <alignment horizontal="right" vertical="center"/>
    </xf>
    <xf numFmtId="173" fontId="15" fillId="0" borderId="0" xfId="10" applyNumberFormat="1" applyFont="1" applyAlignment="1">
      <alignment horizontal="right" vertical="center"/>
    </xf>
    <xf numFmtId="173" fontId="14" fillId="0" borderId="0" xfId="10" applyNumberFormat="1" applyFont="1" applyAlignment="1">
      <alignment horizontal="right" vertical="center"/>
    </xf>
    <xf numFmtId="173" fontId="14" fillId="0" borderId="4" xfId="10" applyNumberFormat="1" applyFont="1" applyFill="1" applyBorder="1" applyAlignment="1">
      <alignment horizontal="right" vertical="center"/>
    </xf>
    <xf numFmtId="173" fontId="14" fillId="0" borderId="37" xfId="13" applyNumberFormat="1" applyFont="1" applyBorder="1" applyAlignment="1">
      <alignment horizontal="right" vertical="center"/>
    </xf>
    <xf numFmtId="173" fontId="14" fillId="0" borderId="4" xfId="27" applyNumberFormat="1" applyFont="1" applyFill="1" applyBorder="1" applyAlignment="1">
      <alignment horizontal="right" vertical="center"/>
    </xf>
    <xf numFmtId="173" fontId="15" fillId="0" borderId="37" xfId="13" applyNumberFormat="1" applyFont="1" applyBorder="1" applyAlignment="1">
      <alignment horizontal="right" vertical="center"/>
    </xf>
    <xf numFmtId="173" fontId="14" fillId="0" borderId="37" xfId="13" quotePrefix="1" applyNumberFormat="1" applyFont="1" applyBorder="1" applyAlignment="1">
      <alignment horizontal="right" vertical="center"/>
    </xf>
    <xf numFmtId="173" fontId="15" fillId="6" borderId="4" xfId="10" applyNumberFormat="1" applyFont="1" applyFill="1" applyBorder="1" applyAlignment="1">
      <alignment horizontal="right" vertical="center"/>
    </xf>
    <xf numFmtId="173" fontId="0" fillId="0" borderId="0" xfId="0" applyNumberFormat="1" applyAlignment="1">
      <alignment horizontal="right" vertical="center"/>
    </xf>
    <xf numFmtId="173" fontId="14" fillId="0" borderId="0" xfId="10" applyNumberFormat="1" applyFont="1" applyFill="1" applyBorder="1" applyAlignment="1">
      <alignment horizontal="right" vertical="center"/>
    </xf>
    <xf numFmtId="0" fontId="14" fillId="0" borderId="4" xfId="27" applyFont="1" applyFill="1" applyBorder="1" applyAlignment="1">
      <alignment horizontal="center"/>
    </xf>
    <xf numFmtId="43" fontId="15" fillId="0" borderId="0" xfId="69" applyFont="1" applyBorder="1" applyAlignment="1">
      <alignment horizontal="center" vertical="center" wrapText="1"/>
    </xf>
    <xf numFmtId="0" fontId="14" fillId="0" borderId="4" xfId="10" applyFont="1" applyFill="1" applyBorder="1" applyAlignment="1">
      <alignment horizontal="center"/>
    </xf>
    <xf numFmtId="43" fontId="15" fillId="0" borderId="4" xfId="69" applyFont="1" applyFill="1" applyBorder="1"/>
    <xf numFmtId="0" fontId="15" fillId="0" borderId="4" xfId="10" applyFont="1" applyFill="1" applyBorder="1" applyAlignment="1">
      <alignment vertical="center" wrapText="1"/>
    </xf>
    <xf numFmtId="0" fontId="15" fillId="0" borderId="4" xfId="10" applyFont="1" applyFill="1" applyBorder="1" applyAlignment="1">
      <alignment horizontal="center" vertical="center"/>
    </xf>
    <xf numFmtId="0" fontId="69" fillId="0" borderId="4" xfId="10" applyFont="1" applyFill="1" applyBorder="1" applyAlignment="1">
      <alignment horizontal="center" vertical="center"/>
    </xf>
    <xf numFmtId="0" fontId="14" fillId="0" borderId="4" xfId="27" applyFont="1" applyFill="1" applyBorder="1" applyAlignment="1">
      <alignment horizontal="center" vertical="center"/>
    </xf>
    <xf numFmtId="0" fontId="14" fillId="0" borderId="4" xfId="10" applyFont="1" applyFill="1" applyBorder="1" applyAlignment="1">
      <alignment horizontal="center" vertical="center"/>
    </xf>
    <xf numFmtId="0" fontId="14" fillId="0" borderId="0" xfId="15" applyFont="1" applyAlignment="1">
      <alignment horizontal="center" vertical="center" wrapText="1"/>
    </xf>
    <xf numFmtId="0" fontId="14" fillId="0" borderId="0" xfId="10" applyFont="1" applyBorder="1" applyAlignment="1">
      <alignment horizontal="center" vertical="center" wrapText="1"/>
    </xf>
    <xf numFmtId="0" fontId="14" fillId="5" borderId="0" xfId="10" applyFont="1" applyFill="1" applyBorder="1" applyAlignment="1">
      <alignment horizontal="center" vertical="center" wrapText="1"/>
    </xf>
    <xf numFmtId="0" fontId="14" fillId="0" borderId="0" xfId="10" applyFont="1" applyFill="1" applyBorder="1" applyAlignment="1">
      <alignment horizontal="center" vertical="center"/>
    </xf>
    <xf numFmtId="43" fontId="15" fillId="0" borderId="0" xfId="69" applyFont="1" applyFill="1" applyBorder="1" applyAlignment="1">
      <alignment horizontal="center"/>
    </xf>
    <xf numFmtId="0" fontId="65" fillId="0" borderId="4" xfId="13" applyFont="1" applyBorder="1" applyAlignment="1"/>
    <xf numFmtId="0" fontId="15" fillId="0" borderId="4" xfId="10" applyFont="1" applyFill="1" applyBorder="1" applyAlignment="1">
      <alignment horizontal="left" vertical="center" wrapText="1"/>
    </xf>
    <xf numFmtId="0" fontId="48" fillId="0" borderId="4" xfId="27" applyFont="1" applyFill="1" applyBorder="1"/>
    <xf numFmtId="0" fontId="15" fillId="0" borderId="4" xfId="10" applyFont="1" applyBorder="1" applyAlignment="1">
      <alignment horizontal="left"/>
    </xf>
    <xf numFmtId="0" fontId="15" fillId="0" borderId="4" xfId="10" applyFont="1" applyBorder="1" applyAlignment="1">
      <alignment horizontal="center"/>
    </xf>
    <xf numFmtId="0" fontId="15" fillId="5" borderId="4" xfId="10" applyFont="1" applyFill="1" applyBorder="1" applyAlignment="1">
      <alignment horizontal="left"/>
    </xf>
    <xf numFmtId="0" fontId="15" fillId="0" borderId="4" xfId="10" applyFont="1" applyBorder="1" applyAlignment="1">
      <alignment horizontal="left" vertical="center"/>
    </xf>
    <xf numFmtId="0" fontId="0" fillId="0" borderId="4" xfId="0" applyBorder="1" applyAlignment="1">
      <alignment horizontal="center" vertical="center"/>
    </xf>
    <xf numFmtId="0" fontId="25" fillId="0" borderId="4" xfId="0" applyFont="1" applyBorder="1" applyAlignment="1">
      <alignment horizontal="center" vertical="center"/>
    </xf>
    <xf numFmtId="0" fontId="14" fillId="0" borderId="4" xfId="10" applyFont="1" applyFill="1" applyBorder="1" applyAlignment="1">
      <alignment horizontal="left"/>
    </xf>
    <xf numFmtId="0" fontId="59" fillId="0" borderId="4" xfId="0" applyFont="1" applyBorder="1"/>
    <xf numFmtId="0" fontId="14" fillId="0" borderId="4" xfId="10" applyFont="1" applyBorder="1" applyAlignment="1">
      <alignment horizontal="left"/>
    </xf>
    <xf numFmtId="0" fontId="48" fillId="0" borderId="4" xfId="10" applyFont="1" applyBorder="1" applyAlignment="1">
      <alignment horizontal="left"/>
    </xf>
    <xf numFmtId="0" fontId="15" fillId="0" borderId="0" xfId="10" applyFont="1" applyBorder="1" applyAlignment="1">
      <alignment horizontal="center" vertical="center"/>
    </xf>
    <xf numFmtId="0" fontId="15" fillId="0" borderId="0" xfId="14" applyFont="1" applyAlignment="1">
      <alignment horizontal="center" vertical="center"/>
    </xf>
    <xf numFmtId="0" fontId="14" fillId="0" borderId="0" xfId="10" applyFont="1" applyAlignment="1">
      <alignment horizontal="center" vertical="center"/>
    </xf>
    <xf numFmtId="0" fontId="15" fillId="7" borderId="0" xfId="10" applyFont="1" applyFill="1" applyBorder="1" applyAlignment="1">
      <alignment horizontal="center" vertical="center"/>
    </xf>
    <xf numFmtId="43" fontId="15" fillId="4" borderId="4" xfId="69" applyFont="1" applyFill="1" applyBorder="1" applyAlignment="1">
      <alignment horizontal="center" vertical="center" wrapText="1"/>
    </xf>
    <xf numFmtId="43" fontId="15" fillId="4" borderId="4" xfId="69" applyFont="1" applyFill="1" applyBorder="1" applyAlignment="1">
      <alignment horizontal="center" vertical="center"/>
    </xf>
    <xf numFmtId="43" fontId="15" fillId="6" borderId="4" xfId="10" applyNumberFormat="1" applyFont="1" applyFill="1" applyBorder="1"/>
    <xf numFmtId="164" fontId="15" fillId="7" borderId="4" xfId="69" applyNumberFormat="1" applyFont="1" applyFill="1" applyBorder="1" applyAlignment="1">
      <alignment horizontal="center" vertical="center" wrapText="1"/>
    </xf>
    <xf numFmtId="164" fontId="14" fillId="0" borderId="4" xfId="69" quotePrefix="1" applyNumberFormat="1" applyFont="1" applyBorder="1" applyAlignment="1">
      <alignment horizontal="center" vertical="center" wrapText="1"/>
    </xf>
    <xf numFmtId="0" fontId="15" fillId="4" borderId="4" xfId="0" applyFont="1" applyFill="1" applyBorder="1" applyAlignment="1">
      <alignment horizontal="center" vertical="center" wrapText="1"/>
    </xf>
    <xf numFmtId="0" fontId="14" fillId="7" borderId="4" xfId="10" quotePrefix="1" applyFont="1" applyFill="1" applyBorder="1" applyAlignment="1">
      <alignment horizontal="center" vertical="center" wrapText="1"/>
    </xf>
    <xf numFmtId="0" fontId="14" fillId="7" borderId="4" xfId="10" applyFont="1" applyFill="1" applyBorder="1" applyAlignment="1">
      <alignment horizontal="center" vertical="center" wrapText="1"/>
    </xf>
    <xf numFmtId="164" fontId="14" fillId="0" borderId="4" xfId="69" applyNumberFormat="1" applyFont="1" applyFill="1" applyBorder="1" applyAlignment="1">
      <alignment horizontal="center" vertical="center" wrapText="1"/>
    </xf>
    <xf numFmtId="0" fontId="14" fillId="0" borderId="0" xfId="0" applyFont="1" applyAlignment="1">
      <alignment horizontal="center" vertical="center"/>
    </xf>
    <xf numFmtId="0" fontId="15" fillId="0" borderId="0" xfId="0" applyFont="1" applyBorder="1" applyAlignment="1">
      <alignment horizontal="center" vertical="center"/>
    </xf>
    <xf numFmtId="43" fontId="35" fillId="7" borderId="4" xfId="69" applyFont="1" applyFill="1" applyBorder="1" applyAlignment="1">
      <alignment horizontal="center" vertical="center"/>
    </xf>
    <xf numFmtId="10" fontId="14" fillId="7" borderId="4" xfId="70" applyNumberFormat="1" applyFont="1" applyFill="1" applyBorder="1" applyAlignment="1">
      <alignment horizontal="center" vertical="center"/>
    </xf>
    <xf numFmtId="164" fontId="14" fillId="7" borderId="4" xfId="69" applyNumberFormat="1" applyFont="1" applyFill="1" applyBorder="1" applyAlignment="1">
      <alignment horizontal="center" vertical="center"/>
    </xf>
    <xf numFmtId="164" fontId="35" fillId="7" borderId="4" xfId="69" applyNumberFormat="1" applyFont="1" applyFill="1" applyBorder="1" applyAlignment="1">
      <alignment horizontal="center" vertical="center"/>
    </xf>
    <xf numFmtId="0" fontId="14" fillId="0" borderId="4" xfId="0" applyFont="1" applyBorder="1" applyAlignment="1">
      <alignment horizontal="center" vertical="center"/>
    </xf>
    <xf numFmtId="9" fontId="14" fillId="7" borderId="4" xfId="70" applyFont="1" applyFill="1" applyBorder="1" applyAlignment="1">
      <alignment horizontal="center" vertical="center"/>
    </xf>
    <xf numFmtId="164" fontId="33" fillId="7" borderId="4" xfId="69" applyNumberFormat="1" applyFont="1" applyFill="1" applyBorder="1" applyAlignment="1">
      <alignment horizontal="center" vertical="center" wrapText="1"/>
    </xf>
    <xf numFmtId="164" fontId="15" fillId="7" borderId="4" xfId="69" applyNumberFormat="1" applyFont="1" applyFill="1" applyBorder="1" applyAlignment="1">
      <alignment horizontal="center" vertical="center"/>
    </xf>
    <xf numFmtId="164" fontId="14" fillId="0" borderId="4" xfId="69" applyNumberFormat="1" applyFont="1" applyBorder="1" applyAlignment="1">
      <alignment horizontal="center" vertical="center"/>
    </xf>
    <xf numFmtId="164" fontId="33" fillId="7" borderId="4" xfId="69" applyNumberFormat="1" applyFont="1" applyFill="1" applyBorder="1" applyAlignment="1">
      <alignment horizontal="center" vertical="center"/>
    </xf>
    <xf numFmtId="0" fontId="14" fillId="7" borderId="0" xfId="10" applyFont="1" applyFill="1" applyBorder="1" applyAlignment="1">
      <alignment horizontal="center" vertical="center"/>
    </xf>
    <xf numFmtId="0" fontId="33" fillId="7" borderId="0" xfId="10" applyFont="1" applyFill="1" applyBorder="1" applyAlignment="1">
      <alignment horizontal="center" vertical="center"/>
    </xf>
    <xf numFmtId="43" fontId="14" fillId="0" borderId="0" xfId="0" applyNumberFormat="1" applyFont="1" applyAlignment="1">
      <alignment horizontal="center" vertical="center"/>
    </xf>
    <xf numFmtId="9" fontId="14" fillId="7" borderId="4" xfId="70" applyNumberFormat="1" applyFont="1" applyFill="1" applyBorder="1" applyAlignment="1">
      <alignment horizontal="center" vertical="center"/>
    </xf>
    <xf numFmtId="164" fontId="15" fillId="0" borderId="4" xfId="0" applyNumberFormat="1" applyFont="1" applyBorder="1" applyAlignment="1">
      <alignment horizontal="center" vertical="center"/>
    </xf>
    <xf numFmtId="164" fontId="14" fillId="0" borderId="0" xfId="0" applyNumberFormat="1" applyFont="1" applyAlignment="1">
      <alignment horizontal="center" vertical="center"/>
    </xf>
    <xf numFmtId="164" fontId="15" fillId="7" borderId="0" xfId="69" applyNumberFormat="1" applyFont="1" applyFill="1" applyBorder="1" applyAlignment="1">
      <alignment horizontal="center" vertical="center"/>
    </xf>
    <xf numFmtId="164" fontId="33" fillId="7" borderId="0" xfId="69" applyNumberFormat="1" applyFont="1" applyFill="1" applyBorder="1" applyAlignment="1">
      <alignment horizontal="center" vertical="center"/>
    </xf>
    <xf numFmtId="164" fontId="14" fillId="7" borderId="0" xfId="69" applyNumberFormat="1" applyFont="1" applyFill="1" applyBorder="1" applyAlignment="1">
      <alignment horizontal="center" vertical="center"/>
    </xf>
    <xf numFmtId="0" fontId="33" fillId="7" borderId="4" xfId="10" applyFont="1" applyFill="1" applyBorder="1" applyAlignment="1">
      <alignment horizontal="center" vertical="center"/>
    </xf>
    <xf numFmtId="43" fontId="14" fillId="0" borderId="0" xfId="69" applyFont="1" applyBorder="1" applyAlignment="1">
      <alignment horizontal="centerContinuous" vertical="center"/>
    </xf>
    <xf numFmtId="0" fontId="15" fillId="5" borderId="0" xfId="10" applyFont="1" applyFill="1" applyBorder="1" applyAlignment="1">
      <alignment horizontal="left" vertical="center"/>
    </xf>
    <xf numFmtId="43" fontId="15" fillId="5" borderId="0" xfId="69" applyFont="1" applyFill="1" applyBorder="1" applyAlignment="1">
      <alignment horizontal="left" vertical="center"/>
    </xf>
    <xf numFmtId="43" fontId="14" fillId="0" borderId="0" xfId="69" applyFont="1" applyBorder="1" applyAlignment="1">
      <alignment horizontal="center" vertical="center"/>
    </xf>
    <xf numFmtId="164" fontId="14" fillId="0" borderId="0" xfId="10" applyNumberFormat="1" applyFont="1" applyBorder="1" applyAlignment="1">
      <alignment horizontal="centerContinuous" vertical="center"/>
    </xf>
    <xf numFmtId="174" fontId="14" fillId="0" borderId="0" xfId="69" applyNumberFormat="1" applyFont="1" applyBorder="1" applyAlignment="1">
      <alignment horizontal="centerContinuous" vertical="center"/>
    </xf>
    <xf numFmtId="0" fontId="14" fillId="0" borderId="4" xfId="10" applyFont="1" applyFill="1" applyBorder="1" applyAlignment="1" applyProtection="1">
      <alignment vertical="center" wrapText="1"/>
    </xf>
    <xf numFmtId="0" fontId="14" fillId="0" borderId="4" xfId="10" applyFont="1" applyFill="1" applyBorder="1" applyAlignment="1" applyProtection="1">
      <alignment horizontal="left" vertical="center" wrapText="1"/>
    </xf>
    <xf numFmtId="10" fontId="14" fillId="5" borderId="4" xfId="70" applyNumberFormat="1" applyFont="1" applyFill="1" applyBorder="1" applyAlignment="1" applyProtection="1">
      <alignment horizontal="left" vertical="center" wrapText="1"/>
    </xf>
    <xf numFmtId="10" fontId="14" fillId="5" borderId="4" xfId="70" applyNumberFormat="1" applyFont="1" applyFill="1" applyBorder="1" applyAlignment="1" applyProtection="1">
      <alignment horizontal="right" vertical="center"/>
    </xf>
    <xf numFmtId="0" fontId="14" fillId="0" borderId="4" xfId="14" applyFont="1" applyBorder="1" applyAlignment="1">
      <alignment vertical="center"/>
    </xf>
    <xf numFmtId="0" fontId="14" fillId="5" borderId="4" xfId="10" applyFont="1" applyFill="1" applyBorder="1" applyAlignment="1" applyProtection="1">
      <alignment vertical="center" wrapText="1"/>
    </xf>
    <xf numFmtId="0" fontId="14" fillId="7" borderId="4" xfId="10" applyFont="1" applyFill="1" applyBorder="1" applyAlignment="1">
      <alignment vertical="center"/>
    </xf>
    <xf numFmtId="0" fontId="18" fillId="0" borderId="4" xfId="0" applyFont="1" applyFill="1" applyBorder="1" applyAlignment="1" applyProtection="1">
      <alignment vertical="center" wrapText="1"/>
    </xf>
    <xf numFmtId="0" fontId="18" fillId="0" borderId="4" xfId="0" applyFont="1" applyFill="1" applyBorder="1" applyAlignment="1" applyProtection="1">
      <alignment horizontal="left" vertical="center" wrapText="1"/>
    </xf>
    <xf numFmtId="166" fontId="14" fillId="0" borderId="0" xfId="10" applyNumberFormat="1" applyFont="1" applyFill="1" applyBorder="1" applyAlignment="1" applyProtection="1">
      <alignment vertical="center"/>
    </xf>
    <xf numFmtId="43" fontId="14" fillId="0" borderId="0" xfId="69" applyFont="1" applyFill="1" applyBorder="1" applyAlignment="1" applyProtection="1">
      <alignment vertical="center"/>
    </xf>
    <xf numFmtId="43" fontId="14" fillId="0" borderId="0" xfId="69" applyFont="1" applyFill="1" applyBorder="1" applyAlignment="1">
      <alignment vertical="center"/>
    </xf>
    <xf numFmtId="0" fontId="61" fillId="0" borderId="0" xfId="10" applyFont="1" applyAlignment="1">
      <alignment vertical="center"/>
    </xf>
    <xf numFmtId="0" fontId="14" fillId="0" borderId="0" xfId="10" applyFont="1" applyFill="1" applyBorder="1" applyAlignment="1" applyProtection="1">
      <alignment vertical="center"/>
    </xf>
    <xf numFmtId="0" fontId="14" fillId="0" borderId="0" xfId="10" applyFont="1" applyFill="1" applyBorder="1" applyAlignment="1" applyProtection="1">
      <alignment horizontal="left" vertical="center"/>
    </xf>
    <xf numFmtId="43" fontId="15" fillId="5" borderId="0" xfId="69" applyFont="1" applyFill="1" applyBorder="1" applyAlignment="1">
      <alignment vertical="center"/>
    </xf>
    <xf numFmtId="0" fontId="14" fillId="5" borderId="0" xfId="10" applyFont="1" applyFill="1" applyBorder="1" applyAlignment="1" applyProtection="1">
      <alignment vertical="center" wrapText="1"/>
    </xf>
    <xf numFmtId="0" fontId="14" fillId="5" borderId="4" xfId="10" applyFont="1" applyFill="1" applyBorder="1" applyAlignment="1" applyProtection="1">
      <alignment horizontal="left" vertical="center" wrapText="1"/>
    </xf>
    <xf numFmtId="0" fontId="14" fillId="5" borderId="4" xfId="10" quotePrefix="1" applyFont="1" applyFill="1" applyBorder="1" applyAlignment="1">
      <alignment horizontal="left" vertical="center" wrapText="1"/>
    </xf>
    <xf numFmtId="10" fontId="14" fillId="0" borderId="0" xfId="70" applyNumberFormat="1" applyFont="1" applyFill="1" applyBorder="1" applyAlignment="1" applyProtection="1">
      <alignment horizontal="right" vertical="center"/>
    </xf>
    <xf numFmtId="10" fontId="14" fillId="0" borderId="0" xfId="70" applyNumberFormat="1" applyFont="1" applyFill="1" applyBorder="1" applyAlignment="1">
      <alignment horizontal="right" vertical="center"/>
    </xf>
    <xf numFmtId="10" fontId="14" fillId="5" borderId="0" xfId="70" applyNumberFormat="1" applyFont="1" applyFill="1" applyBorder="1" applyAlignment="1">
      <alignment horizontal="right" vertical="center"/>
    </xf>
    <xf numFmtId="0" fontId="15" fillId="5" borderId="4" xfId="10" applyFont="1" applyFill="1" applyBorder="1" applyAlignment="1" applyProtection="1">
      <alignment horizontal="left" vertical="center" wrapText="1"/>
    </xf>
    <xf numFmtId="0" fontId="14" fillId="5" borderId="4" xfId="10" applyFont="1" applyFill="1" applyBorder="1" applyAlignment="1">
      <alignment vertical="center"/>
    </xf>
    <xf numFmtId="10" fontId="14" fillId="5" borderId="4" xfId="70" applyNumberFormat="1" applyFont="1" applyFill="1" applyBorder="1" applyAlignment="1">
      <alignment horizontal="right" vertical="center"/>
    </xf>
    <xf numFmtId="43" fontId="14" fillId="0" borderId="4" xfId="69" applyFont="1" applyBorder="1" applyAlignment="1">
      <alignment horizontal="centerContinuous" vertical="center"/>
    </xf>
    <xf numFmtId="43" fontId="0" fillId="0" borderId="0" xfId="69" applyFont="1"/>
    <xf numFmtId="164" fontId="33" fillId="0" borderId="0" xfId="10" applyNumberFormat="1" applyFont="1" applyBorder="1" applyAlignment="1">
      <alignment horizontal="left"/>
    </xf>
    <xf numFmtId="0" fontId="15" fillId="4" borderId="4" xfId="14" applyFont="1" applyFill="1" applyBorder="1" applyAlignment="1">
      <alignment horizontal="center" vertical="center" wrapText="1"/>
    </xf>
    <xf numFmtId="43" fontId="15" fillId="4" borderId="4" xfId="69" applyFont="1" applyFill="1" applyBorder="1" applyAlignment="1">
      <alignment horizontal="center" vertical="center" wrapText="1"/>
    </xf>
    <xf numFmtId="0" fontId="15" fillId="0" borderId="0" xfId="10" applyFont="1" applyBorder="1" applyAlignment="1">
      <alignment horizontal="center" vertical="center"/>
    </xf>
    <xf numFmtId="43" fontId="15" fillId="8" borderId="4" xfId="69" applyFont="1" applyFill="1" applyBorder="1" applyAlignment="1">
      <alignment horizontal="center" vertical="center" wrapText="1"/>
    </xf>
    <xf numFmtId="43" fontId="15" fillId="4" borderId="4" xfId="69" applyFont="1" applyFill="1" applyBorder="1" applyAlignment="1">
      <alignment horizontal="center" vertical="center"/>
    </xf>
    <xf numFmtId="0" fontId="16" fillId="0" borderId="0" xfId="10" applyFont="1" applyAlignment="1">
      <alignment horizontal="center" vertical="center"/>
    </xf>
    <xf numFmtId="0" fontId="16" fillId="0" borderId="4" xfId="10" applyFont="1" applyFill="1" applyBorder="1" applyAlignment="1">
      <alignment horizontal="center" vertical="center" wrapText="1"/>
    </xf>
    <xf numFmtId="43" fontId="14" fillId="0" borderId="6" xfId="69" applyFont="1" applyFill="1" applyBorder="1" applyAlignment="1">
      <alignment horizontal="center" vertical="center"/>
    </xf>
    <xf numFmtId="43" fontId="16" fillId="0" borderId="4" xfId="69" applyFont="1" applyFill="1" applyBorder="1" applyAlignment="1">
      <alignment horizontal="center" vertical="center" wrapText="1"/>
    </xf>
    <xf numFmtId="0" fontId="39" fillId="0" borderId="4" xfId="77" applyFont="1" applyBorder="1" applyAlignment="1">
      <alignment horizontal="right"/>
    </xf>
    <xf numFmtId="0" fontId="39" fillId="0" borderId="4" xfId="78" applyFont="1" applyBorder="1" applyAlignment="1">
      <alignment horizontal="right"/>
    </xf>
    <xf numFmtId="0" fontId="39" fillId="0" borderId="4" xfId="79" applyFont="1" applyBorder="1" applyAlignment="1">
      <alignment horizontal="right"/>
    </xf>
    <xf numFmtId="10" fontId="39" fillId="7" borderId="4" xfId="70" applyNumberFormat="1" applyFont="1" applyFill="1" applyBorder="1" applyAlignment="1">
      <alignment horizontal="right"/>
    </xf>
    <xf numFmtId="43" fontId="39" fillId="7" borderId="4" xfId="69" applyFont="1" applyFill="1" applyBorder="1"/>
    <xf numFmtId="0" fontId="15" fillId="0" borderId="4" xfId="0" applyFont="1" applyBorder="1"/>
    <xf numFmtId="0" fontId="39" fillId="7" borderId="4" xfId="13" applyFont="1" applyFill="1" applyBorder="1"/>
    <xf numFmtId="10" fontId="39" fillId="7" borderId="4" xfId="70" applyNumberFormat="1" applyFont="1" applyFill="1" applyBorder="1" applyAlignment="1">
      <alignment horizontal="right" vertical="center"/>
    </xf>
    <xf numFmtId="43" fontId="14" fillId="0" borderId="0" xfId="69" applyFont="1" applyFill="1" applyBorder="1" applyAlignment="1" applyProtection="1">
      <alignment horizontal="left" vertical="center" wrapText="1"/>
    </xf>
    <xf numFmtId="43" fontId="14" fillId="0" borderId="0" xfId="69" applyFont="1" applyFill="1" applyBorder="1" applyAlignment="1" applyProtection="1">
      <alignment horizontal="left" vertical="center"/>
    </xf>
    <xf numFmtId="164" fontId="14" fillId="0" borderId="0" xfId="10" applyNumberFormat="1" applyFont="1" applyBorder="1"/>
    <xf numFmtId="43" fontId="59" fillId="0" borderId="4" xfId="69" applyFont="1" applyBorder="1"/>
    <xf numFmtId="10" fontId="14" fillId="0" borderId="4" xfId="70" applyNumberFormat="1" applyFont="1" applyBorder="1" applyAlignment="1">
      <alignment wrapText="1"/>
    </xf>
    <xf numFmtId="43" fontId="15" fillId="0" borderId="4" xfId="69" applyFont="1" applyBorder="1" applyAlignment="1">
      <alignment horizontal="center" vertical="top" wrapText="1"/>
    </xf>
    <xf numFmtId="0" fontId="15" fillId="4" borderId="4" xfId="63" applyFont="1" applyFill="1" applyBorder="1" applyAlignment="1">
      <alignment horizontal="center" vertical="center" wrapText="1"/>
    </xf>
    <xf numFmtId="43" fontId="14" fillId="0" borderId="4" xfId="69" applyFont="1" applyBorder="1" applyAlignment="1">
      <alignment horizontal="center" vertical="center" wrapText="1"/>
    </xf>
    <xf numFmtId="0" fontId="15" fillId="0" borderId="0" xfId="10" applyFont="1" applyBorder="1" applyAlignment="1">
      <alignment horizontal="center" vertical="center"/>
    </xf>
    <xf numFmtId="0" fontId="15" fillId="0" borderId="0" xfId="14" applyFont="1" applyAlignment="1">
      <alignment horizontal="center" vertical="center"/>
    </xf>
    <xf numFmtId="164" fontId="14" fillId="0" borderId="4" xfId="69" applyNumberFormat="1" applyFont="1" applyBorder="1" applyAlignment="1">
      <alignment horizontal="left" vertical="top"/>
    </xf>
    <xf numFmtId="164" fontId="14" fillId="0" borderId="4" xfId="69" applyNumberFormat="1" applyFont="1" applyBorder="1"/>
    <xf numFmtId="164" fontId="15" fillId="0" borderId="4" xfId="69" applyNumberFormat="1" applyFont="1" applyBorder="1" applyAlignment="1">
      <alignment horizontal="left" vertical="top"/>
    </xf>
    <xf numFmtId="43" fontId="15" fillId="0" borderId="4" xfId="0" applyNumberFormat="1" applyFont="1" applyBorder="1" applyAlignment="1">
      <alignment vertical="top" wrapText="1"/>
    </xf>
    <xf numFmtId="10" fontId="14" fillId="0" borderId="4" xfId="70" applyNumberFormat="1" applyFont="1" applyBorder="1" applyAlignment="1">
      <alignment horizontal="right" vertical="center" wrapText="1"/>
    </xf>
    <xf numFmtId="0" fontId="14" fillId="0" borderId="0" xfId="0" applyFont="1" applyBorder="1" applyAlignment="1">
      <alignment horizontal="center" vertical="center"/>
    </xf>
    <xf numFmtId="0" fontId="14" fillId="0" borderId="0" xfId="0" applyFont="1" applyBorder="1" applyAlignment="1">
      <alignment wrapText="1"/>
    </xf>
    <xf numFmtId="0" fontId="14" fillId="0" borderId="4" xfId="0" applyFont="1" applyBorder="1" applyAlignment="1">
      <alignment wrapText="1"/>
    </xf>
    <xf numFmtId="43" fontId="14" fillId="7" borderId="4" xfId="69" applyFont="1" applyFill="1" applyBorder="1" applyAlignment="1">
      <alignment horizontal="center" wrapText="1"/>
    </xf>
    <xf numFmtId="43" fontId="14" fillId="0" borderId="4" xfId="69" applyFont="1" applyBorder="1" applyAlignment="1">
      <alignment horizontal="left" vertical="center" wrapText="1"/>
    </xf>
    <xf numFmtId="10" fontId="14" fillId="0" borderId="4" xfId="70" applyNumberFormat="1" applyFont="1" applyBorder="1" applyAlignment="1">
      <alignment vertical="center" wrapText="1"/>
    </xf>
    <xf numFmtId="1" fontId="14" fillId="0" borderId="4" xfId="70" applyNumberFormat="1" applyFont="1" applyFill="1" applyBorder="1" applyAlignment="1" applyProtection="1">
      <alignment horizontal="center" vertical="center"/>
    </xf>
    <xf numFmtId="43" fontId="14" fillId="7" borderId="4" xfId="69" applyFont="1" applyFill="1" applyBorder="1" applyAlignment="1" applyProtection="1">
      <alignment horizontal="center" vertical="center"/>
    </xf>
    <xf numFmtId="43" fontId="15" fillId="7" borderId="4" xfId="69" applyFont="1" applyFill="1" applyBorder="1" applyAlignment="1" applyProtection="1">
      <alignment horizontal="center" vertical="center"/>
    </xf>
    <xf numFmtId="164" fontId="15" fillId="5" borderId="4" xfId="69" applyNumberFormat="1" applyFont="1" applyFill="1" applyBorder="1" applyAlignment="1">
      <alignment horizontal="center" vertical="center"/>
    </xf>
    <xf numFmtId="10" fontId="61" fillId="0" borderId="0" xfId="70" applyNumberFormat="1" applyFont="1" applyAlignment="1">
      <alignment vertical="center"/>
    </xf>
    <xf numFmtId="164" fontId="61" fillId="0" borderId="4" xfId="69" applyNumberFormat="1" applyFont="1" applyBorder="1" applyAlignment="1">
      <alignment vertical="center"/>
    </xf>
    <xf numFmtId="10" fontId="14" fillId="0" borderId="0" xfId="70" applyNumberFormat="1" applyFont="1" applyBorder="1" applyAlignment="1">
      <alignment vertical="center"/>
    </xf>
    <xf numFmtId="43" fontId="15" fillId="4" borderId="4" xfId="69" applyFont="1" applyFill="1" applyBorder="1" applyAlignment="1">
      <alignment horizontal="center" vertical="center" wrapText="1"/>
    </xf>
    <xf numFmtId="43" fontId="14" fillId="0" borderId="4" xfId="69" applyFont="1" applyBorder="1" applyAlignment="1">
      <alignment horizontal="center" vertical="center" wrapText="1"/>
    </xf>
    <xf numFmtId="0" fontId="14" fillId="0" borderId="0" xfId="10" applyFont="1" applyAlignment="1">
      <alignment horizontal="left" vertical="center" wrapText="1"/>
    </xf>
    <xf numFmtId="164" fontId="61" fillId="0" borderId="0" xfId="69" applyNumberFormat="1" applyFont="1" applyAlignment="1">
      <alignment vertical="center"/>
    </xf>
    <xf numFmtId="164" fontId="67" fillId="0" borderId="0" xfId="69" applyNumberFormat="1" applyFont="1" applyAlignment="1">
      <alignment vertical="center"/>
    </xf>
    <xf numFmtId="164" fontId="67" fillId="0" borderId="0" xfId="69" applyNumberFormat="1" applyFont="1" applyAlignment="1">
      <alignment vertical="center" wrapText="1"/>
    </xf>
    <xf numFmtId="164" fontId="69" fillId="4" borderId="4" xfId="69" applyNumberFormat="1" applyFont="1" applyFill="1" applyBorder="1" applyAlignment="1">
      <alignment horizontal="center" vertical="center" wrapText="1"/>
    </xf>
    <xf numFmtId="164" fontId="61" fillId="0" borderId="0" xfId="69" applyNumberFormat="1" applyFont="1" applyAlignment="1">
      <alignment vertical="center" wrapText="1"/>
    </xf>
    <xf numFmtId="169" fontId="14" fillId="0" borderId="4" xfId="66" applyNumberFormat="1" applyFont="1" applyBorder="1"/>
    <xf numFmtId="0" fontId="14" fillId="0" borderId="4" xfId="89" applyFont="1" applyBorder="1"/>
    <xf numFmtId="43" fontId="77" fillId="0" borderId="4" xfId="69" applyFont="1" applyBorder="1" applyAlignment="1">
      <alignment vertical="center"/>
    </xf>
    <xf numFmtId="43" fontId="77" fillId="0" borderId="4" xfId="69" applyFont="1" applyBorder="1" applyAlignment="1">
      <alignment horizontal="center" vertical="center"/>
    </xf>
    <xf numFmtId="43" fontId="77" fillId="0" borderId="4" xfId="69" applyFont="1" applyFill="1" applyBorder="1" applyAlignment="1">
      <alignment vertical="center"/>
    </xf>
    <xf numFmtId="0" fontId="14" fillId="0" borderId="43" xfId="13" applyFont="1" applyBorder="1" applyAlignment="1">
      <alignment horizontal="center"/>
    </xf>
    <xf numFmtId="49" fontId="14" fillId="0" borderId="4" xfId="27" applyNumberFormat="1" applyFont="1" applyFill="1" applyBorder="1"/>
    <xf numFmtId="49" fontId="32" fillId="0" borderId="4" xfId="10" applyNumberFormat="1" applyFont="1" applyFill="1" applyBorder="1"/>
    <xf numFmtId="49" fontId="14" fillId="0" borderId="4" xfId="10" applyNumberFormat="1" applyFont="1" applyFill="1" applyBorder="1" applyAlignment="1">
      <alignment horizontal="center" vertical="center"/>
    </xf>
    <xf numFmtId="173" fontId="14" fillId="0" borderId="0" xfId="69" applyNumberFormat="1" applyFont="1" applyAlignment="1">
      <alignment vertical="center" wrapText="1"/>
    </xf>
    <xf numFmtId="43" fontId="15" fillId="0" borderId="0" xfId="69" applyFont="1" applyFill="1" applyBorder="1" applyAlignment="1">
      <alignment horizontal="center" vertical="center" wrapText="1"/>
    </xf>
    <xf numFmtId="43" fontId="14" fillId="0" borderId="4" xfId="69" applyFont="1" applyFill="1" applyBorder="1" applyAlignment="1">
      <alignment horizontal="right" vertical="center" wrapText="1"/>
    </xf>
    <xf numFmtId="43" fontId="14" fillId="0" borderId="0" xfId="69" applyFont="1" applyAlignment="1">
      <alignment horizontal="centerContinuous" vertical="center" wrapText="1"/>
    </xf>
    <xf numFmtId="43" fontId="14" fillId="0" borderId="0" xfId="69" applyFont="1" applyFill="1" applyAlignment="1">
      <alignment vertical="center" wrapText="1"/>
    </xf>
    <xf numFmtId="43" fontId="61" fillId="0" borderId="0" xfId="69" applyFont="1" applyFill="1" applyAlignment="1">
      <alignment vertical="center" wrapText="1"/>
    </xf>
    <xf numFmtId="43" fontId="15" fillId="0" borderId="0" xfId="69" applyFont="1" applyFill="1" applyAlignment="1">
      <alignment vertical="center" wrapText="1"/>
    </xf>
    <xf numFmtId="0" fontId="14" fillId="0" borderId="0" xfId="92" applyFont="1" applyFill="1" applyAlignment="1">
      <alignment vertical="center" wrapText="1"/>
    </xf>
    <xf numFmtId="43" fontId="14" fillId="6" borderId="4" xfId="69" applyFont="1" applyFill="1" applyBorder="1" applyAlignment="1">
      <alignment vertical="center" wrapText="1"/>
    </xf>
    <xf numFmtId="164" fontId="14" fillId="9" borderId="0" xfId="10" applyNumberFormat="1" applyFont="1" applyFill="1"/>
    <xf numFmtId="164" fontId="15" fillId="7" borderId="0" xfId="11" applyNumberFormat="1" applyFont="1" applyFill="1" applyBorder="1" applyAlignment="1">
      <alignment horizontal="center" vertical="center"/>
    </xf>
    <xf numFmtId="170" fontId="15" fillId="0" borderId="4" xfId="69" applyNumberFormat="1" applyFont="1" applyBorder="1" applyAlignment="1">
      <alignment vertical="center"/>
    </xf>
    <xf numFmtId="0" fontId="15" fillId="0" borderId="0" xfId="0" applyFont="1" applyBorder="1" applyAlignment="1">
      <alignment horizontal="center" vertical="center"/>
    </xf>
    <xf numFmtId="0" fontId="16" fillId="0" borderId="4" xfId="0" applyFont="1" applyFill="1" applyBorder="1"/>
    <xf numFmtId="43" fontId="69" fillId="4" borderId="7" xfId="69" applyFont="1" applyFill="1" applyBorder="1" applyAlignment="1">
      <alignment horizontal="center" vertical="center" wrapText="1"/>
    </xf>
    <xf numFmtId="0" fontId="67" fillId="0" borderId="4" xfId="0" applyFont="1" applyBorder="1"/>
    <xf numFmtId="164" fontId="67" fillId="0" borderId="4" xfId="0" applyNumberFormat="1" applyFont="1" applyBorder="1"/>
    <xf numFmtId="0" fontId="67" fillId="0" borderId="0" xfId="0" applyFont="1" applyAlignment="1">
      <alignment horizontal="center" vertical="center"/>
    </xf>
    <xf numFmtId="0" fontId="67" fillId="0" borderId="4" xfId="0" applyFont="1" applyBorder="1" applyAlignment="1">
      <alignment horizontal="center" vertical="center"/>
    </xf>
    <xf numFmtId="0" fontId="66" fillId="0" borderId="4" xfId="0" applyFont="1" applyBorder="1" applyAlignment="1">
      <alignment horizontal="center" vertical="center"/>
    </xf>
    <xf numFmtId="0" fontId="66" fillId="0" borderId="4" xfId="0" applyFont="1" applyBorder="1"/>
    <xf numFmtId="164" fontId="66" fillId="0" borderId="4" xfId="0" applyNumberFormat="1" applyFont="1" applyBorder="1"/>
    <xf numFmtId="43" fontId="67" fillId="0" borderId="4" xfId="69" applyFont="1" applyBorder="1"/>
    <xf numFmtId="164" fontId="67" fillId="0" borderId="4" xfId="69" applyNumberFormat="1" applyFont="1" applyBorder="1"/>
    <xf numFmtId="0" fontId="66" fillId="0" borderId="0" xfId="0" applyFont="1" applyAlignment="1">
      <alignment horizontal="center" vertical="center"/>
    </xf>
    <xf numFmtId="164" fontId="66" fillId="0" borderId="4" xfId="69" applyNumberFormat="1" applyFont="1" applyBorder="1"/>
    <xf numFmtId="10" fontId="61" fillId="0" borderId="4" xfId="70" applyNumberFormat="1" applyFont="1" applyBorder="1" applyAlignment="1">
      <alignment vertical="center"/>
    </xf>
    <xf numFmtId="43" fontId="15" fillId="5" borderId="4" xfId="69" applyFont="1" applyFill="1" applyBorder="1" applyAlignment="1">
      <alignment horizontal="left" vertical="center" wrapText="1"/>
    </xf>
    <xf numFmtId="43" fontId="15" fillId="0" borderId="4" xfId="69" applyFont="1" applyBorder="1" applyAlignment="1">
      <alignment horizontal="left" vertical="center" wrapText="1"/>
    </xf>
    <xf numFmtId="0" fontId="15" fillId="7" borderId="4" xfId="10" applyFont="1" applyFill="1" applyBorder="1" applyAlignment="1">
      <alignment horizontal="left" vertical="top"/>
    </xf>
    <xf numFmtId="43" fontId="14" fillId="7" borderId="4" xfId="69" quotePrefix="1" applyFont="1" applyFill="1" applyBorder="1" applyAlignment="1">
      <alignment horizontal="center" vertical="center" wrapText="1"/>
    </xf>
    <xf numFmtId="9" fontId="14" fillId="7" borderId="4" xfId="70" quotePrefix="1" applyFont="1" applyFill="1" applyBorder="1" applyAlignment="1">
      <alignment horizontal="center" vertical="center" wrapText="1"/>
    </xf>
    <xf numFmtId="43" fontId="14" fillId="7" borderId="4" xfId="69" applyFont="1" applyFill="1" applyBorder="1"/>
    <xf numFmtId="0" fontId="15" fillId="7" borderId="4" xfId="10" quotePrefix="1" applyFont="1" applyFill="1" applyBorder="1" applyAlignment="1">
      <alignment horizontal="center" vertical="center" wrapText="1"/>
    </xf>
    <xf numFmtId="43" fontId="15" fillId="7" borderId="4" xfId="69" quotePrefix="1" applyFont="1" applyFill="1" applyBorder="1" applyAlignment="1">
      <alignment horizontal="center" vertical="center" wrapText="1"/>
    </xf>
    <xf numFmtId="43" fontId="15" fillId="7" borderId="4" xfId="69" applyFont="1" applyFill="1" applyBorder="1" applyAlignment="1">
      <alignment horizontal="left" vertical="top"/>
    </xf>
    <xf numFmtId="2" fontId="15" fillId="0" borderId="4" xfId="10" applyNumberFormat="1" applyFont="1" applyFill="1" applyBorder="1"/>
    <xf numFmtId="0" fontId="15" fillId="7" borderId="0" xfId="10" applyFont="1" applyFill="1" applyBorder="1" applyAlignment="1">
      <alignment horizontal="left" vertical="top"/>
    </xf>
    <xf numFmtId="0" fontId="15" fillId="7" borderId="0" xfId="10" quotePrefix="1" applyFont="1" applyFill="1" applyBorder="1" applyAlignment="1">
      <alignment horizontal="center" vertical="center" wrapText="1"/>
    </xf>
    <xf numFmtId="43" fontId="15" fillId="7" borderId="0" xfId="69" quotePrefix="1" applyFont="1" applyFill="1" applyBorder="1" applyAlignment="1">
      <alignment horizontal="center" vertical="center" wrapText="1"/>
    </xf>
    <xf numFmtId="43" fontId="15" fillId="7" borderId="0" xfId="69" applyFont="1" applyFill="1" applyBorder="1" applyAlignment="1">
      <alignment horizontal="center" vertical="center" wrapText="1"/>
    </xf>
    <xf numFmtId="2" fontId="15" fillId="0" borderId="0" xfId="10" applyNumberFormat="1" applyFont="1" applyFill="1" applyBorder="1"/>
    <xf numFmtId="0" fontId="14" fillId="0" borderId="0" xfId="10" applyFont="1" applyAlignment="1">
      <alignment horizontal="left" vertical="center"/>
    </xf>
    <xf numFmtId="0" fontId="15" fillId="0" borderId="0" xfId="0" applyFont="1" applyBorder="1" applyAlignment="1">
      <alignment horizontal="left" vertical="center"/>
    </xf>
    <xf numFmtId="0" fontId="15" fillId="4" borderId="4"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14" fillId="0" borderId="4" xfId="0" applyFont="1" applyBorder="1" applyAlignment="1">
      <alignment horizontal="left" vertical="center" wrapText="1"/>
    </xf>
    <xf numFmtId="0" fontId="14" fillId="0" borderId="4" xfId="0" applyFont="1" applyBorder="1" applyAlignment="1">
      <alignment horizontal="left" vertical="center"/>
    </xf>
    <xf numFmtId="0" fontId="15" fillId="0" borderId="4" xfId="0" applyFont="1" applyBorder="1" applyAlignment="1">
      <alignment horizontal="left" vertical="center"/>
    </xf>
    <xf numFmtId="0" fontId="15" fillId="7" borderId="4" xfId="10" applyFont="1" applyFill="1" applyBorder="1" applyAlignment="1">
      <alignment horizontal="left" vertical="center" wrapText="1"/>
    </xf>
    <xf numFmtId="0" fontId="14" fillId="0" borderId="0" xfId="0" applyFont="1" applyAlignment="1">
      <alignment horizontal="left" vertical="center"/>
    </xf>
    <xf numFmtId="0" fontId="15" fillId="5" borderId="4" xfId="10" applyFont="1" applyFill="1" applyBorder="1" applyAlignment="1">
      <alignment horizontal="left" vertical="center" wrapText="1"/>
    </xf>
    <xf numFmtId="0" fontId="39" fillId="0" borderId="4" xfId="10" applyNumberFormat="1" applyFont="1" applyBorder="1" applyAlignment="1">
      <alignment horizontal="left" vertical="center"/>
    </xf>
    <xf numFmtId="0" fontId="14" fillId="0" borderId="4" xfId="63" applyFont="1" applyBorder="1" applyAlignment="1">
      <alignment horizontal="left" vertical="center" wrapText="1"/>
    </xf>
    <xf numFmtId="0" fontId="14" fillId="0" borderId="4" xfId="10" applyFont="1" applyBorder="1" applyAlignment="1">
      <alignment horizontal="left" vertical="center"/>
    </xf>
    <xf numFmtId="0" fontId="14" fillId="0" borderId="4" xfId="10" applyFont="1" applyFill="1" applyBorder="1" applyAlignment="1">
      <alignment horizontal="left" vertical="center"/>
    </xf>
    <xf numFmtId="0" fontId="15" fillId="5" borderId="4" xfId="88" applyFont="1" applyFill="1" applyBorder="1" applyAlignment="1">
      <alignment horizontal="left" vertical="center" wrapText="1"/>
    </xf>
    <xf numFmtId="0" fontId="14" fillId="0" borderId="4" xfId="10" applyFont="1" applyFill="1" applyBorder="1" applyAlignment="1">
      <alignment horizontal="left" vertical="center" wrapText="1"/>
    </xf>
    <xf numFmtId="0" fontId="14" fillId="5" borderId="4" xfId="88" applyFont="1" applyFill="1" applyBorder="1" applyAlignment="1">
      <alignment horizontal="left" vertical="center" wrapText="1"/>
    </xf>
    <xf numFmtId="0" fontId="15" fillId="7" borderId="4" xfId="10" applyFont="1" applyFill="1" applyBorder="1" applyAlignment="1">
      <alignment horizontal="left" vertical="center"/>
    </xf>
    <xf numFmtId="0" fontId="15" fillId="7" borderId="0" xfId="10" applyFont="1" applyFill="1" applyBorder="1" applyAlignment="1">
      <alignment horizontal="left" vertical="center"/>
    </xf>
    <xf numFmtId="0" fontId="39" fillId="0" borderId="4" xfId="0" applyNumberFormat="1" applyFont="1" applyBorder="1" applyAlignment="1">
      <alignment horizontal="left" vertical="center"/>
    </xf>
    <xf numFmtId="0" fontId="14" fillId="0" borderId="4" xfId="0" applyFont="1" applyFill="1" applyBorder="1" applyAlignment="1">
      <alignment horizontal="left" vertical="center"/>
    </xf>
    <xf numFmtId="0" fontId="14" fillId="0" borderId="6"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0" xfId="0" applyFont="1" applyAlignment="1">
      <alignment horizontal="center"/>
    </xf>
    <xf numFmtId="9" fontId="14" fillId="0" borderId="0" xfId="0" applyNumberFormat="1" applyFont="1"/>
    <xf numFmtId="43" fontId="15" fillId="8" borderId="4" xfId="69" applyFont="1" applyFill="1" applyBorder="1" applyAlignment="1">
      <alignment horizontal="center" vertical="center" wrapText="1"/>
    </xf>
    <xf numFmtId="43" fontId="15" fillId="4" borderId="4" xfId="69" applyFont="1" applyFill="1" applyBorder="1" applyAlignment="1">
      <alignment horizontal="center" vertical="center" wrapText="1"/>
    </xf>
    <xf numFmtId="43" fontId="14" fillId="0" borderId="4" xfId="69" applyFont="1" applyBorder="1" applyAlignment="1">
      <alignment horizontal="center" vertical="center" wrapText="1"/>
    </xf>
    <xf numFmtId="43" fontId="15" fillId="4" borderId="4" xfId="69" applyFont="1" applyFill="1" applyBorder="1" applyAlignment="1">
      <alignment horizontal="center" vertical="center"/>
    </xf>
    <xf numFmtId="43" fontId="25" fillId="0" borderId="0" xfId="69" applyFont="1" applyAlignment="1">
      <alignment vertical="center"/>
    </xf>
    <xf numFmtId="43" fontId="14" fillId="0" borderId="0" xfId="69" applyFont="1" applyBorder="1" applyAlignment="1">
      <alignment horizontal="right" vertical="center"/>
    </xf>
    <xf numFmtId="43" fontId="32" fillId="0" borderId="4" xfId="69" applyFont="1" applyBorder="1" applyAlignment="1">
      <alignment vertical="top" wrapText="1"/>
    </xf>
    <xf numFmtId="43" fontId="14" fillId="0" borderId="7" xfId="69" applyFont="1" applyFill="1" applyBorder="1" applyAlignment="1" applyProtection="1">
      <alignment vertical="top" wrapText="1"/>
    </xf>
    <xf numFmtId="43" fontId="14" fillId="0" borderId="6" xfId="69" applyFont="1" applyFill="1" applyBorder="1" applyAlignment="1" applyProtection="1">
      <alignment horizontal="left" vertical="top" wrapText="1"/>
    </xf>
    <xf numFmtId="43" fontId="61" fillId="0" borderId="6" xfId="69" applyFont="1" applyFill="1" applyBorder="1" applyAlignment="1" applyProtection="1">
      <alignment horizontal="left" vertical="top" wrapText="1"/>
    </xf>
    <xf numFmtId="43" fontId="15" fillId="0" borderId="6" xfId="69" applyFont="1" applyFill="1" applyBorder="1" applyAlignment="1" applyProtection="1">
      <alignment horizontal="left" vertical="top" wrapText="1"/>
    </xf>
    <xf numFmtId="43" fontId="14" fillId="0" borderId="0" xfId="69" applyFont="1" applyFill="1" applyBorder="1" applyAlignment="1" applyProtection="1"/>
    <xf numFmtId="43" fontId="14" fillId="0" borderId="0" xfId="69" applyFont="1" applyAlignment="1"/>
    <xf numFmtId="43" fontId="33" fillId="0" borderId="0" xfId="69" applyFont="1" applyBorder="1" applyAlignment="1">
      <alignment horizontal="left" vertical="center"/>
    </xf>
    <xf numFmtId="43" fontId="15" fillId="4" borderId="7" xfId="69" applyFont="1" applyFill="1" applyBorder="1" applyAlignment="1">
      <alignment vertical="center" wrapText="1"/>
    </xf>
    <xf numFmtId="43" fontId="14" fillId="0" borderId="4" xfId="10" applyNumberFormat="1" applyFont="1" applyBorder="1"/>
    <xf numFmtId="0" fontId="15" fillId="8" borderId="7" xfId="10" applyFont="1" applyFill="1" applyBorder="1" applyAlignment="1" applyProtection="1">
      <alignment horizontal="center" vertical="center" wrapText="1"/>
    </xf>
    <xf numFmtId="2" fontId="14" fillId="0" borderId="4" xfId="14" applyNumberFormat="1" applyFont="1" applyFill="1" applyBorder="1">
      <alignment vertical="center"/>
    </xf>
    <xf numFmtId="0" fontId="43" fillId="0" borderId="4" xfId="14" applyFont="1" applyFill="1" applyBorder="1">
      <alignment vertical="center"/>
    </xf>
    <xf numFmtId="10" fontId="14" fillId="0" borderId="4" xfId="70" applyNumberFormat="1" applyFont="1" applyFill="1" applyBorder="1" applyAlignment="1">
      <alignment vertical="center"/>
    </xf>
    <xf numFmtId="175" fontId="14" fillId="0" borderId="0" xfId="14" applyNumberFormat="1" applyFont="1">
      <alignment vertical="center"/>
    </xf>
    <xf numFmtId="10" fontId="14" fillId="0" borderId="0" xfId="14" applyNumberFormat="1" applyFont="1">
      <alignment vertical="center"/>
    </xf>
    <xf numFmtId="2" fontId="15" fillId="0" borderId="4" xfId="14" applyNumberFormat="1" applyFont="1" applyBorder="1" applyAlignment="1">
      <alignment horizontal="center" vertical="center"/>
    </xf>
    <xf numFmtId="10" fontId="15" fillId="0" borderId="4" xfId="70" applyNumberFormat="1" applyFont="1" applyFill="1" applyBorder="1" applyAlignment="1">
      <alignment vertical="center"/>
    </xf>
    <xf numFmtId="10" fontId="14" fillId="0" borderId="4" xfId="70" applyNumberFormat="1" applyFont="1" applyFill="1" applyBorder="1" applyAlignment="1">
      <alignment horizontal="center" vertical="center"/>
    </xf>
    <xf numFmtId="177" fontId="14" fillId="0" borderId="4" xfId="69" applyNumberFormat="1" applyFont="1" applyFill="1" applyBorder="1" applyAlignment="1">
      <alignment horizontal="center" vertical="center" wrapText="1"/>
    </xf>
    <xf numFmtId="0" fontId="43" fillId="0" borderId="0" xfId="14" applyFont="1">
      <alignment vertical="center"/>
    </xf>
    <xf numFmtId="164" fontId="39" fillId="0" borderId="4" xfId="80" applyNumberFormat="1" applyFont="1" applyBorder="1" applyAlignment="1">
      <alignment horizontal="center"/>
    </xf>
    <xf numFmtId="164" fontId="14" fillId="0" borderId="4" xfId="15" applyNumberFormat="1" applyFont="1" applyBorder="1" applyAlignment="1">
      <alignment horizontal="center" vertical="center"/>
    </xf>
    <xf numFmtId="164" fontId="39" fillId="0" borderId="4" xfId="80" applyNumberFormat="1" applyFont="1" applyBorder="1" applyAlignment="1">
      <alignment horizontal="center" vertical="center"/>
    </xf>
    <xf numFmtId="43" fontId="39" fillId="0" borderId="4" xfId="69" applyFont="1" applyBorder="1" applyAlignment="1">
      <alignment horizontal="center"/>
    </xf>
    <xf numFmtId="10" fontId="39" fillId="0" borderId="4" xfId="80" applyNumberFormat="1" applyFont="1" applyBorder="1" applyAlignment="1">
      <alignment horizontal="right" vertical="center"/>
    </xf>
    <xf numFmtId="43" fontId="39" fillId="0" borderId="4" xfId="69" applyFont="1" applyBorder="1" applyAlignment="1">
      <alignment horizontal="center" vertical="center"/>
    </xf>
    <xf numFmtId="43" fontId="15" fillId="4" borderId="4" xfId="69" applyFont="1" applyFill="1" applyBorder="1" applyAlignment="1">
      <alignment horizontal="center" vertical="center" wrapText="1"/>
    </xf>
    <xf numFmtId="0" fontId="14" fillId="0" borderId="4" xfId="10" applyFont="1" applyBorder="1" applyAlignment="1">
      <alignment horizontal="center" vertical="center" wrapText="1"/>
    </xf>
    <xf numFmtId="0" fontId="15" fillId="4" borderId="4" xfId="10" applyFont="1" applyFill="1" applyBorder="1" applyAlignment="1">
      <alignment horizontal="center" vertical="center" wrapText="1"/>
    </xf>
    <xf numFmtId="0" fontId="15" fillId="4" borderId="4" xfId="14" applyFont="1" applyFill="1" applyBorder="1" applyAlignment="1">
      <alignment horizontal="center" vertical="center" wrapText="1"/>
    </xf>
    <xf numFmtId="43" fontId="15" fillId="4" borderId="4" xfId="69" applyFont="1" applyFill="1" applyBorder="1" applyAlignment="1">
      <alignment horizontal="center" vertical="center" wrapText="1"/>
    </xf>
    <xf numFmtId="43" fontId="15" fillId="4" borderId="6" xfId="69" applyFont="1" applyFill="1" applyBorder="1" applyAlignment="1">
      <alignment horizontal="center" vertical="center" wrapText="1"/>
    </xf>
    <xf numFmtId="0" fontId="15" fillId="0" borderId="0" xfId="10" applyFont="1" applyBorder="1" applyAlignment="1">
      <alignment horizontal="center" vertical="center"/>
    </xf>
    <xf numFmtId="0" fontId="15" fillId="4" borderId="6" xfId="14" applyFont="1" applyFill="1" applyBorder="1" applyAlignment="1">
      <alignment horizontal="center" vertical="center" wrapText="1"/>
    </xf>
    <xf numFmtId="0" fontId="15" fillId="4" borderId="6" xfId="14" applyFont="1" applyFill="1" applyBorder="1" applyAlignment="1">
      <alignment horizontal="left" vertical="center" wrapText="1"/>
    </xf>
    <xf numFmtId="43" fontId="14" fillId="0" borderId="6" xfId="69" applyFont="1" applyFill="1" applyBorder="1" applyAlignment="1">
      <alignment horizontal="center" vertical="center"/>
    </xf>
    <xf numFmtId="0" fontId="15" fillId="0" borderId="0" xfId="14" applyFont="1" applyAlignment="1">
      <alignment horizontal="center" vertical="center"/>
    </xf>
    <xf numFmtId="0" fontId="15" fillId="4" borderId="4" xfId="10" applyFont="1" applyFill="1" applyBorder="1" applyAlignment="1">
      <alignment horizontal="center" vertical="center" wrapText="1"/>
    </xf>
    <xf numFmtId="0" fontId="15" fillId="4" borderId="4" xfId="10" applyFont="1" applyFill="1" applyBorder="1" applyAlignment="1">
      <alignment horizontal="center" vertical="center"/>
    </xf>
    <xf numFmtId="0" fontId="39" fillId="0" borderId="0" xfId="93" applyFont="1" applyAlignment="1">
      <alignment vertical="top"/>
    </xf>
    <xf numFmtId="0" fontId="39" fillId="18" borderId="0" xfId="93" applyFont="1" applyFill="1" applyAlignment="1">
      <alignment vertical="top"/>
    </xf>
    <xf numFmtId="0" fontId="38" fillId="0" borderId="0" xfId="93" applyFont="1" applyAlignment="1">
      <alignment vertical="top"/>
    </xf>
    <xf numFmtId="0" fontId="38" fillId="18" borderId="0" xfId="93" applyFont="1" applyFill="1" applyAlignment="1">
      <alignment horizontal="center" vertical="top"/>
    </xf>
    <xf numFmtId="0" fontId="49" fillId="0" borderId="0" xfId="93" applyFont="1" applyAlignment="1">
      <alignment vertical="center"/>
    </xf>
    <xf numFmtId="0" fontId="38" fillId="21" borderId="4" xfId="93" applyFont="1" applyFill="1" applyBorder="1" applyAlignment="1">
      <alignment vertical="top"/>
    </xf>
    <xf numFmtId="0" fontId="38" fillId="21" borderId="4" xfId="93" applyFont="1" applyFill="1" applyBorder="1" applyAlignment="1">
      <alignment horizontal="center" vertical="top"/>
    </xf>
    <xf numFmtId="0" fontId="78" fillId="21" borderId="4" xfId="93" applyFont="1" applyFill="1" applyBorder="1" applyAlignment="1">
      <alignment horizontal="center" vertical="top" wrapText="1"/>
    </xf>
    <xf numFmtId="0" fontId="39" fillId="0" borderId="4" xfId="93" applyFont="1" applyBorder="1" applyAlignment="1">
      <alignment vertical="top"/>
    </xf>
    <xf numFmtId="10" fontId="39" fillId="0" borderId="4" xfId="93" applyNumberFormat="1" applyFont="1" applyBorder="1" applyAlignment="1">
      <alignment vertical="top"/>
    </xf>
    <xf numFmtId="176" fontId="39" fillId="0" borderId="4" xfId="93" applyNumberFormat="1" applyFont="1" applyFill="1" applyBorder="1" applyAlignment="1">
      <alignment vertical="top"/>
    </xf>
    <xf numFmtId="176" fontId="39" fillId="0" borderId="4" xfId="94" applyNumberFormat="1" applyFont="1" applyBorder="1" applyAlignment="1">
      <alignment vertical="top"/>
    </xf>
    <xf numFmtId="176" fontId="39" fillId="0" borderId="4" xfId="93" applyNumberFormat="1" applyFont="1" applyBorder="1" applyAlignment="1">
      <alignment vertical="top"/>
    </xf>
    <xf numFmtId="164" fontId="79" fillId="18" borderId="4" xfId="95" applyFont="1" applyFill="1" applyBorder="1" applyAlignment="1">
      <alignment vertical="top"/>
    </xf>
    <xf numFmtId="10" fontId="39" fillId="0" borderId="4" xfId="94" applyNumberFormat="1" applyFont="1" applyBorder="1" applyAlignment="1">
      <alignment vertical="top"/>
    </xf>
    <xf numFmtId="10" fontId="38" fillId="19" borderId="4" xfId="94" applyNumberFormat="1" applyFont="1" applyFill="1" applyBorder="1" applyAlignment="1">
      <alignment vertical="top"/>
    </xf>
    <xf numFmtId="0" fontId="80" fillId="0" borderId="4" xfId="93" applyFont="1" applyBorder="1" applyAlignment="1">
      <alignment horizontal="center" vertical="top" wrapText="1"/>
    </xf>
    <xf numFmtId="0" fontId="39" fillId="0" borderId="4" xfId="93" applyFont="1" applyBorder="1" applyAlignment="1">
      <alignment vertical="top" wrapText="1"/>
    </xf>
    <xf numFmtId="168" fontId="79" fillId="18" borderId="4" xfId="95" applyNumberFormat="1" applyFont="1" applyFill="1" applyBorder="1" applyAlignment="1">
      <alignment vertical="top"/>
    </xf>
    <xf numFmtId="168" fontId="79" fillId="0" borderId="0" xfId="95" applyNumberFormat="1" applyFont="1" applyBorder="1" applyAlignment="1">
      <alignment vertical="top"/>
    </xf>
    <xf numFmtId="10" fontId="81" fillId="0" borderId="4" xfId="93" applyNumberFormat="1" applyFont="1" applyBorder="1" applyAlignment="1">
      <alignment vertical="top"/>
    </xf>
    <xf numFmtId="176" fontId="81" fillId="0" borderId="4" xfId="93" applyNumberFormat="1" applyFont="1" applyBorder="1" applyAlignment="1">
      <alignment vertical="top"/>
    </xf>
    <xf numFmtId="10" fontId="39" fillId="0" borderId="0" xfId="94" applyNumberFormat="1" applyFont="1" applyBorder="1" applyAlignment="1">
      <alignment vertical="top"/>
    </xf>
    <xf numFmtId="0" fontId="38" fillId="0" borderId="4" xfId="93" applyFont="1" applyBorder="1" applyAlignment="1">
      <alignment vertical="top"/>
    </xf>
    <xf numFmtId="0" fontId="38" fillId="0" borderId="0" xfId="93" applyFont="1" applyBorder="1" applyAlignment="1">
      <alignment vertical="top"/>
    </xf>
    <xf numFmtId="176" fontId="39" fillId="0" borderId="0" xfId="93" applyNumberFormat="1" applyFont="1" applyAlignment="1">
      <alignment vertical="top"/>
    </xf>
    <xf numFmtId="10" fontId="39" fillId="0" borderId="0" xfId="93" applyNumberFormat="1" applyFont="1" applyAlignment="1">
      <alignment vertical="top"/>
    </xf>
    <xf numFmtId="176" fontId="39" fillId="0" borderId="0" xfId="93" applyNumberFormat="1" applyFont="1" applyBorder="1" applyAlignment="1">
      <alignment vertical="top"/>
    </xf>
    <xf numFmtId="10" fontId="39" fillId="18" borderId="4" xfId="93" applyNumberFormat="1" applyFont="1" applyFill="1" applyBorder="1" applyAlignment="1">
      <alignment vertical="top"/>
    </xf>
    <xf numFmtId="10" fontId="38" fillId="0" borderId="0" xfId="94" applyNumberFormat="1" applyFont="1" applyBorder="1" applyAlignment="1">
      <alignment vertical="top"/>
    </xf>
    <xf numFmtId="10" fontId="38" fillId="0" borderId="4" xfId="94" applyNumberFormat="1" applyFont="1" applyBorder="1" applyAlignment="1">
      <alignment vertical="top"/>
    </xf>
    <xf numFmtId="43" fontId="82" fillId="7" borderId="0" xfId="69" applyFont="1" applyFill="1" applyBorder="1" applyAlignment="1">
      <alignment horizontal="center" vertical="center" wrapText="1"/>
    </xf>
    <xf numFmtId="43" fontId="83" fillId="7" borderId="0" xfId="69" applyFont="1" applyFill="1" applyBorder="1" applyAlignment="1">
      <alignment vertical="center"/>
    </xf>
    <xf numFmtId="43" fontId="82" fillId="7" borderId="0" xfId="69" applyFont="1" applyFill="1" applyBorder="1" applyAlignment="1">
      <alignment vertical="center"/>
    </xf>
    <xf numFmtId="10" fontId="83" fillId="7" borderId="0" xfId="70" applyNumberFormat="1" applyFont="1" applyFill="1" applyBorder="1" applyAlignment="1">
      <alignment vertical="center"/>
    </xf>
    <xf numFmtId="9" fontId="15" fillId="0" borderId="4" xfId="70" applyFont="1" applyFill="1" applyBorder="1" applyAlignment="1">
      <alignment horizontal="center" vertical="center" wrapText="1"/>
    </xf>
    <xf numFmtId="9" fontId="44" fillId="0" borderId="4" xfId="70" applyFont="1" applyFill="1" applyBorder="1" applyAlignment="1">
      <alignment horizontal="center" vertical="center" wrapText="1"/>
    </xf>
    <xf numFmtId="43" fontId="15" fillId="4" borderId="4" xfId="69" applyFont="1" applyFill="1" applyBorder="1" applyAlignment="1">
      <alignment horizontal="center" vertical="center" wrapText="1"/>
    </xf>
    <xf numFmtId="43" fontId="15" fillId="4" borderId="4" xfId="69" applyFont="1" applyFill="1" applyBorder="1" applyAlignment="1">
      <alignment horizontal="center" vertical="center"/>
    </xf>
    <xf numFmtId="0" fontId="0" fillId="0" borderId="0" xfId="0" applyAlignment="1">
      <alignment horizontal="left"/>
    </xf>
    <xf numFmtId="43" fontId="15" fillId="0" borderId="4" xfId="69" applyFont="1" applyBorder="1" applyAlignment="1">
      <alignment horizontal="left" vertical="top" wrapText="1"/>
    </xf>
    <xf numFmtId="43" fontId="14" fillId="0" borderId="4" xfId="69" applyFont="1" applyBorder="1" applyAlignment="1">
      <alignment horizontal="left" vertical="top" wrapText="1"/>
    </xf>
    <xf numFmtId="43" fontId="0" fillId="0" borderId="4" xfId="0" applyNumberFormat="1" applyBorder="1"/>
    <xf numFmtId="43" fontId="59" fillId="0" borderId="4" xfId="0" applyNumberFormat="1" applyFont="1" applyBorder="1"/>
    <xf numFmtId="164" fontId="59" fillId="0" borderId="4" xfId="0" applyNumberFormat="1" applyFont="1" applyBorder="1"/>
    <xf numFmtId="0" fontId="25" fillId="0" borderId="0" xfId="0" applyFont="1"/>
    <xf numFmtId="43" fontId="15" fillId="4" borderId="16" xfId="69" applyFont="1" applyFill="1" applyBorder="1" applyAlignment="1">
      <alignment horizontal="center" vertical="center" wrapText="1"/>
    </xf>
    <xf numFmtId="43" fontId="15" fillId="4" borderId="22" xfId="69" applyFont="1" applyFill="1" applyBorder="1" applyAlignment="1">
      <alignment horizontal="center" vertical="center" wrapText="1"/>
    </xf>
    <xf numFmtId="0" fontId="0" fillId="0" borderId="16" xfId="0" applyBorder="1"/>
    <xf numFmtId="0" fontId="0" fillId="0" borderId="22" xfId="0" applyBorder="1"/>
    <xf numFmtId="43" fontId="0" fillId="0" borderId="16" xfId="69" applyFont="1" applyBorder="1"/>
    <xf numFmtId="43" fontId="0" fillId="0" borderId="22" xfId="0" applyNumberFormat="1" applyBorder="1"/>
    <xf numFmtId="43" fontId="59" fillId="0" borderId="16" xfId="0" applyNumberFormat="1" applyFont="1" applyBorder="1"/>
    <xf numFmtId="43" fontId="59" fillId="0" borderId="22" xfId="0" applyNumberFormat="1" applyFont="1" applyBorder="1"/>
    <xf numFmtId="0" fontId="15" fillId="4" borderId="5" xfId="14" applyFont="1" applyFill="1" applyBorder="1" applyAlignment="1">
      <alignment horizontal="left" vertical="center" wrapText="1"/>
    </xf>
    <xf numFmtId="43" fontId="15" fillId="0" borderId="5" xfId="69" applyFont="1" applyBorder="1" applyAlignment="1">
      <alignment horizontal="left" vertical="top" wrapText="1"/>
    </xf>
    <xf numFmtId="43" fontId="14" fillId="0" borderId="5" xfId="69" applyFont="1" applyBorder="1" applyAlignment="1">
      <alignment horizontal="left" vertical="top" wrapText="1"/>
    </xf>
    <xf numFmtId="43" fontId="15" fillId="0" borderId="5" xfId="69" applyFont="1" applyFill="1" applyBorder="1" applyAlignment="1" applyProtection="1">
      <alignment horizontal="left" vertical="top" wrapText="1"/>
    </xf>
    <xf numFmtId="43" fontId="15" fillId="7" borderId="5" xfId="69" applyFont="1" applyFill="1" applyBorder="1" applyAlignment="1">
      <alignment horizontal="left" vertical="center"/>
    </xf>
    <xf numFmtId="164" fontId="59" fillId="0" borderId="33" xfId="0" applyNumberFormat="1" applyFont="1" applyBorder="1"/>
    <xf numFmtId="0" fontId="59" fillId="23" borderId="52" xfId="0" applyFont="1" applyFill="1" applyBorder="1" applyAlignment="1">
      <alignment horizontal="center" vertical="center"/>
    </xf>
    <xf numFmtId="9" fontId="59" fillId="23" borderId="53" xfId="70" applyFont="1" applyFill="1" applyBorder="1" applyAlignment="1">
      <alignment horizontal="center" vertical="center"/>
    </xf>
    <xf numFmtId="0" fontId="59" fillId="23" borderId="52" xfId="0" applyFont="1" applyFill="1" applyBorder="1" applyAlignment="1">
      <alignment horizontal="center"/>
    </xf>
    <xf numFmtId="9" fontId="59" fillId="23" borderId="53" xfId="70" applyFont="1" applyFill="1" applyBorder="1" applyAlignment="1">
      <alignment horizontal="center"/>
    </xf>
    <xf numFmtId="43" fontId="14" fillId="0" borderId="5" xfId="69" applyFont="1" applyBorder="1"/>
    <xf numFmtId="43" fontId="14" fillId="0" borderId="8" xfId="69" applyFont="1" applyBorder="1"/>
    <xf numFmtId="43" fontId="14" fillId="5" borderId="4" xfId="69" applyFont="1" applyFill="1" applyBorder="1"/>
    <xf numFmtId="0" fontId="75" fillId="7" borderId="0" xfId="0" applyFont="1" applyFill="1" applyAlignment="1">
      <alignment vertical="center"/>
    </xf>
    <xf numFmtId="0" fontId="84" fillId="24" borderId="4" xfId="0" applyFont="1" applyFill="1" applyBorder="1" applyAlignment="1">
      <alignment horizontal="center" vertical="center"/>
    </xf>
    <xf numFmtId="0" fontId="84" fillId="24" borderId="4" xfId="0" applyFont="1" applyFill="1" applyBorder="1" applyAlignment="1">
      <alignment vertical="center"/>
    </xf>
    <xf numFmtId="0" fontId="75" fillId="0" borderId="4" xfId="0" applyFont="1" applyFill="1" applyBorder="1" applyAlignment="1">
      <alignment horizontal="center" vertical="center"/>
    </xf>
    <xf numFmtId="0" fontId="75" fillId="0" borderId="4" xfId="0" applyFont="1" applyFill="1" applyBorder="1" applyAlignment="1">
      <alignment vertical="center"/>
    </xf>
    <xf numFmtId="0" fontId="75" fillId="0" borderId="0" xfId="0" applyFont="1" applyFill="1" applyAlignment="1">
      <alignment vertical="center"/>
    </xf>
    <xf numFmtId="178" fontId="85" fillId="0" borderId="4" xfId="0" applyNumberFormat="1" applyFont="1" applyFill="1" applyBorder="1" applyAlignment="1">
      <alignment horizontal="center" vertical="center"/>
    </xf>
    <xf numFmtId="179" fontId="85" fillId="0" borderId="4" xfId="0" applyNumberFormat="1" applyFont="1" applyFill="1" applyBorder="1" applyAlignment="1">
      <alignment horizontal="center" vertical="center"/>
    </xf>
    <xf numFmtId="180" fontId="85" fillId="0" borderId="4" xfId="0" applyNumberFormat="1" applyFont="1" applyFill="1" applyBorder="1" applyAlignment="1">
      <alignment horizontal="center" vertical="center"/>
    </xf>
    <xf numFmtId="0" fontId="75" fillId="0" borderId="0" xfId="0" applyFont="1" applyFill="1" applyAlignment="1"/>
    <xf numFmtId="10" fontId="75" fillId="0" borderId="4" xfId="70" applyNumberFormat="1" applyFont="1" applyFill="1" applyBorder="1" applyAlignment="1">
      <alignment horizontal="center" vertical="center"/>
    </xf>
    <xf numFmtId="178" fontId="85" fillId="0" borderId="7" xfId="0" applyNumberFormat="1" applyFont="1" applyFill="1" applyBorder="1" applyAlignment="1">
      <alignment horizontal="center" vertical="center"/>
    </xf>
    <xf numFmtId="181" fontId="85" fillId="0" borderId="4" xfId="0" applyNumberFormat="1" applyFont="1" applyFill="1" applyBorder="1" applyAlignment="1">
      <alignment horizontal="center" vertical="center"/>
    </xf>
    <xf numFmtId="0" fontId="75" fillId="0" borderId="0" xfId="0" applyFont="1" applyFill="1" applyBorder="1" applyAlignment="1">
      <alignment vertical="center"/>
    </xf>
    <xf numFmtId="0" fontId="16" fillId="0" borderId="0" xfId="0" applyFont="1" applyFill="1" applyAlignment="1">
      <alignment horizontal="center" vertical="center"/>
    </xf>
    <xf numFmtId="179" fontId="85" fillId="0" borderId="6" xfId="0" applyNumberFormat="1" applyFont="1" applyFill="1" applyBorder="1" applyAlignment="1">
      <alignment horizontal="center" vertical="center"/>
    </xf>
    <xf numFmtId="182" fontId="85" fillId="0" borderId="6" xfId="0" applyNumberFormat="1" applyFont="1" applyFill="1" applyBorder="1" applyAlignment="1">
      <alignment horizontal="center" vertical="center"/>
    </xf>
    <xf numFmtId="0" fontId="16" fillId="0" borderId="4" xfId="0" applyFont="1" applyFill="1" applyBorder="1" applyAlignment="1">
      <alignment horizontal="center" vertical="center"/>
    </xf>
    <xf numFmtId="43" fontId="16" fillId="0" borderId="4" xfId="69" applyFont="1" applyFill="1" applyBorder="1" applyAlignment="1">
      <alignment horizontal="center" vertical="center"/>
    </xf>
    <xf numFmtId="182" fontId="85" fillId="0" borderId="4" xfId="0" applyNumberFormat="1" applyFont="1" applyFill="1" applyBorder="1" applyAlignment="1">
      <alignment horizontal="center" vertical="center"/>
    </xf>
    <xf numFmtId="44" fontId="16" fillId="0" borderId="4" xfId="0" applyNumberFormat="1" applyFont="1" applyFill="1" applyBorder="1" applyAlignment="1">
      <alignment vertical="top"/>
    </xf>
    <xf numFmtId="0" fontId="16" fillId="0" borderId="16" xfId="0" applyFont="1" applyFill="1" applyBorder="1" applyAlignment="1">
      <alignment horizontal="left"/>
    </xf>
    <xf numFmtId="0" fontId="16" fillId="0" borderId="16" xfId="0" applyFont="1" applyFill="1" applyBorder="1" applyAlignment="1">
      <alignment horizontal="left" wrapText="1"/>
    </xf>
    <xf numFmtId="0" fontId="75" fillId="15" borderId="23" xfId="0" applyFont="1" applyFill="1" applyBorder="1" applyAlignment="1">
      <alignment vertical="center"/>
    </xf>
    <xf numFmtId="0" fontId="75" fillId="15" borderId="33" xfId="0" applyFont="1" applyFill="1" applyBorder="1" applyAlignment="1">
      <alignment horizontal="center" vertical="center"/>
    </xf>
    <xf numFmtId="0" fontId="75" fillId="15" borderId="33" xfId="0" applyFont="1" applyFill="1" applyBorder="1" applyAlignment="1">
      <alignment vertical="center"/>
    </xf>
    <xf numFmtId="10" fontId="75" fillId="15" borderId="33" xfId="70" applyNumberFormat="1" applyFont="1" applyFill="1" applyBorder="1" applyAlignment="1">
      <alignment horizontal="center" vertical="center"/>
    </xf>
    <xf numFmtId="0" fontId="75" fillId="7" borderId="0" xfId="0" applyFont="1" applyFill="1" applyAlignment="1">
      <alignment horizontal="center" vertical="center"/>
    </xf>
    <xf numFmtId="0" fontId="86" fillId="0" borderId="16" xfId="0" applyFont="1" applyFill="1" applyBorder="1" applyAlignment="1">
      <alignment vertical="center"/>
    </xf>
    <xf numFmtId="0" fontId="87" fillId="0" borderId="16" xfId="0" applyFont="1" applyFill="1" applyBorder="1" applyAlignment="1">
      <alignment horizontal="left" vertical="center"/>
    </xf>
    <xf numFmtId="179" fontId="87" fillId="0" borderId="4" xfId="69" applyNumberFormat="1" applyFont="1" applyFill="1" applyBorder="1" applyAlignment="1">
      <alignment horizontal="center" vertical="center"/>
    </xf>
    <xf numFmtId="0" fontId="87" fillId="0" borderId="16" xfId="0" applyFont="1" applyFill="1" applyBorder="1" applyAlignment="1">
      <alignment horizontal="left" vertical="center" wrapText="1"/>
    </xf>
    <xf numFmtId="0" fontId="78" fillId="0" borderId="4" xfId="0" applyFont="1" applyFill="1" applyBorder="1" applyAlignment="1">
      <alignment horizontal="left"/>
    </xf>
    <xf numFmtId="0" fontId="87" fillId="0" borderId="4" xfId="0" applyFont="1" applyFill="1" applyBorder="1" applyAlignment="1">
      <alignment horizontal="center" vertical="center"/>
    </xf>
    <xf numFmtId="43" fontId="86" fillId="0" borderId="4" xfId="69" applyFont="1" applyFill="1" applyBorder="1" applyAlignment="1">
      <alignment horizontal="center" vertical="center"/>
    </xf>
    <xf numFmtId="0" fontId="87" fillId="0" borderId="18" xfId="0" applyFont="1" applyFill="1" applyBorder="1" applyAlignment="1">
      <alignment horizontal="left" vertical="center"/>
    </xf>
    <xf numFmtId="43" fontId="87" fillId="0" borderId="6" xfId="69" applyFont="1" applyFill="1" applyBorder="1" applyAlignment="1">
      <alignment horizontal="center" vertical="center"/>
    </xf>
    <xf numFmtId="0" fontId="86" fillId="0" borderId="16" xfId="0" applyFont="1" applyFill="1" applyBorder="1" applyAlignment="1">
      <alignment horizontal="left" vertical="center"/>
    </xf>
    <xf numFmtId="183" fontId="87" fillId="0" borderId="4" xfId="0" applyNumberFormat="1" applyFont="1" applyFill="1" applyBorder="1" applyAlignment="1">
      <alignment horizontal="center" vertical="center"/>
    </xf>
    <xf numFmtId="183" fontId="87" fillId="0" borderId="7" xfId="0" applyNumberFormat="1" applyFont="1" applyFill="1" applyBorder="1" applyAlignment="1">
      <alignment horizontal="center" vertical="center"/>
    </xf>
    <xf numFmtId="43" fontId="75" fillId="0" borderId="4" xfId="69" applyFont="1" applyFill="1" applyBorder="1" applyAlignment="1">
      <alignment horizontal="center" vertical="center"/>
    </xf>
    <xf numFmtId="178" fontId="85" fillId="0" borderId="7" xfId="0" applyNumberFormat="1" applyFont="1" applyFill="1" applyBorder="1" applyAlignment="1">
      <alignment vertical="center"/>
    </xf>
    <xf numFmtId="179" fontId="75" fillId="0" borderId="4" xfId="69" applyNumberFormat="1" applyFont="1" applyFill="1" applyBorder="1" applyAlignment="1">
      <alignment horizontal="center" vertical="center"/>
    </xf>
    <xf numFmtId="0" fontId="75" fillId="0" borderId="0" xfId="0" applyFont="1" applyFill="1" applyAlignment="1">
      <alignment horizontal="center" vertical="center"/>
    </xf>
    <xf numFmtId="0" fontId="16" fillId="0" borderId="0" xfId="0" applyFont="1" applyFill="1" applyAlignment="1">
      <alignment horizontal="center"/>
    </xf>
    <xf numFmtId="0" fontId="16" fillId="0" borderId="4" xfId="0" applyFont="1" applyFill="1" applyBorder="1" applyAlignment="1">
      <alignment horizontal="center" vertical="top"/>
    </xf>
    <xf numFmtId="43" fontId="14" fillId="5" borderId="0" xfId="69" applyFont="1" applyFill="1" applyAlignment="1">
      <alignment vertical="center"/>
    </xf>
    <xf numFmtId="43" fontId="15" fillId="5" borderId="4" xfId="69" applyFont="1" applyFill="1" applyBorder="1" applyAlignment="1">
      <alignment horizontal="center" vertical="center" wrapText="1"/>
    </xf>
    <xf numFmtId="43" fontId="15" fillId="5" borderId="4" xfId="69" applyFont="1" applyFill="1" applyBorder="1" applyAlignment="1" applyProtection="1">
      <alignment horizontal="center" vertical="center" wrapText="1"/>
    </xf>
    <xf numFmtId="43" fontId="24" fillId="0" borderId="4" xfId="69" applyFont="1" applyBorder="1" applyAlignment="1">
      <alignment horizontal="left"/>
    </xf>
    <xf numFmtId="43" fontId="24" fillId="0" borderId="4" xfId="69" applyFont="1" applyBorder="1" applyAlignment="1">
      <alignment horizontal="left" vertical="center" wrapText="1"/>
    </xf>
    <xf numFmtId="43" fontId="24" fillId="0" borderId="6" xfId="69" applyFont="1" applyBorder="1" applyAlignment="1">
      <alignment horizontal="left"/>
    </xf>
    <xf numFmtId="43" fontId="24" fillId="0" borderId="16" xfId="69" applyFont="1" applyBorder="1"/>
    <xf numFmtId="43" fontId="15" fillId="0" borderId="4" xfId="10" applyNumberFormat="1" applyFont="1" applyBorder="1"/>
    <xf numFmtId="43" fontId="15" fillId="5" borderId="4" xfId="69" applyFont="1" applyFill="1" applyBorder="1"/>
    <xf numFmtId="0" fontId="15" fillId="5" borderId="4" xfId="10" applyFont="1" applyFill="1" applyBorder="1"/>
    <xf numFmtId="10" fontId="15" fillId="0" borderId="4" xfId="70" applyNumberFormat="1" applyFont="1" applyBorder="1"/>
    <xf numFmtId="10" fontId="14" fillId="0" borderId="0" xfId="70" applyNumberFormat="1" applyFont="1"/>
    <xf numFmtId="43" fontId="14" fillId="0" borderId="4" xfId="69" applyFont="1" applyBorder="1" applyAlignment="1">
      <alignment horizontal="center" vertical="center" wrapText="1"/>
    </xf>
    <xf numFmtId="43" fontId="15" fillId="8" borderId="4" xfId="69" applyFont="1" applyFill="1" applyBorder="1" applyAlignment="1">
      <alignment horizontal="center" vertical="center" wrapText="1"/>
    </xf>
    <xf numFmtId="164" fontId="14" fillId="12" borderId="4" xfId="14" applyNumberFormat="1" applyFont="1" applyFill="1" applyBorder="1">
      <alignment vertical="center"/>
    </xf>
    <xf numFmtId="164" fontId="14" fillId="0" borderId="4" xfId="14" applyNumberFormat="1" applyFont="1" applyFill="1" applyBorder="1">
      <alignment vertical="center"/>
    </xf>
    <xf numFmtId="164" fontId="14" fillId="12" borderId="4" xfId="69" applyNumberFormat="1" applyFont="1" applyFill="1" applyBorder="1" applyAlignment="1">
      <alignment vertical="center"/>
    </xf>
    <xf numFmtId="164" fontId="15" fillId="0" borderId="4" xfId="14" applyNumberFormat="1" applyFont="1" applyFill="1" applyBorder="1">
      <alignment vertical="center"/>
    </xf>
    <xf numFmtId="164" fontId="14" fillId="0" borderId="4" xfId="69" applyNumberFormat="1" applyFont="1" applyBorder="1" applyAlignment="1">
      <alignment vertical="center"/>
    </xf>
    <xf numFmtId="164" fontId="14" fillId="0" borderId="4" xfId="69" applyNumberFormat="1" applyFont="1" applyBorder="1" applyAlignment="1">
      <alignment horizontal="left" vertical="center"/>
    </xf>
    <xf numFmtId="164" fontId="14" fillId="7" borderId="4" xfId="69" applyNumberFormat="1" applyFont="1" applyFill="1" applyBorder="1" applyAlignment="1">
      <alignment horizontal="left" vertical="center"/>
    </xf>
    <xf numFmtId="164" fontId="14" fillId="7" borderId="4" xfId="69" applyNumberFormat="1" applyFont="1" applyFill="1" applyBorder="1" applyAlignment="1">
      <alignment vertical="center"/>
    </xf>
    <xf numFmtId="164" fontId="14" fillId="12" borderId="4" xfId="69" applyNumberFormat="1" applyFont="1" applyFill="1" applyBorder="1" applyAlignment="1">
      <alignment horizontal="left" vertical="center"/>
    </xf>
    <xf numFmtId="164" fontId="15" fillId="7" borderId="4" xfId="69" applyNumberFormat="1" applyFont="1" applyFill="1" applyBorder="1" applyAlignment="1">
      <alignment horizontal="left" vertical="center"/>
    </xf>
    <xf numFmtId="164" fontId="15" fillId="0" borderId="4" xfId="69" applyNumberFormat="1" applyFont="1" applyFill="1" applyBorder="1" applyAlignment="1">
      <alignment horizontal="left" vertical="center"/>
    </xf>
    <xf numFmtId="164" fontId="15" fillId="0" borderId="4" xfId="69" applyNumberFormat="1" applyFont="1" applyBorder="1" applyAlignment="1">
      <alignment vertical="center"/>
    </xf>
    <xf numFmtId="0" fontId="67" fillId="0" borderId="4" xfId="0" applyFont="1" applyBorder="1" applyAlignment="1">
      <alignment wrapText="1"/>
    </xf>
    <xf numFmtId="164" fontId="67" fillId="0" borderId="4" xfId="0" applyNumberFormat="1" applyFont="1" applyBorder="1" applyAlignment="1">
      <alignment vertical="center"/>
    </xf>
    <xf numFmtId="164" fontId="67" fillId="0" borderId="4" xfId="69" applyNumberFormat="1" applyFont="1" applyBorder="1" applyAlignment="1">
      <alignment vertical="center"/>
    </xf>
    <xf numFmtId="43" fontId="67" fillId="0" borderId="4" xfId="69" applyFont="1" applyBorder="1" applyAlignment="1">
      <alignment vertical="center"/>
    </xf>
    <xf numFmtId="0" fontId="66" fillId="0" borderId="0" xfId="0" applyFont="1" applyBorder="1" applyAlignment="1">
      <alignment horizontal="center" vertical="center"/>
    </xf>
    <xf numFmtId="0" fontId="66" fillId="0" borderId="0" xfId="0" applyFont="1" applyBorder="1"/>
    <xf numFmtId="164" fontId="66" fillId="0" borderId="0" xfId="69" applyNumberFormat="1" applyFont="1" applyBorder="1"/>
    <xf numFmtId="43" fontId="66" fillId="0" borderId="0" xfId="69" applyFont="1" applyBorder="1"/>
    <xf numFmtId="0" fontId="66" fillId="0" borderId="0" xfId="0" applyFont="1"/>
    <xf numFmtId="9" fontId="0" fillId="0" borderId="4" xfId="0" applyNumberFormat="1" applyBorder="1" applyAlignment="1">
      <alignment horizontal="center" vertical="center"/>
    </xf>
    <xf numFmtId="0" fontId="59" fillId="0" borderId="4" xfId="0" applyFont="1" applyBorder="1" applyAlignment="1">
      <alignment horizontal="center" vertical="center"/>
    </xf>
    <xf numFmtId="43" fontId="0" fillId="0" borderId="4" xfId="0" applyNumberFormat="1" applyBorder="1" applyAlignment="1">
      <alignment vertical="center"/>
    </xf>
    <xf numFmtId="43" fontId="38" fillId="8" borderId="4" xfId="69" applyFont="1" applyFill="1" applyBorder="1" applyAlignment="1">
      <alignment horizontal="center" vertical="center" wrapText="1"/>
    </xf>
    <xf numFmtId="43" fontId="14" fillId="0" borderId="0" xfId="69" applyFont="1" applyAlignment="1">
      <alignment horizontal="center"/>
    </xf>
    <xf numFmtId="43" fontId="15" fillId="0" borderId="4" xfId="69" applyFont="1" applyBorder="1" applyAlignment="1">
      <alignment horizontal="right" vertical="center"/>
    </xf>
    <xf numFmtId="164" fontId="14" fillId="0" borderId="4" xfId="69" quotePrefix="1" applyNumberFormat="1" applyFont="1" applyFill="1" applyBorder="1" applyAlignment="1">
      <alignment horizontal="center" vertical="center" wrapText="1"/>
    </xf>
    <xf numFmtId="164" fontId="14" fillId="0" borderId="4" xfId="69" applyNumberFormat="1" applyFont="1" applyFill="1" applyBorder="1" applyAlignment="1">
      <alignment horizontal="center" vertical="center"/>
    </xf>
    <xf numFmtId="164" fontId="33" fillId="0" borderId="4" xfId="69" applyNumberFormat="1" applyFont="1" applyFill="1" applyBorder="1" applyAlignment="1">
      <alignment horizontal="center" vertical="center"/>
    </xf>
    <xf numFmtId="43" fontId="14" fillId="0" borderId="4" xfId="69" applyFont="1" applyBorder="1" applyAlignment="1">
      <alignment horizontal="center" vertical="center" wrapText="1"/>
    </xf>
    <xf numFmtId="0" fontId="15" fillId="0" borderId="0" xfId="10" applyFont="1" applyBorder="1" applyAlignment="1">
      <alignment horizontal="center" vertical="center"/>
    </xf>
    <xf numFmtId="0" fontId="15" fillId="7" borderId="0" xfId="10" applyFont="1" applyFill="1" applyBorder="1" applyAlignment="1">
      <alignment horizontal="center" vertical="center"/>
    </xf>
    <xf numFmtId="0" fontId="14" fillId="0" borderId="37" xfId="13" applyFont="1" applyFill="1" applyBorder="1" applyAlignment="1">
      <alignment horizontal="center"/>
    </xf>
    <xf numFmtId="0" fontId="14" fillId="0" borderId="38" xfId="13" applyFont="1" applyFill="1" applyBorder="1" applyAlignment="1">
      <alignment horizontal="center"/>
    </xf>
    <xf numFmtId="0" fontId="15" fillId="0" borderId="4" xfId="13" applyFont="1" applyFill="1" applyBorder="1" applyAlignment="1">
      <alignment horizontal="left" vertical="center" wrapText="1"/>
    </xf>
    <xf numFmtId="0" fontId="14" fillId="0" borderId="4" xfId="13" applyFont="1" applyFill="1" applyBorder="1" applyAlignment="1">
      <alignment vertical="center"/>
    </xf>
    <xf numFmtId="0" fontId="14" fillId="0" borderId="4" xfId="13" applyFont="1" applyFill="1" applyBorder="1" applyAlignment="1">
      <alignment horizontal="center" vertical="center"/>
    </xf>
    <xf numFmtId="0" fontId="14" fillId="0" borderId="37" xfId="13" applyFont="1" applyFill="1" applyBorder="1" applyAlignment="1">
      <alignment horizontal="center" vertical="center"/>
    </xf>
    <xf numFmtId="0" fontId="16" fillId="0" borderId="47" xfId="13" applyFont="1" applyFill="1" applyBorder="1" applyAlignment="1">
      <alignment horizontal="left" vertical="center"/>
    </xf>
    <xf numFmtId="0" fontId="16" fillId="0" borderId="41" xfId="13" applyFont="1" applyFill="1" applyBorder="1" applyAlignment="1">
      <alignment horizontal="left" vertical="center" wrapText="1"/>
    </xf>
    <xf numFmtId="14" fontId="14" fillId="0" borderId="41" xfId="13" applyNumberFormat="1" applyFont="1" applyFill="1" applyBorder="1" applyAlignment="1">
      <alignment horizontal="center" vertical="center"/>
    </xf>
    <xf numFmtId="164" fontId="14" fillId="0" borderId="41" xfId="13" quotePrefix="1" applyNumberFormat="1" applyFont="1" applyFill="1" applyBorder="1" applyAlignment="1">
      <alignment horizontal="center" vertical="center"/>
    </xf>
    <xf numFmtId="0" fontId="16" fillId="0" borderId="40" xfId="13" applyFont="1" applyFill="1" applyBorder="1" applyAlignment="1">
      <alignment horizontal="left" vertical="center"/>
    </xf>
    <xf numFmtId="0" fontId="16" fillId="0" borderId="37" xfId="13" applyFont="1" applyFill="1" applyBorder="1" applyAlignment="1">
      <alignment horizontal="left" vertical="center" wrapText="1"/>
    </xf>
    <xf numFmtId="0" fontId="75" fillId="0" borderId="37" xfId="13" applyFont="1" applyFill="1" applyBorder="1" applyAlignment="1">
      <alignment vertical="center" wrapText="1"/>
    </xf>
    <xf numFmtId="14" fontId="65" fillId="0" borderId="37" xfId="13" applyNumberFormat="1" applyFont="1" applyFill="1" applyBorder="1" applyAlignment="1">
      <alignment horizontal="center" vertical="center"/>
    </xf>
    <xf numFmtId="164" fontId="14" fillId="0" borderId="37" xfId="13" quotePrefix="1" applyNumberFormat="1" applyFont="1" applyFill="1" applyBorder="1" applyAlignment="1">
      <alignment horizontal="center" vertical="center"/>
    </xf>
    <xf numFmtId="14" fontId="14" fillId="0" borderId="37" xfId="13" applyNumberFormat="1" applyFont="1" applyFill="1" applyBorder="1" applyAlignment="1">
      <alignment horizontal="center" vertical="center"/>
    </xf>
    <xf numFmtId="0" fontId="16" fillId="0" borderId="39" xfId="13" applyFont="1" applyFill="1" applyBorder="1" applyAlignment="1">
      <alignment horizontal="left" vertical="center"/>
    </xf>
    <xf numFmtId="0" fontId="16" fillId="0" borderId="37" xfId="13" applyFont="1" applyFill="1" applyBorder="1" applyAlignment="1">
      <alignment vertical="top" wrapText="1"/>
    </xf>
    <xf numFmtId="0" fontId="16" fillId="0" borderId="40" xfId="13" applyFont="1" applyFill="1" applyBorder="1" applyAlignment="1">
      <alignment horizontal="left" vertical="top" wrapText="1"/>
    </xf>
    <xf numFmtId="0" fontId="16" fillId="0" borderId="37" xfId="13" applyFont="1" applyFill="1" applyBorder="1" applyAlignment="1">
      <alignment vertical="center" wrapText="1"/>
    </xf>
    <xf numFmtId="0" fontId="16" fillId="0" borderId="40" xfId="13" applyFont="1" applyFill="1" applyBorder="1" applyAlignment="1">
      <alignment horizontal="left" vertical="center" wrapText="1"/>
    </xf>
    <xf numFmtId="0" fontId="16" fillId="0" borderId="39" xfId="13" applyFont="1" applyFill="1" applyBorder="1" applyAlignment="1">
      <alignment horizontal="left" vertical="top"/>
    </xf>
    <xf numFmtId="0" fontId="16" fillId="0" borderId="39" xfId="13" applyFont="1" applyFill="1" applyBorder="1" applyAlignment="1">
      <alignment vertical="top" wrapText="1"/>
    </xf>
    <xf numFmtId="0" fontId="16" fillId="0" borderId="39" xfId="13" applyFont="1" applyFill="1" applyBorder="1" applyAlignment="1">
      <alignment horizontal="left" wrapText="1"/>
    </xf>
    <xf numFmtId="0" fontId="14" fillId="0" borderId="39" xfId="13" applyFont="1" applyFill="1" applyBorder="1" applyAlignment="1">
      <alignment horizontal="center" vertical="center"/>
    </xf>
    <xf numFmtId="164" fontId="14" fillId="0" borderId="37" xfId="13" applyNumberFormat="1" applyFont="1" applyFill="1" applyBorder="1" applyAlignment="1">
      <alignment horizontal="center" vertical="center"/>
    </xf>
    <xf numFmtId="0" fontId="16" fillId="0" borderId="44" xfId="13" applyFont="1" applyFill="1" applyBorder="1" applyAlignment="1">
      <alignment vertical="center" wrapText="1"/>
    </xf>
    <xf numFmtId="164" fontId="14" fillId="0" borderId="40" xfId="13" applyNumberFormat="1" applyFont="1" applyFill="1" applyBorder="1" applyAlignment="1">
      <alignment horizontal="center" vertical="center" wrapText="1"/>
    </xf>
    <xf numFmtId="0" fontId="16" fillId="0" borderId="5" xfId="13" applyFont="1" applyFill="1" applyBorder="1" applyAlignment="1">
      <alignment vertical="center" wrapText="1"/>
    </xf>
    <xf numFmtId="164" fontId="14" fillId="0" borderId="40" xfId="13" applyNumberFormat="1" applyFont="1" applyFill="1" applyBorder="1" applyAlignment="1">
      <alignment horizontal="center" vertical="center"/>
    </xf>
    <xf numFmtId="0" fontId="14" fillId="0" borderId="39" xfId="13" applyFont="1" applyFill="1" applyBorder="1" applyAlignment="1">
      <alignment horizontal="left" vertical="top"/>
    </xf>
    <xf numFmtId="0" fontId="14" fillId="0" borderId="41" xfId="13" applyFont="1" applyFill="1" applyBorder="1" applyAlignment="1">
      <alignment vertical="top" wrapText="1"/>
    </xf>
    <xf numFmtId="0" fontId="15" fillId="0" borderId="47" xfId="13" applyFont="1" applyFill="1" applyBorder="1"/>
    <xf numFmtId="0" fontId="15" fillId="0" borderId="41" xfId="13" applyFont="1" applyFill="1" applyBorder="1" applyAlignment="1">
      <alignment horizontal="center" vertical="center"/>
    </xf>
    <xf numFmtId="0" fontId="48" fillId="0" borderId="40" xfId="13" applyFont="1" applyFill="1" applyBorder="1"/>
    <xf numFmtId="0" fontId="15" fillId="0" borderId="37" xfId="13" applyFont="1" applyFill="1" applyBorder="1"/>
    <xf numFmtId="0" fontId="15" fillId="0" borderId="37" xfId="13" applyFont="1" applyFill="1" applyBorder="1" applyAlignment="1">
      <alignment horizontal="center" vertical="center"/>
    </xf>
    <xf numFmtId="0" fontId="14" fillId="0" borderId="40" xfId="13" quotePrefix="1" applyFont="1" applyFill="1" applyBorder="1" applyAlignment="1">
      <alignment horizontal="left" vertical="center" wrapText="1"/>
    </xf>
    <xf numFmtId="0" fontId="14" fillId="0" borderId="37" xfId="13" quotePrefix="1" applyFont="1" applyFill="1" applyBorder="1" applyAlignment="1">
      <alignment horizontal="center" vertical="center"/>
    </xf>
    <xf numFmtId="0" fontId="15" fillId="0" borderId="40" xfId="13" applyFont="1" applyFill="1" applyBorder="1"/>
    <xf numFmtId="9" fontId="0" fillId="0" borderId="0" xfId="0" applyNumberFormat="1"/>
    <xf numFmtId="0" fontId="25" fillId="0" borderId="4" xfId="0" applyFont="1" applyBorder="1"/>
    <xf numFmtId="9" fontId="0" fillId="0" borderId="4" xfId="0" applyNumberFormat="1" applyBorder="1"/>
    <xf numFmtId="9" fontId="25" fillId="0" borderId="4" xfId="0" applyNumberFormat="1" applyFont="1" applyBorder="1"/>
    <xf numFmtId="164" fontId="67" fillId="0" borderId="0" xfId="0" applyNumberFormat="1" applyFont="1"/>
    <xf numFmtId="9" fontId="25" fillId="0" borderId="0" xfId="0" applyNumberFormat="1" applyFont="1" applyAlignment="1">
      <alignment horizontal="center" vertical="center"/>
    </xf>
    <xf numFmtId="0" fontId="75" fillId="7" borderId="4" xfId="0" applyFont="1" applyFill="1" applyBorder="1" applyAlignment="1">
      <alignment vertical="center"/>
    </xf>
    <xf numFmtId="0" fontId="75" fillId="0" borderId="4" xfId="0" applyFont="1" applyFill="1" applyBorder="1" applyAlignment="1"/>
    <xf numFmtId="164" fontId="75" fillId="0" borderId="4" xfId="0" applyNumberFormat="1" applyFont="1" applyFill="1" applyBorder="1" applyAlignment="1"/>
    <xf numFmtId="164" fontId="75" fillId="0" borderId="4" xfId="0" applyNumberFormat="1" applyFont="1" applyFill="1" applyBorder="1" applyAlignment="1">
      <alignment vertical="center"/>
    </xf>
    <xf numFmtId="164" fontId="75" fillId="7" borderId="4" xfId="0" applyNumberFormat="1" applyFont="1" applyFill="1" applyBorder="1" applyAlignment="1">
      <alignment vertical="center"/>
    </xf>
    <xf numFmtId="9" fontId="14" fillId="0" borderId="4" xfId="70" applyFont="1" applyFill="1" applyBorder="1" applyAlignment="1">
      <alignment horizontal="center" vertical="center" wrapText="1"/>
    </xf>
    <xf numFmtId="9" fontId="14" fillId="0" borderId="4" xfId="70" applyFont="1" applyBorder="1" applyAlignment="1">
      <alignment horizontal="center" vertical="center"/>
    </xf>
    <xf numFmtId="9" fontId="46" fillId="0" borderId="4" xfId="70" applyFont="1" applyFill="1" applyBorder="1" applyAlignment="1">
      <alignment horizontal="center" vertical="center" wrapText="1"/>
    </xf>
    <xf numFmtId="43" fontId="15" fillId="10" borderId="4" xfId="69" applyFont="1" applyFill="1" applyBorder="1" applyAlignment="1">
      <alignment horizontal="center" vertical="center" wrapText="1"/>
    </xf>
    <xf numFmtId="9" fontId="15" fillId="0" borderId="4" xfId="70" applyFont="1" applyBorder="1"/>
    <xf numFmtId="9" fontId="14" fillId="0" borderId="4" xfId="70" applyFont="1" applyBorder="1" applyAlignment="1">
      <alignment horizontal="right" vertical="center"/>
    </xf>
    <xf numFmtId="43" fontId="69" fillId="0" borderId="4" xfId="69" applyFont="1" applyFill="1" applyBorder="1" applyAlignment="1">
      <alignment vertical="center"/>
    </xf>
    <xf numFmtId="0" fontId="38" fillId="8" borderId="7" xfId="80" applyFont="1" applyFill="1" applyBorder="1" applyAlignment="1">
      <alignment horizontal="center" vertical="center"/>
    </xf>
    <xf numFmtId="2" fontId="59" fillId="0" borderId="8" xfId="10" applyNumberFormat="1" applyFont="1" applyBorder="1" applyAlignment="1">
      <alignment vertical="center"/>
    </xf>
    <xf numFmtId="164" fontId="25" fillId="0" borderId="4" xfId="10" applyNumberFormat="1" applyBorder="1"/>
    <xf numFmtId="0" fontId="38" fillId="8" borderId="10" xfId="80" applyFont="1" applyFill="1" applyBorder="1" applyAlignment="1">
      <alignment horizontal="center" vertical="center" wrapText="1"/>
    </xf>
    <xf numFmtId="10" fontId="39" fillId="0" borderId="5" xfId="80" applyNumberFormat="1" applyFont="1" applyBorder="1" applyAlignment="1">
      <alignment horizontal="right" vertical="center"/>
    </xf>
    <xf numFmtId="43" fontId="39" fillId="0" borderId="5" xfId="69" applyFont="1" applyBorder="1" applyAlignment="1">
      <alignment horizontal="center"/>
    </xf>
    <xf numFmtId="164" fontId="39" fillId="0" borderId="5" xfId="80" applyNumberFormat="1" applyFont="1" applyBorder="1" applyAlignment="1">
      <alignment horizontal="center"/>
    </xf>
    <xf numFmtId="164" fontId="14" fillId="0" borderId="5" xfId="15" applyNumberFormat="1" applyFont="1" applyBorder="1" applyAlignment="1">
      <alignment horizontal="center" vertical="center"/>
    </xf>
    <xf numFmtId="164" fontId="39" fillId="0" borderId="5" xfId="80" applyNumberFormat="1" applyFont="1" applyBorder="1" applyAlignment="1">
      <alignment horizontal="center" vertical="center"/>
    </xf>
    <xf numFmtId="0" fontId="38" fillId="8" borderId="12" xfId="80" applyFont="1" applyFill="1" applyBorder="1" applyAlignment="1">
      <alignment horizontal="center" vertical="center"/>
    </xf>
    <xf numFmtId="43" fontId="39" fillId="0" borderId="5" xfId="69" applyFont="1" applyBorder="1" applyAlignment="1">
      <alignment horizontal="center" vertical="center"/>
    </xf>
    <xf numFmtId="0" fontId="38" fillId="8" borderId="10" xfId="80" applyFont="1" applyFill="1" applyBorder="1" applyAlignment="1">
      <alignment horizontal="center" vertical="center"/>
    </xf>
    <xf numFmtId="0" fontId="15" fillId="4" borderId="4" xfId="14" applyFont="1" applyFill="1" applyBorder="1" applyAlignment="1">
      <alignment horizontal="center" vertical="center" wrapText="1"/>
    </xf>
    <xf numFmtId="0" fontId="15" fillId="4" borderId="4" xfId="14" applyFont="1" applyFill="1" applyBorder="1" applyAlignment="1">
      <alignment horizontal="center" vertical="center"/>
    </xf>
    <xf numFmtId="43" fontId="15" fillId="4" borderId="4" xfId="69" applyFont="1" applyFill="1" applyBorder="1" applyAlignment="1">
      <alignment horizontal="center" vertical="center" wrapText="1"/>
    </xf>
    <xf numFmtId="0" fontId="15" fillId="0" borderId="0" xfId="10" applyFont="1" applyBorder="1" applyAlignment="1">
      <alignment horizontal="center" vertical="center"/>
    </xf>
    <xf numFmtId="0" fontId="15" fillId="4" borderId="4" xfId="10" applyFont="1" applyFill="1" applyBorder="1" applyAlignment="1">
      <alignment horizontal="center" vertical="center" wrapText="1"/>
    </xf>
    <xf numFmtId="0" fontId="15" fillId="4" borderId="4" xfId="10" applyFont="1" applyFill="1" applyBorder="1" applyAlignment="1">
      <alignment horizontal="center" vertical="center"/>
    </xf>
    <xf numFmtId="0" fontId="78" fillId="7" borderId="4" xfId="0" applyFont="1" applyFill="1" applyBorder="1" applyAlignment="1">
      <alignment horizontal="center" vertical="center"/>
    </xf>
    <xf numFmtId="43" fontId="15" fillId="0" borderId="4" xfId="69" applyFont="1" applyBorder="1" applyAlignment="1">
      <alignment horizontal="center" vertical="center"/>
    </xf>
    <xf numFmtId="0" fontId="15" fillId="7" borderId="0" xfId="11" applyFont="1" applyFill="1" applyBorder="1" applyAlignment="1">
      <alignment horizontal="center" vertical="top" wrapText="1"/>
    </xf>
    <xf numFmtId="0" fontId="39" fillId="0" borderId="0" xfId="10" applyFont="1" applyBorder="1"/>
    <xf numFmtId="43" fontId="14" fillId="7" borderId="0" xfId="69" applyFont="1" applyFill="1" applyBorder="1" applyAlignment="1">
      <alignment horizontal="center" vertical="center" wrapText="1"/>
    </xf>
    <xf numFmtId="164" fontId="14" fillId="7" borderId="4" xfId="10" applyNumberFormat="1" applyFont="1" applyFill="1" applyBorder="1" applyAlignment="1">
      <alignment horizontal="center" vertical="center"/>
    </xf>
    <xf numFmtId="0" fontId="15" fillId="4" borderId="7" xfId="14" applyFont="1" applyFill="1" applyBorder="1" applyAlignment="1">
      <alignment vertical="center" wrapText="1"/>
    </xf>
    <xf numFmtId="0" fontId="16" fillId="0" borderId="12" xfId="0" applyFont="1" applyFill="1" applyBorder="1" applyAlignment="1">
      <alignment vertical="center" wrapText="1"/>
    </xf>
    <xf numFmtId="0" fontId="16" fillId="0" borderId="5" xfId="0" applyFont="1" applyFill="1" applyBorder="1"/>
    <xf numFmtId="0" fontId="16" fillId="0" borderId="6" xfId="0" applyFont="1" applyFill="1" applyBorder="1" applyAlignment="1">
      <alignment vertical="center" wrapText="1"/>
    </xf>
    <xf numFmtId="0" fontId="16" fillId="0" borderId="0" xfId="0" applyFont="1" applyFill="1" applyBorder="1"/>
    <xf numFmtId="164" fontId="14" fillId="7" borderId="4" xfId="69" applyNumberFormat="1" applyFont="1" applyFill="1" applyBorder="1" applyAlignment="1">
      <alignment horizontal="center" vertical="center" wrapText="1"/>
    </xf>
    <xf numFmtId="164" fontId="15" fillId="0" borderId="4" xfId="69" applyNumberFormat="1" applyFont="1" applyFill="1" applyBorder="1" applyAlignment="1">
      <alignment vertical="center"/>
    </xf>
    <xf numFmtId="43" fontId="15" fillId="7" borderId="4" xfId="10" applyNumberFormat="1" applyFont="1" applyFill="1" applyBorder="1" applyAlignment="1">
      <alignment horizontal="center" vertical="center"/>
    </xf>
    <xf numFmtId="43" fontId="33" fillId="7" borderId="4" xfId="69" applyFont="1" applyFill="1" applyBorder="1" applyAlignment="1">
      <alignment horizontal="center" vertical="center"/>
    </xf>
    <xf numFmtId="43" fontId="33" fillId="7" borderId="0" xfId="69" applyFont="1" applyFill="1" applyBorder="1" applyAlignment="1">
      <alignment horizontal="center" vertical="center"/>
    </xf>
    <xf numFmtId="164" fontId="61" fillId="0" borderId="4" xfId="69" applyNumberFormat="1" applyFont="1" applyFill="1" applyBorder="1" applyAlignment="1">
      <alignment vertical="center"/>
    </xf>
    <xf numFmtId="170" fontId="75" fillId="7" borderId="4" xfId="69" applyNumberFormat="1" applyFont="1" applyFill="1" applyBorder="1" applyAlignment="1">
      <alignment vertical="center"/>
    </xf>
    <xf numFmtId="170" fontId="75" fillId="0" borderId="4" xfId="69" applyNumberFormat="1" applyFont="1" applyFill="1" applyBorder="1" applyAlignment="1">
      <alignment vertical="center"/>
    </xf>
    <xf numFmtId="170" fontId="75" fillId="0" borderId="4" xfId="69" applyNumberFormat="1" applyFont="1" applyFill="1" applyBorder="1" applyAlignment="1"/>
    <xf numFmtId="170" fontId="78" fillId="7" borderId="4" xfId="69" applyNumberFormat="1" applyFont="1" applyFill="1" applyBorder="1" applyAlignment="1">
      <alignment horizontal="center" vertical="center" wrapText="1"/>
    </xf>
    <xf numFmtId="170" fontId="78" fillId="0" borderId="4" xfId="69" applyNumberFormat="1" applyFont="1" applyFill="1" applyBorder="1" applyAlignment="1">
      <alignment vertical="center"/>
    </xf>
    <xf numFmtId="170" fontId="78" fillId="0" borderId="4" xfId="69" applyNumberFormat="1" applyFont="1" applyFill="1" applyBorder="1" applyAlignment="1"/>
    <xf numFmtId="170" fontId="14" fillId="5" borderId="4" xfId="69" applyNumberFormat="1" applyFont="1" applyFill="1" applyBorder="1" applyAlignment="1">
      <alignment vertical="center"/>
    </xf>
    <xf numFmtId="9" fontId="14" fillId="0" borderId="0" xfId="70" applyFont="1"/>
    <xf numFmtId="170" fontId="15" fillId="5" borderId="4" xfId="14" applyNumberFormat="1" applyFont="1" applyFill="1" applyBorder="1">
      <alignment vertical="center"/>
    </xf>
    <xf numFmtId="170" fontId="14" fillId="5" borderId="4" xfId="14" applyNumberFormat="1" applyFont="1" applyFill="1" applyBorder="1">
      <alignment vertical="center"/>
    </xf>
    <xf numFmtId="170" fontId="15" fillId="5" borderId="4" xfId="69" applyNumberFormat="1" applyFont="1" applyFill="1" applyBorder="1" applyAlignment="1">
      <alignment vertical="center"/>
    </xf>
    <xf numFmtId="2" fontId="14" fillId="0" borderId="4" xfId="14" applyNumberFormat="1" applyFont="1" applyFill="1" applyBorder="1" applyAlignment="1">
      <alignment vertical="top" wrapText="1"/>
    </xf>
    <xf numFmtId="164" fontId="14" fillId="0" borderId="4" xfId="14" applyNumberFormat="1" applyFont="1" applyFill="1" applyBorder="1" applyAlignment="1">
      <alignment vertical="top" wrapText="1"/>
    </xf>
    <xf numFmtId="10" fontId="14" fillId="0" borderId="4" xfId="70" applyNumberFormat="1" applyFont="1" applyBorder="1"/>
    <xf numFmtId="43" fontId="0" fillId="0" borderId="16" xfId="0" applyNumberFormat="1" applyBorder="1"/>
    <xf numFmtId="43" fontId="15" fillId="4" borderId="5" xfId="69" applyFont="1" applyFill="1" applyBorder="1" applyAlignment="1">
      <alignment horizontal="center" vertical="center" wrapText="1"/>
    </xf>
    <xf numFmtId="43" fontId="15" fillId="4" borderId="4" xfId="69" applyFont="1" applyFill="1" applyBorder="1" applyAlignment="1">
      <alignment horizontal="center" vertical="center" wrapText="1"/>
    </xf>
    <xf numFmtId="164" fontId="33" fillId="7" borderId="0" xfId="10" applyNumberFormat="1" applyFont="1" applyFill="1" applyBorder="1" applyAlignment="1">
      <alignment horizontal="center" vertical="center"/>
    </xf>
    <xf numFmtId="0" fontId="15" fillId="4" borderId="4" xfId="63" applyFont="1" applyFill="1" applyBorder="1" applyAlignment="1">
      <alignment horizontal="center" vertical="center" wrapText="1"/>
    </xf>
    <xf numFmtId="164" fontId="15" fillId="0" borderId="0" xfId="14" applyNumberFormat="1" applyFont="1">
      <alignment vertical="center"/>
    </xf>
    <xf numFmtId="0" fontId="0" fillId="0" borderId="5" xfId="0" applyBorder="1"/>
    <xf numFmtId="43" fontId="0" fillId="0" borderId="55" xfId="0" applyNumberFormat="1" applyBorder="1"/>
    <xf numFmtId="43" fontId="0" fillId="0" borderId="17" xfId="69" applyFont="1" applyBorder="1"/>
    <xf numFmtId="43" fontId="0" fillId="0" borderId="7" xfId="69" applyFont="1" applyBorder="1"/>
    <xf numFmtId="43" fontId="59" fillId="0" borderId="18" xfId="0" applyNumberFormat="1" applyFont="1" applyBorder="1"/>
    <xf numFmtId="43" fontId="59" fillId="0" borderId="6" xfId="0" applyNumberFormat="1" applyFont="1" applyBorder="1"/>
    <xf numFmtId="43" fontId="59" fillId="0" borderId="5" xfId="0" applyNumberFormat="1" applyFont="1" applyBorder="1"/>
    <xf numFmtId="164" fontId="59" fillId="0" borderId="57" xfId="0" applyNumberFormat="1" applyFont="1" applyBorder="1"/>
    <xf numFmtId="164" fontId="69" fillId="0" borderId="4" xfId="69" applyNumberFormat="1" applyFont="1" applyFill="1" applyBorder="1" applyAlignment="1">
      <alignment vertical="center"/>
    </xf>
    <xf numFmtId="43" fontId="0" fillId="0" borderId="58" xfId="69" applyFont="1" applyBorder="1"/>
    <xf numFmtId="164" fontId="14" fillId="0" borderId="0" xfId="70" applyNumberFormat="1" applyFont="1" applyAlignment="1">
      <alignment vertical="center"/>
    </xf>
    <xf numFmtId="4" fontId="25" fillId="0" borderId="0" xfId="10" applyNumberFormat="1"/>
    <xf numFmtId="10" fontId="25" fillId="0" borderId="0" xfId="70" applyNumberFormat="1" applyFont="1"/>
    <xf numFmtId="164" fontId="14" fillId="0" borderId="0" xfId="0" applyNumberFormat="1" applyFont="1"/>
    <xf numFmtId="0" fontId="60" fillId="0" borderId="4" xfId="97" applyFont="1" applyBorder="1" applyAlignment="1">
      <alignment horizontal="center" vertical="top"/>
    </xf>
    <xf numFmtId="0" fontId="8" fillId="0" borderId="0" xfId="97" applyAlignment="1">
      <alignment vertical="top"/>
    </xf>
    <xf numFmtId="0" fontId="8" fillId="0" borderId="4" xfId="97" applyBorder="1" applyAlignment="1">
      <alignment vertical="top"/>
    </xf>
    <xf numFmtId="0" fontId="8" fillId="0" borderId="4" xfId="97" applyBorder="1" applyAlignment="1">
      <alignment horizontal="center" vertical="top"/>
    </xf>
    <xf numFmtId="0" fontId="8" fillId="0" borderId="4" xfId="97" applyBorder="1" applyAlignment="1">
      <alignment vertical="top" wrapText="1"/>
    </xf>
    <xf numFmtId="0" fontId="8" fillId="0" borderId="4" xfId="97" applyBorder="1" applyAlignment="1">
      <alignment horizontal="center" vertical="top" wrapText="1"/>
    </xf>
    <xf numFmtId="0" fontId="60" fillId="0" borderId="4" xfId="97" applyFont="1" applyBorder="1" applyAlignment="1">
      <alignment vertical="top" wrapText="1"/>
    </xf>
    <xf numFmtId="0" fontId="8" fillId="0" borderId="0" xfId="97" applyAlignment="1">
      <alignment horizontal="center" vertical="top"/>
    </xf>
    <xf numFmtId="164" fontId="0" fillId="0" borderId="4" xfId="98" applyFont="1" applyBorder="1" applyAlignment="1">
      <alignment vertical="center"/>
    </xf>
    <xf numFmtId="164" fontId="8" fillId="0" borderId="4" xfId="97" applyNumberFormat="1" applyBorder="1" applyAlignment="1">
      <alignment vertical="center"/>
    </xf>
    <xf numFmtId="0" fontId="83" fillId="0" borderId="0" xfId="14" applyFont="1">
      <alignment vertical="center"/>
    </xf>
    <xf numFmtId="0" fontId="83" fillId="0" borderId="4" xfId="14" applyFont="1" applyBorder="1" applyAlignment="1">
      <alignment horizontal="center" vertical="center"/>
    </xf>
    <xf numFmtId="0" fontId="83" fillId="0" borderId="4" xfId="14" applyFont="1" applyBorder="1" applyAlignment="1">
      <alignment vertical="center" wrapText="1"/>
    </xf>
    <xf numFmtId="164" fontId="83" fillId="0" borderId="4" xfId="69" applyNumberFormat="1" applyFont="1" applyBorder="1" applyAlignment="1">
      <alignment vertical="center"/>
    </xf>
    <xf numFmtId="0" fontId="83" fillId="0" borderId="4" xfId="14" applyFont="1" applyBorder="1">
      <alignment vertical="center"/>
    </xf>
    <xf numFmtId="164" fontId="83" fillId="25" borderId="4" xfId="69" applyNumberFormat="1" applyFont="1" applyFill="1" applyBorder="1" applyAlignment="1">
      <alignment vertical="center"/>
    </xf>
    <xf numFmtId="43" fontId="83" fillId="0" borderId="0" xfId="69" applyFont="1" applyAlignment="1">
      <alignment vertical="center"/>
    </xf>
    <xf numFmtId="0" fontId="61" fillId="0" borderId="4" xfId="97" applyFont="1" applyFill="1" applyBorder="1" applyAlignment="1">
      <alignment vertical="top" wrapText="1"/>
    </xf>
    <xf numFmtId="164" fontId="61" fillId="0" borderId="4" xfId="98" applyFont="1" applyBorder="1" applyAlignment="1">
      <alignment vertical="center"/>
    </xf>
    <xf numFmtId="164" fontId="25" fillId="0" borderId="4" xfId="98" applyFont="1" applyBorder="1" applyAlignment="1">
      <alignment vertical="center"/>
    </xf>
    <xf numFmtId="0" fontId="61" fillId="0" borderId="0" xfId="97" applyFont="1" applyAlignment="1">
      <alignment vertical="center"/>
    </xf>
    <xf numFmtId="0" fontId="69" fillId="0" borderId="4" xfId="97" applyFont="1" applyBorder="1" applyAlignment="1">
      <alignment horizontal="center" vertical="center"/>
    </xf>
    <xf numFmtId="10" fontId="61" fillId="0" borderId="4" xfId="98" applyNumberFormat="1" applyFont="1" applyBorder="1" applyAlignment="1">
      <alignment vertical="center"/>
    </xf>
    <xf numFmtId="187" fontId="14" fillId="0" borderId="0" xfId="14" applyNumberFormat="1" applyFont="1">
      <alignment vertical="center"/>
    </xf>
    <xf numFmtId="180" fontId="87" fillId="0" borderId="4" xfId="0" applyNumberFormat="1" applyFont="1" applyFill="1" applyBorder="1" applyAlignment="1">
      <alignment horizontal="center" vertical="center"/>
    </xf>
    <xf numFmtId="180" fontId="16" fillId="0" borderId="0" xfId="0" applyNumberFormat="1" applyFont="1" applyFill="1" applyAlignment="1">
      <alignment horizontal="center"/>
    </xf>
    <xf numFmtId="180" fontId="16" fillId="0" borderId="4" xfId="0" applyNumberFormat="1" applyFont="1" applyFill="1" applyBorder="1" applyAlignment="1">
      <alignment horizontal="center" vertical="top"/>
    </xf>
    <xf numFmtId="180" fontId="87" fillId="0" borderId="7" xfId="0" applyNumberFormat="1" applyFont="1" applyFill="1" applyBorder="1" applyAlignment="1">
      <alignment horizontal="center" vertical="center"/>
    </xf>
    <xf numFmtId="0" fontId="14" fillId="0" borderId="6" xfId="10" applyFont="1" applyBorder="1"/>
    <xf numFmtId="164" fontId="14" fillId="5" borderId="4" xfId="69" applyNumberFormat="1" applyFont="1" applyFill="1" applyBorder="1" applyAlignment="1">
      <alignment vertical="center"/>
    </xf>
    <xf numFmtId="0" fontId="14" fillId="0" borderId="43" xfId="13" applyFont="1" applyBorder="1" applyAlignment="1">
      <alignment horizontal="center" vertical="center"/>
    </xf>
    <xf numFmtId="0" fontId="14" fillId="0" borderId="4" xfId="13" applyFont="1" applyBorder="1" applyAlignment="1">
      <alignment horizontal="center" vertical="center"/>
    </xf>
    <xf numFmtId="0" fontId="50" fillId="0" borderId="39" xfId="13" applyFont="1" applyFill="1" applyBorder="1" applyAlignment="1">
      <alignment horizontal="left" vertical="center"/>
    </xf>
    <xf numFmtId="9" fontId="14" fillId="0" borderId="0" xfId="10" applyNumberFormat="1" applyFont="1"/>
    <xf numFmtId="43" fontId="15" fillId="4" borderId="4" xfId="69" applyFont="1" applyFill="1" applyBorder="1" applyAlignment="1">
      <alignment horizontal="center" vertical="center" wrapText="1"/>
    </xf>
    <xf numFmtId="188" fontId="14" fillId="0" borderId="0" xfId="14" applyNumberFormat="1" applyFont="1">
      <alignment vertical="center"/>
    </xf>
    <xf numFmtId="189" fontId="14" fillId="0" borderId="0" xfId="14" applyNumberFormat="1" applyFont="1">
      <alignment vertical="center"/>
    </xf>
    <xf numFmtId="43" fontId="14" fillId="0" borderId="0" xfId="69" applyFont="1" applyAlignment="1">
      <alignment horizontal="right" vertical="center"/>
    </xf>
    <xf numFmtId="43" fontId="15" fillId="4" borderId="4" xfId="69" applyFont="1" applyFill="1" applyBorder="1" applyAlignment="1">
      <alignment horizontal="right" vertical="center" wrapText="1"/>
    </xf>
    <xf numFmtId="43" fontId="15" fillId="7" borderId="4" xfId="69" applyFont="1" applyFill="1" applyBorder="1" applyAlignment="1">
      <alignment horizontal="right" vertical="center"/>
    </xf>
    <xf numFmtId="43" fontId="15" fillId="5" borderId="0" xfId="69" applyFont="1" applyFill="1" applyBorder="1" applyAlignment="1">
      <alignment horizontal="right" vertical="center"/>
    </xf>
    <xf numFmtId="164" fontId="75" fillId="7" borderId="0" xfId="0" applyNumberFormat="1" applyFont="1" applyFill="1" applyAlignment="1">
      <alignment vertical="center"/>
    </xf>
    <xf numFmtId="173" fontId="15" fillId="0" borderId="0" xfId="15" applyNumberFormat="1" applyFont="1" applyAlignment="1">
      <alignment horizontal="center" vertical="center"/>
    </xf>
    <xf numFmtId="173" fontId="15" fillId="0" borderId="0" xfId="10" applyNumberFormat="1" applyFont="1" applyBorder="1" applyAlignment="1">
      <alignment horizontal="center" vertical="center"/>
    </xf>
    <xf numFmtId="173" fontId="15" fillId="5" borderId="0" xfId="10" applyNumberFormat="1" applyFont="1" applyFill="1" applyBorder="1" applyAlignment="1">
      <alignment horizontal="center" vertical="center"/>
    </xf>
    <xf numFmtId="0" fontId="6" fillId="0" borderId="0" xfId="99" applyFont="1"/>
    <xf numFmtId="0" fontId="60" fillId="26" borderId="4" xfId="99" applyFont="1" applyFill="1" applyBorder="1" applyAlignment="1">
      <alignment horizontal="center" vertical="center" wrapText="1"/>
    </xf>
    <xf numFmtId="0" fontId="6" fillId="17" borderId="4" xfId="99" applyFont="1" applyFill="1" applyBorder="1"/>
    <xf numFmtId="0" fontId="6" fillId="17" borderId="4" xfId="99" applyFont="1" applyFill="1" applyBorder="1" applyAlignment="1">
      <alignment horizontal="center" vertical="center"/>
    </xf>
    <xf numFmtId="170" fontId="6" fillId="17" borderId="4" xfId="100" applyNumberFormat="1" applyFont="1" applyFill="1" applyBorder="1"/>
    <xf numFmtId="0" fontId="60" fillId="17" borderId="4" xfId="99" applyFont="1" applyFill="1" applyBorder="1"/>
    <xf numFmtId="0" fontId="60" fillId="17" borderId="4" xfId="99" applyFont="1" applyFill="1" applyBorder="1" applyAlignment="1">
      <alignment horizontal="center" vertical="center"/>
    </xf>
    <xf numFmtId="170" fontId="60" fillId="17" borderId="4" xfId="100" applyNumberFormat="1" applyFont="1" applyFill="1" applyBorder="1"/>
    <xf numFmtId="0" fontId="6" fillId="0" borderId="4" xfId="99" applyFont="1" applyFill="1" applyBorder="1"/>
    <xf numFmtId="0" fontId="6" fillId="0" borderId="4" xfId="99" applyFont="1" applyFill="1" applyBorder="1" applyAlignment="1">
      <alignment horizontal="center" vertical="center"/>
    </xf>
    <xf numFmtId="186" fontId="6" fillId="0" borderId="4" xfId="69" applyNumberFormat="1" applyFont="1" applyFill="1" applyBorder="1"/>
    <xf numFmtId="0" fontId="6" fillId="0" borderId="0" xfId="99" applyFont="1" applyFill="1"/>
    <xf numFmtId="186" fontId="61" fillId="0" borderId="4" xfId="69" applyNumberFormat="1" applyFont="1" applyFill="1" applyBorder="1"/>
    <xf numFmtId="0" fontId="60" fillId="27" borderId="4" xfId="99" applyFont="1" applyFill="1" applyBorder="1"/>
    <xf numFmtId="0" fontId="60" fillId="27" borderId="4" xfId="99" applyFont="1" applyFill="1" applyBorder="1" applyAlignment="1">
      <alignment horizontal="center"/>
    </xf>
    <xf numFmtId="186" fontId="60" fillId="27" borderId="4" xfId="69" applyNumberFormat="1" applyFont="1" applyFill="1" applyBorder="1"/>
    <xf numFmtId="186" fontId="6" fillId="0" borderId="0" xfId="99" applyNumberFormat="1" applyFont="1"/>
    <xf numFmtId="0" fontId="6" fillId="0" borderId="4" xfId="99" applyFont="1" applyBorder="1" applyAlignment="1">
      <alignment horizontal="justify"/>
    </xf>
    <xf numFmtId="43" fontId="6" fillId="0" borderId="4" xfId="69" applyFont="1" applyFill="1" applyBorder="1"/>
    <xf numFmtId="186" fontId="6" fillId="0" borderId="4" xfId="101" applyNumberFormat="1" applyFont="1" applyFill="1" applyBorder="1"/>
    <xf numFmtId="10" fontId="67" fillId="0" borderId="0" xfId="70" applyNumberFormat="1" applyFont="1"/>
    <xf numFmtId="0" fontId="60" fillId="0" borderId="4" xfId="99" applyFont="1" applyBorder="1" applyAlignment="1">
      <alignment horizontal="justify"/>
    </xf>
    <xf numFmtId="43" fontId="60" fillId="0" borderId="4" xfId="69" applyFont="1" applyFill="1" applyBorder="1"/>
    <xf numFmtId="186" fontId="60" fillId="0" borderId="4" xfId="99" applyNumberFormat="1" applyFont="1" applyFill="1" applyBorder="1"/>
    <xf numFmtId="164" fontId="6" fillId="0" borderId="0" xfId="99" applyNumberFormat="1" applyFont="1"/>
    <xf numFmtId="0" fontId="60" fillId="28" borderId="4" xfId="99" applyFont="1" applyFill="1" applyBorder="1" applyAlignment="1">
      <alignment horizontal="justify"/>
    </xf>
    <xf numFmtId="168" fontId="60" fillId="28" borderId="5" xfId="99" applyNumberFormat="1" applyFont="1" applyFill="1" applyBorder="1" applyAlignment="1">
      <alignment vertical="center"/>
    </xf>
    <xf numFmtId="186" fontId="60" fillId="28" borderId="3" xfId="99" applyNumberFormat="1" applyFont="1" applyFill="1" applyBorder="1" applyAlignment="1">
      <alignment vertical="center"/>
    </xf>
    <xf numFmtId="10" fontId="6" fillId="0" borderId="0" xfId="102" applyNumberFormat="1" applyFont="1"/>
    <xf numFmtId="186" fontId="6" fillId="0" borderId="0" xfId="102" applyNumberFormat="1" applyFont="1"/>
    <xf numFmtId="168" fontId="6" fillId="0" borderId="0" xfId="99" applyNumberFormat="1" applyFont="1"/>
    <xf numFmtId="170" fontId="6" fillId="0" borderId="0" xfId="100" applyNumberFormat="1" applyFont="1" applyFill="1"/>
    <xf numFmtId="185" fontId="6" fillId="0" borderId="0" xfId="102" applyNumberFormat="1" applyFont="1"/>
    <xf numFmtId="170" fontId="6" fillId="0" borderId="0" xfId="99" applyNumberFormat="1" applyFont="1"/>
    <xf numFmtId="2" fontId="6" fillId="0" borderId="0" xfId="99" applyNumberFormat="1" applyFont="1"/>
    <xf numFmtId="184" fontId="6" fillId="0" borderId="0" xfId="100" applyNumberFormat="1" applyFont="1"/>
    <xf numFmtId="168" fontId="60" fillId="0" borderId="0" xfId="99" applyNumberFormat="1" applyFont="1"/>
    <xf numFmtId="170" fontId="60" fillId="0" borderId="0" xfId="100" applyNumberFormat="1" applyFont="1"/>
    <xf numFmtId="164" fontId="14" fillId="7" borderId="0" xfId="14" applyNumberFormat="1" applyFont="1" applyFill="1" applyBorder="1">
      <alignment vertical="center"/>
    </xf>
    <xf numFmtId="164" fontId="14" fillId="0" borderId="0" xfId="14" applyNumberFormat="1" applyFont="1" applyFill="1" applyBorder="1">
      <alignment vertical="center"/>
    </xf>
    <xf numFmtId="164" fontId="14" fillId="0" borderId="0" xfId="80" applyNumberFormat="1" applyFont="1"/>
    <xf numFmtId="9" fontId="6" fillId="0" borderId="0" xfId="70" applyFont="1"/>
    <xf numFmtId="0" fontId="6" fillId="0" borderId="0" xfId="99" applyFont="1" applyAlignment="1">
      <alignment wrapText="1"/>
    </xf>
    <xf numFmtId="43" fontId="67" fillId="0" borderId="4" xfId="69" applyFont="1" applyBorder="1" applyAlignment="1">
      <alignment wrapText="1"/>
    </xf>
    <xf numFmtId="10" fontId="67" fillId="0" borderId="4" xfId="70" applyNumberFormat="1" applyFont="1" applyBorder="1" applyAlignment="1">
      <alignment wrapText="1"/>
    </xf>
    <xf numFmtId="0" fontId="66" fillId="0" borderId="4" xfId="0" applyFont="1" applyBorder="1" applyAlignment="1">
      <alignment horizontal="center" vertical="center" wrapText="1"/>
    </xf>
    <xf numFmtId="0" fontId="66" fillId="0" borderId="4" xfId="0" applyFont="1" applyBorder="1" applyAlignment="1">
      <alignment wrapText="1"/>
    </xf>
    <xf numFmtId="43" fontId="14" fillId="0" borderId="0" xfId="0" applyNumberFormat="1" applyFont="1"/>
    <xf numFmtId="0" fontId="32" fillId="0" borderId="7" xfId="27" applyFont="1" applyFill="1" applyBorder="1"/>
    <xf numFmtId="0" fontId="32" fillId="0" borderId="7" xfId="10" applyFont="1" applyFill="1" applyBorder="1"/>
    <xf numFmtId="0" fontId="14" fillId="0" borderId="7" xfId="10" applyFont="1" applyFill="1" applyBorder="1" applyAlignment="1">
      <alignment horizontal="center" vertical="center"/>
    </xf>
    <xf numFmtId="0" fontId="15" fillId="4" borderId="4" xfId="14" applyFont="1" applyFill="1" applyBorder="1" applyAlignment="1">
      <alignment horizontal="center" vertical="center" wrapText="1"/>
    </xf>
    <xf numFmtId="43" fontId="15" fillId="4" borderId="4" xfId="69" applyFont="1" applyFill="1" applyBorder="1" applyAlignment="1">
      <alignment horizontal="center" vertical="center" wrapText="1"/>
    </xf>
    <xf numFmtId="43" fontId="15" fillId="4" borderId="6" xfId="69" applyFont="1" applyFill="1" applyBorder="1" applyAlignment="1">
      <alignment horizontal="center" vertical="center" wrapText="1"/>
    </xf>
    <xf numFmtId="0" fontId="15" fillId="0" borderId="0" xfId="10" applyFont="1" applyBorder="1" applyAlignment="1">
      <alignment horizontal="center" vertical="center"/>
    </xf>
    <xf numFmtId="43" fontId="14" fillId="0" borderId="7" xfId="69" applyFont="1" applyBorder="1" applyAlignment="1">
      <alignment horizontal="right" vertical="center"/>
    </xf>
    <xf numFmtId="43" fontId="14" fillId="0" borderId="6" xfId="69" applyFont="1" applyBorder="1" applyAlignment="1">
      <alignment horizontal="right" vertical="center"/>
    </xf>
    <xf numFmtId="43" fontId="15" fillId="4" borderId="4" xfId="69" applyFont="1" applyFill="1" applyBorder="1" applyAlignment="1">
      <alignment horizontal="center" vertical="center"/>
    </xf>
    <xf numFmtId="164" fontId="14" fillId="7" borderId="4" xfId="10" applyNumberFormat="1" applyFont="1" applyFill="1" applyBorder="1" applyAlignment="1">
      <alignment horizontal="center" vertical="center" wrapText="1"/>
    </xf>
    <xf numFmtId="43" fontId="15" fillId="0" borderId="4" xfId="69" applyFont="1" applyBorder="1" applyAlignment="1">
      <alignment horizontal="left" vertical="center"/>
    </xf>
    <xf numFmtId="43" fontId="15" fillId="0" borderId="4" xfId="69" applyFont="1" applyFill="1" applyBorder="1" applyAlignment="1" applyProtection="1">
      <alignment horizontal="left" vertical="center" wrapText="1"/>
    </xf>
    <xf numFmtId="43" fontId="14" fillId="0" borderId="7" xfId="69" applyFont="1" applyFill="1" applyBorder="1" applyAlignment="1" applyProtection="1">
      <alignment horizontal="left" vertical="center" wrapText="1"/>
    </xf>
    <xf numFmtId="43" fontId="14" fillId="0" borderId="6" xfId="69" applyFont="1" applyFill="1" applyBorder="1" applyAlignment="1" applyProtection="1">
      <alignment horizontal="left" vertical="center" wrapText="1"/>
    </xf>
    <xf numFmtId="43" fontId="15" fillId="0" borderId="6" xfId="69" applyFont="1" applyFill="1" applyBorder="1" applyAlignment="1" applyProtection="1">
      <alignment horizontal="left" vertical="center" wrapText="1"/>
    </xf>
    <xf numFmtId="43" fontId="14" fillId="0" borderId="5" xfId="69" applyFont="1" applyFill="1" applyBorder="1" applyAlignment="1" applyProtection="1">
      <alignment horizontal="center" vertical="center" wrapText="1"/>
    </xf>
    <xf numFmtId="43" fontId="14" fillId="0" borderId="7" xfId="69" applyFont="1" applyFill="1" applyBorder="1" applyAlignment="1" applyProtection="1">
      <alignment horizontal="right" vertical="center" wrapText="1"/>
    </xf>
    <xf numFmtId="43" fontId="14" fillId="7" borderId="4" xfId="69" applyFont="1" applyFill="1" applyBorder="1" applyAlignment="1">
      <alignment vertical="center" wrapText="1"/>
    </xf>
    <xf numFmtId="43" fontId="14" fillId="7" borderId="7" xfId="69" applyFont="1" applyFill="1" applyBorder="1" applyAlignment="1">
      <alignment horizontal="right" vertical="center" wrapText="1"/>
    </xf>
    <xf numFmtId="43" fontId="14" fillId="0" borderId="0" xfId="69" applyFont="1" applyFill="1" applyBorder="1" applyAlignment="1" applyProtection="1">
      <alignment horizontal="center" vertical="center" wrapText="1"/>
    </xf>
    <xf numFmtId="0" fontId="16" fillId="0" borderId="0" xfId="10" applyFont="1"/>
    <xf numFmtId="43" fontId="16" fillId="0" borderId="4" xfId="10" applyNumberFormat="1" applyFont="1" applyBorder="1"/>
    <xf numFmtId="10" fontId="16" fillId="0" borderId="4" xfId="10" applyNumberFormat="1" applyFont="1" applyFill="1" applyBorder="1"/>
    <xf numFmtId="10" fontId="16" fillId="0" borderId="4" xfId="48" applyNumberFormat="1" applyFont="1" applyFill="1" applyBorder="1"/>
    <xf numFmtId="10" fontId="16" fillId="0" borderId="4" xfId="48" applyNumberFormat="1" applyFont="1" applyBorder="1"/>
    <xf numFmtId="10" fontId="16" fillId="0" borderId="7" xfId="48" applyNumberFormat="1" applyFont="1" applyBorder="1"/>
    <xf numFmtId="0" fontId="16" fillId="0" borderId="0" xfId="10" applyFont="1" applyBorder="1"/>
    <xf numFmtId="43" fontId="16" fillId="0" borderId="0" xfId="10" applyNumberFormat="1" applyFont="1" applyBorder="1"/>
    <xf numFmtId="4" fontId="14" fillId="0" borderId="0" xfId="10" applyNumberFormat="1" applyFont="1"/>
    <xf numFmtId="4" fontId="15" fillId="0" borderId="0" xfId="10" applyNumberFormat="1" applyFont="1"/>
    <xf numFmtId="10" fontId="14" fillId="0" borderId="0" xfId="10" applyNumberFormat="1" applyFont="1" applyBorder="1"/>
    <xf numFmtId="10" fontId="14" fillId="0" borderId="0" xfId="10" applyNumberFormat="1" applyFont="1" applyBorder="1" applyAlignment="1">
      <alignment horizontal="centerContinuous"/>
    </xf>
    <xf numFmtId="10" fontId="15" fillId="0" borderId="0" xfId="10" applyNumberFormat="1" applyFont="1" applyBorder="1" applyAlignment="1">
      <alignment horizontal="center"/>
    </xf>
    <xf numFmtId="10" fontId="14" fillId="5" borderId="0" xfId="70" applyNumberFormat="1" applyFont="1" applyFill="1" applyBorder="1" applyAlignment="1">
      <alignment vertical="center"/>
    </xf>
    <xf numFmtId="43" fontId="15" fillId="4" borderId="4" xfId="69" applyFont="1" applyFill="1" applyBorder="1" applyAlignment="1">
      <alignment horizontal="center" vertical="center" wrapText="1"/>
    </xf>
    <xf numFmtId="43" fontId="15" fillId="4" borderId="6" xfId="69" applyFont="1" applyFill="1" applyBorder="1" applyAlignment="1">
      <alignment horizontal="center" vertical="center" wrapText="1"/>
    </xf>
    <xf numFmtId="43" fontId="15" fillId="4" borderId="12" xfId="69" applyFont="1" applyFill="1" applyBorder="1" applyAlignment="1">
      <alignment horizontal="center" vertical="center" wrapText="1"/>
    </xf>
    <xf numFmtId="0" fontId="15" fillId="4" borderId="6" xfId="14" applyFont="1" applyFill="1" applyBorder="1" applyAlignment="1">
      <alignment horizontal="center" vertical="center" wrapText="1"/>
    </xf>
    <xf numFmtId="0" fontId="15" fillId="4" borderId="6" xfId="14" applyFont="1" applyFill="1" applyBorder="1" applyAlignment="1">
      <alignment horizontal="left" vertical="center" wrapText="1"/>
    </xf>
    <xf numFmtId="43" fontId="15" fillId="0" borderId="4" xfId="69" applyFont="1" applyBorder="1" applyAlignment="1">
      <alignment horizontal="center" vertical="center"/>
    </xf>
    <xf numFmtId="43" fontId="15" fillId="4" borderId="9" xfId="69" applyFont="1" applyFill="1" applyBorder="1" applyAlignment="1">
      <alignment horizontal="center" vertical="center" wrapText="1"/>
    </xf>
    <xf numFmtId="43" fontId="15" fillId="4" borderId="6" xfId="69" applyFont="1" applyFill="1" applyBorder="1" applyAlignment="1">
      <alignment horizontal="center" vertical="center" wrapText="1"/>
    </xf>
    <xf numFmtId="0" fontId="15" fillId="0" borderId="0" xfId="0" applyFont="1" applyBorder="1" applyAlignment="1">
      <alignment horizontal="center" vertical="center"/>
    </xf>
    <xf numFmtId="0" fontId="15" fillId="7" borderId="0" xfId="10" applyFont="1" applyFill="1" applyBorder="1" applyAlignment="1">
      <alignment horizontal="center" vertical="center"/>
    </xf>
    <xf numFmtId="43" fontId="15" fillId="0" borderId="4" xfId="69" applyFont="1" applyBorder="1" applyAlignment="1">
      <alignment horizontal="center" vertical="center"/>
    </xf>
    <xf numFmtId="170" fontId="15" fillId="0" borderId="4" xfId="69" applyNumberFormat="1" applyFont="1" applyFill="1" applyBorder="1" applyAlignment="1">
      <alignment horizontal="center" vertical="center" wrapText="1"/>
    </xf>
    <xf numFmtId="170" fontId="15" fillId="0" borderId="4" xfId="69" applyNumberFormat="1" applyFont="1" applyFill="1" applyBorder="1" applyAlignment="1" applyProtection="1">
      <alignment horizontal="center" vertical="center" wrapText="1"/>
    </xf>
    <xf numFmtId="9" fontId="14" fillId="0" borderId="0" xfId="70" applyFont="1" applyBorder="1"/>
    <xf numFmtId="0" fontId="15" fillId="0" borderId="0" xfId="80" applyFont="1"/>
    <xf numFmtId="43" fontId="15" fillId="0" borderId="0" xfId="80" applyNumberFormat="1" applyFont="1"/>
    <xf numFmtId="0" fontId="14" fillId="0" borderId="0" xfId="10" applyFont="1" applyFill="1" applyBorder="1" applyAlignment="1">
      <alignment horizontal="center"/>
    </xf>
    <xf numFmtId="0" fontId="15" fillId="0" borderId="0" xfId="10" applyFont="1" applyFill="1" applyBorder="1" applyAlignment="1">
      <alignment horizontal="centerContinuous"/>
    </xf>
    <xf numFmtId="43" fontId="14" fillId="0" borderId="0" xfId="69" applyFont="1" applyFill="1" applyBorder="1" applyAlignment="1">
      <alignment horizontal="left"/>
    </xf>
    <xf numFmtId="0" fontId="14" fillId="0" borderId="4" xfId="10" applyFont="1" applyFill="1" applyBorder="1" applyAlignment="1" applyProtection="1">
      <alignment horizontal="left"/>
    </xf>
    <xf numFmtId="43" fontId="14" fillId="0" borderId="4" xfId="69" applyFont="1" applyFill="1" applyBorder="1" applyAlignment="1" applyProtection="1">
      <alignment horizontal="center"/>
    </xf>
    <xf numFmtId="0" fontId="14" fillId="0" borderId="0" xfId="14" applyFont="1" applyFill="1" applyAlignment="1">
      <alignment vertical="center" wrapText="1"/>
    </xf>
    <xf numFmtId="0" fontId="14" fillId="0" borderId="0" xfId="14" applyFont="1" applyFill="1" applyAlignment="1">
      <alignment horizontal="center" vertical="center"/>
    </xf>
    <xf numFmtId="43" fontId="14" fillId="0" borderId="0" xfId="14" applyNumberFormat="1" applyFont="1" applyFill="1">
      <alignment vertical="center"/>
    </xf>
    <xf numFmtId="9" fontId="15" fillId="0" borderId="0" xfId="70" applyFont="1" applyAlignment="1">
      <alignment horizontal="left" vertical="top"/>
    </xf>
    <xf numFmtId="0" fontId="59" fillId="0" borderId="0" xfId="0" applyFont="1"/>
    <xf numFmtId="0" fontId="15" fillId="4" borderId="12" xfId="14" applyFont="1" applyFill="1" applyBorder="1" applyAlignment="1">
      <alignment horizontal="left" vertical="center" wrapText="1"/>
    </xf>
    <xf numFmtId="43" fontId="15" fillId="4" borderId="18" xfId="69" applyFont="1" applyFill="1" applyBorder="1" applyAlignment="1">
      <alignment horizontal="center" vertical="center" wrapText="1"/>
    </xf>
    <xf numFmtId="43" fontId="0" fillId="0" borderId="5" xfId="0" applyNumberFormat="1" applyBorder="1"/>
    <xf numFmtId="43" fontId="0" fillId="0" borderId="3" xfId="0" applyNumberFormat="1" applyBorder="1"/>
    <xf numFmtId="43" fontId="75" fillId="7" borderId="0" xfId="0" applyNumberFormat="1" applyFont="1" applyFill="1" applyAlignment="1">
      <alignment vertical="center"/>
    </xf>
    <xf numFmtId="43" fontId="14" fillId="0" borderId="0" xfId="70" applyNumberFormat="1" applyFont="1" applyBorder="1"/>
    <xf numFmtId="43" fontId="43" fillId="0" borderId="0" xfId="69" applyFont="1" applyAlignment="1">
      <alignment vertical="center"/>
    </xf>
    <xf numFmtId="43" fontId="15" fillId="4" borderId="4" xfId="69" applyFont="1" applyFill="1" applyBorder="1" applyAlignment="1">
      <alignment horizontal="center" vertical="center" wrapText="1"/>
    </xf>
    <xf numFmtId="0" fontId="15" fillId="0" borderId="0" xfId="14" applyFont="1" applyAlignment="1">
      <alignment horizontal="center" vertical="center"/>
    </xf>
    <xf numFmtId="0" fontId="15" fillId="4" borderId="4" xfId="10" applyFont="1" applyFill="1" applyBorder="1" applyAlignment="1">
      <alignment horizontal="center" vertical="center" wrapText="1"/>
    </xf>
    <xf numFmtId="43" fontId="14" fillId="5" borderId="7" xfId="69" applyFont="1" applyFill="1" applyBorder="1" applyAlignment="1">
      <alignment horizontal="center" vertical="center"/>
    </xf>
    <xf numFmtId="43" fontId="14" fillId="5" borderId="9" xfId="69" applyFont="1" applyFill="1" applyBorder="1" applyAlignment="1">
      <alignment horizontal="center" vertical="center"/>
    </xf>
    <xf numFmtId="43" fontId="14" fillId="5" borderId="6" xfId="69" applyFont="1" applyFill="1" applyBorder="1" applyAlignment="1">
      <alignment horizontal="center" vertical="center"/>
    </xf>
    <xf numFmtId="0" fontId="44" fillId="10" borderId="6" xfId="10" applyFont="1" applyFill="1" applyBorder="1" applyAlignment="1">
      <alignment horizontal="center" vertical="center"/>
    </xf>
    <xf numFmtId="9" fontId="0" fillId="0" borderId="0" xfId="70" applyFont="1"/>
    <xf numFmtId="43" fontId="15" fillId="4" borderId="4" xfId="96" applyFont="1" applyFill="1" applyBorder="1" applyAlignment="1">
      <alignment horizontal="center" vertical="center" wrapText="1"/>
    </xf>
    <xf numFmtId="0" fontId="25" fillId="0" borderId="0" xfId="0" applyFont="1" applyAlignment="1">
      <alignment horizontal="left"/>
    </xf>
    <xf numFmtId="0" fontId="59" fillId="0" borderId="0" xfId="0" applyFont="1" applyAlignment="1">
      <alignment horizontal="left"/>
    </xf>
    <xf numFmtId="0" fontId="15" fillId="4" borderId="4" xfId="14" applyFont="1" applyFill="1" applyBorder="1" applyAlignment="1">
      <alignment horizontal="left" vertical="center" wrapText="1"/>
    </xf>
    <xf numFmtId="0" fontId="90" fillId="0" borderId="0" xfId="0" applyFont="1" applyAlignment="1">
      <alignment horizontal="left"/>
    </xf>
    <xf numFmtId="9" fontId="0" fillId="0" borderId="4" xfId="70" applyFont="1" applyBorder="1"/>
    <xf numFmtId="9" fontId="59" fillId="0" borderId="4" xfId="70" applyFont="1" applyBorder="1"/>
    <xf numFmtId="43" fontId="59" fillId="0" borderId="0" xfId="0" applyNumberFormat="1" applyFont="1"/>
    <xf numFmtId="43" fontId="15" fillId="4" borderId="11" xfId="96" applyFont="1" applyFill="1" applyBorder="1" applyAlignment="1">
      <alignment horizontal="center" vertical="center" wrapText="1"/>
    </xf>
    <xf numFmtId="10" fontId="0" fillId="0" borderId="0" xfId="70" applyNumberFormat="1" applyFont="1"/>
    <xf numFmtId="0" fontId="5" fillId="0" borderId="0" xfId="103"/>
    <xf numFmtId="0" fontId="5" fillId="0" borderId="0" xfId="103" applyFont="1"/>
    <xf numFmtId="164" fontId="0" fillId="0" borderId="0" xfId="104" applyFont="1"/>
    <xf numFmtId="164" fontId="88" fillId="24" borderId="29" xfId="104" applyFont="1" applyFill="1" applyBorder="1" applyAlignment="1">
      <alignment horizontal="center" vertical="center"/>
    </xf>
    <xf numFmtId="164" fontId="88" fillId="24" borderId="20" xfId="104" applyFont="1" applyFill="1" applyBorder="1" applyAlignment="1">
      <alignment horizontal="center" vertical="center"/>
    </xf>
    <xf numFmtId="0" fontId="88" fillId="24" borderId="29" xfId="103" applyFont="1" applyFill="1" applyBorder="1" applyAlignment="1">
      <alignment horizontal="center" vertical="center"/>
    </xf>
    <xf numFmtId="0" fontId="88" fillId="24" borderId="21" xfId="103" applyFont="1" applyFill="1" applyBorder="1" applyAlignment="1">
      <alignment horizontal="center" vertical="center"/>
    </xf>
    <xf numFmtId="164" fontId="0" fillId="0" borderId="4" xfId="104" applyFont="1" applyBorder="1"/>
    <xf numFmtId="0" fontId="5" fillId="0" borderId="16" xfId="103" applyBorder="1"/>
    <xf numFmtId="0" fontId="5" fillId="0" borderId="4" xfId="103" applyBorder="1"/>
    <xf numFmtId="0" fontId="5" fillId="0" borderId="22" xfId="103" applyFont="1" applyBorder="1"/>
    <xf numFmtId="164" fontId="61" fillId="0" borderId="4" xfId="104" applyFont="1" applyFill="1" applyBorder="1" applyAlignment="1" applyProtection="1">
      <alignment horizontal="center" vertical="center" wrapText="1"/>
    </xf>
    <xf numFmtId="10" fontId="0" fillId="0" borderId="16" xfId="105" applyNumberFormat="1" applyFont="1" applyBorder="1"/>
    <xf numFmtId="10" fontId="0" fillId="0" borderId="4" xfId="105" applyNumberFormat="1" applyFont="1" applyBorder="1"/>
    <xf numFmtId="10" fontId="0" fillId="0" borderId="22" xfId="105" applyNumberFormat="1" applyFont="1" applyBorder="1"/>
    <xf numFmtId="10" fontId="5" fillId="0" borderId="0" xfId="103" applyNumberFormat="1"/>
    <xf numFmtId="164" fontId="60" fillId="0" borderId="4" xfId="104" applyFont="1" applyBorder="1"/>
    <xf numFmtId="164" fontId="60" fillId="0" borderId="0" xfId="104" applyFont="1" applyFill="1" applyBorder="1"/>
    <xf numFmtId="43" fontId="5" fillId="0" borderId="0" xfId="103" applyNumberFormat="1"/>
    <xf numFmtId="10" fontId="0" fillId="0" borderId="24" xfId="105" applyNumberFormat="1" applyFont="1" applyBorder="1"/>
    <xf numFmtId="0" fontId="89" fillId="0" borderId="0" xfId="103" applyFont="1"/>
    <xf numFmtId="164" fontId="25" fillId="0" borderId="4" xfId="104" applyFont="1" applyBorder="1"/>
    <xf numFmtId="185" fontId="0" fillId="30" borderId="4" xfId="0" applyNumberFormat="1" applyFill="1" applyBorder="1"/>
    <xf numFmtId="185" fontId="0" fillId="30" borderId="4" xfId="70" applyNumberFormat="1" applyFont="1" applyFill="1" applyBorder="1"/>
    <xf numFmtId="0" fontId="0" fillId="30" borderId="4" xfId="0" applyFill="1" applyBorder="1"/>
    <xf numFmtId="9" fontId="0" fillId="30" borderId="4" xfId="0" applyNumberFormat="1" applyFill="1" applyBorder="1"/>
    <xf numFmtId="10" fontId="0" fillId="30" borderId="4" xfId="0" applyNumberFormat="1" applyFill="1" applyBorder="1"/>
    <xf numFmtId="10" fontId="59" fillId="30" borderId="4" xfId="70" applyNumberFormat="1" applyFont="1" applyFill="1" applyBorder="1"/>
    <xf numFmtId="9" fontId="5" fillId="0" borderId="0" xfId="70" applyFont="1"/>
    <xf numFmtId="164" fontId="25" fillId="0" borderId="0" xfId="104" applyFont="1" applyAlignment="1">
      <alignment horizontal="center"/>
    </xf>
    <xf numFmtId="43" fontId="14" fillId="7" borderId="4" xfId="96" applyFont="1" applyFill="1" applyBorder="1" applyAlignment="1">
      <alignment horizontal="center" vertical="center"/>
    </xf>
    <xf numFmtId="43" fontId="15" fillId="0" borderId="4" xfId="96" applyFont="1" applyBorder="1" applyAlignment="1">
      <alignment vertical="center"/>
    </xf>
    <xf numFmtId="0" fontId="79" fillId="18" borderId="0" xfId="14" applyFont="1" applyFill="1">
      <alignment vertical="center"/>
    </xf>
    <xf numFmtId="10" fontId="5" fillId="0" borderId="0" xfId="70" applyNumberFormat="1" applyFont="1"/>
    <xf numFmtId="0" fontId="88" fillId="24" borderId="4" xfId="103" applyFont="1" applyFill="1" applyBorder="1" applyAlignment="1">
      <alignment vertical="center"/>
    </xf>
    <xf numFmtId="164" fontId="88" fillId="24" borderId="4" xfId="104" applyFont="1" applyFill="1" applyBorder="1" applyAlignment="1">
      <alignment horizontal="center" vertical="center"/>
    </xf>
    <xf numFmtId="164" fontId="88" fillId="24" borderId="4" xfId="104" applyFont="1" applyFill="1" applyBorder="1" applyAlignment="1">
      <alignment horizontal="center" vertical="center" wrapText="1"/>
    </xf>
    <xf numFmtId="0" fontId="69" fillId="0" borderId="4" xfId="14" applyFont="1" applyFill="1" applyBorder="1">
      <alignment vertical="center"/>
    </xf>
    <xf numFmtId="0" fontId="61" fillId="0" borderId="4" xfId="14" applyFont="1" applyFill="1" applyBorder="1">
      <alignment vertical="center"/>
    </xf>
    <xf numFmtId="164" fontId="69" fillId="0" borderId="4" xfId="104" applyFont="1" applyFill="1" applyBorder="1" applyAlignment="1">
      <alignment vertical="center"/>
    </xf>
    <xf numFmtId="164" fontId="61" fillId="0" borderId="4" xfId="104" applyFont="1" applyFill="1" applyBorder="1" applyAlignment="1">
      <alignment vertical="center"/>
    </xf>
    <xf numFmtId="164" fontId="0" fillId="30" borderId="4" xfId="104" applyFont="1" applyFill="1" applyBorder="1"/>
    <xf numFmtId="10" fontId="60" fillId="30" borderId="4" xfId="104" applyNumberFormat="1" applyFont="1" applyFill="1" applyBorder="1"/>
    <xf numFmtId="164" fontId="51" fillId="30" borderId="4" xfId="104" applyFont="1" applyFill="1" applyBorder="1"/>
    <xf numFmtId="10" fontId="51" fillId="30" borderId="4" xfId="70" applyNumberFormat="1" applyFont="1" applyFill="1" applyBorder="1"/>
    <xf numFmtId="10" fontId="51" fillId="30" borderId="4" xfId="104" applyNumberFormat="1" applyFont="1" applyFill="1" applyBorder="1"/>
    <xf numFmtId="164" fontId="60" fillId="30" borderId="4" xfId="104" applyFont="1" applyFill="1" applyBorder="1"/>
    <xf numFmtId="43" fontId="6" fillId="0" borderId="0" xfId="99" applyNumberFormat="1" applyFont="1"/>
    <xf numFmtId="43" fontId="67" fillId="0" borderId="0" xfId="0" applyNumberFormat="1" applyFont="1"/>
    <xf numFmtId="43" fontId="59" fillId="0" borderId="5" xfId="69" applyFont="1" applyBorder="1"/>
    <xf numFmtId="43" fontId="59" fillId="0" borderId="57" xfId="69" applyFont="1" applyBorder="1"/>
    <xf numFmtId="43" fontId="15" fillId="4" borderId="0" xfId="69" applyFont="1" applyFill="1" applyBorder="1" applyAlignment="1">
      <alignment horizontal="center" vertical="center" wrapText="1"/>
    </xf>
    <xf numFmtId="43" fontId="15" fillId="7" borderId="0" xfId="10" applyNumberFormat="1" applyFont="1" applyFill="1" applyBorder="1" applyAlignment="1">
      <alignment horizontal="center" vertical="center"/>
    </xf>
    <xf numFmtId="172" fontId="14" fillId="0" borderId="0" xfId="14" applyNumberFormat="1" applyFont="1">
      <alignment vertical="center"/>
    </xf>
    <xf numFmtId="43" fontId="15" fillId="0" borderId="0" xfId="14" applyNumberFormat="1" applyFont="1">
      <alignment vertical="center"/>
    </xf>
    <xf numFmtId="0" fontId="25" fillId="0" borderId="4" xfId="0" applyFont="1" applyBorder="1" applyAlignment="1">
      <alignment vertical="top"/>
    </xf>
    <xf numFmtId="0" fontId="59" fillId="0" borderId="4" xfId="0" applyFont="1" applyBorder="1" applyAlignment="1">
      <alignment horizontal="center" vertical="top"/>
    </xf>
    <xf numFmtId="10" fontId="25" fillId="29" borderId="4" xfId="0" applyNumberFormat="1" applyFont="1" applyFill="1" applyBorder="1" applyAlignment="1">
      <alignment vertical="top"/>
    </xf>
    <xf numFmtId="2" fontId="14" fillId="0" borderId="4" xfId="14" applyNumberFormat="1" applyFont="1" applyBorder="1">
      <alignment vertical="center"/>
    </xf>
    <xf numFmtId="0" fontId="48" fillId="0" borderId="4" xfId="14" applyFont="1" applyBorder="1">
      <alignment vertical="center"/>
    </xf>
    <xf numFmtId="2" fontId="15" fillId="0" borderId="4" xfId="14" applyNumberFormat="1" applyFont="1" applyBorder="1">
      <alignment vertical="center"/>
    </xf>
    <xf numFmtId="190" fontId="25" fillId="0" borderId="4" xfId="0" applyNumberFormat="1" applyFont="1" applyBorder="1" applyAlignment="1">
      <alignment vertical="top"/>
    </xf>
    <xf numFmtId="190" fontId="25" fillId="0" borderId="4" xfId="0" applyNumberFormat="1" applyFont="1" applyFill="1" applyBorder="1" applyAlignment="1">
      <alignment vertical="top"/>
    </xf>
    <xf numFmtId="43" fontId="59" fillId="27" borderId="4" xfId="96" applyFont="1" applyFill="1" applyBorder="1" applyAlignment="1">
      <alignment vertical="top"/>
    </xf>
    <xf numFmtId="190" fontId="59" fillId="27" borderId="4" xfId="96" applyNumberFormat="1" applyFont="1" applyFill="1" applyBorder="1" applyAlignment="1">
      <alignment vertical="top"/>
    </xf>
    <xf numFmtId="43" fontId="25" fillId="0" borderId="4" xfId="96" applyFont="1" applyBorder="1" applyAlignment="1">
      <alignment vertical="top"/>
    </xf>
    <xf numFmtId="43" fontId="25" fillId="0" borderId="4" xfId="0" applyNumberFormat="1" applyFont="1" applyBorder="1" applyAlignment="1">
      <alignment vertical="top"/>
    </xf>
    <xf numFmtId="43" fontId="0" fillId="0" borderId="4" xfId="69" applyFont="1" applyBorder="1" applyAlignment="1">
      <alignment horizontal="center"/>
    </xf>
    <xf numFmtId="191" fontId="83" fillId="0" borderId="0" xfId="70" applyNumberFormat="1" applyFont="1" applyAlignment="1">
      <alignment vertical="center"/>
    </xf>
    <xf numFmtId="0" fontId="83" fillId="0" borderId="0" xfId="14" applyFont="1" applyAlignment="1">
      <alignment horizontal="center" vertical="center"/>
    </xf>
    <xf numFmtId="0" fontId="82" fillId="0" borderId="0" xfId="10" applyFont="1" applyBorder="1" applyAlignment="1">
      <alignment horizontal="center" vertical="top"/>
    </xf>
    <xf numFmtId="43" fontId="83" fillId="0" borderId="0" xfId="14" applyNumberFormat="1" applyFont="1">
      <alignment vertical="center"/>
    </xf>
    <xf numFmtId="0" fontId="38" fillId="0" borderId="4" xfId="88" applyNumberFormat="1" applyFont="1" applyBorder="1" applyAlignment="1">
      <alignment horizontal="left"/>
    </xf>
    <xf numFmtId="191" fontId="14" fillId="0" borderId="0" xfId="14" applyNumberFormat="1" applyFont="1">
      <alignment vertical="center"/>
    </xf>
    <xf numFmtId="43" fontId="33" fillId="7" borderId="0" xfId="10" applyNumberFormat="1" applyFont="1" applyFill="1" applyBorder="1" applyAlignment="1">
      <alignment horizontal="center" vertical="center"/>
    </xf>
    <xf numFmtId="43" fontId="14" fillId="7" borderId="0" xfId="10" applyNumberFormat="1" applyFont="1" applyFill="1" applyBorder="1" applyAlignment="1">
      <alignment horizontal="center" vertical="center"/>
    </xf>
    <xf numFmtId="43" fontId="14" fillId="0" borderId="4" xfId="14" applyNumberFormat="1" applyFont="1" applyFill="1" applyBorder="1" applyAlignment="1">
      <alignment horizontal="center" vertical="center"/>
    </xf>
    <xf numFmtId="10" fontId="14" fillId="0" borderId="0" xfId="10" applyNumberFormat="1" applyFont="1"/>
    <xf numFmtId="10" fontId="14" fillId="0" borderId="0" xfId="69" applyNumberFormat="1" applyFont="1"/>
    <xf numFmtId="10" fontId="39" fillId="0" borderId="4" xfId="70" applyNumberFormat="1" applyFont="1" applyFill="1" applyBorder="1"/>
    <xf numFmtId="185" fontId="14" fillId="0" borderId="0" xfId="70" applyNumberFormat="1" applyFont="1"/>
    <xf numFmtId="185" fontId="14" fillId="0" borderId="0" xfId="70" applyNumberFormat="1" applyFont="1" applyAlignment="1">
      <alignment vertical="center"/>
    </xf>
    <xf numFmtId="43" fontId="58" fillId="0" borderId="0" xfId="69" applyFont="1" applyBorder="1" applyAlignment="1">
      <alignment horizontal="left"/>
    </xf>
    <xf numFmtId="43" fontId="43" fillId="0" borderId="0" xfId="69" applyFont="1" applyBorder="1" applyAlignment="1">
      <alignment horizontal="left"/>
    </xf>
    <xf numFmtId="0" fontId="25" fillId="0" borderId="0" xfId="88"/>
    <xf numFmtId="0" fontId="25" fillId="0" borderId="0" xfId="88" applyFont="1"/>
    <xf numFmtId="176" fontId="0" fillId="0" borderId="0" xfId="75" applyNumberFormat="1" applyFont="1"/>
    <xf numFmtId="9" fontId="25" fillId="0" borderId="0" xfId="88" applyNumberFormat="1"/>
    <xf numFmtId="190" fontId="25" fillId="0" borderId="0" xfId="88" applyNumberFormat="1"/>
    <xf numFmtId="0" fontId="25" fillId="27" borderId="0" xfId="88" applyFont="1" applyFill="1"/>
    <xf numFmtId="190" fontId="25" fillId="27" borderId="0" xfId="88" applyNumberFormat="1" applyFill="1"/>
    <xf numFmtId="43" fontId="0" fillId="0" borderId="0" xfId="96" applyFont="1"/>
    <xf numFmtId="10" fontId="25" fillId="0" borderId="0" xfId="88" applyNumberFormat="1"/>
    <xf numFmtId="43" fontId="14" fillId="0" borderId="0" xfId="10" applyNumberFormat="1" applyFont="1" applyFill="1"/>
    <xf numFmtId="164" fontId="79" fillId="0" borderId="0" xfId="10" applyNumberFormat="1" applyFont="1"/>
    <xf numFmtId="43" fontId="79" fillId="0" borderId="0" xfId="10" applyNumberFormat="1" applyFont="1"/>
    <xf numFmtId="43" fontId="91" fillId="0" borderId="0" xfId="69" applyFont="1" applyBorder="1" applyAlignment="1">
      <alignment horizontal="left"/>
    </xf>
    <xf numFmtId="9" fontId="14" fillId="0" borderId="0" xfId="70" applyFont="1" applyBorder="1" applyAlignment="1">
      <alignment vertical="center"/>
    </xf>
    <xf numFmtId="9" fontId="55" fillId="0" borderId="4" xfId="70" applyFont="1" applyBorder="1" applyAlignment="1">
      <alignment horizontal="right" vertical="center"/>
    </xf>
    <xf numFmtId="0" fontId="44" fillId="10" borderId="10" xfId="10" applyFont="1" applyFill="1" applyBorder="1" applyAlignment="1">
      <alignment horizontal="center" vertical="center"/>
    </xf>
    <xf numFmtId="10" fontId="24" fillId="0" borderId="4" xfId="0" applyNumberFormat="1" applyFont="1" applyBorder="1" applyAlignment="1">
      <alignment horizontal="left"/>
    </xf>
    <xf numFmtId="10" fontId="24" fillId="0" borderId="4" xfId="0" applyNumberFormat="1" applyFont="1" applyBorder="1" applyAlignment="1">
      <alignment horizontal="center"/>
    </xf>
    <xf numFmtId="10" fontId="24" fillId="0" borderId="4" xfId="0" applyNumberFormat="1" applyFont="1" applyBorder="1" applyAlignment="1">
      <alignment horizontal="left" vertical="center" wrapText="1"/>
    </xf>
    <xf numFmtId="10" fontId="24" fillId="0" borderId="6" xfId="0" applyNumberFormat="1" applyFont="1" applyBorder="1" applyAlignment="1">
      <alignment horizontal="left"/>
    </xf>
    <xf numFmtId="0" fontId="60" fillId="0" borderId="0" xfId="99" applyFont="1" applyFill="1" applyBorder="1" applyAlignment="1">
      <alignment horizontal="center" vertical="center" wrapText="1"/>
    </xf>
    <xf numFmtId="43" fontId="67" fillId="0" borderId="0" xfId="70" applyNumberFormat="1" applyFont="1"/>
    <xf numFmtId="43" fontId="43" fillId="0" borderId="0" xfId="69" applyFont="1" applyBorder="1" applyAlignment="1">
      <alignment vertical="top"/>
    </xf>
    <xf numFmtId="10" fontId="78" fillId="0" borderId="4" xfId="75" applyNumberFormat="1" applyFont="1" applyFill="1" applyBorder="1" applyAlignment="1">
      <alignment horizontal="center" vertical="center"/>
    </xf>
    <xf numFmtId="10" fontId="75" fillId="0" borderId="4" xfId="75" applyNumberFormat="1" applyFont="1" applyFill="1" applyBorder="1" applyAlignment="1">
      <alignment horizontal="center"/>
    </xf>
    <xf numFmtId="10" fontId="75" fillId="0" borderId="4" xfId="75" applyNumberFormat="1" applyFont="1" applyFill="1" applyBorder="1" applyAlignment="1">
      <alignment horizontal="center" vertical="center"/>
    </xf>
    <xf numFmtId="10" fontId="75" fillId="0" borderId="6" xfId="75" applyNumberFormat="1" applyFont="1" applyFill="1" applyBorder="1" applyAlignment="1">
      <alignment horizontal="center" vertical="center"/>
    </xf>
    <xf numFmtId="10" fontId="75" fillId="0" borderId="6" xfId="75" applyNumberFormat="1" applyFont="1" applyFill="1" applyBorder="1" applyAlignment="1">
      <alignment horizontal="center"/>
    </xf>
    <xf numFmtId="185" fontId="75" fillId="0" borderId="4" xfId="75" applyNumberFormat="1" applyFont="1" applyFill="1" applyBorder="1" applyAlignment="1">
      <alignment horizontal="center"/>
    </xf>
    <xf numFmtId="176" fontId="75" fillId="0" borderId="4" xfId="75" applyNumberFormat="1" applyFont="1" applyFill="1" applyBorder="1" applyAlignment="1">
      <alignment horizontal="center"/>
    </xf>
    <xf numFmtId="0" fontId="4" fillId="0" borderId="0" xfId="107" applyAlignment="1">
      <alignment vertical="top"/>
    </xf>
    <xf numFmtId="0" fontId="60" fillId="0" borderId="4" xfId="107" applyFont="1" applyBorder="1" applyAlignment="1">
      <alignment vertical="top" wrapText="1"/>
    </xf>
    <xf numFmtId="164" fontId="0" fillId="0" borderId="4" xfId="108" applyFont="1" applyBorder="1" applyAlignment="1">
      <alignment horizontal="right" vertical="top"/>
    </xf>
    <xf numFmtId="0" fontId="4" fillId="0" borderId="0" xfId="107"/>
    <xf numFmtId="0" fontId="60" fillId="0" borderId="4" xfId="107" applyFont="1" applyBorder="1" applyAlignment="1">
      <alignment horizontal="left" vertical="top" wrapText="1"/>
    </xf>
    <xf numFmtId="185" fontId="0" fillId="0" borderId="4" xfId="109" applyNumberFormat="1" applyFont="1" applyBorder="1" applyAlignment="1">
      <alignment horizontal="right" vertical="top"/>
    </xf>
    <xf numFmtId="0" fontId="93" fillId="0" borderId="4" xfId="107" applyFont="1" applyBorder="1" applyAlignment="1">
      <alignment horizontal="left" vertical="top" indent="1"/>
    </xf>
    <xf numFmtId="0" fontId="93" fillId="0" borderId="4" xfId="107" applyFont="1" applyBorder="1" applyAlignment="1">
      <alignment horizontal="left" vertical="top" wrapText="1" indent="1"/>
    </xf>
    <xf numFmtId="0" fontId="4" fillId="0" borderId="4" xfId="107" applyFont="1" applyBorder="1" applyAlignment="1">
      <alignment horizontal="left" vertical="top" wrapText="1" indent="1"/>
    </xf>
    <xf numFmtId="168" fontId="0" fillId="0" borderId="4" xfId="108" applyNumberFormat="1" applyFont="1" applyBorder="1" applyAlignment="1">
      <alignment horizontal="right" vertical="top"/>
    </xf>
    <xf numFmtId="0" fontId="15" fillId="0" borderId="0" xfId="10" applyFont="1" applyBorder="1" applyAlignment="1">
      <alignment horizontal="center" vertical="center"/>
    </xf>
    <xf numFmtId="0" fontId="15" fillId="8" borderId="7" xfId="10" applyFont="1" applyFill="1" applyBorder="1" applyAlignment="1" applyProtection="1">
      <alignment horizontal="center" vertical="center" wrapText="1"/>
    </xf>
    <xf numFmtId="0" fontId="15" fillId="8" borderId="4" xfId="10" applyFont="1" applyFill="1" applyBorder="1" applyAlignment="1" applyProtection="1">
      <alignment horizontal="center" vertical="center" wrapText="1"/>
    </xf>
    <xf numFmtId="9" fontId="0" fillId="0" borderId="4" xfId="70" applyFont="1" applyBorder="1" applyAlignment="1">
      <alignment horizontal="right" vertical="top"/>
    </xf>
    <xf numFmtId="43" fontId="14" fillId="0" borderId="6" xfId="69" applyFont="1" applyBorder="1" applyAlignment="1">
      <alignment horizontal="center"/>
    </xf>
    <xf numFmtId="43" fontId="14" fillId="0" borderId="6" xfId="69" applyFont="1" applyBorder="1"/>
    <xf numFmtId="43" fontId="35" fillId="0" borderId="6" xfId="69" applyFont="1" applyFill="1" applyBorder="1" applyAlignment="1">
      <alignment horizontal="center"/>
    </xf>
    <xf numFmtId="43" fontId="35" fillId="0" borderId="6" xfId="69" applyFont="1" applyFill="1" applyBorder="1"/>
    <xf numFmtId="43" fontId="14" fillId="7" borderId="6" xfId="69" applyFont="1" applyFill="1" applyBorder="1" applyAlignment="1">
      <alignment horizontal="center" vertical="center" wrapText="1"/>
    </xf>
    <xf numFmtId="175" fontId="14" fillId="0" borderId="0" xfId="70" applyNumberFormat="1" applyFont="1" applyBorder="1" applyAlignment="1">
      <alignment vertical="center"/>
    </xf>
    <xf numFmtId="192" fontId="14" fillId="0" borderId="0" xfId="70" applyNumberFormat="1" applyFont="1" applyBorder="1" applyAlignment="1">
      <alignment vertical="center"/>
    </xf>
    <xf numFmtId="0" fontId="14" fillId="0" borderId="0" xfId="70" applyNumberFormat="1" applyFont="1" applyBorder="1" applyAlignment="1">
      <alignment vertical="center"/>
    </xf>
    <xf numFmtId="164" fontId="39" fillId="0" borderId="0" xfId="80" applyNumberFormat="1" applyFont="1"/>
    <xf numFmtId="43" fontId="6" fillId="0" borderId="0" xfId="69" applyFont="1"/>
    <xf numFmtId="43" fontId="60" fillId="0" borderId="0" xfId="69" applyFont="1" applyFill="1" applyBorder="1" applyAlignment="1">
      <alignment horizontal="center" vertical="center" wrapText="1"/>
    </xf>
    <xf numFmtId="14" fontId="15" fillId="0" borderId="0" xfId="14" applyNumberFormat="1" applyFont="1" applyFill="1" applyBorder="1">
      <alignment vertical="center"/>
    </xf>
    <xf numFmtId="43" fontId="15" fillId="0" borderId="0" xfId="74" applyFont="1" applyFill="1" applyBorder="1" applyAlignment="1">
      <alignment vertical="center"/>
    </xf>
    <xf numFmtId="9" fontId="15" fillId="0" borderId="0" xfId="75" applyFont="1" applyFill="1" applyBorder="1" applyAlignment="1">
      <alignment horizontal="right" vertical="center"/>
    </xf>
    <xf numFmtId="170" fontId="14" fillId="0" borderId="0" xfId="69" applyNumberFormat="1" applyFont="1" applyBorder="1" applyAlignment="1">
      <alignment vertical="center"/>
    </xf>
    <xf numFmtId="43" fontId="15" fillId="0" borderId="0" xfId="14" applyNumberFormat="1" applyFont="1" applyFill="1" applyBorder="1">
      <alignment vertical="center"/>
    </xf>
    <xf numFmtId="43" fontId="15" fillId="8" borderId="7" xfId="96" applyFont="1" applyFill="1" applyBorder="1" applyAlignment="1" applyProtection="1">
      <alignment horizontal="center" vertical="center" wrapText="1"/>
    </xf>
    <xf numFmtId="43" fontId="14" fillId="0" borderId="4" xfId="96" applyFont="1" applyBorder="1" applyAlignment="1">
      <alignment horizontal="center" vertical="center"/>
    </xf>
    <xf numFmtId="43" fontId="14" fillId="0" borderId="4" xfId="96" applyFont="1" applyFill="1" applyBorder="1" applyAlignment="1">
      <alignment horizontal="center" vertical="center"/>
    </xf>
    <xf numFmtId="14" fontId="14" fillId="0" borderId="4" xfId="14" applyNumberFormat="1" applyFont="1" applyFill="1" applyBorder="1" applyAlignment="1">
      <alignment horizontal="center" vertical="center"/>
    </xf>
    <xf numFmtId="14" fontId="14" fillId="0" borderId="4" xfId="14" applyNumberFormat="1" applyFont="1" applyFill="1" applyBorder="1" applyAlignment="1">
      <alignment horizontal="right" vertical="center"/>
    </xf>
    <xf numFmtId="43" fontId="14" fillId="0" borderId="4" xfId="96" applyFont="1" applyFill="1" applyBorder="1" applyAlignment="1">
      <alignment horizontal="right" vertical="center"/>
    </xf>
    <xf numFmtId="14" fontId="14" fillId="0" borderId="5" xfId="14" applyNumberFormat="1" applyFont="1" applyFill="1" applyBorder="1" applyAlignment="1">
      <alignment horizontal="right" vertical="center"/>
    </xf>
    <xf numFmtId="43" fontId="0" fillId="0" borderId="4" xfId="96" applyFont="1" applyBorder="1" applyAlignment="1">
      <alignment horizontal="right"/>
    </xf>
    <xf numFmtId="0" fontId="14" fillId="0" borderId="8" xfId="14" applyFont="1" applyFill="1" applyBorder="1" applyAlignment="1">
      <alignment horizontal="right" vertical="center"/>
    </xf>
    <xf numFmtId="43" fontId="15" fillId="0" borderId="4" xfId="96" applyFont="1" applyFill="1" applyBorder="1" applyAlignment="1">
      <alignment horizontal="center" vertical="center"/>
    </xf>
    <xf numFmtId="43" fontId="15" fillId="0" borderId="7" xfId="96" applyFont="1" applyFill="1" applyBorder="1" applyAlignment="1" applyProtection="1">
      <alignment horizontal="center" vertical="center" wrapText="1"/>
    </xf>
    <xf numFmtId="17" fontId="14" fillId="0" borderId="4" xfId="14" applyNumberFormat="1" applyFont="1" applyBorder="1">
      <alignment vertical="center"/>
    </xf>
    <xf numFmtId="14" fontId="14" fillId="0" borderId="4" xfId="14" applyNumberFormat="1" applyFont="1" applyBorder="1">
      <alignment vertical="center"/>
    </xf>
    <xf numFmtId="43" fontId="14" fillId="0" borderId="4" xfId="96" applyFont="1" applyBorder="1" applyAlignment="1">
      <alignment vertical="center"/>
    </xf>
    <xf numFmtId="9" fontId="14" fillId="0" borderId="4" xfId="14" applyNumberFormat="1" applyFont="1" applyFill="1" applyBorder="1" applyAlignment="1">
      <alignment horizontal="center" vertical="center"/>
    </xf>
    <xf numFmtId="0" fontId="34" fillId="0" borderId="4" xfId="14" applyFont="1" applyFill="1" applyBorder="1" applyAlignment="1">
      <alignment horizontal="center" vertical="center"/>
    </xf>
    <xf numFmtId="0" fontId="34" fillId="0" borderId="4" xfId="14" applyFont="1" applyBorder="1" applyAlignment="1">
      <alignment horizontal="right" vertical="center"/>
    </xf>
    <xf numFmtId="0" fontId="88" fillId="24" borderId="21" xfId="103" applyFont="1" applyFill="1" applyBorder="1" applyAlignment="1">
      <alignment horizontal="center" vertical="center" wrapText="1"/>
    </xf>
    <xf numFmtId="10" fontId="0" fillId="30" borderId="22" xfId="105" applyNumberFormat="1" applyFont="1" applyFill="1" applyBorder="1"/>
    <xf numFmtId="10" fontId="0" fillId="30" borderId="24" xfId="105" applyNumberFormat="1" applyFont="1" applyFill="1" applyBorder="1"/>
    <xf numFmtId="0" fontId="15" fillId="8" borderId="4" xfId="10" applyFont="1" applyFill="1" applyBorder="1" applyAlignment="1" applyProtection="1">
      <alignment horizontal="center" vertical="center" wrapText="1"/>
    </xf>
    <xf numFmtId="0" fontId="15" fillId="8" borderId="7" xfId="10" applyFont="1" applyFill="1" applyBorder="1" applyAlignment="1" applyProtection="1">
      <alignment horizontal="center" vertical="center" wrapText="1"/>
    </xf>
    <xf numFmtId="0" fontId="14" fillId="0" borderId="4" xfId="14" applyFont="1" applyBorder="1" applyAlignment="1">
      <alignment horizontal="right" vertical="center"/>
    </xf>
    <xf numFmtId="43" fontId="14" fillId="0" borderId="7" xfId="96" applyFont="1" applyBorder="1" applyAlignment="1">
      <alignment horizontal="center" vertical="center"/>
    </xf>
    <xf numFmtId="43" fontId="14" fillId="0" borderId="7" xfId="96" applyFont="1" applyFill="1" applyBorder="1" applyAlignment="1">
      <alignment horizontal="right" vertical="center"/>
    </xf>
    <xf numFmtId="43" fontId="0" fillId="0" borderId="4" xfId="96" applyFont="1" applyFill="1" applyBorder="1" applyAlignment="1">
      <alignment horizontal="right"/>
    </xf>
    <xf numFmtId="14" fontId="14" fillId="0" borderId="8" xfId="14" applyNumberFormat="1" applyFont="1" applyFill="1" applyBorder="1" applyAlignment="1">
      <alignment horizontal="right" vertical="center"/>
    </xf>
    <xf numFmtId="43" fontId="0" fillId="0" borderId="9" xfId="96" applyFont="1" applyBorder="1" applyAlignment="1">
      <alignment horizontal="right"/>
    </xf>
    <xf numFmtId="43" fontId="14" fillId="0" borderId="6" xfId="96" applyFont="1" applyFill="1" applyBorder="1" applyAlignment="1">
      <alignment horizontal="right" vertical="center"/>
    </xf>
    <xf numFmtId="0" fontId="14" fillId="8" borderId="4" xfId="14" applyFont="1" applyFill="1" applyBorder="1" applyAlignment="1">
      <alignment horizontal="right" vertical="center"/>
    </xf>
    <xf numFmtId="43" fontId="0" fillId="0" borderId="6" xfId="96" applyFont="1" applyFill="1" applyBorder="1" applyAlignment="1">
      <alignment horizontal="right"/>
    </xf>
    <xf numFmtId="43" fontId="14" fillId="0" borderId="5" xfId="96" applyFont="1" applyFill="1" applyBorder="1" applyAlignment="1">
      <alignment horizontal="right" vertical="center"/>
    </xf>
    <xf numFmtId="0" fontId="14" fillId="0" borderId="5" xfId="14" applyFont="1" applyFill="1" applyBorder="1" applyAlignment="1">
      <alignment horizontal="right" vertical="center"/>
    </xf>
    <xf numFmtId="43" fontId="14" fillId="0" borderId="0" xfId="96" applyFont="1" applyFill="1" applyBorder="1" applyAlignment="1">
      <alignment horizontal="right" vertical="center"/>
    </xf>
    <xf numFmtId="43" fontId="0" fillId="0" borderId="0" xfId="96" applyFont="1" applyBorder="1" applyAlignment="1">
      <alignment horizontal="right"/>
    </xf>
    <xf numFmtId="43" fontId="0" fillId="0" borderId="13" xfId="96" applyFont="1" applyFill="1" applyBorder="1" applyAlignment="1">
      <alignment horizontal="right"/>
    </xf>
    <xf numFmtId="14" fontId="0" fillId="0" borderId="4" xfId="0" applyNumberFormat="1" applyBorder="1" applyAlignment="1">
      <alignment horizontal="right"/>
    </xf>
    <xf numFmtId="14" fontId="0" fillId="0" borderId="5" xfId="0" applyNumberFormat="1" applyBorder="1" applyAlignment="1">
      <alignment horizontal="right"/>
    </xf>
    <xf numFmtId="0" fontId="14" fillId="0" borderId="6" xfId="14" applyFont="1" applyFill="1" applyBorder="1" applyAlignment="1">
      <alignment horizontal="right" vertical="center"/>
    </xf>
    <xf numFmtId="14" fontId="25" fillId="0" borderId="4" xfId="0" applyNumberFormat="1" applyFont="1" applyBorder="1" applyAlignment="1">
      <alignment horizontal="right"/>
    </xf>
    <xf numFmtId="0" fontId="0" fillId="0" borderId="4" xfId="0" applyBorder="1" applyAlignment="1">
      <alignment horizontal="right"/>
    </xf>
    <xf numFmtId="0" fontId="25" fillId="0" borderId="4" xfId="0" applyFont="1" applyBorder="1" applyAlignment="1">
      <alignment horizontal="right"/>
    </xf>
    <xf numFmtId="43" fontId="25" fillId="0" borderId="4" xfId="96" applyFont="1" applyFill="1" applyBorder="1" applyAlignment="1">
      <alignment horizontal="right"/>
    </xf>
    <xf numFmtId="43" fontId="0" fillId="0" borderId="6" xfId="96" applyFont="1" applyBorder="1" applyAlignment="1">
      <alignment horizontal="right"/>
    </xf>
    <xf numFmtId="14" fontId="0" fillId="0" borderId="6" xfId="0" applyNumberFormat="1" applyBorder="1" applyAlignment="1">
      <alignment horizontal="right"/>
    </xf>
    <xf numFmtId="14" fontId="14" fillId="0" borderId="8" xfId="14" applyNumberFormat="1" applyFont="1" applyFill="1" applyBorder="1" applyAlignment="1">
      <alignment horizontal="center" vertical="center"/>
    </xf>
    <xf numFmtId="0" fontId="14" fillId="0" borderId="6" xfId="14" applyFont="1" applyFill="1" applyBorder="1" applyAlignment="1">
      <alignment horizontal="center" vertical="center"/>
    </xf>
    <xf numFmtId="43" fontId="0" fillId="0" borderId="4" xfId="96" applyFont="1" applyFill="1" applyBorder="1"/>
    <xf numFmtId="43" fontId="15" fillId="0" borderId="0" xfId="14" applyNumberFormat="1" applyFont="1" applyFill="1" applyBorder="1" applyAlignment="1">
      <alignment horizontal="center" vertical="center"/>
    </xf>
    <xf numFmtId="17" fontId="23" fillId="0" borderId="4" xfId="14" applyNumberFormat="1" applyFont="1" applyFill="1" applyBorder="1">
      <alignment vertical="center"/>
    </xf>
    <xf numFmtId="14" fontId="23" fillId="0" borderId="4" xfId="0" applyNumberFormat="1" applyFont="1" applyBorder="1" applyAlignment="1">
      <alignment horizontal="center"/>
    </xf>
    <xf numFmtId="43" fontId="14" fillId="0" borderId="4" xfId="96" applyFont="1" applyBorder="1"/>
    <xf numFmtId="4" fontId="15" fillId="0" borderId="4" xfId="14" applyNumberFormat="1" applyFont="1" applyFill="1" applyBorder="1" applyAlignment="1">
      <alignment horizontal="center" vertical="center"/>
    </xf>
    <xf numFmtId="17" fontId="14" fillId="0" borderId="4" xfId="14" applyNumberFormat="1" applyFont="1" applyFill="1" applyBorder="1" applyAlignment="1">
      <alignment horizontal="center" vertical="center"/>
    </xf>
    <xf numFmtId="0" fontId="51" fillId="0" borderId="0" xfId="110" applyFont="1"/>
    <xf numFmtId="0" fontId="52" fillId="14" borderId="0" xfId="110" applyFont="1" applyFill="1" applyAlignment="1">
      <alignment horizontal="left"/>
    </xf>
    <xf numFmtId="0" fontId="52" fillId="0" borderId="0" xfId="110" applyFont="1"/>
    <xf numFmtId="0" fontId="52" fillId="15" borderId="4" xfId="110" applyFont="1" applyFill="1" applyBorder="1" applyAlignment="1">
      <alignment vertical="center"/>
    </xf>
    <xf numFmtId="0" fontId="52" fillId="15" borderId="4" xfId="110" applyFont="1" applyFill="1" applyBorder="1" applyAlignment="1">
      <alignment horizontal="center" vertical="center" wrapText="1"/>
    </xf>
    <xf numFmtId="0" fontId="52" fillId="15" borderId="4" xfId="110" applyFont="1" applyFill="1" applyBorder="1" applyAlignment="1">
      <alignment horizontal="center" vertical="center"/>
    </xf>
    <xf numFmtId="0" fontId="52" fillId="15" borderId="6" xfId="110" applyFont="1" applyFill="1" applyBorder="1" applyAlignment="1">
      <alignment horizontal="center" vertical="center"/>
    </xf>
    <xf numFmtId="0" fontId="52" fillId="15" borderId="6" xfId="110" applyFont="1" applyFill="1" applyBorder="1" applyAlignment="1">
      <alignment horizontal="center" vertical="center" wrapText="1"/>
    </xf>
    <xf numFmtId="0" fontId="51" fillId="0" borderId="4" xfId="110" applyFont="1" applyBorder="1"/>
    <xf numFmtId="0" fontId="51" fillId="0" borderId="4" xfId="110" applyFont="1" applyBorder="1" applyAlignment="1">
      <alignment horizontal="left"/>
    </xf>
    <xf numFmtId="168" fontId="51" fillId="0" borderId="4" xfId="111" applyNumberFormat="1" applyFont="1" applyBorder="1"/>
    <xf numFmtId="2" fontId="51" fillId="0" borderId="4" xfId="66" applyNumberFormat="1" applyFont="1" applyBorder="1"/>
    <xf numFmtId="2" fontId="51" fillId="16" borderId="4" xfId="110" applyNumberFormat="1" applyFont="1" applyFill="1" applyBorder="1"/>
    <xf numFmtId="0" fontId="52" fillId="17" borderId="4" xfId="110" applyFont="1" applyFill="1" applyBorder="1"/>
    <xf numFmtId="0" fontId="52" fillId="17" borderId="4" xfId="110" applyFont="1" applyFill="1" applyBorder="1" applyAlignment="1">
      <alignment horizontal="left"/>
    </xf>
    <xf numFmtId="169" fontId="51" fillId="0" borderId="0" xfId="110" applyNumberFormat="1" applyFont="1"/>
    <xf numFmtId="0" fontId="51" fillId="0" borderId="0" xfId="110" applyFont="1" applyAlignment="1">
      <alignment vertical="center" wrapText="1"/>
    </xf>
    <xf numFmtId="0" fontId="52" fillId="0" borderId="0" xfId="110" applyFont="1" applyFill="1" applyBorder="1" applyAlignment="1">
      <alignment vertical="center"/>
    </xf>
    <xf numFmtId="0" fontId="51" fillId="0" borderId="0" xfId="110" applyFont="1" applyFill="1" applyBorder="1" applyAlignment="1">
      <alignment vertical="center" wrapText="1"/>
    </xf>
    <xf numFmtId="0" fontId="52" fillId="15" borderId="4" xfId="110" applyFont="1" applyFill="1" applyBorder="1" applyAlignment="1">
      <alignment vertical="center" wrapText="1"/>
    </xf>
    <xf numFmtId="0" fontId="52" fillId="15" borderId="4" xfId="110" applyFont="1" applyFill="1" applyBorder="1" applyAlignment="1">
      <alignment horizontal="left" vertical="center"/>
    </xf>
    <xf numFmtId="0" fontId="69" fillId="15" borderId="4" xfId="110" applyFont="1" applyFill="1" applyBorder="1" applyAlignment="1">
      <alignment vertical="center" wrapText="1"/>
    </xf>
    <xf numFmtId="10" fontId="51" fillId="0" borderId="4" xfId="110" applyNumberFormat="1" applyFont="1" applyBorder="1"/>
    <xf numFmtId="164" fontId="51" fillId="0" borderId="4" xfId="112" applyFont="1" applyBorder="1" applyAlignment="1">
      <alignment vertical="center"/>
    </xf>
    <xf numFmtId="0" fontId="67" fillId="0" borderId="4" xfId="110" applyFont="1" applyBorder="1" applyAlignment="1">
      <alignment horizontal="left"/>
    </xf>
    <xf numFmtId="2" fontId="51" fillId="0" borderId="4" xfId="110" applyNumberFormat="1" applyFont="1" applyBorder="1"/>
    <xf numFmtId="10" fontId="51" fillId="7" borderId="4" xfId="110" applyNumberFormat="1" applyFont="1" applyFill="1" applyBorder="1"/>
    <xf numFmtId="0" fontId="51" fillId="0" borderId="0" xfId="110" applyFont="1" applyAlignment="1">
      <alignment horizontal="left"/>
    </xf>
    <xf numFmtId="164" fontId="51" fillId="0" borderId="0" xfId="111" applyFont="1"/>
    <xf numFmtId="0" fontId="51" fillId="0" borderId="0" xfId="110" applyFont="1" applyAlignment="1">
      <alignment vertical="center"/>
    </xf>
    <xf numFmtId="164" fontId="51" fillId="0" borderId="4" xfId="111" applyFont="1" applyBorder="1"/>
    <xf numFmtId="169" fontId="51" fillId="0" borderId="4" xfId="110" applyNumberFormat="1" applyFont="1" applyBorder="1"/>
    <xf numFmtId="43" fontId="51" fillId="0" borderId="4" xfId="69" applyFont="1" applyBorder="1"/>
    <xf numFmtId="43" fontId="51" fillId="0" borderId="0" xfId="69" applyFont="1"/>
    <xf numFmtId="43" fontId="51" fillId="0" borderId="4" xfId="113" applyFont="1" applyBorder="1"/>
    <xf numFmtId="43" fontId="51" fillId="0" borderId="5" xfId="69" applyFont="1" applyBorder="1"/>
    <xf numFmtId="43" fontId="52" fillId="17" borderId="4" xfId="69" applyFont="1" applyFill="1" applyBorder="1"/>
    <xf numFmtId="43" fontId="51" fillId="0" borderId="0" xfId="110" applyNumberFormat="1" applyFont="1"/>
    <xf numFmtId="185" fontId="75" fillId="30" borderId="4" xfId="75" applyNumberFormat="1" applyFont="1" applyFill="1" applyBorder="1" applyAlignment="1">
      <alignment horizontal="center"/>
    </xf>
    <xf numFmtId="0" fontId="60" fillId="0" borderId="4" xfId="97" applyFont="1" applyBorder="1" applyAlignment="1">
      <alignment horizontal="left" vertical="top"/>
    </xf>
    <xf numFmtId="0" fontId="60" fillId="0" borderId="4" xfId="97" applyFont="1" applyBorder="1" applyAlignment="1">
      <alignment horizontal="center" vertical="top"/>
    </xf>
    <xf numFmtId="43" fontId="2" fillId="0" borderId="4" xfId="69" applyFont="1" applyBorder="1" applyAlignment="1">
      <alignment horizontal="center" vertical="top"/>
    </xf>
    <xf numFmtId="0" fontId="60" fillId="0" borderId="0" xfId="97" applyFont="1" applyBorder="1" applyAlignment="1">
      <alignment horizontal="center" vertical="top"/>
    </xf>
    <xf numFmtId="164" fontId="61" fillId="0" borderId="0" xfId="98" applyFont="1" applyBorder="1" applyAlignment="1">
      <alignment vertical="center"/>
    </xf>
    <xf numFmtId="164" fontId="25" fillId="0" borderId="0" xfId="98" applyFont="1" applyBorder="1" applyAlignment="1">
      <alignment vertical="center"/>
    </xf>
    <xf numFmtId="164" fontId="25" fillId="0" borderId="0" xfId="98" applyFont="1" applyBorder="1" applyAlignment="1">
      <alignment horizontal="right" vertical="center"/>
    </xf>
    <xf numFmtId="164" fontId="69" fillId="0" borderId="0" xfId="98" applyFont="1" applyBorder="1" applyAlignment="1">
      <alignment horizontal="right" vertical="center"/>
    </xf>
    <xf numFmtId="0" fontId="69" fillId="0" borderId="0" xfId="97" applyFont="1" applyBorder="1" applyAlignment="1">
      <alignment horizontal="center" vertical="center"/>
    </xf>
    <xf numFmtId="10" fontId="61" fillId="0" borderId="0" xfId="98" applyNumberFormat="1" applyFont="1" applyBorder="1" applyAlignment="1">
      <alignment vertical="center"/>
    </xf>
    <xf numFmtId="164" fontId="0" fillId="0" borderId="0" xfId="98" applyFont="1" applyBorder="1" applyAlignment="1">
      <alignment vertical="center"/>
    </xf>
    <xf numFmtId="164" fontId="60" fillId="0" borderId="0" xfId="98" applyFont="1" applyBorder="1" applyAlignment="1">
      <alignment horizontal="center" vertical="center"/>
    </xf>
    <xf numFmtId="43" fontId="60" fillId="0" borderId="4" xfId="97" applyNumberFormat="1" applyFont="1" applyBorder="1" applyAlignment="1">
      <alignment horizontal="center" vertical="top"/>
    </xf>
    <xf numFmtId="43" fontId="2" fillId="0" borderId="4" xfId="97" applyNumberFormat="1" applyFont="1" applyBorder="1" applyAlignment="1">
      <alignment horizontal="center" vertical="top"/>
    </xf>
    <xf numFmtId="0" fontId="2" fillId="0" borderId="4" xfId="97" applyFont="1" applyBorder="1" applyAlignment="1">
      <alignment horizontal="left" vertical="top"/>
    </xf>
    <xf numFmtId="0" fontId="2" fillId="0" borderId="0" xfId="97" applyFont="1" applyAlignment="1">
      <alignment vertical="top"/>
    </xf>
    <xf numFmtId="43" fontId="8" fillId="0" borderId="0" xfId="97" applyNumberFormat="1" applyAlignment="1">
      <alignment vertical="top"/>
    </xf>
    <xf numFmtId="164" fontId="59" fillId="0" borderId="4" xfId="108" applyFont="1" applyBorder="1" applyAlignment="1">
      <alignment horizontal="right" vertical="top"/>
    </xf>
    <xf numFmtId="0" fontId="2" fillId="0" borderId="4" xfId="107" applyFont="1" applyBorder="1" applyAlignment="1">
      <alignment horizontal="left" vertical="top" wrapText="1"/>
    </xf>
    <xf numFmtId="43" fontId="75" fillId="0" borderId="0" xfId="0" applyNumberFormat="1" applyFont="1" applyFill="1" applyAlignment="1"/>
    <xf numFmtId="43" fontId="75" fillId="0" borderId="0" xfId="0" applyNumberFormat="1" applyFont="1" applyFill="1" applyAlignment="1">
      <alignment vertical="center"/>
    </xf>
    <xf numFmtId="9" fontId="75" fillId="0" borderId="4" xfId="70" applyFont="1" applyFill="1" applyBorder="1" applyAlignment="1">
      <alignment horizontal="center"/>
    </xf>
    <xf numFmtId="193" fontId="75" fillId="0" borderId="0" xfId="0" applyNumberFormat="1" applyFont="1" applyFill="1" applyAlignment="1">
      <alignment vertical="center"/>
    </xf>
    <xf numFmtId="43" fontId="4" fillId="0" borderId="0" xfId="107" applyNumberFormat="1" applyAlignment="1">
      <alignment vertical="top"/>
    </xf>
    <xf numFmtId="0" fontId="2" fillId="31" borderId="4" xfId="107" applyFont="1" applyFill="1" applyBorder="1" applyAlignment="1">
      <alignment horizontal="left" vertical="top" wrapText="1" indent="1"/>
    </xf>
    <xf numFmtId="164" fontId="8" fillId="0" borderId="0" xfId="97" applyNumberFormat="1" applyAlignment="1">
      <alignment vertical="top"/>
    </xf>
    <xf numFmtId="43" fontId="0" fillId="31" borderId="4" xfId="69" applyFont="1" applyFill="1" applyBorder="1" applyAlignment="1">
      <alignment horizontal="right" vertical="top"/>
    </xf>
    <xf numFmtId="164" fontId="0" fillId="0" borderId="4" xfId="108" applyFont="1" applyFill="1" applyBorder="1" applyAlignment="1">
      <alignment horizontal="right" vertical="top"/>
    </xf>
    <xf numFmtId="164" fontId="61" fillId="7" borderId="4" xfId="98" applyFont="1" applyFill="1" applyBorder="1" applyAlignment="1">
      <alignment vertical="center"/>
    </xf>
    <xf numFmtId="164" fontId="25" fillId="0" borderId="4" xfId="98" applyFont="1" applyBorder="1" applyAlignment="1">
      <alignment horizontal="right" vertical="center"/>
    </xf>
    <xf numFmtId="164" fontId="69" fillId="0" borderId="4" xfId="98" applyFont="1" applyBorder="1" applyAlignment="1">
      <alignment horizontal="right" vertical="center"/>
    </xf>
    <xf numFmtId="9" fontId="4" fillId="0" borderId="0" xfId="70" applyFont="1" applyAlignment="1">
      <alignment vertical="top"/>
    </xf>
    <xf numFmtId="9" fontId="2" fillId="0" borderId="0" xfId="107" applyNumberFormat="1" applyFont="1" applyAlignment="1">
      <alignment vertical="top"/>
    </xf>
    <xf numFmtId="0" fontId="92" fillId="8" borderId="4" xfId="107" applyFont="1" applyFill="1" applyBorder="1" applyAlignment="1">
      <alignment vertical="top"/>
    </xf>
    <xf numFmtId="0" fontId="92" fillId="8" borderId="4" xfId="107" applyFont="1" applyFill="1" applyBorder="1" applyAlignment="1">
      <alignment horizontal="center" vertical="top" wrapText="1"/>
    </xf>
    <xf numFmtId="0" fontId="60" fillId="0" borderId="4" xfId="107" applyFont="1" applyFill="1" applyBorder="1" applyAlignment="1">
      <alignment horizontal="left" vertical="top" wrapText="1"/>
    </xf>
    <xf numFmtId="0" fontId="4" fillId="0" borderId="0" xfId="107" applyFill="1" applyAlignment="1">
      <alignment vertical="top"/>
    </xf>
    <xf numFmtId="0" fontId="94" fillId="0" borderId="4" xfId="107" applyFont="1" applyFill="1" applyBorder="1" applyAlignment="1">
      <alignment horizontal="left" vertical="top" wrapText="1"/>
    </xf>
    <xf numFmtId="185" fontId="59" fillId="0" borderId="4" xfId="109" applyNumberFormat="1" applyFont="1" applyFill="1" applyBorder="1" applyAlignment="1">
      <alignment horizontal="right" vertical="top"/>
    </xf>
    <xf numFmtId="43" fontId="4" fillId="0" borderId="4" xfId="69" applyFont="1" applyBorder="1" applyAlignment="1">
      <alignment vertical="top"/>
    </xf>
    <xf numFmtId="0" fontId="1" fillId="0" borderId="4" xfId="107" applyFont="1" applyBorder="1" applyAlignment="1">
      <alignment vertical="top"/>
    </xf>
    <xf numFmtId="9" fontId="4" fillId="0" borderId="4" xfId="70" applyFont="1" applyBorder="1" applyAlignment="1">
      <alignment vertical="top"/>
    </xf>
    <xf numFmtId="0" fontId="1" fillId="0" borderId="4" xfId="107" applyFont="1" applyBorder="1" applyAlignment="1">
      <alignment vertical="top" wrapText="1"/>
    </xf>
    <xf numFmtId="0" fontId="38" fillId="0" borderId="4" xfId="0" applyFont="1" applyBorder="1"/>
    <xf numFmtId="0" fontId="1" fillId="0" borderId="0" xfId="97" applyFont="1" applyAlignment="1">
      <alignment vertical="top"/>
    </xf>
    <xf numFmtId="164" fontId="1" fillId="0" borderId="0" xfId="97" applyNumberFormat="1" applyFont="1" applyAlignment="1">
      <alignment vertical="top"/>
    </xf>
    <xf numFmtId="0" fontId="15" fillId="0" borderId="4" xfId="10" applyFont="1" applyBorder="1" applyAlignment="1">
      <alignment horizontal="center" vertical="center"/>
    </xf>
    <xf numFmtId="0" fontId="15" fillId="4" borderId="4" xfId="63" applyFont="1" applyFill="1" applyBorder="1" applyAlignment="1">
      <alignment horizontal="center" vertical="center" wrapText="1"/>
    </xf>
    <xf numFmtId="0" fontId="14" fillId="0" borderId="4" xfId="10" applyFont="1" applyBorder="1" applyAlignment="1">
      <alignment horizontal="center" vertical="center"/>
    </xf>
    <xf numFmtId="0" fontId="14" fillId="0" borderId="0" xfId="10" applyFont="1" applyAlignment="1">
      <alignment horizontal="center" vertical="center"/>
    </xf>
    <xf numFmtId="0" fontId="16" fillId="0" borderId="46" xfId="13" applyFont="1" applyFill="1" applyBorder="1" applyAlignment="1">
      <alignment horizontal="left" vertical="center" wrapText="1"/>
    </xf>
    <xf numFmtId="0" fontId="14" fillId="0" borderId="39" xfId="13" applyFont="1" applyBorder="1"/>
    <xf numFmtId="0" fontId="15" fillId="4" borderId="4" xfId="27" applyFont="1" applyFill="1" applyBorder="1" applyAlignment="1">
      <alignment horizontal="center" vertical="center" wrapText="1"/>
    </xf>
    <xf numFmtId="164" fontId="0" fillId="0" borderId="4" xfId="0" applyNumberFormat="1" applyBorder="1"/>
    <xf numFmtId="43" fontId="14" fillId="0" borderId="0" xfId="96" applyFont="1" applyAlignment="1">
      <alignment vertical="center" wrapText="1"/>
    </xf>
    <xf numFmtId="173" fontId="14" fillId="0" borderId="0" xfId="96" applyNumberFormat="1" applyFont="1" applyAlignment="1">
      <alignment vertical="center" wrapText="1"/>
    </xf>
    <xf numFmtId="43" fontId="15" fillId="0" borderId="0" xfId="96" applyFont="1" applyAlignment="1">
      <alignment vertical="center" wrapText="1"/>
    </xf>
    <xf numFmtId="173" fontId="15" fillId="0" borderId="0" xfId="96" applyNumberFormat="1" applyFont="1" applyAlignment="1">
      <alignment horizontal="center" vertical="center"/>
    </xf>
    <xf numFmtId="173" fontId="15" fillId="0" borderId="0" xfId="96" applyNumberFormat="1" applyFont="1" applyAlignment="1">
      <alignment vertical="center" wrapText="1"/>
    </xf>
    <xf numFmtId="43" fontId="15" fillId="0" borderId="0" xfId="96" applyFont="1" applyAlignment="1">
      <alignment horizontal="center" vertical="center" wrapText="1"/>
    </xf>
    <xf numFmtId="43" fontId="15" fillId="0" borderId="0" xfId="96" applyFont="1" applyBorder="1" applyAlignment="1">
      <alignment vertical="center" wrapText="1"/>
    </xf>
    <xf numFmtId="173" fontId="15" fillId="0" borderId="0" xfId="96" applyNumberFormat="1" applyFont="1" applyBorder="1" applyAlignment="1">
      <alignment horizontal="center" vertical="center"/>
    </xf>
    <xf numFmtId="173" fontId="15" fillId="0" borderId="0" xfId="96" applyNumberFormat="1" applyFont="1" applyBorder="1" applyAlignment="1">
      <alignment vertical="center" wrapText="1"/>
    </xf>
    <xf numFmtId="43" fontId="15" fillId="0" borderId="0" xfId="96" applyFont="1" applyBorder="1" applyAlignment="1">
      <alignment horizontal="center" vertical="center" wrapText="1"/>
    </xf>
    <xf numFmtId="43" fontId="15" fillId="5" borderId="0" xfId="96" applyFont="1" applyFill="1" applyBorder="1" applyAlignment="1">
      <alignment vertical="center" wrapText="1"/>
    </xf>
    <xf numFmtId="173" fontId="15" fillId="5" borderId="0" xfId="96" applyNumberFormat="1" applyFont="1" applyFill="1" applyBorder="1" applyAlignment="1">
      <alignment horizontal="center" vertical="center"/>
    </xf>
    <xf numFmtId="173" fontId="15" fillId="5" borderId="0" xfId="96" applyNumberFormat="1" applyFont="1" applyFill="1" applyBorder="1" applyAlignment="1">
      <alignment vertical="center" wrapText="1"/>
    </xf>
    <xf numFmtId="43" fontId="15" fillId="5" borderId="0" xfId="96" applyFont="1" applyFill="1" applyBorder="1" applyAlignment="1">
      <alignment horizontal="center" vertical="center" wrapText="1"/>
    </xf>
    <xf numFmtId="43" fontId="15" fillId="0" borderId="0" xfId="96" applyFont="1" applyAlignment="1">
      <alignment horizontal="centerContinuous" vertical="center" wrapText="1"/>
    </xf>
    <xf numFmtId="43" fontId="15" fillId="5" borderId="0" xfId="96" applyFont="1" applyFill="1" applyBorder="1" applyAlignment="1">
      <alignment horizontal="left" vertical="center" wrapText="1"/>
    </xf>
    <xf numFmtId="43" fontId="14" fillId="0" borderId="0" xfId="96" applyFont="1" applyAlignment="1">
      <alignment horizontal="centerContinuous" vertical="center" wrapText="1"/>
    </xf>
    <xf numFmtId="173" fontId="14" fillId="0" borderId="0" xfId="96" applyNumberFormat="1" applyFont="1" applyAlignment="1">
      <alignment horizontal="centerContinuous" vertical="center" wrapText="1"/>
    </xf>
    <xf numFmtId="43" fontId="15" fillId="0" borderId="0" xfId="96" applyFont="1" applyAlignment="1">
      <alignment horizontal="left" vertical="center" wrapText="1"/>
    </xf>
    <xf numFmtId="43" fontId="15" fillId="0" borderId="0" xfId="96" applyFont="1" applyFill="1" applyBorder="1" applyAlignment="1">
      <alignment horizontal="center" vertical="center" wrapText="1"/>
    </xf>
    <xf numFmtId="43" fontId="15" fillId="8" borderId="4" xfId="96" applyFont="1" applyFill="1" applyBorder="1" applyAlignment="1">
      <alignment horizontal="center" vertical="center" wrapText="1"/>
    </xf>
    <xf numFmtId="43" fontId="15" fillId="0" borderId="4" xfId="96" applyFont="1" applyFill="1" applyBorder="1" applyAlignment="1">
      <alignment vertical="center" wrapText="1"/>
    </xf>
    <xf numFmtId="43" fontId="14" fillId="0" borderId="4" xfId="96" applyFont="1" applyFill="1" applyBorder="1" applyAlignment="1">
      <alignment vertical="center" wrapText="1"/>
    </xf>
    <xf numFmtId="173" fontId="14" fillId="0" borderId="4" xfId="96" applyNumberFormat="1" applyFont="1" applyFill="1" applyBorder="1" applyAlignment="1">
      <alignment vertical="center" wrapText="1"/>
    </xf>
    <xf numFmtId="43" fontId="21" fillId="0" borderId="4" xfId="96" applyFont="1" applyFill="1" applyBorder="1" applyAlignment="1">
      <alignment vertical="center" wrapText="1"/>
    </xf>
    <xf numFmtId="43" fontId="15" fillId="0" borderId="4" xfId="96" applyFont="1" applyFill="1" applyBorder="1" applyAlignment="1">
      <alignment horizontal="left" vertical="center" wrapText="1"/>
    </xf>
    <xf numFmtId="43" fontId="32" fillId="0" borderId="4" xfId="96" applyFont="1" applyFill="1" applyBorder="1" applyAlignment="1">
      <alignment vertical="center" wrapText="1"/>
    </xf>
    <xf numFmtId="43" fontId="14" fillId="0" borderId="4" xfId="96" applyFont="1" applyFill="1" applyBorder="1" applyAlignment="1">
      <alignment horizontal="right" vertical="center" wrapText="1"/>
    </xf>
    <xf numFmtId="43" fontId="14" fillId="0" borderId="6" xfId="96" applyFont="1" applyFill="1" applyBorder="1" applyAlignment="1">
      <alignment horizontal="center" vertical="center" wrapText="1"/>
    </xf>
    <xf numFmtId="43" fontId="61" fillId="0" borderId="4" xfId="96" applyFont="1" applyFill="1" applyBorder="1" applyAlignment="1">
      <alignment vertical="center" wrapText="1"/>
    </xf>
    <xf numFmtId="43" fontId="15" fillId="6" borderId="4" xfId="96" applyFont="1" applyFill="1" applyBorder="1" applyAlignment="1">
      <alignment vertical="center" wrapText="1"/>
    </xf>
    <xf numFmtId="173" fontId="15" fillId="6" borderId="4" xfId="96" applyNumberFormat="1" applyFont="1" applyFill="1" applyBorder="1" applyAlignment="1">
      <alignment vertical="center" wrapText="1"/>
    </xf>
    <xf numFmtId="43" fontId="16" fillId="0" borderId="0" xfId="96" applyFont="1" applyAlignment="1">
      <alignment vertical="center" wrapText="1"/>
    </xf>
    <xf numFmtId="173" fontId="16" fillId="0" borderId="0" xfId="96" applyNumberFormat="1" applyFont="1" applyAlignment="1">
      <alignment vertical="center" wrapText="1"/>
    </xf>
    <xf numFmtId="164" fontId="14" fillId="0" borderId="4" xfId="96" applyNumberFormat="1" applyFont="1" applyFill="1" applyBorder="1" applyAlignment="1">
      <alignment vertical="center" wrapText="1"/>
    </xf>
    <xf numFmtId="164" fontId="15" fillId="6" borderId="4" xfId="96" applyNumberFormat="1" applyFont="1" applyFill="1" applyBorder="1" applyAlignment="1">
      <alignment vertical="center" wrapText="1"/>
    </xf>
    <xf numFmtId="43" fontId="16" fillId="0" borderId="0" xfId="96" applyFont="1" applyFill="1" applyAlignment="1">
      <alignment vertical="center" wrapText="1"/>
    </xf>
    <xf numFmtId="43" fontId="22" fillId="0" borderId="0" xfId="96" applyFont="1" applyAlignment="1">
      <alignment vertical="center" wrapText="1"/>
    </xf>
    <xf numFmtId="173" fontId="15" fillId="0" borderId="0" xfId="96" applyNumberFormat="1" applyFont="1" applyBorder="1" applyAlignment="1">
      <alignment horizontal="center" vertical="center" wrapText="1"/>
    </xf>
    <xf numFmtId="43" fontId="14" fillId="0" borderId="0" xfId="96" applyFont="1" applyBorder="1" applyAlignment="1">
      <alignment vertical="center" wrapText="1"/>
    </xf>
    <xf numFmtId="43" fontId="20" fillId="5" borderId="0" xfId="96" applyFont="1" applyFill="1" applyBorder="1" applyAlignment="1">
      <alignment vertical="center" wrapText="1"/>
    </xf>
    <xf numFmtId="43" fontId="36" fillId="5" borderId="0" xfId="96" applyFont="1" applyFill="1" applyBorder="1" applyAlignment="1">
      <alignment horizontal="center" vertical="center" wrapText="1"/>
    </xf>
    <xf numFmtId="173" fontId="15" fillId="4" borderId="4" xfId="96" applyNumberFormat="1" applyFont="1" applyFill="1" applyBorder="1" applyAlignment="1">
      <alignment horizontal="center" vertical="center" wrapText="1"/>
    </xf>
    <xf numFmtId="43" fontId="14" fillId="0" borderId="0" xfId="96" applyFont="1" applyFill="1" applyAlignment="1">
      <alignment vertical="center" wrapText="1"/>
    </xf>
    <xf numFmtId="43" fontId="14" fillId="0" borderId="4" xfId="96" applyFont="1" applyFill="1" applyBorder="1" applyAlignment="1">
      <alignment horizontal="left" vertical="center" wrapText="1"/>
    </xf>
    <xf numFmtId="43" fontId="14" fillId="6" borderId="4" xfId="96" applyFont="1" applyFill="1" applyBorder="1" applyAlignment="1">
      <alignment vertical="center" wrapText="1"/>
    </xf>
    <xf numFmtId="173" fontId="14" fillId="6" borderId="4" xfId="96" applyNumberFormat="1" applyFont="1" applyFill="1" applyBorder="1" applyAlignment="1">
      <alignment vertical="center" wrapText="1"/>
    </xf>
    <xf numFmtId="173" fontId="14" fillId="0" borderId="4" xfId="96" applyNumberFormat="1" applyFont="1" applyFill="1" applyBorder="1" applyAlignment="1">
      <alignment horizontal="center" vertical="center" wrapText="1"/>
    </xf>
    <xf numFmtId="43" fontId="14" fillId="0" borderId="4" xfId="96" applyFont="1" applyFill="1" applyBorder="1" applyAlignment="1">
      <alignment horizontal="center" vertical="center" wrapText="1"/>
    </xf>
    <xf numFmtId="173" fontId="14" fillId="0" borderId="4" xfId="96" applyNumberFormat="1" applyFont="1" applyFill="1" applyBorder="1" applyAlignment="1">
      <alignment horizontal="right" vertical="center" wrapText="1"/>
    </xf>
    <xf numFmtId="173" fontId="15" fillId="0" borderId="4" xfId="96" applyNumberFormat="1" applyFont="1" applyFill="1" applyBorder="1" applyAlignment="1">
      <alignment vertical="center" wrapText="1"/>
    </xf>
    <xf numFmtId="173" fontId="15" fillId="0" borderId="4" xfId="96" applyNumberFormat="1" applyFont="1" applyFill="1" applyBorder="1" applyAlignment="1">
      <alignment horizontal="right" vertical="center" wrapText="1"/>
    </xf>
    <xf numFmtId="43" fontId="15" fillId="0" borderId="4" xfId="96" applyFont="1" applyFill="1" applyBorder="1" applyAlignment="1">
      <alignment horizontal="right" vertical="center" wrapText="1"/>
    </xf>
    <xf numFmtId="43" fontId="48" fillId="0" borderId="4" xfId="96" applyFont="1" applyFill="1" applyBorder="1" applyAlignment="1">
      <alignment vertical="center" wrapText="1"/>
    </xf>
    <xf numFmtId="43" fontId="21" fillId="6" borderId="4" xfId="96" applyFont="1" applyFill="1" applyBorder="1" applyAlignment="1">
      <alignment vertical="center" wrapText="1"/>
    </xf>
    <xf numFmtId="43" fontId="15" fillId="4" borderId="4" xfId="96" applyFont="1" applyFill="1" applyBorder="1" applyAlignment="1">
      <alignment horizontal="center" vertical="center" wrapText="1"/>
    </xf>
    <xf numFmtId="43" fontId="14" fillId="7" borderId="0" xfId="96" applyFont="1" applyFill="1" applyAlignment="1">
      <alignment vertical="center" wrapText="1"/>
    </xf>
    <xf numFmtId="173" fontId="14" fillId="7" borderId="0" xfId="96" applyNumberFormat="1" applyFont="1" applyFill="1" applyAlignment="1">
      <alignment vertical="center" wrapText="1"/>
    </xf>
    <xf numFmtId="43" fontId="14" fillId="0" borderId="0" xfId="96" applyFont="1"/>
    <xf numFmtId="43" fontId="15" fillId="0" borderId="0" xfId="96" applyFont="1" applyAlignment="1">
      <alignment horizontal="center" vertical="center"/>
    </xf>
    <xf numFmtId="43" fontId="15" fillId="0" borderId="0" xfId="96" applyFont="1" applyBorder="1" applyAlignment="1">
      <alignment horizontal="center" vertical="center"/>
    </xf>
    <xf numFmtId="43" fontId="15" fillId="0" borderId="0" xfId="96" applyFont="1" applyBorder="1" applyAlignment="1">
      <alignment horizontal="center" vertical="top"/>
    </xf>
    <xf numFmtId="43" fontId="15" fillId="5" borderId="0" xfId="96" applyFont="1" applyFill="1" applyBorder="1" applyAlignment="1">
      <alignment horizontal="center" vertical="center"/>
    </xf>
    <xf numFmtId="43" fontId="15" fillId="5" borderId="0" xfId="96" applyFont="1" applyFill="1" applyBorder="1" applyAlignment="1">
      <alignment horizontal="center"/>
    </xf>
    <xf numFmtId="43" fontId="15" fillId="0" borderId="0" xfId="96" applyFont="1" applyAlignment="1">
      <alignment horizontal="centerContinuous"/>
    </xf>
    <xf numFmtId="43" fontId="15" fillId="5" borderId="0" xfId="96" applyFont="1" applyFill="1" applyBorder="1" applyAlignment="1">
      <alignment horizontal="left"/>
    </xf>
    <xf numFmtId="43" fontId="14" fillId="0" borderId="0" xfId="96" applyFont="1" applyAlignment="1">
      <alignment horizontal="centerContinuous"/>
    </xf>
    <xf numFmtId="43" fontId="15" fillId="0" borderId="0" xfId="96" applyFont="1" applyFill="1" applyBorder="1" applyAlignment="1">
      <alignment horizontal="center"/>
    </xf>
    <xf numFmtId="43" fontId="14" fillId="0" borderId="4" xfId="96" applyFont="1" applyFill="1" applyBorder="1"/>
    <xf numFmtId="43" fontId="65" fillId="0" borderId="37" xfId="96" applyFont="1" applyBorder="1" applyAlignment="1">
      <alignment horizontal="right" vertical="center"/>
    </xf>
    <xf numFmtId="43" fontId="15" fillId="6" borderId="4" xfId="96" applyFont="1" applyFill="1" applyBorder="1" applyAlignment="1">
      <alignment horizontal="center"/>
    </xf>
    <xf numFmtId="43" fontId="15" fillId="6" borderId="4" xfId="96" applyFont="1" applyFill="1" applyBorder="1"/>
    <xf numFmtId="43" fontId="15" fillId="0" borderId="4" xfId="96" applyFont="1" applyFill="1" applyBorder="1" applyAlignment="1">
      <alignment horizontal="center" vertical="center" wrapText="1"/>
    </xf>
    <xf numFmtId="43" fontId="15" fillId="0" borderId="4" xfId="96" applyFont="1" applyFill="1" applyBorder="1"/>
    <xf numFmtId="43" fontId="15" fillId="0" borderId="4" xfId="96" applyFont="1" applyFill="1" applyBorder="1" applyAlignment="1">
      <alignment horizontal="left"/>
    </xf>
    <xf numFmtId="43" fontId="32" fillId="0" borderId="4" xfId="96" applyFont="1" applyFill="1" applyBorder="1"/>
    <xf numFmtId="43" fontId="14" fillId="0" borderId="7" xfId="96" applyFont="1" applyFill="1" applyBorder="1"/>
    <xf numFmtId="43" fontId="15" fillId="0" borderId="7" xfId="96" applyFont="1" applyFill="1" applyBorder="1"/>
    <xf numFmtId="43" fontId="65" fillId="0" borderId="43" xfId="96" applyFont="1" applyBorder="1" applyAlignment="1">
      <alignment horizontal="right" vertical="center"/>
    </xf>
    <xf numFmtId="43" fontId="15" fillId="0" borderId="8" xfId="96" applyFont="1" applyFill="1" applyBorder="1" applyAlignment="1">
      <alignment vertical="center" wrapText="1"/>
    </xf>
    <xf numFmtId="43" fontId="14" fillId="0" borderId="8" xfId="96" applyFont="1" applyFill="1" applyBorder="1"/>
    <xf numFmtId="43" fontId="25" fillId="0" borderId="4" xfId="96" applyFont="1" applyBorder="1"/>
    <xf numFmtId="43" fontId="14" fillId="0" borderId="4" xfId="96" applyFont="1" applyFill="1" applyBorder="1" applyAlignment="1">
      <alignment horizontal="center"/>
    </xf>
    <xf numFmtId="43" fontId="14" fillId="0" borderId="37" xfId="96" applyFont="1" applyFill="1" applyBorder="1" applyAlignment="1">
      <alignment horizontal="center" vertical="center"/>
    </xf>
    <xf numFmtId="43" fontId="14" fillId="0" borderId="4" xfId="96" applyFont="1" applyBorder="1" applyAlignment="1">
      <alignment horizontal="center"/>
    </xf>
    <xf numFmtId="43" fontId="15" fillId="0" borderId="4" xfId="96" applyFont="1" applyBorder="1" applyAlignment="1">
      <alignment horizontal="center"/>
    </xf>
    <xf numFmtId="43" fontId="15" fillId="5" borderId="4" xfId="96" applyFont="1" applyFill="1" applyBorder="1" applyAlignment="1">
      <alignment horizontal="left"/>
    </xf>
    <xf numFmtId="43" fontId="15" fillId="0" borderId="4" xfId="96" applyFont="1" applyFill="1" applyBorder="1" applyAlignment="1">
      <alignment horizontal="center"/>
    </xf>
    <xf numFmtId="43" fontId="15" fillId="0" borderId="4" xfId="96" applyFont="1" applyBorder="1"/>
    <xf numFmtId="43" fontId="59" fillId="0" borderId="4" xfId="96" applyFont="1" applyBorder="1"/>
    <xf numFmtId="43" fontId="0" fillId="0" borderId="4" xfId="96" applyFont="1" applyBorder="1"/>
    <xf numFmtId="43" fontId="14" fillId="0" borderId="0" xfId="96" applyFont="1" applyFill="1" applyBorder="1"/>
    <xf numFmtId="43" fontId="14" fillId="0" borderId="0" xfId="96" applyFont="1" applyFill="1" applyBorder="1" applyAlignment="1">
      <alignment horizontal="center" vertical="center"/>
    </xf>
    <xf numFmtId="43" fontId="15" fillId="6" borderId="4" xfId="96" applyFont="1" applyFill="1" applyBorder="1" applyAlignment="1">
      <alignment horizontal="left" vertical="center"/>
    </xf>
    <xf numFmtId="43" fontId="14" fillId="0" borderId="0" xfId="96" applyFont="1" applyFill="1"/>
    <xf numFmtId="43" fontId="14" fillId="0" borderId="4" xfId="96" applyFont="1" applyBorder="1" applyAlignment="1">
      <alignment horizontal="centerContinuous"/>
    </xf>
    <xf numFmtId="43" fontId="14" fillId="0" borderId="4" xfId="96" applyFont="1" applyBorder="1" applyAlignment="1">
      <alignment horizontal="right"/>
    </xf>
    <xf numFmtId="43" fontId="14" fillId="0" borderId="4" xfId="96" applyFont="1" applyFill="1" applyBorder="1" applyAlignment="1">
      <alignment horizontal="left"/>
    </xf>
    <xf numFmtId="43" fontId="14" fillId="0" borderId="4" xfId="96" applyFont="1" applyFill="1" applyBorder="1" applyAlignment="1">
      <alignment horizontal="right"/>
    </xf>
    <xf numFmtId="43" fontId="14" fillId="0" borderId="0" xfId="96" applyFont="1" applyAlignment="1">
      <alignment horizontal="center" vertical="center"/>
    </xf>
    <xf numFmtId="0" fontId="15" fillId="4" borderId="4" xfId="27" applyFont="1" applyFill="1" applyBorder="1" applyAlignment="1">
      <alignment horizontal="center" vertical="center"/>
    </xf>
    <xf numFmtId="43" fontId="14" fillId="0" borderId="37" xfId="96" applyFont="1" applyBorder="1" applyAlignment="1">
      <alignment horizontal="center" vertical="center"/>
    </xf>
    <xf numFmtId="43" fontId="14" fillId="0" borderId="40" xfId="96" applyFont="1" applyBorder="1" applyAlignment="1">
      <alignment horizontal="center" vertical="center"/>
    </xf>
    <xf numFmtId="43" fontId="14" fillId="0" borderId="37" xfId="96" applyFont="1" applyBorder="1" applyAlignment="1">
      <alignment vertical="center"/>
    </xf>
    <xf numFmtId="43" fontId="14" fillId="0" borderId="38" xfId="96" applyFont="1" applyFill="1" applyBorder="1" applyAlignment="1">
      <alignment horizontal="center" vertical="center"/>
    </xf>
    <xf numFmtId="43" fontId="14" fillId="0" borderId="40" xfId="96" applyFont="1" applyFill="1" applyBorder="1" applyAlignment="1">
      <alignment horizontal="center" vertical="center"/>
    </xf>
    <xf numFmtId="10" fontId="14" fillId="0" borderId="37" xfId="75" applyNumberFormat="1" applyFont="1" applyFill="1" applyBorder="1" applyAlignment="1">
      <alignment horizontal="right" vertical="center"/>
    </xf>
    <xf numFmtId="43" fontId="14" fillId="0" borderId="47" xfId="96" applyFont="1" applyFill="1" applyBorder="1" applyAlignment="1">
      <alignment horizontal="center" vertical="center"/>
    </xf>
    <xf numFmtId="43" fontId="15" fillId="0" borderId="37" xfId="96" applyFont="1" applyBorder="1" applyAlignment="1">
      <alignment horizontal="center" vertical="center"/>
    </xf>
    <xf numFmtId="10" fontId="14" fillId="0" borderId="37" xfId="75" applyNumberFormat="1" applyFont="1" applyFill="1" applyBorder="1" applyAlignment="1">
      <alignment vertical="center" wrapText="1"/>
    </xf>
    <xf numFmtId="43" fontId="14" fillId="0" borderId="38" xfId="96" applyFont="1" applyBorder="1" applyAlignment="1">
      <alignment vertical="center"/>
    </xf>
    <xf numFmtId="43" fontId="14" fillId="0" borderId="5" xfId="96" applyFont="1" applyFill="1" applyBorder="1"/>
    <xf numFmtId="0" fontId="14" fillId="0" borderId="37" xfId="75" applyNumberFormat="1" applyFont="1" applyFill="1" applyBorder="1" applyAlignment="1">
      <alignment vertical="center" wrapText="1"/>
    </xf>
    <xf numFmtId="43" fontId="15" fillId="0" borderId="37" xfId="96" applyFont="1" applyFill="1" applyBorder="1" applyAlignment="1">
      <alignment horizontal="center" vertical="center"/>
    </xf>
    <xf numFmtId="43" fontId="14" fillId="0" borderId="37" xfId="96" applyFont="1" applyBorder="1"/>
    <xf numFmtId="43" fontId="14" fillId="0" borderId="37" xfId="96" applyFont="1" applyFill="1" applyBorder="1" applyAlignment="1">
      <alignment horizontal="center"/>
    </xf>
    <xf numFmtId="43" fontId="14" fillId="0" borderId="38" xfId="96" applyFont="1" applyFill="1" applyBorder="1" applyAlignment="1">
      <alignment horizontal="center"/>
    </xf>
    <xf numFmtId="43" fontId="14" fillId="0" borderId="40" xfId="96" applyFont="1" applyFill="1" applyBorder="1" applyAlignment="1">
      <alignment horizontal="center"/>
    </xf>
    <xf numFmtId="43" fontId="14" fillId="0" borderId="38" xfId="96" applyFont="1" applyBorder="1"/>
    <xf numFmtId="43" fontId="14" fillId="0" borderId="0" xfId="96" applyFont="1" applyFill="1" applyAlignment="1">
      <alignment vertical="center"/>
    </xf>
    <xf numFmtId="43" fontId="15" fillId="0" borderId="37" xfId="96" applyFont="1" applyBorder="1" applyAlignment="1">
      <alignment horizontal="left" vertical="center"/>
    </xf>
    <xf numFmtId="43" fontId="14" fillId="0" borderId="38" xfId="96" applyFont="1" applyBorder="1" applyAlignment="1">
      <alignment horizontal="left" vertical="center"/>
    </xf>
    <xf numFmtId="43" fontId="14" fillId="0" borderId="4" xfId="96" applyFont="1" applyBorder="1" applyAlignment="1">
      <alignment horizontal="left" vertical="center"/>
    </xf>
    <xf numFmtId="9" fontId="14" fillId="0" borderId="37" xfId="75" applyFont="1" applyBorder="1" applyAlignment="1">
      <alignment horizontal="center" vertical="center" wrapText="1"/>
    </xf>
    <xf numFmtId="43" fontId="14" fillId="0" borderId="38" xfId="96" applyFont="1" applyFill="1" applyBorder="1" applyAlignment="1">
      <alignment horizontal="center" vertical="center" wrapText="1"/>
    </xf>
    <xf numFmtId="43" fontId="14" fillId="0" borderId="40" xfId="96" applyFont="1" applyFill="1" applyBorder="1" applyAlignment="1">
      <alignment horizontal="center" vertical="center" wrapText="1"/>
    </xf>
    <xf numFmtId="43" fontId="14" fillId="0" borderId="37" xfId="96" applyFont="1" applyFill="1" applyBorder="1" applyAlignment="1">
      <alignment horizontal="center" vertical="center" wrapText="1"/>
    </xf>
    <xf numFmtId="43" fontId="14" fillId="22" borderId="38" xfId="96" applyFont="1" applyFill="1" applyBorder="1" applyAlignment="1">
      <alignment horizontal="center" vertical="center" wrapText="1"/>
    </xf>
    <xf numFmtId="43" fontId="15" fillId="0" borderId="41" xfId="96" applyFont="1" applyFill="1" applyBorder="1" applyAlignment="1">
      <alignment horizontal="center" vertical="center"/>
    </xf>
    <xf numFmtId="43" fontId="14" fillId="0" borderId="37" xfId="96" applyFont="1" applyFill="1" applyBorder="1" applyAlignment="1">
      <alignment horizontal="center" wrapText="1"/>
    </xf>
    <xf numFmtId="43" fontId="14" fillId="0" borderId="41" xfId="96" applyFont="1" applyFill="1" applyBorder="1" applyAlignment="1">
      <alignment horizontal="center" vertical="center"/>
    </xf>
    <xf numFmtId="43" fontId="16" fillId="0" borderId="37" xfId="96" applyFont="1" applyFill="1" applyBorder="1" applyAlignment="1">
      <alignment vertical="center" wrapText="1"/>
    </xf>
    <xf numFmtId="43" fontId="14" fillId="0" borderId="40" xfId="96" quotePrefix="1" applyFont="1" applyFill="1" applyBorder="1" applyAlignment="1">
      <alignment horizontal="left" vertical="center" wrapText="1"/>
    </xf>
    <xf numFmtId="43" fontId="14" fillId="0" borderId="37" xfId="96" quotePrefix="1" applyFont="1" applyFill="1" applyBorder="1" applyAlignment="1">
      <alignment horizontal="center" vertical="center"/>
    </xf>
    <xf numFmtId="9" fontId="14" fillId="0" borderId="37" xfId="75" applyFont="1" applyBorder="1" applyAlignment="1">
      <alignment horizontal="center" vertical="center"/>
    </xf>
    <xf numFmtId="43" fontId="15" fillId="6" borderId="4" xfId="96" applyFont="1" applyFill="1" applyBorder="1" applyAlignment="1">
      <alignment horizontal="center" vertical="center"/>
    </xf>
    <xf numFmtId="43" fontId="0" fillId="0" borderId="0" xfId="96" applyFont="1" applyAlignment="1">
      <alignment horizontal="center" vertical="center"/>
    </xf>
    <xf numFmtId="10" fontId="14" fillId="0" borderId="4" xfId="75" applyNumberFormat="1" applyFont="1" applyFill="1" applyBorder="1"/>
    <xf numFmtId="9" fontId="15" fillId="6" borderId="4" xfId="75" applyFont="1" applyFill="1" applyBorder="1"/>
    <xf numFmtId="43" fontId="14" fillId="7" borderId="0" xfId="96" applyFont="1" applyFill="1"/>
    <xf numFmtId="43" fontId="14" fillId="7" borderId="0" xfId="96" applyFont="1" applyFill="1" applyAlignment="1">
      <alignment horizontal="center" vertical="center"/>
    </xf>
    <xf numFmtId="0" fontId="60" fillId="6" borderId="4" xfId="99" applyFont="1" applyFill="1" applyBorder="1" applyAlignment="1">
      <alignment horizontal="justify" vertical="center"/>
    </xf>
    <xf numFmtId="0" fontId="60" fillId="6" borderId="4" xfId="99" applyFont="1" applyFill="1" applyBorder="1" applyAlignment="1">
      <alignment horizontal="center" vertical="center"/>
    </xf>
    <xf numFmtId="186" fontId="60" fillId="6" borderId="4" xfId="99" applyNumberFormat="1" applyFont="1" applyFill="1" applyBorder="1" applyAlignment="1">
      <alignment horizontal="center" vertical="center"/>
    </xf>
    <xf numFmtId="185" fontId="14" fillId="0" borderId="0" xfId="70" applyNumberFormat="1" applyFont="1" applyBorder="1"/>
    <xf numFmtId="43" fontId="15" fillId="4" borderId="4" xfId="69" applyFont="1" applyFill="1" applyBorder="1" applyAlignment="1">
      <alignment horizontal="center" vertical="center" wrapText="1"/>
    </xf>
    <xf numFmtId="43" fontId="15" fillId="8" borderId="4" xfId="69" applyFont="1" applyFill="1" applyBorder="1" applyAlignment="1">
      <alignment horizontal="center" vertical="center" wrapText="1"/>
    </xf>
    <xf numFmtId="0" fontId="15" fillId="8" borderId="4" xfId="14" applyFont="1" applyFill="1" applyBorder="1" applyAlignment="1">
      <alignment horizontal="center" vertical="center" wrapText="1"/>
    </xf>
    <xf numFmtId="194" fontId="87" fillId="0" borderId="4" xfId="69" applyNumberFormat="1" applyFont="1" applyFill="1" applyBorder="1" applyAlignment="1">
      <alignment horizontal="center" vertical="center"/>
    </xf>
    <xf numFmtId="10" fontId="6" fillId="0" borderId="0" xfId="70" applyNumberFormat="1" applyFont="1" applyFill="1"/>
    <xf numFmtId="0" fontId="77" fillId="32" borderId="0" xfId="97" applyFont="1" applyFill="1" applyAlignment="1">
      <alignment vertical="top"/>
    </xf>
    <xf numFmtId="0" fontId="88" fillId="32" borderId="0" xfId="97" applyFont="1" applyFill="1" applyAlignment="1">
      <alignment vertical="top"/>
    </xf>
    <xf numFmtId="43" fontId="88" fillId="32" borderId="0" xfId="97" applyNumberFormat="1" applyFont="1" applyFill="1" applyAlignment="1">
      <alignment vertical="top"/>
    </xf>
    <xf numFmtId="43" fontId="8" fillId="0" borderId="0" xfId="69" applyFont="1" applyAlignment="1">
      <alignment vertical="top"/>
    </xf>
    <xf numFmtId="43" fontId="4" fillId="0" borderId="0" xfId="69" applyFont="1" applyFill="1" applyAlignment="1">
      <alignment vertical="top"/>
    </xf>
    <xf numFmtId="0" fontId="2" fillId="0" borderId="4" xfId="107" applyFont="1" applyBorder="1" applyAlignment="1">
      <alignment vertical="top"/>
    </xf>
    <xf numFmtId="43" fontId="4" fillId="0" borderId="4" xfId="107" applyNumberFormat="1" applyBorder="1" applyAlignment="1">
      <alignment vertical="top"/>
    </xf>
    <xf numFmtId="1" fontId="95" fillId="0" borderId="0" xfId="69" applyNumberFormat="1" applyFont="1" applyAlignment="1">
      <alignment horizontal="left" vertical="center"/>
    </xf>
    <xf numFmtId="1" fontId="69" fillId="0" borderId="0" xfId="69" applyNumberFormat="1" applyFont="1" applyFill="1" applyBorder="1" applyAlignment="1">
      <alignment horizontal="left" vertical="center"/>
    </xf>
    <xf numFmtId="0" fontId="79" fillId="0" borderId="0" xfId="14" applyFont="1" applyFill="1">
      <alignment vertical="center"/>
    </xf>
    <xf numFmtId="0" fontId="15" fillId="0" borderId="0" xfId="10" applyFont="1" applyFill="1" applyBorder="1" applyAlignment="1">
      <alignment vertical="top"/>
    </xf>
    <xf numFmtId="43" fontId="97" fillId="7" borderId="0" xfId="10" applyNumberFormat="1" applyFont="1" applyFill="1" applyBorder="1" applyAlignment="1">
      <alignment horizontal="center" vertical="center"/>
    </xf>
    <xf numFmtId="164" fontId="82" fillId="7" borderId="4" xfId="10" applyNumberFormat="1" applyFont="1" applyFill="1" applyBorder="1" applyAlignment="1">
      <alignment horizontal="center" vertical="center"/>
    </xf>
    <xf numFmtId="0" fontId="15" fillId="0" borderId="4" xfId="0" applyFont="1" applyBorder="1" applyAlignment="1">
      <alignment horizontal="center" vertical="center"/>
    </xf>
    <xf numFmtId="0" fontId="15" fillId="0" borderId="0" xfId="0" applyFont="1"/>
    <xf numFmtId="164" fontId="83" fillId="0" borderId="0" xfId="0" applyNumberFormat="1" applyFont="1" applyAlignment="1">
      <alignment horizontal="center" vertical="center"/>
    </xf>
    <xf numFmtId="43" fontId="83" fillId="0" borderId="0" xfId="69" applyFont="1" applyAlignment="1">
      <alignment horizontal="center" vertical="center"/>
    </xf>
    <xf numFmtId="164" fontId="98" fillId="0" borderId="0" xfId="0" applyNumberFormat="1" applyFont="1"/>
    <xf numFmtId="43" fontId="98" fillId="0" borderId="0" xfId="69" applyFont="1"/>
    <xf numFmtId="9" fontId="83" fillId="0" borderId="0" xfId="14" applyNumberFormat="1" applyFont="1">
      <alignment vertical="center"/>
    </xf>
    <xf numFmtId="9" fontId="83" fillId="0" borderId="0" xfId="70" applyFont="1" applyAlignment="1">
      <alignment vertical="center"/>
    </xf>
    <xf numFmtId="43" fontId="15" fillId="0" borderId="4" xfId="69" applyFont="1" applyFill="1" applyBorder="1" applyAlignment="1">
      <alignment horizontal="left" vertical="top"/>
    </xf>
    <xf numFmtId="43" fontId="83" fillId="0" borderId="0" xfId="69" applyFont="1" applyBorder="1" applyAlignment="1">
      <alignment horizontal="centerContinuous" vertical="center"/>
    </xf>
    <xf numFmtId="9" fontId="83" fillId="0" borderId="0" xfId="10" applyNumberFormat="1" applyFont="1" applyFill="1" applyBorder="1" applyAlignment="1">
      <alignment vertical="center"/>
    </xf>
    <xf numFmtId="9" fontId="83" fillId="5" borderId="0" xfId="10" applyNumberFormat="1" applyFont="1" applyFill="1" applyBorder="1" applyAlignment="1">
      <alignment vertical="center"/>
    </xf>
    <xf numFmtId="43" fontId="82" fillId="5" borderId="0" xfId="69" applyFont="1" applyFill="1" applyBorder="1" applyAlignment="1">
      <alignment horizontal="left" vertical="top"/>
    </xf>
    <xf numFmtId="43" fontId="82" fillId="0" borderId="0" xfId="69" applyFont="1" applyBorder="1" applyAlignment="1">
      <alignment horizontal="left"/>
    </xf>
    <xf numFmtId="43" fontId="15" fillId="0" borderId="4" xfId="74" applyFont="1" applyBorder="1"/>
    <xf numFmtId="9" fontId="14" fillId="0" borderId="4" xfId="70" applyFont="1" applyBorder="1"/>
    <xf numFmtId="43" fontId="14" fillId="0" borderId="0" xfId="69" applyFont="1" applyFill="1" applyBorder="1" applyAlignment="1">
      <alignment horizontal="left" vertical="center"/>
    </xf>
    <xf numFmtId="0" fontId="14" fillId="0" borderId="5" xfId="10" applyFont="1" applyFill="1" applyBorder="1" applyAlignment="1" applyProtection="1">
      <alignment vertical="top" wrapText="1"/>
    </xf>
    <xf numFmtId="0" fontId="99" fillId="0" borderId="5" xfId="10" applyFont="1" applyFill="1" applyBorder="1" applyAlignment="1" applyProtection="1">
      <alignment vertical="top" wrapText="1"/>
    </xf>
    <xf numFmtId="0" fontId="14" fillId="0" borderId="5" xfId="10" applyFont="1" applyFill="1" applyBorder="1" applyAlignment="1" applyProtection="1">
      <alignment horizontal="left" vertical="top" wrapText="1"/>
    </xf>
    <xf numFmtId="0" fontId="14" fillId="0" borderId="5" xfId="10" applyFont="1" applyBorder="1" applyAlignment="1">
      <alignment wrapText="1"/>
    </xf>
    <xf numFmtId="43" fontId="15" fillId="0" borderId="4" xfId="96" applyFont="1" applyBorder="1" applyAlignment="1">
      <alignment wrapText="1"/>
    </xf>
    <xf numFmtId="0" fontId="15" fillId="0" borderId="5" xfId="10" applyFont="1" applyBorder="1" applyAlignment="1">
      <alignment wrapText="1"/>
    </xf>
    <xf numFmtId="0" fontId="18" fillId="0" borderId="0" xfId="14" applyFont="1" applyAlignment="1">
      <alignment horizontal="center" vertical="center"/>
    </xf>
    <xf numFmtId="0" fontId="25" fillId="0" borderId="0" xfId="10" applyAlignment="1">
      <alignment horizontal="center" vertical="center"/>
    </xf>
    <xf numFmtId="0" fontId="18" fillId="0" borderId="0" xfId="10" applyFont="1" applyBorder="1" applyAlignment="1">
      <alignment horizontal="center" vertical="center" wrapText="1"/>
    </xf>
    <xf numFmtId="0" fontId="25" fillId="0" borderId="0" xfId="10" applyAlignment="1">
      <alignment horizontal="center" vertical="center" wrapText="1"/>
    </xf>
    <xf numFmtId="0" fontId="18" fillId="4" borderId="7" xfId="14" applyFont="1" applyFill="1" applyBorder="1" applyAlignment="1">
      <alignment horizontal="center" vertical="center"/>
    </xf>
    <xf numFmtId="0" fontId="18" fillId="4" borderId="9" xfId="14" applyFont="1" applyFill="1" applyBorder="1" applyAlignment="1">
      <alignment horizontal="center" vertical="center"/>
    </xf>
    <xf numFmtId="0" fontId="23" fillId="0" borderId="6" xfId="10" applyFont="1" applyBorder="1" applyAlignment="1">
      <alignment horizontal="center" vertical="center"/>
    </xf>
    <xf numFmtId="0" fontId="18" fillId="4" borderId="4" xfId="14" applyFont="1" applyFill="1" applyBorder="1" applyAlignment="1">
      <alignment horizontal="center" vertical="center"/>
    </xf>
    <xf numFmtId="0" fontId="23" fillId="0" borderId="4" xfId="10" applyFont="1" applyBorder="1" applyAlignment="1">
      <alignment horizontal="center" vertical="center"/>
    </xf>
    <xf numFmtId="43" fontId="75" fillId="0" borderId="9" xfId="0" applyNumberFormat="1" applyFont="1" applyFill="1" applyBorder="1" applyAlignment="1">
      <alignment horizontal="center" vertical="center"/>
    </xf>
    <xf numFmtId="43" fontId="75" fillId="7" borderId="9" xfId="0" applyNumberFormat="1" applyFont="1" applyFill="1" applyBorder="1" applyAlignment="1">
      <alignment horizontal="center" vertical="center"/>
    </xf>
    <xf numFmtId="0" fontId="78" fillId="7" borderId="4" xfId="0" applyFont="1" applyFill="1" applyBorder="1" applyAlignment="1">
      <alignment horizontal="center" vertical="center"/>
    </xf>
    <xf numFmtId="0" fontId="84" fillId="24" borderId="20" xfId="0" applyFont="1" applyFill="1" applyBorder="1" applyAlignment="1">
      <alignment horizontal="center" vertical="center"/>
    </xf>
    <xf numFmtId="0" fontId="84" fillId="24" borderId="16" xfId="0" applyFont="1" applyFill="1" applyBorder="1" applyAlignment="1">
      <alignment horizontal="center" vertical="center"/>
    </xf>
    <xf numFmtId="0" fontId="84" fillId="24" borderId="29" xfId="0" applyFont="1" applyFill="1" applyBorder="1" applyAlignment="1">
      <alignment horizontal="center" vertical="center"/>
    </xf>
    <xf numFmtId="0" fontId="78" fillId="0" borderId="0" xfId="0" applyFont="1" applyFill="1" applyAlignment="1">
      <alignment horizontal="left" vertical="center"/>
    </xf>
    <xf numFmtId="0" fontId="78" fillId="7" borderId="54" xfId="0" applyFont="1" applyFill="1" applyBorder="1" applyAlignment="1">
      <alignment horizontal="center" vertical="center"/>
    </xf>
    <xf numFmtId="0" fontId="75" fillId="7" borderId="2" xfId="0" applyFont="1" applyFill="1" applyBorder="1" applyAlignment="1">
      <alignment horizontal="center" vertical="center"/>
    </xf>
    <xf numFmtId="0" fontId="60" fillId="21" borderId="4" xfId="99" applyFont="1" applyFill="1" applyBorder="1" applyAlignment="1">
      <alignment horizontal="center"/>
    </xf>
    <xf numFmtId="0" fontId="69" fillId="8" borderId="0" xfId="97" applyFont="1" applyFill="1" applyAlignment="1">
      <alignment horizontal="center" vertical="top"/>
    </xf>
    <xf numFmtId="164" fontId="60" fillId="0" borderId="4" xfId="98" applyFont="1" applyBorder="1" applyAlignment="1">
      <alignment horizontal="center" vertical="center"/>
    </xf>
    <xf numFmtId="43" fontId="25" fillId="0" borderId="5" xfId="69" applyFont="1" applyBorder="1" applyAlignment="1">
      <alignment horizontal="right" vertical="center"/>
    </xf>
    <xf numFmtId="43" fontId="25" fillId="0" borderId="3" xfId="69" applyFont="1" applyBorder="1" applyAlignment="1">
      <alignment horizontal="right" vertical="center"/>
    </xf>
    <xf numFmtId="43" fontId="25" fillId="0" borderId="8" xfId="69" applyFont="1" applyBorder="1" applyAlignment="1">
      <alignment horizontal="right" vertical="center"/>
    </xf>
    <xf numFmtId="164" fontId="69" fillId="0" borderId="5" xfId="98" applyFont="1" applyBorder="1" applyAlignment="1">
      <alignment horizontal="right" vertical="center"/>
    </xf>
    <xf numFmtId="164" fontId="69" fillId="0" borderId="3" xfId="98" applyFont="1" applyBorder="1" applyAlignment="1">
      <alignment horizontal="right" vertical="center"/>
    </xf>
    <xf numFmtId="164" fontId="69" fillId="0" borderId="8" xfId="98" applyFont="1" applyBorder="1" applyAlignment="1">
      <alignment horizontal="right" vertical="center"/>
    </xf>
    <xf numFmtId="0" fontId="60" fillId="0" borderId="4" xfId="97" applyFont="1" applyBorder="1" applyAlignment="1">
      <alignment horizontal="left" vertical="top"/>
    </xf>
    <xf numFmtId="164" fontId="25" fillId="0" borderId="5" xfId="98" applyFont="1" applyBorder="1" applyAlignment="1">
      <alignment horizontal="right" vertical="center"/>
    </xf>
    <xf numFmtId="164" fontId="25" fillId="0" borderId="3" xfId="98" applyFont="1" applyBorder="1" applyAlignment="1">
      <alignment horizontal="right" vertical="center"/>
    </xf>
    <xf numFmtId="164" fontId="25" fillId="0" borderId="8" xfId="98" applyFont="1" applyBorder="1" applyAlignment="1">
      <alignment horizontal="right" vertical="center"/>
    </xf>
    <xf numFmtId="0" fontId="60" fillId="0" borderId="4" xfId="97" applyFont="1" applyBorder="1" applyAlignment="1">
      <alignment horizontal="center" vertical="top"/>
    </xf>
    <xf numFmtId="0" fontId="60" fillId="0" borderId="4" xfId="107" applyFont="1" applyBorder="1" applyAlignment="1">
      <alignment horizontal="center" vertical="top"/>
    </xf>
    <xf numFmtId="0" fontId="15" fillId="4" borderId="5" xfId="63" applyFont="1" applyFill="1" applyBorder="1" applyAlignment="1">
      <alignment horizontal="center" vertical="center" wrapText="1"/>
    </xf>
    <xf numFmtId="0" fontId="15" fillId="4" borderId="8" xfId="63" applyFont="1" applyFill="1" applyBorder="1" applyAlignment="1">
      <alignment horizontal="center" vertical="center" wrapText="1"/>
    </xf>
    <xf numFmtId="0" fontId="15" fillId="4" borderId="4" xfId="63" applyFont="1" applyFill="1" applyBorder="1" applyAlignment="1">
      <alignment horizontal="center" vertical="center" wrapText="1"/>
    </xf>
    <xf numFmtId="0" fontId="14" fillId="0" borderId="4" xfId="27" applyFont="1" applyBorder="1" applyAlignment="1">
      <alignment horizontal="center" vertical="center" wrapText="1"/>
    </xf>
    <xf numFmtId="0" fontId="15" fillId="4" borderId="3" xfId="63" applyFont="1" applyFill="1" applyBorder="1" applyAlignment="1">
      <alignment horizontal="center" vertical="center" wrapText="1"/>
    </xf>
    <xf numFmtId="0" fontId="15" fillId="4" borderId="7" xfId="14" applyFont="1" applyFill="1" applyBorder="1" applyAlignment="1">
      <alignment horizontal="center" vertical="center" wrapText="1"/>
    </xf>
    <xf numFmtId="0" fontId="15" fillId="4" borderId="9" xfId="14" applyFont="1" applyFill="1" applyBorder="1" applyAlignment="1">
      <alignment horizontal="center" vertical="center" wrapText="1"/>
    </xf>
    <xf numFmtId="0" fontId="25" fillId="0" borderId="6" xfId="10" applyBorder="1" applyAlignment="1">
      <alignment horizontal="center" vertical="center" wrapText="1"/>
    </xf>
    <xf numFmtId="0" fontId="15" fillId="4" borderId="4" xfId="14" applyFont="1" applyFill="1" applyBorder="1" applyAlignment="1">
      <alignment horizontal="center" vertical="center" wrapText="1"/>
    </xf>
    <xf numFmtId="0" fontId="25" fillId="0" borderId="4" xfId="10" applyBorder="1" applyAlignment="1">
      <alignment horizontal="center" vertical="center" wrapText="1"/>
    </xf>
    <xf numFmtId="0" fontId="15" fillId="4" borderId="4" xfId="14" applyFont="1" applyFill="1" applyBorder="1" applyAlignment="1">
      <alignment horizontal="center" vertical="center"/>
    </xf>
    <xf numFmtId="0" fontId="25" fillId="0" borderId="4" xfId="10" applyBorder="1" applyAlignment="1">
      <alignment horizontal="center" vertical="center"/>
    </xf>
    <xf numFmtId="0" fontId="69" fillId="4" borderId="9" xfId="14" applyFont="1" applyFill="1" applyBorder="1" applyAlignment="1">
      <alignment horizontal="center" vertical="center" wrapText="1"/>
    </xf>
    <xf numFmtId="0" fontId="66" fillId="0" borderId="4" xfId="0" applyFont="1" applyBorder="1" applyAlignment="1">
      <alignment horizontal="center" vertical="center"/>
    </xf>
    <xf numFmtId="0" fontId="66" fillId="0" borderId="4" xfId="0" applyFont="1" applyBorder="1" applyAlignment="1">
      <alignment horizontal="center"/>
    </xf>
    <xf numFmtId="0" fontId="60" fillId="0" borderId="52" xfId="103" applyFont="1" applyBorder="1" applyAlignment="1">
      <alignment horizontal="center"/>
    </xf>
    <xf numFmtId="0" fontId="60" fillId="0" borderId="2" xfId="103" applyFont="1" applyBorder="1" applyAlignment="1">
      <alignment horizontal="center"/>
    </xf>
    <xf numFmtId="0" fontId="60" fillId="0" borderId="53" xfId="103" applyFont="1" applyBorder="1" applyAlignment="1">
      <alignment horizontal="center"/>
    </xf>
    <xf numFmtId="43" fontId="15" fillId="4" borderId="5" xfId="69" applyFont="1" applyFill="1" applyBorder="1" applyAlignment="1">
      <alignment horizontal="center" vertical="center" wrapText="1"/>
    </xf>
    <xf numFmtId="43" fontId="15" fillId="4" borderId="8" xfId="69" applyFont="1" applyFill="1" applyBorder="1" applyAlignment="1">
      <alignment horizontal="center" vertical="center" wrapText="1"/>
    </xf>
    <xf numFmtId="43" fontId="15" fillId="4" borderId="4" xfId="69" applyFont="1" applyFill="1" applyBorder="1" applyAlignment="1">
      <alignment horizontal="center" vertical="center" wrapText="1"/>
    </xf>
    <xf numFmtId="43" fontId="14" fillId="0" borderId="4" xfId="69" applyFont="1" applyBorder="1" applyAlignment="1">
      <alignment horizontal="center" vertical="center" wrapText="1"/>
    </xf>
    <xf numFmtId="43" fontId="15" fillId="4" borderId="7" xfId="69" applyFont="1" applyFill="1" applyBorder="1" applyAlignment="1">
      <alignment horizontal="center" vertical="center" wrapText="1"/>
    </xf>
    <xf numFmtId="43" fontId="15" fillId="4" borderId="9" xfId="69" applyFont="1" applyFill="1" applyBorder="1" applyAlignment="1">
      <alignment horizontal="center" vertical="center" wrapText="1"/>
    </xf>
    <xf numFmtId="43" fontId="15" fillId="4" borderId="6" xfId="69" applyFont="1" applyFill="1" applyBorder="1" applyAlignment="1">
      <alignment horizontal="center" vertical="center" wrapText="1"/>
    </xf>
    <xf numFmtId="43" fontId="15" fillId="4" borderId="3" xfId="69" applyFont="1" applyFill="1" applyBorder="1" applyAlignment="1">
      <alignment horizontal="center" vertical="center" wrapText="1"/>
    </xf>
    <xf numFmtId="43" fontId="15" fillId="4" borderId="5" xfId="69" applyFont="1" applyFill="1" applyBorder="1" applyAlignment="1">
      <alignment horizontal="center" vertical="center"/>
    </xf>
    <xf numFmtId="43" fontId="15" fillId="4" borderId="3" xfId="69" applyFont="1" applyFill="1" applyBorder="1" applyAlignment="1">
      <alignment horizontal="center" vertical="center"/>
    </xf>
    <xf numFmtId="43" fontId="15" fillId="4" borderId="10" xfId="69" applyFont="1" applyFill="1" applyBorder="1" applyAlignment="1">
      <alignment horizontal="center" vertical="center" wrapText="1"/>
    </xf>
    <xf numFmtId="43" fontId="15" fillId="4" borderId="12" xfId="69" applyFont="1" applyFill="1" applyBorder="1" applyAlignment="1">
      <alignment horizontal="center" vertical="center" wrapText="1"/>
    </xf>
    <xf numFmtId="0" fontId="15" fillId="0" borderId="0" xfId="10" applyFont="1" applyBorder="1" applyAlignment="1">
      <alignment horizontal="center" vertical="center"/>
    </xf>
    <xf numFmtId="0" fontId="15" fillId="4" borderId="5" xfId="14" applyFont="1" applyFill="1" applyBorder="1" applyAlignment="1">
      <alignment horizontal="center" vertical="center" wrapText="1"/>
    </xf>
    <xf numFmtId="0" fontId="15" fillId="4" borderId="8" xfId="14" applyFont="1" applyFill="1" applyBorder="1" applyAlignment="1">
      <alignment horizontal="center" vertical="center" wrapText="1"/>
    </xf>
    <xf numFmtId="0" fontId="15" fillId="4" borderId="7" xfId="63" applyFont="1" applyFill="1" applyBorder="1" applyAlignment="1">
      <alignment horizontal="center" vertical="center" wrapText="1"/>
    </xf>
    <xf numFmtId="0" fontId="15" fillId="4" borderId="9" xfId="63" applyFont="1" applyFill="1" applyBorder="1" applyAlignment="1">
      <alignment horizontal="center" vertical="center" wrapText="1"/>
    </xf>
    <xf numFmtId="0" fontId="15" fillId="4" borderId="6" xfId="63" applyFont="1" applyFill="1" applyBorder="1" applyAlignment="1">
      <alignment horizontal="center" vertical="center" wrapText="1"/>
    </xf>
    <xf numFmtId="0" fontId="15" fillId="4" borderId="7" xfId="10" applyFont="1" applyFill="1" applyBorder="1" applyAlignment="1">
      <alignment horizontal="center" vertical="center" wrapText="1"/>
    </xf>
    <xf numFmtId="0" fontId="15" fillId="4" borderId="9" xfId="10" applyFont="1" applyFill="1" applyBorder="1" applyAlignment="1">
      <alignment horizontal="center" vertical="center" wrapText="1"/>
    </xf>
    <xf numFmtId="0" fontId="15" fillId="4" borderId="6" xfId="10" applyFont="1" applyFill="1" applyBorder="1" applyAlignment="1">
      <alignment horizontal="center" vertical="center" wrapText="1"/>
    </xf>
    <xf numFmtId="0" fontId="15" fillId="0" borderId="0" xfId="0" applyFont="1" applyBorder="1" applyAlignment="1">
      <alignment horizontal="center" vertical="center"/>
    </xf>
    <xf numFmtId="43" fontId="14" fillId="0" borderId="7" xfId="69" applyFont="1" applyFill="1" applyBorder="1" applyAlignment="1">
      <alignment horizontal="center" vertical="center"/>
    </xf>
    <xf numFmtId="43" fontId="14" fillId="0" borderId="9" xfId="69" applyFont="1" applyFill="1" applyBorder="1" applyAlignment="1">
      <alignment horizontal="center" vertical="center"/>
    </xf>
    <xf numFmtId="43" fontId="14" fillId="0" borderId="6" xfId="69" applyFont="1" applyFill="1" applyBorder="1" applyAlignment="1">
      <alignment horizontal="center" vertical="center"/>
    </xf>
    <xf numFmtId="43" fontId="14" fillId="0" borderId="7" xfId="69" applyFont="1" applyBorder="1" applyAlignment="1">
      <alignment horizontal="center" vertical="center"/>
    </xf>
    <xf numFmtId="43" fontId="14" fillId="0" borderId="9" xfId="69" applyFont="1" applyBorder="1" applyAlignment="1">
      <alignment horizontal="center" vertical="center"/>
    </xf>
    <xf numFmtId="43" fontId="14" fillId="0" borderId="6" xfId="69" applyFont="1" applyBorder="1" applyAlignment="1">
      <alignment horizontal="center" vertical="center"/>
    </xf>
    <xf numFmtId="0" fontId="15" fillId="4" borderId="6" xfId="14" applyFont="1" applyFill="1" applyBorder="1" applyAlignment="1">
      <alignment horizontal="center" vertical="center" wrapText="1"/>
    </xf>
    <xf numFmtId="0" fontId="15" fillId="4" borderId="7" xfId="14" applyFont="1" applyFill="1" applyBorder="1" applyAlignment="1">
      <alignment horizontal="left" vertical="center" wrapText="1"/>
    </xf>
    <xf numFmtId="0" fontId="15" fillId="4" borderId="6" xfId="14" applyFont="1" applyFill="1" applyBorder="1" applyAlignment="1">
      <alignment horizontal="left" vertical="center" wrapText="1"/>
    </xf>
    <xf numFmtId="43" fontId="15" fillId="4" borderId="7" xfId="69" applyFont="1" applyFill="1" applyBorder="1" applyAlignment="1">
      <alignment horizontal="right" vertical="center" wrapText="1"/>
    </xf>
    <xf numFmtId="43" fontId="15" fillId="4" borderId="6" xfId="69" applyFont="1" applyFill="1" applyBorder="1" applyAlignment="1">
      <alignment horizontal="right" vertical="center" wrapText="1"/>
    </xf>
    <xf numFmtId="0" fontId="14" fillId="0" borderId="9" xfId="14" applyFont="1" applyBorder="1" applyAlignment="1">
      <alignment horizontal="center" vertical="center"/>
    </xf>
    <xf numFmtId="0" fontId="15" fillId="4" borderId="3" xfId="14" applyFont="1" applyFill="1" applyBorder="1" applyAlignment="1">
      <alignment horizontal="center" vertical="center" wrapText="1"/>
    </xf>
    <xf numFmtId="0" fontId="59" fillId="0" borderId="4" xfId="0" applyFont="1" applyBorder="1" applyAlignment="1">
      <alignment horizontal="center" vertical="top"/>
    </xf>
    <xf numFmtId="0" fontId="59" fillId="29" borderId="4" xfId="0" applyFont="1" applyFill="1" applyBorder="1" applyAlignment="1">
      <alignment horizontal="center" vertical="top" wrapText="1"/>
    </xf>
    <xf numFmtId="0" fontId="59" fillId="0" borderId="5" xfId="0" applyFont="1" applyBorder="1" applyAlignment="1">
      <alignment horizontal="center" vertical="center"/>
    </xf>
    <xf numFmtId="0" fontId="59" fillId="0" borderId="8" xfId="0" applyFont="1" applyBorder="1" applyAlignment="1">
      <alignment horizontal="center" vertical="center"/>
    </xf>
    <xf numFmtId="0" fontId="15" fillId="0" borderId="4" xfId="14" applyFont="1" applyBorder="1" applyAlignment="1">
      <alignment horizontal="center" vertical="center" wrapText="1"/>
    </xf>
    <xf numFmtId="10" fontId="25" fillId="0" borderId="5" xfId="10" applyNumberFormat="1" applyBorder="1" applyAlignment="1">
      <alignment horizontal="center"/>
    </xf>
    <xf numFmtId="0" fontId="25" fillId="0" borderId="3" xfId="10" applyBorder="1" applyAlignment="1">
      <alignment horizontal="center"/>
    </xf>
    <xf numFmtId="0" fontId="25" fillId="0" borderId="8" xfId="10" applyBorder="1" applyAlignment="1">
      <alignment horizontal="center"/>
    </xf>
    <xf numFmtId="10" fontId="59" fillId="0" borderId="5" xfId="10" applyNumberFormat="1" applyFont="1" applyBorder="1" applyAlignment="1">
      <alignment horizontal="center"/>
    </xf>
    <xf numFmtId="0" fontId="59" fillId="0" borderId="8" xfId="10" applyFont="1" applyBorder="1" applyAlignment="1">
      <alignment horizontal="center"/>
    </xf>
    <xf numFmtId="2" fontId="59" fillId="0" borderId="5" xfId="10" applyNumberFormat="1" applyFont="1" applyBorder="1" applyAlignment="1">
      <alignment horizontal="center" vertical="center"/>
    </xf>
    <xf numFmtId="2" fontId="59" fillId="0" borderId="3" xfId="10" applyNumberFormat="1" applyFont="1" applyBorder="1" applyAlignment="1">
      <alignment horizontal="center" vertical="center"/>
    </xf>
    <xf numFmtId="2" fontId="59" fillId="0" borderId="8" xfId="10" applyNumberFormat="1" applyFont="1" applyBorder="1" applyAlignment="1">
      <alignment horizontal="center" vertical="center"/>
    </xf>
    <xf numFmtId="9" fontId="25" fillId="0" borderId="5" xfId="10" applyNumberFormat="1" applyBorder="1" applyAlignment="1">
      <alignment horizontal="center"/>
    </xf>
    <xf numFmtId="10" fontId="59" fillId="0" borderId="5" xfId="70" applyNumberFormat="1" applyFont="1" applyBorder="1" applyAlignment="1">
      <alignment horizontal="center"/>
    </xf>
    <xf numFmtId="10" fontId="59" fillId="0" borderId="3" xfId="70" applyNumberFormat="1" applyFont="1" applyBorder="1" applyAlignment="1">
      <alignment horizontal="center"/>
    </xf>
    <xf numFmtId="10" fontId="59" fillId="0" borderId="8" xfId="70" applyNumberFormat="1" applyFont="1" applyBorder="1" applyAlignment="1">
      <alignment horizontal="center"/>
    </xf>
    <xf numFmtId="10" fontId="25" fillId="0" borderId="3" xfId="10" applyNumberFormat="1" applyBorder="1" applyAlignment="1">
      <alignment horizontal="center"/>
    </xf>
    <xf numFmtId="10" fontId="25" fillId="0" borderId="8" xfId="10" applyNumberFormat="1" applyBorder="1" applyAlignment="1">
      <alignment horizontal="center"/>
    </xf>
    <xf numFmtId="0" fontId="59" fillId="0" borderId="3" xfId="10" applyFont="1" applyBorder="1" applyAlignment="1">
      <alignment horizontal="center"/>
    </xf>
    <xf numFmtId="10" fontId="25" fillId="0" borderId="5" xfId="70" applyNumberFormat="1" applyFont="1" applyBorder="1" applyAlignment="1">
      <alignment horizontal="center"/>
    </xf>
    <xf numFmtId="10" fontId="25" fillId="0" borderId="3" xfId="70" applyNumberFormat="1" applyFont="1" applyBorder="1" applyAlignment="1">
      <alignment horizontal="center"/>
    </xf>
    <xf numFmtId="10" fontId="25" fillId="0" borderId="8" xfId="70" applyNumberFormat="1" applyFont="1" applyBorder="1" applyAlignment="1">
      <alignment horizontal="center"/>
    </xf>
    <xf numFmtId="0" fontId="25" fillId="0" borderId="14" xfId="10" applyBorder="1" applyAlignment="1">
      <alignment horizontal="center" vertical="center"/>
    </xf>
    <xf numFmtId="0" fontId="25" fillId="0" borderId="19" xfId="10" applyBorder="1" applyAlignment="1">
      <alignment horizontal="center" vertical="center"/>
    </xf>
    <xf numFmtId="0" fontId="25" fillId="0" borderId="10" xfId="10" applyBorder="1" applyAlignment="1">
      <alignment horizontal="center" wrapText="1"/>
    </xf>
    <xf numFmtId="0" fontId="25" fillId="0" borderId="14" xfId="10" applyBorder="1" applyAlignment="1">
      <alignment horizontal="center" wrapText="1"/>
    </xf>
    <xf numFmtId="0" fontId="25" fillId="0" borderId="12" xfId="10" applyBorder="1" applyAlignment="1">
      <alignment horizontal="center" wrapText="1"/>
    </xf>
    <xf numFmtId="0" fontId="25" fillId="0" borderId="19" xfId="10" applyBorder="1" applyAlignment="1">
      <alignment horizontal="center" wrapText="1"/>
    </xf>
    <xf numFmtId="43" fontId="14" fillId="0" borderId="7" xfId="69" applyFont="1" applyFill="1" applyBorder="1" applyAlignment="1" applyProtection="1">
      <alignment horizontal="center" vertical="center"/>
    </xf>
    <xf numFmtId="43" fontId="14" fillId="0" borderId="9" xfId="69" applyFont="1" applyFill="1" applyBorder="1" applyAlignment="1" applyProtection="1">
      <alignment horizontal="center" vertical="center"/>
    </xf>
    <xf numFmtId="43" fontId="14" fillId="0" borderId="6" xfId="69" applyFont="1" applyFill="1" applyBorder="1" applyAlignment="1" applyProtection="1">
      <alignment horizontal="center" vertical="center"/>
    </xf>
    <xf numFmtId="0" fontId="16" fillId="0" borderId="0" xfId="10" applyFont="1" applyAlignment="1">
      <alignment horizontal="center" vertical="center"/>
    </xf>
    <xf numFmtId="0" fontId="16" fillId="0" borderId="6" xfId="10" applyFont="1" applyBorder="1" applyAlignment="1">
      <alignment horizontal="center" vertical="center" wrapText="1"/>
    </xf>
    <xf numFmtId="0" fontId="16" fillId="0" borderId="4" xfId="10" applyFont="1" applyBorder="1" applyAlignment="1">
      <alignment horizontal="center" vertical="center"/>
    </xf>
    <xf numFmtId="0" fontId="16" fillId="0" borderId="4" xfId="27" applyFont="1" applyBorder="1" applyAlignment="1">
      <alignment horizontal="center" vertical="center" wrapText="1"/>
    </xf>
    <xf numFmtId="43" fontId="15" fillId="8" borderId="4" xfId="69" applyFont="1" applyFill="1" applyBorder="1" applyAlignment="1">
      <alignment horizontal="center" vertical="center" wrapText="1"/>
    </xf>
    <xf numFmtId="43" fontId="14" fillId="8" borderId="4" xfId="69" applyFont="1" applyFill="1" applyBorder="1" applyAlignment="1">
      <alignment horizontal="center" vertical="center" wrapText="1"/>
    </xf>
    <xf numFmtId="43" fontId="15" fillId="8" borderId="5" xfId="69" applyFont="1" applyFill="1" applyBorder="1" applyAlignment="1">
      <alignment horizontal="center" vertical="center" wrapText="1"/>
    </xf>
    <xf numFmtId="43" fontId="15" fillId="8" borderId="3" xfId="69" applyFont="1" applyFill="1" applyBorder="1" applyAlignment="1">
      <alignment horizontal="center" vertical="center" wrapText="1"/>
    </xf>
    <xf numFmtId="43" fontId="15" fillId="8" borderId="8" xfId="69" applyFont="1" applyFill="1" applyBorder="1" applyAlignment="1">
      <alignment horizontal="center" vertical="center" wrapText="1"/>
    </xf>
    <xf numFmtId="0" fontId="15" fillId="8" borderId="5" xfId="14" applyFont="1" applyFill="1" applyBorder="1" applyAlignment="1">
      <alignment horizontal="center" vertical="center" wrapText="1"/>
    </xf>
    <xf numFmtId="0" fontId="15" fillId="8" borderId="8" xfId="14" applyFont="1" applyFill="1" applyBorder="1" applyAlignment="1">
      <alignment horizontal="center" vertical="center" wrapText="1"/>
    </xf>
    <xf numFmtId="0" fontId="15" fillId="8" borderId="4" xfId="14" applyFont="1" applyFill="1" applyBorder="1" applyAlignment="1">
      <alignment horizontal="center" vertical="center" wrapText="1"/>
    </xf>
    <xf numFmtId="0" fontId="14" fillId="8" borderId="4" xfId="10" applyFont="1" applyFill="1" applyBorder="1" applyAlignment="1">
      <alignment horizontal="center" vertical="center" wrapText="1"/>
    </xf>
    <xf numFmtId="0" fontId="15" fillId="0" borderId="0" xfId="14" applyFont="1" applyAlignment="1">
      <alignment horizontal="center" vertical="center"/>
    </xf>
    <xf numFmtId="0" fontId="15" fillId="8" borderId="4" xfId="10" applyFont="1" applyFill="1" applyBorder="1" applyAlignment="1">
      <alignment horizontal="center" vertical="center" wrapText="1"/>
    </xf>
    <xf numFmtId="0" fontId="15" fillId="8" borderId="3" xfId="14" applyFont="1" applyFill="1" applyBorder="1" applyAlignment="1">
      <alignment horizontal="center" vertical="center" wrapText="1"/>
    </xf>
    <xf numFmtId="43" fontId="15" fillId="8" borderId="4" xfId="69" applyFont="1" applyFill="1" applyBorder="1" applyAlignment="1">
      <alignment horizontal="center" wrapText="1"/>
    </xf>
    <xf numFmtId="43" fontId="15" fillId="0" borderId="0" xfId="69" applyFont="1" applyAlignment="1">
      <alignment horizontal="left"/>
    </xf>
    <xf numFmtId="43" fontId="14" fillId="0" borderId="7" xfId="69" applyFont="1" applyBorder="1" applyAlignment="1">
      <alignment horizontal="right" vertical="center"/>
    </xf>
    <xf numFmtId="43" fontId="14" fillId="0" borderId="9" xfId="69" applyFont="1" applyBorder="1" applyAlignment="1">
      <alignment horizontal="right" vertical="center"/>
    </xf>
    <xf numFmtId="43" fontId="14" fillId="0" borderId="6" xfId="69" applyFont="1" applyBorder="1" applyAlignment="1">
      <alignment horizontal="right" vertical="center"/>
    </xf>
    <xf numFmtId="0" fontId="15" fillId="4" borderId="7" xfId="14" applyFont="1" applyFill="1" applyBorder="1" applyAlignment="1">
      <alignment horizontal="center" vertical="center"/>
    </xf>
    <xf numFmtId="0" fontId="15" fillId="4" borderId="9" xfId="14" applyFont="1" applyFill="1" applyBorder="1" applyAlignment="1">
      <alignment horizontal="center" vertical="center"/>
    </xf>
    <xf numFmtId="0" fontId="69" fillId="4" borderId="7" xfId="14" applyFont="1" applyFill="1" applyBorder="1" applyAlignment="1">
      <alignment horizontal="center" vertical="center" wrapText="1"/>
    </xf>
    <xf numFmtId="0" fontId="14" fillId="0" borderId="6" xfId="10" applyFont="1" applyBorder="1" applyAlignment="1">
      <alignment horizontal="center" vertical="center" wrapText="1"/>
    </xf>
    <xf numFmtId="0" fontId="14" fillId="0" borderId="4" xfId="10" applyFont="1" applyBorder="1" applyAlignment="1">
      <alignment horizontal="center" vertical="center"/>
    </xf>
    <xf numFmtId="0" fontId="14" fillId="0" borderId="0" xfId="10" applyFont="1" applyAlignment="1">
      <alignment horizontal="center" vertical="center"/>
    </xf>
    <xf numFmtId="0" fontId="14" fillId="0" borderId="4" xfId="10" applyFont="1" applyBorder="1" applyAlignment="1">
      <alignment horizontal="center" vertical="center" wrapText="1"/>
    </xf>
    <xf numFmtId="43" fontId="17" fillId="4" borderId="5" xfId="96" applyFont="1" applyFill="1" applyBorder="1" applyAlignment="1">
      <alignment horizontal="center" vertical="center" wrapText="1"/>
    </xf>
    <xf numFmtId="43" fontId="17" fillId="4" borderId="3" xfId="96" applyFont="1" applyFill="1" applyBorder="1" applyAlignment="1">
      <alignment horizontal="center" vertical="center" wrapText="1"/>
    </xf>
    <xf numFmtId="43" fontId="17" fillId="4" borderId="8" xfId="96" applyFont="1" applyFill="1" applyBorder="1" applyAlignment="1">
      <alignment horizontal="center" vertical="center" wrapText="1"/>
    </xf>
    <xf numFmtId="43" fontId="14" fillId="0" borderId="7" xfId="96" applyFont="1" applyFill="1" applyBorder="1" applyAlignment="1">
      <alignment horizontal="center" vertical="center" wrapText="1"/>
    </xf>
    <xf numFmtId="43" fontId="14" fillId="0" borderId="6" xfId="96" applyFont="1" applyFill="1" applyBorder="1" applyAlignment="1">
      <alignment horizontal="center" vertical="center" wrapText="1"/>
    </xf>
    <xf numFmtId="43" fontId="32" fillId="0" borderId="7" xfId="96" applyFont="1" applyFill="1" applyBorder="1" applyAlignment="1">
      <alignment horizontal="left" vertical="center" wrapText="1"/>
    </xf>
    <xf numFmtId="43" fontId="32" fillId="0" borderId="6" xfId="96" applyFont="1" applyFill="1" applyBorder="1" applyAlignment="1">
      <alignment horizontal="left" vertical="center" wrapText="1"/>
    </xf>
    <xf numFmtId="173" fontId="15" fillId="4" borderId="5" xfId="96" applyNumberFormat="1" applyFont="1" applyFill="1" applyBorder="1" applyAlignment="1">
      <alignment horizontal="center" vertical="center" wrapText="1"/>
    </xf>
    <xf numFmtId="173" fontId="15" fillId="4" borderId="3" xfId="96" applyNumberFormat="1" applyFont="1" applyFill="1" applyBorder="1" applyAlignment="1">
      <alignment horizontal="center" vertical="center" wrapText="1"/>
    </xf>
    <xf numFmtId="173" fontId="15" fillId="4" borderId="8" xfId="96" applyNumberFormat="1" applyFont="1" applyFill="1" applyBorder="1" applyAlignment="1">
      <alignment horizontal="center" vertical="center" wrapText="1"/>
    </xf>
    <xf numFmtId="43" fontId="15" fillId="4" borderId="5" xfId="96" applyFont="1" applyFill="1" applyBorder="1" applyAlignment="1">
      <alignment horizontal="center" vertical="center" wrapText="1"/>
    </xf>
    <xf numFmtId="43" fontId="15" fillId="4" borderId="3" xfId="96" applyFont="1" applyFill="1" applyBorder="1" applyAlignment="1">
      <alignment horizontal="center" vertical="center" wrapText="1"/>
    </xf>
    <xf numFmtId="43" fontId="15" fillId="4" borderId="8" xfId="96" applyFont="1" applyFill="1" applyBorder="1" applyAlignment="1">
      <alignment horizontal="center" vertical="center" wrapText="1"/>
    </xf>
    <xf numFmtId="173" fontId="15" fillId="4" borderId="7" xfId="96" applyNumberFormat="1" applyFont="1" applyFill="1" applyBorder="1" applyAlignment="1">
      <alignment horizontal="center" vertical="center" wrapText="1"/>
    </xf>
    <xf numFmtId="173" fontId="15" fillId="4" borderId="6" xfId="96" applyNumberFormat="1" applyFont="1" applyFill="1" applyBorder="1" applyAlignment="1">
      <alignment horizontal="center" vertical="center" wrapText="1"/>
    </xf>
    <xf numFmtId="43" fontId="15" fillId="4" borderId="7" xfId="96" applyFont="1" applyFill="1" applyBorder="1" applyAlignment="1">
      <alignment horizontal="center" vertical="center" wrapText="1"/>
    </xf>
    <xf numFmtId="43" fontId="15" fillId="4" borderId="6" xfId="96" applyFont="1" applyFill="1" applyBorder="1" applyAlignment="1">
      <alignment horizontal="center" vertical="center" wrapText="1"/>
    </xf>
    <xf numFmtId="43" fontId="15" fillId="4" borderId="9" xfId="96" applyFont="1" applyFill="1" applyBorder="1" applyAlignment="1">
      <alignment horizontal="center" vertical="center" wrapText="1"/>
    </xf>
    <xf numFmtId="43" fontId="15" fillId="4" borderId="7" xfId="96" applyFont="1" applyFill="1" applyBorder="1" applyAlignment="1">
      <alignment horizontal="left" vertical="center" wrapText="1"/>
    </xf>
    <xf numFmtId="43" fontId="15" fillId="4" borderId="9" xfId="96" applyFont="1" applyFill="1" applyBorder="1" applyAlignment="1">
      <alignment horizontal="left" vertical="center" wrapText="1"/>
    </xf>
    <xf numFmtId="43" fontId="15" fillId="4" borderId="6" xfId="96" applyFont="1" applyFill="1" applyBorder="1" applyAlignment="1">
      <alignment horizontal="left" vertical="center" wrapText="1"/>
    </xf>
    <xf numFmtId="43" fontId="15" fillId="4" borderId="4" xfId="96" applyFont="1" applyFill="1" applyBorder="1" applyAlignment="1">
      <alignment horizontal="center" vertical="center" wrapText="1"/>
    </xf>
    <xf numFmtId="43" fontId="14" fillId="0" borderId="4" xfId="96" applyFont="1" applyBorder="1" applyAlignment="1">
      <alignment horizontal="center" vertical="center" wrapText="1"/>
    </xf>
    <xf numFmtId="0" fontId="15" fillId="4" borderId="4" xfId="27" applyFont="1" applyFill="1" applyBorder="1" applyAlignment="1">
      <alignment horizontal="center" vertical="center" wrapText="1"/>
    </xf>
    <xf numFmtId="0" fontId="15" fillId="4" borderId="7" xfId="27" applyFont="1" applyFill="1" applyBorder="1" applyAlignment="1">
      <alignment horizontal="center" vertical="center" wrapText="1"/>
    </xf>
    <xf numFmtId="0" fontId="15" fillId="4" borderId="6" xfId="27" applyFont="1" applyFill="1" applyBorder="1" applyAlignment="1">
      <alignment horizontal="center" vertical="center" wrapText="1"/>
    </xf>
    <xf numFmtId="0" fontId="15" fillId="4" borderId="7" xfId="59" applyFont="1" applyFill="1" applyBorder="1" applyAlignment="1">
      <alignment horizontal="center" vertical="center" wrapText="1"/>
    </xf>
    <xf numFmtId="0" fontId="15" fillId="4" borderId="6" xfId="59" applyFont="1" applyFill="1" applyBorder="1" applyAlignment="1">
      <alignment horizontal="center" vertical="center" wrapText="1"/>
    </xf>
    <xf numFmtId="0" fontId="15" fillId="4" borderId="10" xfId="10" applyFont="1" applyFill="1" applyBorder="1" applyAlignment="1">
      <alignment horizontal="center" vertical="center" wrapText="1"/>
    </xf>
    <xf numFmtId="0" fontId="15" fillId="4" borderId="13" xfId="10" applyFont="1" applyFill="1" applyBorder="1" applyAlignment="1">
      <alignment horizontal="center" vertical="center" wrapText="1"/>
    </xf>
    <xf numFmtId="0" fontId="15" fillId="4" borderId="14" xfId="10" applyFont="1" applyFill="1" applyBorder="1" applyAlignment="1">
      <alignment horizontal="center" vertical="center" wrapText="1"/>
    </xf>
    <xf numFmtId="0" fontId="15" fillId="4" borderId="5" xfId="10" applyFont="1" applyFill="1" applyBorder="1" applyAlignment="1">
      <alignment horizontal="center" vertical="center" wrapText="1"/>
    </xf>
    <xf numFmtId="0" fontId="15" fillId="4" borderId="3" xfId="10" applyFont="1" applyFill="1" applyBorder="1" applyAlignment="1">
      <alignment horizontal="center" vertical="center" wrapText="1"/>
    </xf>
    <xf numFmtId="0" fontId="15" fillId="4" borderId="8" xfId="10" applyFont="1" applyFill="1" applyBorder="1" applyAlignment="1">
      <alignment horizontal="center" vertical="center" wrapText="1"/>
    </xf>
    <xf numFmtId="173" fontId="15" fillId="4" borderId="7" xfId="10" applyNumberFormat="1" applyFont="1" applyFill="1" applyBorder="1" applyAlignment="1">
      <alignment horizontal="right" vertical="center" wrapText="1"/>
    </xf>
    <xf numFmtId="173" fontId="15" fillId="4" borderId="9" xfId="10" applyNumberFormat="1" applyFont="1" applyFill="1" applyBorder="1" applyAlignment="1">
      <alignment horizontal="right" vertical="center" wrapText="1"/>
    </xf>
    <xf numFmtId="173" fontId="15" fillId="4" borderId="6" xfId="10" applyNumberFormat="1" applyFont="1" applyFill="1" applyBorder="1" applyAlignment="1">
      <alignment horizontal="right" vertical="center" wrapText="1"/>
    </xf>
    <xf numFmtId="0" fontId="15" fillId="4" borderId="5" xfId="27" applyFont="1" applyFill="1" applyBorder="1" applyAlignment="1">
      <alignment horizontal="center" vertical="center" wrapText="1"/>
    </xf>
    <xf numFmtId="0" fontId="15" fillId="4" borderId="8" xfId="27" applyFont="1" applyFill="1" applyBorder="1" applyAlignment="1">
      <alignment horizontal="center" vertical="center" wrapText="1"/>
    </xf>
    <xf numFmtId="0" fontId="15" fillId="4" borderId="5" xfId="27" applyFont="1" applyFill="1" applyBorder="1" applyAlignment="1">
      <alignment horizontal="center" vertical="center"/>
    </xf>
    <xf numFmtId="0" fontId="15" fillId="4" borderId="8" xfId="27" applyFont="1" applyFill="1" applyBorder="1" applyAlignment="1">
      <alignment horizontal="center" vertical="center"/>
    </xf>
    <xf numFmtId="0" fontId="15" fillId="4" borderId="7" xfId="27" applyFont="1" applyFill="1" applyBorder="1" applyAlignment="1">
      <alignment horizontal="center" vertical="center"/>
    </xf>
    <xf numFmtId="0" fontId="15" fillId="4" borderId="6" xfId="27" applyFont="1" applyFill="1" applyBorder="1" applyAlignment="1">
      <alignment horizontal="center" vertical="center"/>
    </xf>
    <xf numFmtId="0" fontId="15" fillId="0" borderId="44" xfId="13" applyFont="1" applyFill="1" applyBorder="1" applyAlignment="1">
      <alignment horizontal="left" vertical="top" wrapText="1"/>
    </xf>
    <xf numFmtId="0" fontId="14" fillId="0" borderId="51" xfId="13" applyFont="1" applyFill="1" applyBorder="1"/>
    <xf numFmtId="0" fontId="15" fillId="0" borderId="38" xfId="13" applyFont="1" applyFill="1" applyBorder="1" applyAlignment="1">
      <alignment horizontal="left" vertical="top" wrapText="1"/>
    </xf>
    <xf numFmtId="0" fontId="14" fillId="0" borderId="39" xfId="13" applyFont="1" applyFill="1" applyBorder="1" applyAlignment="1">
      <alignment horizontal="left"/>
    </xf>
    <xf numFmtId="0" fontId="14" fillId="0" borderId="40" xfId="13" applyFont="1" applyFill="1" applyBorder="1" applyAlignment="1">
      <alignment horizontal="left"/>
    </xf>
    <xf numFmtId="0" fontId="14" fillId="0" borderId="38" xfId="13" applyFont="1" applyFill="1" applyBorder="1" applyAlignment="1">
      <alignment horizontal="center" vertical="top" wrapText="1"/>
    </xf>
    <xf numFmtId="0" fontId="14" fillId="0" borderId="39" xfId="13" applyFont="1" applyFill="1" applyBorder="1"/>
    <xf numFmtId="0" fontId="14" fillId="0" borderId="40" xfId="13" applyFont="1" applyFill="1" applyBorder="1"/>
    <xf numFmtId="0" fontId="14" fillId="0" borderId="42" xfId="13" applyFont="1" applyFill="1" applyBorder="1"/>
    <xf numFmtId="0" fontId="14" fillId="0" borderId="38" xfId="13" applyFont="1" applyBorder="1" applyAlignment="1">
      <alignment horizontal="left" vertical="top" wrapText="1"/>
    </xf>
    <xf numFmtId="0" fontId="14" fillId="0" borderId="39" xfId="13" applyFont="1" applyBorder="1" applyAlignment="1">
      <alignment horizontal="left" vertical="top" wrapText="1"/>
    </xf>
    <xf numFmtId="0" fontId="14" fillId="0" borderId="40" xfId="13" applyFont="1" applyBorder="1" applyAlignment="1">
      <alignment horizontal="left" vertical="top" wrapText="1"/>
    </xf>
    <xf numFmtId="0" fontId="14" fillId="0" borderId="48" xfId="13" applyFont="1" applyBorder="1" applyAlignment="1">
      <alignment horizontal="left" vertical="center" wrapText="1"/>
    </xf>
    <xf numFmtId="0" fontId="14" fillId="0" borderId="49" xfId="13" applyFont="1" applyBorder="1" applyAlignment="1">
      <alignment horizontal="left"/>
    </xf>
    <xf numFmtId="0" fontId="14" fillId="0" borderId="50" xfId="13" applyFont="1" applyBorder="1" applyAlignment="1">
      <alignment horizontal="left"/>
    </xf>
    <xf numFmtId="0" fontId="14" fillId="0" borderId="43" xfId="13" applyFont="1" applyFill="1" applyBorder="1" applyAlignment="1">
      <alignment horizontal="center" vertical="center"/>
    </xf>
    <xf numFmtId="0" fontId="14" fillId="0" borderId="41" xfId="13" applyFont="1" applyFill="1" applyBorder="1" applyAlignment="1">
      <alignment horizontal="center" vertical="center"/>
    </xf>
    <xf numFmtId="0" fontId="16" fillId="0" borderId="43" xfId="13" applyFont="1" applyFill="1" applyBorder="1" applyAlignment="1">
      <alignment horizontal="left" vertical="center" wrapText="1"/>
    </xf>
    <xf numFmtId="0" fontId="16" fillId="0" borderId="46" xfId="13" applyFont="1" applyFill="1" applyBorder="1" applyAlignment="1">
      <alignment horizontal="left" vertical="center" wrapText="1"/>
    </xf>
    <xf numFmtId="0" fontId="16" fillId="0" borderId="45" xfId="13" applyFont="1" applyFill="1" applyBorder="1" applyAlignment="1">
      <alignment horizontal="left" vertical="center" wrapText="1"/>
    </xf>
    <xf numFmtId="0" fontId="16" fillId="0" borderId="12" xfId="13" applyFont="1" applyFill="1" applyBorder="1" applyAlignment="1">
      <alignment horizontal="left" vertical="center" wrapText="1"/>
    </xf>
    <xf numFmtId="0" fontId="14" fillId="0" borderId="39" xfId="13" applyFont="1" applyBorder="1"/>
    <xf numFmtId="0" fontId="14" fillId="0" borderId="40" xfId="13" applyFont="1" applyBorder="1"/>
    <xf numFmtId="0" fontId="15" fillId="4" borderId="4" xfId="10" applyFont="1" applyFill="1" applyBorder="1" applyAlignment="1">
      <alignment horizontal="center" vertical="center" wrapText="1"/>
    </xf>
    <xf numFmtId="0" fontId="14" fillId="4" borderId="4" xfId="10" applyFont="1" applyFill="1" applyBorder="1" applyAlignment="1">
      <alignment horizontal="center" vertical="center" wrapText="1"/>
    </xf>
    <xf numFmtId="0" fontId="14" fillId="7" borderId="0" xfId="63" applyFont="1" applyFill="1" applyAlignment="1">
      <alignment horizontal="left" vertical="center"/>
    </xf>
    <xf numFmtId="43" fontId="15" fillId="4" borderId="5" xfId="69" applyFont="1" applyFill="1" applyBorder="1" applyAlignment="1">
      <alignment horizontal="center" wrapText="1"/>
    </xf>
    <xf numFmtId="43" fontId="15" fillId="4" borderId="3" xfId="69" applyFont="1" applyFill="1" applyBorder="1" applyAlignment="1">
      <alignment horizontal="center" wrapText="1"/>
    </xf>
    <xf numFmtId="43" fontId="15" fillId="4" borderId="8" xfId="69" applyFont="1" applyFill="1" applyBorder="1" applyAlignment="1">
      <alignment horizontal="center" wrapText="1"/>
    </xf>
    <xf numFmtId="43" fontId="15" fillId="4" borderId="4" xfId="69" applyFont="1" applyFill="1" applyBorder="1" applyAlignment="1">
      <alignment horizontal="center" wrapText="1"/>
    </xf>
    <xf numFmtId="43" fontId="34" fillId="0" borderId="4" xfId="69" applyFont="1" applyBorder="1" applyAlignment="1">
      <alignment horizontal="center" wrapText="1"/>
    </xf>
    <xf numFmtId="43" fontId="25" fillId="0" borderId="4" xfId="69" applyFont="1" applyBorder="1" applyAlignment="1">
      <alignment horizontal="center" wrapText="1"/>
    </xf>
    <xf numFmtId="0" fontId="15" fillId="7" borderId="0" xfId="15" applyFont="1" applyFill="1" applyBorder="1" applyAlignment="1">
      <alignment horizontal="center" vertical="center" wrapText="1"/>
    </xf>
    <xf numFmtId="0" fontId="15" fillId="7" borderId="0" xfId="11" applyFont="1" applyFill="1" applyBorder="1" applyAlignment="1">
      <alignment horizontal="center" vertical="center" wrapText="1"/>
    </xf>
    <xf numFmtId="0" fontId="14" fillId="5" borderId="0" xfId="10" applyFont="1" applyFill="1" applyBorder="1" applyAlignment="1">
      <alignment horizontal="left" vertical="top" wrapText="1"/>
    </xf>
    <xf numFmtId="0" fontId="10" fillId="0" borderId="26" xfId="89" applyBorder="1" applyAlignment="1">
      <alignment horizontal="center" vertical="center" wrapText="1"/>
    </xf>
    <xf numFmtId="0" fontId="10" fillId="0" borderId="31" xfId="89" applyBorder="1" applyAlignment="1">
      <alignment horizontal="center" vertical="center" wrapText="1"/>
    </xf>
    <xf numFmtId="0" fontId="10" fillId="0" borderId="34" xfId="89" applyBorder="1" applyAlignment="1">
      <alignment horizontal="center" vertical="center" wrapText="1"/>
    </xf>
    <xf numFmtId="10" fontId="0" fillId="0" borderId="27" xfId="90" applyNumberFormat="1" applyFont="1" applyBorder="1" applyAlignment="1">
      <alignment horizontal="center" vertical="center"/>
    </xf>
    <xf numFmtId="10" fontId="0" fillId="0" borderId="9" xfId="90" applyNumberFormat="1" applyFont="1" applyBorder="1" applyAlignment="1">
      <alignment horizontal="center" vertical="center"/>
    </xf>
    <xf numFmtId="10" fontId="0" fillId="0" borderId="35" xfId="90" applyNumberFormat="1" applyFont="1" applyBorder="1" applyAlignment="1">
      <alignment horizontal="center" vertical="center"/>
    </xf>
    <xf numFmtId="10" fontId="10" fillId="0" borderId="28" xfId="89" applyNumberFormat="1" applyBorder="1" applyAlignment="1">
      <alignment horizontal="center" vertical="center"/>
    </xf>
    <xf numFmtId="10" fontId="10" fillId="0" borderId="32" xfId="89" applyNumberFormat="1" applyBorder="1" applyAlignment="1">
      <alignment horizontal="center" vertical="center"/>
    </xf>
    <xf numFmtId="10" fontId="10" fillId="0" borderId="36" xfId="89" applyNumberFormat="1" applyBorder="1" applyAlignment="1">
      <alignment horizontal="center" vertical="center"/>
    </xf>
    <xf numFmtId="0" fontId="10" fillId="0" borderId="20" xfId="89" applyBorder="1" applyAlignment="1">
      <alignment horizontal="center" vertical="center" wrapText="1"/>
    </xf>
    <xf numFmtId="0" fontId="10" fillId="0" borderId="16" xfId="89" applyBorder="1" applyAlignment="1">
      <alignment horizontal="center" vertical="center" wrapText="1"/>
    </xf>
    <xf numFmtId="0" fontId="10" fillId="0" borderId="17" xfId="89" applyBorder="1" applyAlignment="1">
      <alignment horizontal="center" vertical="center" wrapText="1"/>
    </xf>
    <xf numFmtId="10" fontId="0" fillId="0" borderId="29" xfId="90" applyNumberFormat="1" applyFont="1" applyBorder="1" applyAlignment="1">
      <alignment horizontal="center" vertical="center"/>
    </xf>
    <xf numFmtId="10" fontId="0" fillId="0" borderId="4" xfId="90" applyNumberFormat="1" applyFont="1" applyBorder="1" applyAlignment="1">
      <alignment horizontal="center" vertical="center"/>
    </xf>
    <xf numFmtId="10" fontId="0" fillId="0" borderId="7" xfId="90" applyNumberFormat="1" applyFont="1" applyBorder="1" applyAlignment="1">
      <alignment horizontal="center" vertical="center"/>
    </xf>
    <xf numFmtId="10" fontId="10" fillId="0" borderId="21" xfId="89" applyNumberFormat="1" applyBorder="1" applyAlignment="1">
      <alignment horizontal="center" vertical="center"/>
    </xf>
    <xf numFmtId="10" fontId="10" fillId="0" borderId="22" xfId="89" applyNumberFormat="1" applyBorder="1" applyAlignment="1">
      <alignment horizontal="center" vertical="center"/>
    </xf>
    <xf numFmtId="10" fontId="10" fillId="0" borderId="30" xfId="89" applyNumberFormat="1" applyBorder="1" applyAlignment="1">
      <alignment horizontal="center" vertical="center"/>
    </xf>
    <xf numFmtId="0" fontId="15" fillId="4" borderId="4" xfId="10" applyFont="1" applyFill="1" applyBorder="1" applyAlignment="1">
      <alignment horizontal="center" vertical="center"/>
    </xf>
    <xf numFmtId="0" fontId="15" fillId="4" borderId="7" xfId="10" applyFont="1" applyFill="1" applyBorder="1" applyAlignment="1">
      <alignment horizontal="center" vertical="center"/>
    </xf>
    <xf numFmtId="0" fontId="15" fillId="4" borderId="6" xfId="10" applyFont="1" applyFill="1" applyBorder="1" applyAlignment="1">
      <alignment horizontal="center" vertical="center"/>
    </xf>
    <xf numFmtId="0" fontId="69" fillId="4" borderId="7" xfId="10" applyFont="1" applyFill="1" applyBorder="1" applyAlignment="1">
      <alignment horizontal="center" vertical="center" wrapText="1"/>
    </xf>
    <xf numFmtId="43" fontId="15" fillId="0" borderId="4" xfId="69" applyFont="1" applyBorder="1" applyAlignment="1">
      <alignment horizontal="center" wrapText="1"/>
    </xf>
    <xf numFmtId="49" fontId="14" fillId="0" borderId="0" xfId="69" applyNumberFormat="1" applyFont="1" applyAlignment="1">
      <alignment horizontal="left" vertical="center" wrapText="1"/>
    </xf>
    <xf numFmtId="170" fontId="15" fillId="4" borderId="7" xfId="69" applyNumberFormat="1" applyFont="1" applyFill="1" applyBorder="1" applyAlignment="1">
      <alignment horizontal="center" vertical="center" wrapText="1"/>
    </xf>
    <xf numFmtId="170" fontId="15" fillId="4" borderId="6" xfId="69" applyNumberFormat="1" applyFont="1" applyFill="1" applyBorder="1" applyAlignment="1">
      <alignment horizontal="center" vertical="center" wrapText="1"/>
    </xf>
    <xf numFmtId="43" fontId="15" fillId="4" borderId="7" xfId="69" applyFont="1" applyFill="1" applyBorder="1" applyAlignment="1">
      <alignment horizontal="center" vertical="center"/>
    </xf>
    <xf numFmtId="43" fontId="15" fillId="4" borderId="6" xfId="69" applyFont="1" applyFill="1" applyBorder="1" applyAlignment="1">
      <alignment horizontal="center" vertical="center"/>
    </xf>
    <xf numFmtId="170" fontId="15" fillId="4" borderId="9" xfId="69" applyNumberFormat="1" applyFont="1" applyFill="1" applyBorder="1" applyAlignment="1">
      <alignment horizontal="center" vertical="center" wrapText="1"/>
    </xf>
    <xf numFmtId="43" fontId="15" fillId="8" borderId="7" xfId="69" applyFont="1" applyFill="1" applyBorder="1" applyAlignment="1">
      <alignment horizontal="center" vertical="center" wrapText="1"/>
    </xf>
    <xf numFmtId="43" fontId="15" fillId="8" borderId="9" xfId="69" applyFont="1" applyFill="1" applyBorder="1" applyAlignment="1">
      <alignment horizontal="center" vertical="center" wrapText="1"/>
    </xf>
    <xf numFmtId="43" fontId="15" fillId="8" borderId="6" xfId="69" applyFont="1" applyFill="1" applyBorder="1" applyAlignment="1">
      <alignment horizontal="center" vertical="center" wrapText="1"/>
    </xf>
    <xf numFmtId="170" fontId="15" fillId="4" borderId="4" xfId="69" applyNumberFormat="1" applyFont="1" applyFill="1" applyBorder="1" applyAlignment="1">
      <alignment horizontal="center" vertical="center" wrapText="1"/>
    </xf>
    <xf numFmtId="43" fontId="18" fillId="0" borderId="0" xfId="69" applyFont="1" applyAlignment="1">
      <alignment horizontal="center" vertical="center" wrapText="1"/>
    </xf>
    <xf numFmtId="0" fontId="25" fillId="0" borderId="4" xfId="27" applyBorder="1" applyAlignment="1">
      <alignment horizontal="center" vertical="center" wrapText="1"/>
    </xf>
    <xf numFmtId="43" fontId="15" fillId="4" borderId="4" xfId="69" applyFont="1" applyFill="1" applyBorder="1" applyAlignment="1">
      <alignment horizontal="center" vertical="center"/>
    </xf>
    <xf numFmtId="43" fontId="25" fillId="0" borderId="4" xfId="69" applyFont="1" applyBorder="1" applyAlignment="1">
      <alignment horizontal="center" vertical="center"/>
    </xf>
    <xf numFmtId="43" fontId="14" fillId="0" borderId="0" xfId="69" applyFont="1" applyAlignment="1">
      <alignment horizontal="left" vertical="center" wrapText="1"/>
    </xf>
    <xf numFmtId="0" fontId="14" fillId="0" borderId="0" xfId="14" applyFont="1" applyAlignment="1">
      <alignment horizontal="left" vertical="center" wrapText="1"/>
    </xf>
    <xf numFmtId="0" fontId="15" fillId="4" borderId="6" xfId="14" applyFont="1" applyFill="1" applyBorder="1" applyAlignment="1">
      <alignment horizontal="center" vertical="center"/>
    </xf>
    <xf numFmtId="0" fontId="14" fillId="0" borderId="0" xfId="10" applyFont="1" applyAlignment="1">
      <alignment horizontal="left" vertical="center" wrapText="1"/>
    </xf>
    <xf numFmtId="0" fontId="15" fillId="0" borderId="0" xfId="10" applyFont="1" applyBorder="1" applyAlignment="1">
      <alignment horizontal="center" vertical="center" wrapText="1"/>
    </xf>
    <xf numFmtId="0" fontId="14" fillId="0" borderId="0" xfId="10" applyFont="1" applyFill="1" applyAlignment="1">
      <alignment horizontal="left" vertical="center" wrapText="1"/>
    </xf>
    <xf numFmtId="0" fontId="16" fillId="0" borderId="4" xfId="10" applyFont="1" applyBorder="1" applyAlignment="1">
      <alignment horizontal="center" vertical="center" wrapText="1"/>
    </xf>
    <xf numFmtId="0" fontId="39" fillId="0" borderId="7" xfId="19" applyFont="1" applyBorder="1" applyAlignment="1">
      <alignment horizontal="center" vertical="center"/>
    </xf>
    <xf numFmtId="0" fontId="39" fillId="0" borderId="9" xfId="19" applyFont="1" applyBorder="1" applyAlignment="1">
      <alignment horizontal="center" vertical="center"/>
    </xf>
    <xf numFmtId="0" fontId="39" fillId="0" borderId="6" xfId="19" applyFont="1" applyBorder="1" applyAlignment="1">
      <alignment horizontal="center" vertical="center"/>
    </xf>
    <xf numFmtId="164" fontId="16" fillId="0" borderId="10" xfId="20" applyFont="1" applyBorder="1" applyAlignment="1">
      <alignment horizontal="center" vertical="center"/>
    </xf>
    <xf numFmtId="164" fontId="16" fillId="0" borderId="11" xfId="20" applyFont="1" applyBorder="1" applyAlignment="1">
      <alignment horizontal="center" vertical="center"/>
    </xf>
    <xf numFmtId="164" fontId="16" fillId="0" borderId="12" xfId="20" applyFont="1" applyBorder="1" applyAlignment="1">
      <alignment horizontal="center" vertical="center"/>
    </xf>
    <xf numFmtId="0" fontId="59" fillId="0" borderId="52" xfId="0" applyFont="1" applyBorder="1" applyAlignment="1">
      <alignment horizontal="center"/>
    </xf>
    <xf numFmtId="0" fontId="59" fillId="0" borderId="2" xfId="0" applyFont="1" applyBorder="1" applyAlignment="1">
      <alignment horizontal="center"/>
    </xf>
    <xf numFmtId="0" fontId="59" fillId="0" borderId="53" xfId="0" applyFont="1" applyBorder="1" applyAlignment="1">
      <alignment horizontal="center"/>
    </xf>
    <xf numFmtId="0" fontId="59" fillId="0" borderId="4" xfId="0" applyFont="1" applyBorder="1" applyAlignment="1">
      <alignment horizontal="center"/>
    </xf>
    <xf numFmtId="0" fontId="59" fillId="0" borderId="6" xfId="0" applyFont="1" applyBorder="1" applyAlignment="1">
      <alignment horizontal="center"/>
    </xf>
    <xf numFmtId="0" fontId="59" fillId="0" borderId="12" xfId="0" applyFont="1" applyBorder="1" applyAlignment="1">
      <alignment horizontal="center"/>
    </xf>
    <xf numFmtId="0" fontId="59" fillId="0" borderId="18" xfId="0" applyFont="1" applyBorder="1" applyAlignment="1">
      <alignment horizontal="center"/>
    </xf>
    <xf numFmtId="0" fontId="59" fillId="0" borderId="59" xfId="0" applyFont="1" applyBorder="1" applyAlignment="1">
      <alignment horizontal="center"/>
    </xf>
    <xf numFmtId="0" fontId="59" fillId="0" borderId="29" xfId="0" applyFont="1" applyBorder="1" applyAlignment="1">
      <alignment horizontal="center"/>
    </xf>
    <xf numFmtId="0" fontId="59" fillId="0" borderId="56" xfId="0" applyFont="1" applyBorder="1" applyAlignment="1">
      <alignment horizontal="center"/>
    </xf>
    <xf numFmtId="0" fontId="59" fillId="0" borderId="20" xfId="0" applyFont="1" applyBorder="1" applyAlignment="1">
      <alignment horizontal="center"/>
    </xf>
    <xf numFmtId="0" fontId="59" fillId="0" borderId="21" xfId="0" applyFont="1" applyBorder="1" applyAlignment="1">
      <alignment horizontal="center"/>
    </xf>
    <xf numFmtId="0" fontId="59" fillId="0" borderId="4" xfId="0" applyFont="1" applyBorder="1" applyAlignment="1">
      <alignment horizontal="center" wrapText="1"/>
    </xf>
    <xf numFmtId="43" fontId="14" fillId="5" borderId="7" xfId="69" applyFont="1" applyFill="1" applyBorder="1" applyAlignment="1">
      <alignment horizontal="center" vertical="center"/>
    </xf>
    <xf numFmtId="43" fontId="14" fillId="5" borderId="9" xfId="69" applyFont="1" applyFill="1" applyBorder="1" applyAlignment="1">
      <alignment horizontal="center" vertical="center"/>
    </xf>
    <xf numFmtId="43" fontId="14" fillId="5" borderId="6" xfId="69" applyFont="1" applyFill="1" applyBorder="1" applyAlignment="1">
      <alignment horizontal="center" vertical="center"/>
    </xf>
    <xf numFmtId="0" fontId="14" fillId="4" borderId="4" xfId="14" applyFont="1" applyFill="1" applyBorder="1" applyAlignment="1">
      <alignment horizontal="center" vertical="center"/>
    </xf>
    <xf numFmtId="0" fontId="15" fillId="4" borderId="4" xfId="10" applyFont="1" applyFill="1" applyBorder="1" applyAlignment="1" applyProtection="1">
      <alignment horizontal="center" vertical="center" wrapText="1"/>
    </xf>
    <xf numFmtId="0" fontId="15" fillId="4" borderId="4" xfId="10" applyFont="1" applyFill="1" applyBorder="1" applyAlignment="1" applyProtection="1">
      <alignment horizontal="center" vertical="center"/>
    </xf>
    <xf numFmtId="0" fontId="15" fillId="4" borderId="4" xfId="10" applyFont="1" applyFill="1" applyBorder="1" applyAlignment="1" applyProtection="1">
      <alignment horizontal="center" vertical="top" wrapText="1"/>
    </xf>
    <xf numFmtId="0" fontId="15" fillId="0" borderId="15" xfId="10" applyFont="1" applyBorder="1" applyAlignment="1">
      <alignment horizontal="center"/>
    </xf>
    <xf numFmtId="43" fontId="15" fillId="4" borderId="4" xfId="69" applyFont="1" applyFill="1" applyBorder="1" applyAlignment="1" applyProtection="1">
      <alignment horizontal="center" vertical="center" wrapText="1"/>
    </xf>
    <xf numFmtId="43" fontId="14" fillId="4" borderId="4" xfId="69" applyFont="1" applyFill="1" applyBorder="1" applyAlignment="1">
      <alignment horizontal="center" vertical="center"/>
    </xf>
    <xf numFmtId="43" fontId="15" fillId="4" borderId="4" xfId="69" applyFont="1" applyFill="1" applyBorder="1" applyAlignment="1" applyProtection="1">
      <alignment horizontal="center" vertical="center"/>
    </xf>
    <xf numFmtId="43" fontId="15" fillId="4" borderId="4" xfId="69" applyFont="1" applyFill="1" applyBorder="1" applyAlignment="1" applyProtection="1">
      <alignment horizontal="center" vertical="top" wrapText="1"/>
    </xf>
    <xf numFmtId="43" fontId="15" fillId="10" borderId="4" xfId="69" applyFont="1" applyFill="1" applyBorder="1" applyAlignment="1">
      <alignment horizontal="center" vertical="center" wrapText="1"/>
    </xf>
    <xf numFmtId="43" fontId="55" fillId="0" borderId="7" xfId="69" applyFont="1" applyBorder="1" applyAlignment="1">
      <alignment horizontal="center" vertical="center" wrapText="1"/>
    </xf>
    <xf numFmtId="43" fontId="55" fillId="0" borderId="9" xfId="69" applyFont="1" applyBorder="1" applyAlignment="1">
      <alignment horizontal="center" vertical="center" wrapText="1"/>
    </xf>
    <xf numFmtId="43" fontId="55" fillId="0" borderId="6" xfId="69" applyFont="1" applyBorder="1" applyAlignment="1">
      <alignment horizontal="center" vertical="center" wrapText="1"/>
    </xf>
    <xf numFmtId="0" fontId="44" fillId="10" borderId="7" xfId="10" applyFont="1" applyFill="1" applyBorder="1" applyAlignment="1">
      <alignment horizontal="center" vertical="center"/>
    </xf>
    <xf numFmtId="0" fontId="44" fillId="10" borderId="6" xfId="10" applyFont="1" applyFill="1" applyBorder="1" applyAlignment="1">
      <alignment horizontal="center" vertical="center"/>
    </xf>
    <xf numFmtId="0" fontId="15" fillId="10" borderId="5" xfId="10" applyFont="1" applyFill="1" applyBorder="1" applyAlignment="1">
      <alignment horizontal="center" vertical="center" wrapText="1"/>
    </xf>
    <xf numFmtId="0" fontId="15" fillId="10" borderId="8" xfId="10" applyFont="1" applyFill="1" applyBorder="1" applyAlignment="1">
      <alignment horizontal="center" vertical="center" wrapText="1"/>
    </xf>
    <xf numFmtId="10" fontId="24" fillId="0" borderId="7" xfId="0" applyNumberFormat="1" applyFont="1" applyBorder="1" applyAlignment="1">
      <alignment horizontal="center" vertical="center"/>
    </xf>
    <xf numFmtId="10" fontId="24" fillId="0" borderId="9" xfId="0" applyNumberFormat="1" applyFont="1" applyBorder="1" applyAlignment="1">
      <alignment horizontal="center" vertical="center"/>
    </xf>
    <xf numFmtId="10" fontId="24" fillId="0" borderId="6" xfId="0" applyNumberFormat="1" applyFont="1" applyBorder="1" applyAlignment="1">
      <alignment horizontal="center" vertical="center"/>
    </xf>
    <xf numFmtId="0" fontId="15" fillId="0" borderId="15" xfId="10" applyFont="1" applyBorder="1" applyAlignment="1">
      <alignment horizontal="center" vertical="center"/>
    </xf>
    <xf numFmtId="0" fontId="15" fillId="10" borderId="4" xfId="10" applyFont="1" applyFill="1" applyBorder="1" applyAlignment="1">
      <alignment horizontal="center" vertical="center" wrapText="1"/>
    </xf>
    <xf numFmtId="0" fontId="15" fillId="10" borderId="4" xfId="10" applyFont="1" applyFill="1" applyBorder="1" applyAlignment="1">
      <alignment horizontal="center" vertical="center"/>
    </xf>
    <xf numFmtId="2" fontId="14" fillId="0" borderId="7" xfId="14" applyNumberFormat="1" applyFont="1" applyBorder="1" applyAlignment="1">
      <alignment horizontal="center" vertical="center"/>
    </xf>
    <xf numFmtId="2" fontId="14" fillId="0" borderId="9" xfId="14" applyNumberFormat="1" applyFont="1" applyBorder="1" applyAlignment="1">
      <alignment horizontal="center" vertical="center"/>
    </xf>
    <xf numFmtId="0" fontId="15" fillId="8" borderId="10" xfId="10" applyFont="1" applyFill="1" applyBorder="1" applyAlignment="1" applyProtection="1">
      <alignment horizontal="center" vertical="center" wrapText="1"/>
    </xf>
    <xf numFmtId="0" fontId="15" fillId="8" borderId="13" xfId="10" applyFont="1" applyFill="1" applyBorder="1" applyAlignment="1" applyProtection="1">
      <alignment horizontal="center" vertical="center" wrapText="1"/>
    </xf>
    <xf numFmtId="0" fontId="15" fillId="8" borderId="14" xfId="10" applyFont="1" applyFill="1" applyBorder="1" applyAlignment="1" applyProtection="1">
      <alignment horizontal="center" vertical="center" wrapText="1"/>
    </xf>
    <xf numFmtId="0" fontId="15" fillId="8" borderId="7" xfId="10" applyFont="1" applyFill="1" applyBorder="1" applyAlignment="1" applyProtection="1">
      <alignment horizontal="center" vertical="center" wrapText="1"/>
    </xf>
    <xf numFmtId="0" fontId="15" fillId="8" borderId="6" xfId="10" applyFont="1" applyFill="1" applyBorder="1" applyAlignment="1" applyProtection="1">
      <alignment horizontal="center" vertical="center" wrapText="1"/>
    </xf>
    <xf numFmtId="0" fontId="15" fillId="8" borderId="12" xfId="10" applyFont="1" applyFill="1" applyBorder="1" applyAlignment="1" applyProtection="1">
      <alignment horizontal="center" vertical="center" wrapText="1"/>
    </xf>
    <xf numFmtId="0" fontId="15" fillId="8" borderId="15" xfId="10" applyFont="1" applyFill="1" applyBorder="1" applyAlignment="1" applyProtection="1">
      <alignment horizontal="center" vertical="center" wrapText="1"/>
    </xf>
    <xf numFmtId="0" fontId="15" fillId="8" borderId="7" xfId="14" applyFont="1" applyFill="1" applyBorder="1" applyAlignment="1">
      <alignment horizontal="center" vertical="center"/>
    </xf>
    <xf numFmtId="0" fontId="15" fillId="8" borderId="9" xfId="14" applyFont="1" applyFill="1" applyBorder="1" applyAlignment="1">
      <alignment horizontal="center" vertical="center"/>
    </xf>
    <xf numFmtId="0" fontId="15" fillId="8" borderId="6" xfId="14" applyFont="1" applyFill="1" applyBorder="1" applyAlignment="1">
      <alignment horizontal="center" vertical="center"/>
    </xf>
    <xf numFmtId="0" fontId="15" fillId="8" borderId="5" xfId="10" applyFont="1" applyFill="1" applyBorder="1" applyAlignment="1" applyProtection="1">
      <alignment horizontal="center" vertical="center" wrapText="1"/>
    </xf>
    <xf numFmtId="0" fontId="15" fillId="8" borderId="3" xfId="10" applyFont="1" applyFill="1" applyBorder="1" applyAlignment="1" applyProtection="1">
      <alignment horizontal="center" vertical="center" wrapText="1"/>
    </xf>
    <xf numFmtId="0" fontId="15" fillId="8" borderId="8" xfId="10" applyFont="1" applyFill="1" applyBorder="1" applyAlignment="1" applyProtection="1">
      <alignment horizontal="center" vertical="center" wrapText="1"/>
    </xf>
    <xf numFmtId="0" fontId="15" fillId="8" borderId="11" xfId="10" applyFont="1" applyFill="1" applyBorder="1" applyAlignment="1" applyProtection="1">
      <alignment horizontal="center" vertical="center" wrapText="1"/>
    </xf>
    <xf numFmtId="43" fontId="15" fillId="8" borderId="5" xfId="69" applyFont="1" applyFill="1" applyBorder="1" applyAlignment="1" applyProtection="1">
      <alignment horizontal="center" vertical="center" wrapText="1"/>
    </xf>
    <xf numFmtId="43" fontId="15" fillId="8" borderId="3" xfId="69" applyFont="1" applyFill="1" applyBorder="1" applyAlignment="1" applyProtection="1">
      <alignment horizontal="center" vertical="center" wrapText="1"/>
    </xf>
    <xf numFmtId="43" fontId="15" fillId="8" borderId="8" xfId="69" applyFont="1" applyFill="1" applyBorder="1" applyAlignment="1" applyProtection="1">
      <alignment horizontal="center" vertical="center" wrapText="1"/>
    </xf>
    <xf numFmtId="0" fontId="15" fillId="8" borderId="4" xfId="10" applyFont="1" applyFill="1" applyBorder="1" applyAlignment="1" applyProtection="1">
      <alignment horizontal="center" vertical="center" wrapText="1"/>
    </xf>
    <xf numFmtId="10" fontId="15" fillId="8" borderId="7" xfId="70" applyNumberFormat="1" applyFont="1" applyFill="1" applyBorder="1" applyAlignment="1" applyProtection="1">
      <alignment horizontal="center" vertical="center" wrapText="1"/>
    </xf>
    <xf numFmtId="10" fontId="15" fillId="8" borderId="6" xfId="70" applyNumberFormat="1" applyFont="1" applyFill="1" applyBorder="1" applyAlignment="1" applyProtection="1">
      <alignment horizontal="center" vertical="center" wrapText="1"/>
    </xf>
    <xf numFmtId="43" fontId="15" fillId="8" borderId="7" xfId="69" applyFont="1" applyFill="1" applyBorder="1" applyAlignment="1" applyProtection="1">
      <alignment horizontal="center" vertical="center" wrapText="1"/>
    </xf>
    <xf numFmtId="43" fontId="15" fillId="8" borderId="6" xfId="69" applyFont="1" applyFill="1" applyBorder="1" applyAlignment="1" applyProtection="1">
      <alignment horizontal="center" vertical="center" wrapText="1"/>
    </xf>
    <xf numFmtId="10" fontId="15" fillId="8" borderId="4" xfId="70" applyNumberFormat="1" applyFont="1" applyFill="1" applyBorder="1" applyAlignment="1" applyProtection="1">
      <alignment horizontal="center" vertical="center" wrapText="1"/>
    </xf>
    <xf numFmtId="43" fontId="15" fillId="8" borderId="4" xfId="69" applyFont="1" applyFill="1" applyBorder="1" applyAlignment="1" applyProtection="1">
      <alignment horizontal="center" vertical="center" wrapText="1"/>
    </xf>
    <xf numFmtId="43" fontId="15" fillId="8" borderId="7" xfId="69" applyFont="1" applyFill="1" applyBorder="1" applyAlignment="1">
      <alignment horizontal="center" vertical="center"/>
    </xf>
    <xf numFmtId="43" fontId="15" fillId="8" borderId="9" xfId="69" applyFont="1" applyFill="1" applyBorder="1" applyAlignment="1">
      <alignment horizontal="center" vertical="center"/>
    </xf>
    <xf numFmtId="43" fontId="15" fillId="8" borderId="6" xfId="69" applyFont="1" applyFill="1" applyBorder="1" applyAlignment="1">
      <alignment horizontal="center" vertical="center"/>
    </xf>
    <xf numFmtId="43" fontId="15" fillId="8" borderId="10" xfId="69" applyFont="1" applyFill="1" applyBorder="1" applyAlignment="1" applyProtection="1">
      <alignment horizontal="center" vertical="center" wrapText="1"/>
    </xf>
    <xf numFmtId="43" fontId="15" fillId="8" borderId="11" xfId="69" applyFont="1" applyFill="1" applyBorder="1" applyAlignment="1" applyProtection="1">
      <alignment horizontal="center" vertical="center" wrapText="1"/>
    </xf>
    <xf numFmtId="43" fontId="15" fillId="8" borderId="12" xfId="69" applyFont="1" applyFill="1" applyBorder="1" applyAlignment="1" applyProtection="1">
      <alignment horizontal="center" vertical="center" wrapText="1"/>
    </xf>
    <xf numFmtId="0" fontId="16" fillId="8" borderId="4" xfId="10" applyFont="1" applyFill="1" applyBorder="1" applyAlignment="1">
      <alignment horizontal="center" vertical="center" wrapText="1"/>
    </xf>
    <xf numFmtId="0" fontId="15" fillId="0" borderId="10" xfId="14" applyFont="1" applyBorder="1" applyAlignment="1">
      <alignment horizontal="center" vertical="center"/>
    </xf>
    <xf numFmtId="0" fontId="15" fillId="0" borderId="13" xfId="14" applyFont="1" applyBorder="1" applyAlignment="1">
      <alignment horizontal="center" vertical="center"/>
    </xf>
    <xf numFmtId="0" fontId="15" fillId="0" borderId="14" xfId="14" applyFont="1" applyBorder="1" applyAlignment="1">
      <alignment horizontal="center" vertical="center"/>
    </xf>
    <xf numFmtId="0" fontId="15" fillId="0" borderId="11" xfId="14" applyFont="1" applyBorder="1" applyAlignment="1">
      <alignment horizontal="center" vertical="center"/>
    </xf>
    <xf numFmtId="0" fontId="15" fillId="0" borderId="0" xfId="14" applyFont="1" applyBorder="1" applyAlignment="1">
      <alignment horizontal="center" vertical="center"/>
    </xf>
    <xf numFmtId="0" fontId="15" fillId="0" borderId="60" xfId="14" applyFont="1" applyBorder="1" applyAlignment="1">
      <alignment horizontal="center" vertical="center"/>
    </xf>
    <xf numFmtId="0" fontId="15" fillId="0" borderId="12" xfId="14" applyFont="1" applyBorder="1" applyAlignment="1">
      <alignment horizontal="center" vertical="center"/>
    </xf>
    <xf numFmtId="0" fontId="15" fillId="0" borderId="15" xfId="14" applyFont="1" applyBorder="1" applyAlignment="1">
      <alignment horizontal="center" vertical="center"/>
    </xf>
    <xf numFmtId="0" fontId="15" fillId="0" borderId="19" xfId="14" applyFont="1" applyBorder="1" applyAlignment="1">
      <alignment horizontal="center" vertical="center"/>
    </xf>
    <xf numFmtId="0" fontId="15" fillId="7" borderId="0" xfId="10" applyFont="1" applyFill="1" applyBorder="1" applyAlignment="1">
      <alignment horizontal="center" vertical="center"/>
    </xf>
    <xf numFmtId="0" fontId="16" fillId="7" borderId="0" xfId="10" applyFont="1" applyFill="1" applyAlignment="1">
      <alignment horizontal="center" vertical="center"/>
    </xf>
    <xf numFmtId="0" fontId="52" fillId="15" borderId="7" xfId="110" applyFont="1" applyFill="1" applyBorder="1" applyAlignment="1">
      <alignment horizontal="center" vertical="center"/>
    </xf>
    <xf numFmtId="0" fontId="52" fillId="15" borderId="6" xfId="110" applyFont="1" applyFill="1" applyBorder="1" applyAlignment="1">
      <alignment horizontal="center" vertical="center"/>
    </xf>
    <xf numFmtId="0" fontId="52" fillId="15" borderId="7" xfId="110" applyFont="1" applyFill="1" applyBorder="1" applyAlignment="1">
      <alignment horizontal="center" vertical="center" wrapText="1"/>
    </xf>
    <xf numFmtId="0" fontId="52" fillId="15" borderId="6" xfId="110" applyFont="1" applyFill="1" applyBorder="1" applyAlignment="1">
      <alignment horizontal="center" vertical="center" wrapText="1"/>
    </xf>
    <xf numFmtId="0" fontId="53" fillId="15" borderId="4" xfId="110" applyFont="1" applyFill="1" applyBorder="1" applyAlignment="1">
      <alignment horizontal="center"/>
    </xf>
    <xf numFmtId="0" fontId="15" fillId="7" borderId="7" xfId="15" applyFont="1" applyFill="1" applyBorder="1" applyAlignment="1">
      <alignment horizontal="center" vertical="center" wrapText="1"/>
    </xf>
    <xf numFmtId="0" fontId="38" fillId="8" borderId="9" xfId="10" applyFont="1" applyFill="1" applyBorder="1" applyAlignment="1">
      <alignment horizontal="center" vertical="center" wrapText="1"/>
    </xf>
    <xf numFmtId="0" fontId="38" fillId="8" borderId="6" xfId="10" applyFont="1" applyFill="1" applyBorder="1" applyAlignment="1">
      <alignment horizontal="center" vertical="center" wrapText="1"/>
    </xf>
    <xf numFmtId="0" fontId="38" fillId="8" borderId="4" xfId="10" applyFont="1" applyFill="1" applyBorder="1" applyAlignment="1">
      <alignment horizontal="center" wrapText="1"/>
    </xf>
    <xf numFmtId="43" fontId="15" fillId="0" borderId="4" xfId="69" applyFont="1" applyBorder="1" applyAlignment="1">
      <alignment horizontal="center" vertical="center" wrapText="1"/>
    </xf>
    <xf numFmtId="43" fontId="15" fillId="0" borderId="4" xfId="69" applyFont="1" applyBorder="1" applyAlignment="1">
      <alignment horizontal="center" vertical="center"/>
    </xf>
    <xf numFmtId="0" fontId="38" fillId="8" borderId="7" xfId="80" applyFont="1" applyFill="1" applyBorder="1" applyAlignment="1">
      <alignment horizontal="center" vertical="center"/>
    </xf>
    <xf numFmtId="0" fontId="38" fillId="8" borderId="6" xfId="80" applyFont="1" applyFill="1" applyBorder="1" applyAlignment="1">
      <alignment horizontal="center" vertical="center"/>
    </xf>
    <xf numFmtId="0" fontId="15" fillId="7" borderId="0" xfId="15" applyFont="1" applyFill="1" applyAlignment="1">
      <alignment horizontal="center" vertical="center"/>
    </xf>
    <xf numFmtId="0" fontId="15" fillId="7" borderId="0" xfId="11" applyFont="1" applyFill="1" applyAlignment="1">
      <alignment horizontal="center" vertical="top"/>
    </xf>
    <xf numFmtId="0" fontId="38" fillId="0" borderId="15" xfId="80" applyFont="1" applyBorder="1" applyAlignment="1">
      <alignment horizontal="center" wrapText="1"/>
    </xf>
    <xf numFmtId="0" fontId="38" fillId="0" borderId="15" xfId="80" applyFont="1" applyBorder="1" applyAlignment="1">
      <alignment horizontal="center"/>
    </xf>
  </cellXfs>
  <cellStyles count="114">
    <cellStyle name="Body" xfId="1"/>
    <cellStyle name="Comma" xfId="69" builtinId="3"/>
    <cellStyle name="Comma  - Style1" xfId="2"/>
    <cellStyle name="Comma 10" xfId="98"/>
    <cellStyle name="Comma 11" xfId="71"/>
    <cellStyle name="Comma 11 2" xfId="20"/>
    <cellStyle name="Comma 12" xfId="100"/>
    <cellStyle name="Comma 12 2" xfId="101"/>
    <cellStyle name="Comma 13" xfId="104"/>
    <cellStyle name="Comma 14" xfId="106"/>
    <cellStyle name="Comma 15" xfId="108"/>
    <cellStyle name="Comma 2" xfId="26"/>
    <cellStyle name="Comma 2 2" xfId="35"/>
    <cellStyle name="Comma 2 2 2" xfId="66"/>
    <cellStyle name="Comma 2 3" xfId="36"/>
    <cellStyle name="Comma 2 4" xfId="58"/>
    <cellStyle name="Comma 2 6" xfId="96"/>
    <cellStyle name="Comma 3" xfId="37"/>
    <cellStyle name="Comma 3 2" xfId="65"/>
    <cellStyle name="Comma 3 2 2" xfId="82"/>
    <cellStyle name="Comma 3 2 2 2" xfId="111"/>
    <cellStyle name="Comma 32" xfId="74"/>
    <cellStyle name="Comma 4" xfId="38"/>
    <cellStyle name="Comma 4 2" xfId="67"/>
    <cellStyle name="Comma 4 2 2" xfId="83"/>
    <cellStyle name="Comma 4 2 2 2" xfId="112"/>
    <cellStyle name="Comma 5" xfId="39"/>
    <cellStyle name="Comma 6" xfId="40"/>
    <cellStyle name="Comma 6 2" xfId="41"/>
    <cellStyle name="Comma 6 3" xfId="42"/>
    <cellStyle name="Comma 6 4" xfId="43"/>
    <cellStyle name="Comma 62" xfId="86"/>
    <cellStyle name="Comma 7" xfId="22"/>
    <cellStyle name="Comma 8" xfId="68"/>
    <cellStyle name="Comma 8 2" xfId="84"/>
    <cellStyle name="Comma 8 2 2" xfId="113"/>
    <cellStyle name="Comma 9" xfId="95"/>
    <cellStyle name="Curren - Style2" xfId="3"/>
    <cellStyle name="Grey" xfId="4"/>
    <cellStyle name="Header1" xfId="5"/>
    <cellStyle name="Header2" xfId="6"/>
    <cellStyle name="Hyperlink" xfId="73" builtinId="8"/>
    <cellStyle name="Hyperlink 2" xfId="91"/>
    <cellStyle name="Input [yellow]" xfId="7"/>
    <cellStyle name="no dec" xfId="8"/>
    <cellStyle name="Normal" xfId="0" builtinId="0"/>
    <cellStyle name="Normal - Style1" xfId="9"/>
    <cellStyle name="Normal 10" xfId="89"/>
    <cellStyle name="Normal 10 3" xfId="88"/>
    <cellStyle name="Normal 11" xfId="93"/>
    <cellStyle name="Normal 113" xfId="80"/>
    <cellStyle name="Normal 12" xfId="97"/>
    <cellStyle name="Normal 13" xfId="99"/>
    <cellStyle name="Normal 14" xfId="103"/>
    <cellStyle name="Normal 15" xfId="19"/>
    <cellStyle name="Normal 16" xfId="107"/>
    <cellStyle name="Normal 172" xfId="85"/>
    <cellStyle name="Normal 18" xfId="64"/>
    <cellStyle name="Normal 18 2" xfId="81"/>
    <cellStyle name="Normal 18 2 2" xfId="110"/>
    <cellStyle name="Normal 180" xfId="76"/>
    <cellStyle name="Normal 181" xfId="77"/>
    <cellStyle name="Normal 183" xfId="78"/>
    <cellStyle name="Normal 184" xfId="79"/>
    <cellStyle name="Normal 2" xfId="10"/>
    <cellStyle name="Normal 2 2" xfId="11"/>
    <cellStyle name="Normal 2 2 2" xfId="27"/>
    <cellStyle name="Normal 2 2 2 2" xfId="59"/>
    <cellStyle name="Normal 2 2_Working APR 2007-08 Mahagenco_Bhushan_1.3" xfId="44"/>
    <cellStyle name="Normal 2 3" xfId="12"/>
    <cellStyle name="Normal 2 4" xfId="45"/>
    <cellStyle name="Normal 2_ARR FINAL" xfId="46"/>
    <cellStyle name="Normal 3" xfId="13"/>
    <cellStyle name="Normal 3 2" xfId="28"/>
    <cellStyle name="Normal 3 2 2" xfId="60"/>
    <cellStyle name="Normal 3 3" xfId="92"/>
    <cellStyle name="Normal 33 2 2" xfId="72"/>
    <cellStyle name="Normal 39" xfId="23"/>
    <cellStyle name="Normal 4" xfId="29"/>
    <cellStyle name="Normal 4 2" xfId="61"/>
    <cellStyle name="Normal 5" xfId="30"/>
    <cellStyle name="Normal 5 2" xfId="47"/>
    <cellStyle name="Normal 6" xfId="31"/>
    <cellStyle name="Normal 7" xfId="32"/>
    <cellStyle name="Normal 8" xfId="33"/>
    <cellStyle name="Normal 9" xfId="25"/>
    <cellStyle name="Normal_FORMATS 5 YEAR ALOKE" xfId="34"/>
    <cellStyle name="Normal_FORMATS 5 YEAR ALOKE 2" xfId="14"/>
    <cellStyle name="Normal_FORMATS 5 YEAR ALOKE 2 2" xfId="63"/>
    <cellStyle name="Normal_FORMATS 5 YEAR ALOKE 3 2" xfId="15"/>
    <cellStyle name="Percent" xfId="70" builtinId="5"/>
    <cellStyle name="Percent [0]_#6 Temps &amp; Contractors" xfId="16"/>
    <cellStyle name="Percent [2]" xfId="17"/>
    <cellStyle name="Percent 10" xfId="105"/>
    <cellStyle name="Percent 11" xfId="109"/>
    <cellStyle name="Percent 12" xfId="75"/>
    <cellStyle name="Percent 2" xfId="48"/>
    <cellStyle name="Percent 2 2" xfId="49"/>
    <cellStyle name="Percent 2 3" xfId="62"/>
    <cellStyle name="Percent 3" xfId="50"/>
    <cellStyle name="Percent 3 2" xfId="51"/>
    <cellStyle name="Percent 4" xfId="24"/>
    <cellStyle name="Percent 41" xfId="21"/>
    <cellStyle name="Percent 5" xfId="52"/>
    <cellStyle name="Percent 5 2" xfId="53"/>
    <cellStyle name="Percent 5 3" xfId="54"/>
    <cellStyle name="Percent 54" xfId="87"/>
    <cellStyle name="Percent 6" xfId="55"/>
    <cellStyle name="Percent 6 2" xfId="56"/>
    <cellStyle name="Percent 7" xfId="90"/>
    <cellStyle name="Percent 8" xfId="94"/>
    <cellStyle name="Percent 9" xfId="102"/>
    <cellStyle name="Style 1" xfId="18"/>
    <cellStyle name="Style 2" xfId="57"/>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xml"/><Relationship Id="rId84" Type="http://schemas.openxmlformats.org/officeDocument/2006/relationships/externalLink" Target="externalLinks/externalLink22.xml"/><Relationship Id="rId138" Type="http://schemas.openxmlformats.org/officeDocument/2006/relationships/externalLink" Target="externalLinks/externalLink76.xml"/><Relationship Id="rId159" Type="http://schemas.openxmlformats.org/officeDocument/2006/relationships/externalLink" Target="externalLinks/externalLink97.xml"/><Relationship Id="rId107" Type="http://schemas.openxmlformats.org/officeDocument/2006/relationships/externalLink" Target="externalLinks/externalLink4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2.xml"/><Relationship Id="rId128" Type="http://schemas.openxmlformats.org/officeDocument/2006/relationships/externalLink" Target="externalLinks/externalLink66.xml"/><Relationship Id="rId149" Type="http://schemas.openxmlformats.org/officeDocument/2006/relationships/externalLink" Target="externalLinks/externalLink87.xml"/><Relationship Id="rId5" Type="http://schemas.openxmlformats.org/officeDocument/2006/relationships/worksheet" Target="worksheets/sheet5.xml"/><Relationship Id="rId95" Type="http://schemas.openxmlformats.org/officeDocument/2006/relationships/externalLink" Target="externalLinks/externalLink33.xml"/><Relationship Id="rId160" Type="http://schemas.openxmlformats.org/officeDocument/2006/relationships/externalLink" Target="externalLinks/externalLink9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2.xml"/><Relationship Id="rId118" Type="http://schemas.openxmlformats.org/officeDocument/2006/relationships/externalLink" Target="externalLinks/externalLink56.xml"/><Relationship Id="rId139" Type="http://schemas.openxmlformats.org/officeDocument/2006/relationships/externalLink" Target="externalLinks/externalLink77.xml"/><Relationship Id="rId85" Type="http://schemas.openxmlformats.org/officeDocument/2006/relationships/externalLink" Target="externalLinks/externalLink23.xml"/><Relationship Id="rId150" Type="http://schemas.openxmlformats.org/officeDocument/2006/relationships/externalLink" Target="externalLinks/externalLink8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1.xml"/><Relationship Id="rId108" Type="http://schemas.openxmlformats.org/officeDocument/2006/relationships/externalLink" Target="externalLinks/externalLink46.xml"/><Relationship Id="rId124" Type="http://schemas.openxmlformats.org/officeDocument/2006/relationships/externalLink" Target="externalLinks/externalLink62.xml"/><Relationship Id="rId129" Type="http://schemas.openxmlformats.org/officeDocument/2006/relationships/externalLink" Target="externalLinks/externalLink67.xml"/><Relationship Id="rId54" Type="http://schemas.openxmlformats.org/officeDocument/2006/relationships/worksheet" Target="worksheets/sheet54.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91" Type="http://schemas.openxmlformats.org/officeDocument/2006/relationships/externalLink" Target="externalLinks/externalLink29.xml"/><Relationship Id="rId96" Type="http://schemas.openxmlformats.org/officeDocument/2006/relationships/externalLink" Target="externalLinks/externalLink34.xml"/><Relationship Id="rId140" Type="http://schemas.openxmlformats.org/officeDocument/2006/relationships/externalLink" Target="externalLinks/externalLink78.xml"/><Relationship Id="rId145" Type="http://schemas.openxmlformats.org/officeDocument/2006/relationships/externalLink" Target="externalLinks/externalLink83.xml"/><Relationship Id="rId161" Type="http://schemas.openxmlformats.org/officeDocument/2006/relationships/externalLink" Target="externalLinks/externalLink99.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2.xml"/><Relationship Id="rId119" Type="http://schemas.openxmlformats.org/officeDocument/2006/relationships/externalLink" Target="externalLinks/externalLink5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3.xml"/><Relationship Id="rId81" Type="http://schemas.openxmlformats.org/officeDocument/2006/relationships/externalLink" Target="externalLinks/externalLink19.xml"/><Relationship Id="rId86" Type="http://schemas.openxmlformats.org/officeDocument/2006/relationships/externalLink" Target="externalLinks/externalLink24.xml"/><Relationship Id="rId130" Type="http://schemas.openxmlformats.org/officeDocument/2006/relationships/externalLink" Target="externalLinks/externalLink68.xml"/><Relationship Id="rId135" Type="http://schemas.openxmlformats.org/officeDocument/2006/relationships/externalLink" Target="externalLinks/externalLink73.xml"/><Relationship Id="rId151" Type="http://schemas.openxmlformats.org/officeDocument/2006/relationships/externalLink" Target="externalLinks/externalLink89.xml"/><Relationship Id="rId156" Type="http://schemas.openxmlformats.org/officeDocument/2006/relationships/externalLink" Target="externalLinks/externalLink9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97" Type="http://schemas.openxmlformats.org/officeDocument/2006/relationships/externalLink" Target="externalLinks/externalLink35.xml"/><Relationship Id="rId104" Type="http://schemas.openxmlformats.org/officeDocument/2006/relationships/externalLink" Target="externalLinks/externalLink42.xml"/><Relationship Id="rId120" Type="http://schemas.openxmlformats.org/officeDocument/2006/relationships/externalLink" Target="externalLinks/externalLink58.xml"/><Relationship Id="rId125" Type="http://schemas.openxmlformats.org/officeDocument/2006/relationships/externalLink" Target="externalLinks/externalLink63.xml"/><Relationship Id="rId141" Type="http://schemas.openxmlformats.org/officeDocument/2006/relationships/externalLink" Target="externalLinks/externalLink79.xml"/><Relationship Id="rId146" Type="http://schemas.openxmlformats.org/officeDocument/2006/relationships/externalLink" Target="externalLinks/externalLink84.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9.xml"/><Relationship Id="rId92" Type="http://schemas.openxmlformats.org/officeDocument/2006/relationships/externalLink" Target="externalLinks/externalLink30.xml"/><Relationship Id="rId162" Type="http://schemas.openxmlformats.org/officeDocument/2006/relationships/externalLink" Target="externalLinks/externalLink10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 Id="rId87" Type="http://schemas.openxmlformats.org/officeDocument/2006/relationships/externalLink" Target="externalLinks/externalLink25.xml"/><Relationship Id="rId110" Type="http://schemas.openxmlformats.org/officeDocument/2006/relationships/externalLink" Target="externalLinks/externalLink48.xml"/><Relationship Id="rId115" Type="http://schemas.openxmlformats.org/officeDocument/2006/relationships/externalLink" Target="externalLinks/externalLink53.xml"/><Relationship Id="rId131" Type="http://schemas.openxmlformats.org/officeDocument/2006/relationships/externalLink" Target="externalLinks/externalLink69.xml"/><Relationship Id="rId136" Type="http://schemas.openxmlformats.org/officeDocument/2006/relationships/externalLink" Target="externalLinks/externalLink74.xml"/><Relationship Id="rId157" Type="http://schemas.openxmlformats.org/officeDocument/2006/relationships/externalLink" Target="externalLinks/externalLink95.xml"/><Relationship Id="rId61" Type="http://schemas.openxmlformats.org/officeDocument/2006/relationships/worksheet" Target="worksheets/sheet61.xml"/><Relationship Id="rId82" Type="http://schemas.openxmlformats.org/officeDocument/2006/relationships/externalLink" Target="externalLinks/externalLink20.xml"/><Relationship Id="rId152" Type="http://schemas.openxmlformats.org/officeDocument/2006/relationships/externalLink" Target="externalLinks/externalLink9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5.xml"/><Relationship Id="rId100" Type="http://schemas.openxmlformats.org/officeDocument/2006/relationships/externalLink" Target="externalLinks/externalLink38.xml"/><Relationship Id="rId105" Type="http://schemas.openxmlformats.org/officeDocument/2006/relationships/externalLink" Target="externalLinks/externalLink43.xml"/><Relationship Id="rId126" Type="http://schemas.openxmlformats.org/officeDocument/2006/relationships/externalLink" Target="externalLinks/externalLink64.xml"/><Relationship Id="rId147" Type="http://schemas.openxmlformats.org/officeDocument/2006/relationships/externalLink" Target="externalLinks/externalLink85.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93" Type="http://schemas.openxmlformats.org/officeDocument/2006/relationships/externalLink" Target="externalLinks/externalLink31.xml"/><Relationship Id="rId98" Type="http://schemas.openxmlformats.org/officeDocument/2006/relationships/externalLink" Target="externalLinks/externalLink36.xml"/><Relationship Id="rId121" Type="http://schemas.openxmlformats.org/officeDocument/2006/relationships/externalLink" Target="externalLinks/externalLink59.xml"/><Relationship Id="rId142" Type="http://schemas.openxmlformats.org/officeDocument/2006/relationships/externalLink" Target="externalLinks/externalLink80.xml"/><Relationship Id="rId163" Type="http://schemas.openxmlformats.org/officeDocument/2006/relationships/externalLink" Target="externalLinks/externalLink10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5.xml"/><Relationship Id="rId116" Type="http://schemas.openxmlformats.org/officeDocument/2006/relationships/externalLink" Target="externalLinks/externalLink54.xml"/><Relationship Id="rId137" Type="http://schemas.openxmlformats.org/officeDocument/2006/relationships/externalLink" Target="externalLinks/externalLink75.xml"/><Relationship Id="rId158" Type="http://schemas.openxmlformats.org/officeDocument/2006/relationships/externalLink" Target="externalLinks/externalLink9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1.xml"/><Relationship Id="rId88" Type="http://schemas.openxmlformats.org/officeDocument/2006/relationships/externalLink" Target="externalLinks/externalLink26.xml"/><Relationship Id="rId111" Type="http://schemas.openxmlformats.org/officeDocument/2006/relationships/externalLink" Target="externalLinks/externalLink49.xml"/><Relationship Id="rId132" Type="http://schemas.openxmlformats.org/officeDocument/2006/relationships/externalLink" Target="externalLinks/externalLink70.xml"/><Relationship Id="rId153" Type="http://schemas.openxmlformats.org/officeDocument/2006/relationships/externalLink" Target="externalLinks/externalLink9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4.xml"/><Relationship Id="rId127" Type="http://schemas.openxmlformats.org/officeDocument/2006/relationships/externalLink" Target="externalLinks/externalLink6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94" Type="http://schemas.openxmlformats.org/officeDocument/2006/relationships/externalLink" Target="externalLinks/externalLink32.xml"/><Relationship Id="rId99" Type="http://schemas.openxmlformats.org/officeDocument/2006/relationships/externalLink" Target="externalLinks/externalLink37.xml"/><Relationship Id="rId101" Type="http://schemas.openxmlformats.org/officeDocument/2006/relationships/externalLink" Target="externalLinks/externalLink39.xml"/><Relationship Id="rId122" Type="http://schemas.openxmlformats.org/officeDocument/2006/relationships/externalLink" Target="externalLinks/externalLink60.xml"/><Relationship Id="rId143" Type="http://schemas.openxmlformats.org/officeDocument/2006/relationships/externalLink" Target="externalLinks/externalLink81.xml"/><Relationship Id="rId148" Type="http://schemas.openxmlformats.org/officeDocument/2006/relationships/externalLink" Target="externalLinks/externalLink86.xml"/><Relationship Id="rId164" Type="http://schemas.openxmlformats.org/officeDocument/2006/relationships/externalLink" Target="externalLinks/externalLink10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6.xml"/><Relationship Id="rId89" Type="http://schemas.openxmlformats.org/officeDocument/2006/relationships/externalLink" Target="externalLinks/externalLink27.xml"/><Relationship Id="rId112" Type="http://schemas.openxmlformats.org/officeDocument/2006/relationships/externalLink" Target="externalLinks/externalLink50.xml"/><Relationship Id="rId133" Type="http://schemas.openxmlformats.org/officeDocument/2006/relationships/externalLink" Target="externalLinks/externalLink71.xml"/><Relationship Id="rId154" Type="http://schemas.openxmlformats.org/officeDocument/2006/relationships/externalLink" Target="externalLinks/externalLink9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7.xml"/><Relationship Id="rId102" Type="http://schemas.openxmlformats.org/officeDocument/2006/relationships/externalLink" Target="externalLinks/externalLink40.xml"/><Relationship Id="rId123" Type="http://schemas.openxmlformats.org/officeDocument/2006/relationships/externalLink" Target="externalLinks/externalLink61.xml"/><Relationship Id="rId144" Type="http://schemas.openxmlformats.org/officeDocument/2006/relationships/externalLink" Target="externalLinks/externalLink82.xml"/><Relationship Id="rId90" Type="http://schemas.openxmlformats.org/officeDocument/2006/relationships/externalLink" Target="externalLinks/externalLink28.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7.xml"/><Relationship Id="rId113" Type="http://schemas.openxmlformats.org/officeDocument/2006/relationships/externalLink" Target="externalLinks/externalLink51.xml"/><Relationship Id="rId134" Type="http://schemas.openxmlformats.org/officeDocument/2006/relationships/externalLink" Target="externalLinks/externalLink72.xml"/><Relationship Id="rId80" Type="http://schemas.openxmlformats.org/officeDocument/2006/relationships/externalLink" Target="externalLinks/externalLink18.xml"/><Relationship Id="rId155" Type="http://schemas.openxmlformats.org/officeDocument/2006/relationships/externalLink" Target="externalLinks/externalLink9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5AB6F19C\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inank\d\Finance\ProjAcc\Essar\BH\ESSAR\PO-BH.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F:\D:\F:\F:\Ibmsrv\btps_techinical_papers\Documents%20and%20Settings\PPMS1_ST2.MSEB\Desktop\Sep-08\Yearly%20dat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F:\D:\F:\F:\Ibmsrv\btps_techinical_papers\Documents%20and%20Settings\PPMS1_ST2.MSEB\Desktop\Sep-08\Yearly%20da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0.96.15\Account%20&amp;%20Taxation\Account%20&amp;%20Taxation\My%20client\Project%20Starflex\Databook\Project%20A%20Oct%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RRK%20PEN%20DATA_28.01.2008\Performance\PERFORMANCE\ocm\Yearly_perf\OCMJAN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F:\D:\F:\F:\C:\C:\MGPGADRCDP003\RCD-Share\Performance\PERFORMANCE\ocm\Yearly_perf\OCMJAN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D:\F:\F:\C:\C:\MGPGADRCDP003\RCD-Share\Performance\PERFORMANCE\ocm\Yearly_perf\OCMJAN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GHORCD003\RCD-Share\Users\skedia\AppData\Local\Microsoft\Windows\Temporary%20Internet%20Files\Content.Outlook\2JFMFI1J\201-04REL-Final.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Last%20Year%20Q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96.15\Accounts\Gujarat%20Gas%20Consolidated\Consolidated%20TB%20Grouping%20Format\Consolidated%20Merged%20BS%202013-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GGL\GGL%20quarters\GGL%20Ind%20AS%20FS%20Template%20%2001%2006%202016-OBS%20format%20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GL/GGL%20quarters/GGL%20Ind%20AS%20FS%20Template%20%2001%2006%202016-OBS%20format%20v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sskrlnas\desktop5$\Mukesh\Tax%20Audit%20AY05-06\3cd_annex%20AY05-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inank\d\Finance\ProjAcc\Essar\BH\ESSAR\Exposure\CR-SUP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F:\D:\F:\F:\C:\C:\C:\Performance\PERFORMANCE\ocm\Yearly_perf\OCMJAN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F:\D:\F:\F:\C:\C:\C:\Performance\PERFORMANCE\ocm\Yearly_perf\OCMJAN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GPGADRCDP003\Users\skedia\AppData\Local\Microsoft\Windows\Temporary%20Internet%20Files\Content.Outlook\2JFMFI1J\201-04REL-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shah\jayesh\TEAMLINK\STAGING\AUTUM-F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ankaj\d\GIPL\Audit%20A.Y.%202007-08\06-09-07\asset12foritde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0.1\wordxl\CAMELLIA\Statutory%20Audits\Audit%202005-06\01%20%20Camellia%20Clothing%20Limited\B.%20%20Tax%20Audit%202005-06\PP_Master%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GRID%20Energy\Work\MSPGCL%20True%20Up%20Fy%202010-11\Earlier%20Orders\EXCEL%20MODELS%20FINAL\PwC_MSPGCL_20.12.20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GRID%20Energy\Work\MSPGCL%20True%20Up%20Fy%202010-11\Earlier%20Orders\EXCEL%20MODELS%20FINAL\PwC_MSPGCL_20.12.201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ID%20Energy/Work/MSPGCL%20True%20Up%20Fy%202010-11/Earlier%20Orders/EXCEL%20MODELS%20FINAL/PwC_MSPGCL_20.12.20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skrlnas\desktop5$\Books\Income%20Tax%20AY%2003-04\Final%20Files-linked\SIIL%203cd%20Consol%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GPGADRCDP003\File%2067%20(MYT%20III)\To%20MERC%20MYT%20petition%2030.01.2016\MSPGCL_True%20up%20petition_MYT_Final%20for%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ERC\MERC%20Cases%202017\196%20of%202017\Revised%20Petition\To%20MERC_21.06.2018_FINAL\Annexure%201_MTR%20petition%20format_%2021.06.2018\Consolidated%20MTR%20formats_20-06-2018_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F:\D:\F:\F:\H:\Bhusawal%203%20-%20MYT%20201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F:\D:\F:\F:\H:\Bhusawal%203%20-%20MYT%20201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F:\D:\F:\F:\H:\File%2067%20(MYT%20III)\File%2067%20B%20True%20up%20FY%2017-18%20and%20FY%2018-19\RCD%20Working%20True%20up%20FY%202017-18\Final%20individual%20forms%20for%20petition\Form%205%20GF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Form%205%20GF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ERCADOS%20EMI/Downloads/201-04REL-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bmsrv\btps_techinical_papers\Documents%20and%20Settings\PPMS1_ST2.MSEB\Desktop\Sep-08\Yearly%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shah\jayesh\FINANCE\123\SUBSRET\1999\NEWSUBRETURN\JS0405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0.96.15\My%20client\Project%20Starflex\Databook\Project%20A%20Oct%2022.xlsx"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01-Balance%20sheet-IGAAP_AdaniEnt1"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7.3.14\audit%2012-13\Clients\RSIL\Tax%20Audits\RSIL%20TA%202011-12\ITR-6\2012_ITR6_PR6.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shah\jayesh\FINANCE\123\THOMPSON\COMPANY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HPCL%20Documents\Financials\March%20-%2017\Standalone\Accounts\HPCL%20Ind%20AS%20Financials%20March%202017%2026%20May%202017%201109hr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PCL%20Documents/Financials/March%20-%2017/Standalone/Accounts/HPCL%20Ind%20AS%20Financials%20March%202017%2026%20May%202017%201109hr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ajkumar\books\Books\Books%2003-04\Dec%2003\SIIL-Books-Dec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Users\skedia\Documents\MSPGCL%20FY12%20ARR%20Petition%20and%20Model%2031Mar11\ARR%20formats%20SM%2029Mar1940_ol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Startup" Target="FIXED%20ASSETS/2001-02/SCHV.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FIXED%20ASSETS/2002-03/asset0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skedia\Desktop\MSPGCL%20Main%20Folder\Revised%20True-up%20&amp;%20APR\Workings\Annexure%202_revis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F:\D:\F:\F:\H:\File%2067%20(MYT%20III)\File%2067A%20(MTR-%20MYT%20III)\Revised%20Petition\To%20MERC_19.06.2018\Annexure%201%20Petition%20formats%20for%20existing%20and%20New%20stations\Consolidated%20MTR%20formats_20-06-2018_FINAL.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F:\D:\F:\F:\H:\File%2067%20(MYT%20III)\File%2067A%20(MTR-%20MYT%20III)\Revised%20Petition\To%20MERC_19.06.2018\Annexure%201%20Petition%20formats%20for%20existing%20and%20New%20stations\Consolidated%20MTR%20formats_20-06-2018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F:\D:\F:\F:\H:\File%2067%20(MYT%20III)\File%2067%20B%20True%20up%20FY%2017-18%20and%20FY%2018-19\RCD%20Working%20True%20up%20FY%202017-18\Final%20individual%20forms%20for%20petition\Stationwise%20forms\Paras3_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Stationwise%20forms\Paras3_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finance\shabbir\BS\EPoL%20-%20F&amp;A%20Dept%20(D)\Sep04halfyear%20closing\BSSEP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GPGADRCDP003\Users\Kinjal\Desktop\FA_December-15.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skrlnas\mydocuments5$\kamalh\Documents\D%20Drive\IFRS\IFRS%20Financials\EGL%20Consol%20BS%20March%202013\Projects\EPL_7500\EPL_7500_Mar%201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sskrlnas\desktop5$\Users\Kiran\AppData\Local\Microsoft\Windows\Temporary%20Internet%20Files\Content.Outlook\1U8LT935\IFRS%20Dec'11%20Pack%20vipu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inank\d\Finance\ProjAcc\Essar\Accounts%20Payable\Invoice%20Status%20-%20Payments%20AB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GHORCD003\RCD-Share\Users\skedia\Desktop\To%20MERC\Annexures\Annexure%20-%20I%20ARR_Existing.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atabank\1-Projects%20In%20Hand\DFID\ARR%202003-04\Arr%20Petition%202003-04\For%20Submission\ARR%20Forms%20For%20Submiss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atabank\1-Projects%20In%20Hand\DFID\ARR%202003-04\Arr%20Petition%202003-04\For%20Submission\ARR%20Forms%20For%20Submis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EF26C4\RIM%20%20list%20as%20on%2001.11.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bank/1-Projects%20In%20Hand/DFID/ARR%202003-04/Arr%20Petition%202003-04/For%20Submission/ARR%20Forms%20For%20Submission.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221055%20Sundry%20Debtors%20and%20Unbilled%20Revenue%20Combined%20Leadsheet"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sskrlnas\desktop5$\HGPL%20FIN%20(ESTL%20FORMAT)%20%20-%20MAR%202006%20-%20updated%2027TH%20%20JUNE%2006%20-%20CAPITALISE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GPGADRCDP003\Subsidiary%20Companies\Dhopave%20Power%20Ltd\Final%20Acc%2016-17\INDAS%20Op.%20bal%20sheet%20Dhopave%20BS%202015-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sskrlnas\desktop5$\Users\Common\AppData\Local\Microsoft\Windows\Temporary%20Internet%20Files\Content.Outlook\0F4OOOZW\EPL%20Flower%20IFRS%20June'11%20templat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sskrlnas\desktop5$\deepak\Tax%20Audit%20AY02-03\3cd_annex_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sskrlnas\desktop5$\CLIENTS\PRK\S&amp;MBS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inank\d\Finance\ProjAcc\Essar\BH\ESSAR\Exposure\PO-B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F:\D:\F:\F:\MGPGADRCDP003\Users\mpd1\Downloads\F-%205%20Khaperkheda%20TPS%20-%20MYT%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1\OFFSHORE\USERS\NARESH\FIN\HALFYEAR\CONB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F:\D:\F:\F:\MGPGADRCDP003\Users\mpd1\Downloads\F-%205%20Khaperkheda%20TPS%20-%20MYT%20201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F:\D:\F:\F:\D:\Shail\Code\MYT\New%20folder\Energy%20charge%20calculation_Washed%20coal%20-%20Chandrapur%203-7.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F:\D:\F:\F:\D:\Shail\Code\MYT\New%20folder\Energy%20charge%20calculation_Washed%20coal%20-%20Chandrapur%203-7.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Documents%20and%20Settings\anurag\My%20Documents\petitions\Petition%20for%20trans%20ARR.doc\Databank\1-Projects%20In%20Hand\DFID\ARR%202003-04\Arr%20Petition%202003-04\For%20Submission\ARR%20Forms%20For%20Submissi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Documents%20and%20Settings\anurag\My%20Documents\petitions\Petition%20for%20trans%20ARR.doc\Databank\1-Projects%20In%20Hand\DFID\ARR%202003-04\Arr%20Petition%202003-04\For%20Submission\ARR%20Forms%20For%20Submiss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anurag/My%20Documents/petitions/Petition%20for%20trans%20ARR.doc/Databank/1-Projects%20In%20Hand/DFID/ARR%202003-04/Arr%20Petition%202003-04/For%20Submission/ARR%20Forms%20For%20Submissi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F:\D:\F:\F:\H:\File%2067%20(MYT%20III)\File%2067%20B%20True%20up%20FY%2017-18%20and%20FY%2018-19\RCD%20Working%20True%20up%20FY%202017-18\Final%20individual%20forms%20for%20petition\Form%207%20RO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Form%207%20RO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0.96.15\Account%20&amp;%20Taxation\Accounts\Gujarat%20Gas%20Consolidated\GGL%202015-16\GGL%2015-6%20Q-3\Consolidated%20Merged%20BS%202015-16-%20Dec%2015%20-%20V2%20with%20BS%20regroupi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inank\d\Finance\ProjAcc\Essar\BH\ESSAR\CR-SUPLY.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VA%20All%20Balances%20Combined%20Leadsheet%20Mar%2008"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0.96.15\Accounts\Audit\Annual%20Accounts%202013-2014\Standalone%20Financial%2013-14%20GSPC%20Gas%20Mar-14%20Ver_4.xlsb"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Sameer's%20folder\MSEB\Tariff%20Filing%202003-04\Outputs\Models\Working%20Models\old\Dispatch%202.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Sameer's%20folder\MSEB\Tariff%20Filing%202003-04\Outputs\Models\Working%20Models\old\Dispatch%202.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ameer's%20folder/MSEB/Tariff%20Filing%202003-04/Outputs/Models/Working%20Models/old/Dispatch%202.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sskrlnas\desktop5$\WINDOWS\TEMP\jun00\int062000-REVISED-summa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sskrlnas\desktop5$\Documents%20and%20Settings\sohoni\Local%20Settings\Temporary%20Internet%20Files\OLK14\ECLITR06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oonam\c\My%20Documents\MIS%202004-05\PAP\MONTHLY%20FILES%20PHPL\MAR%2005\PAP%20MAR%2005%20BOOK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inank\d\Finance\ProjAcc\Essar\EROG\ESSAR\GENERAL\PO%20LOG%20Exposure.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20%20%20%20%20Substantive%20Analytical%20Review%20-%20Disaggregated%20Po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r-1"/>
      <sheetName val="insur-2 (closed)"/>
      <sheetName val="diff on tic &amp; po"/>
      <sheetName val="pa-mtly"/>
      <sheetName val="po log ssb"/>
      <sheetName val="po log ssb incl cc"/>
      <sheetName val="recon"/>
      <sheetName val="data-g"/>
      <sheetName val="graph"/>
      <sheetName val="x-rate"/>
      <sheetName val="Est. Outflows"/>
      <sheetName val="Settlements"/>
      <sheetName val="insur-2"/>
      <sheetName val="retention"/>
      <sheetName val="PO-BH"/>
      <sheetName val="77S(O)"/>
      <sheetName val="310480 as on 311207"/>
      <sheetName val="insur-2_(closed)"/>
      <sheetName val="diff_on_tic_&amp;_po"/>
      <sheetName val="po_log_ssb"/>
      <sheetName val="po_log_ssb_incl_cc"/>
      <sheetName val="Est__Outflows"/>
      <sheetName val="insur-2_(closed)1"/>
      <sheetName val="diff_on_tic_&amp;_po1"/>
      <sheetName val="po_log_ssb1"/>
      <sheetName val="po_log_ssb_incl_cc1"/>
      <sheetName val="Est__Outflows1"/>
      <sheetName val="insur-2_(closed)2"/>
      <sheetName val="diff_on_tic_&amp;_po2"/>
      <sheetName val="po_log_ssb2"/>
      <sheetName val="po_log_ssb_incl_cc2"/>
      <sheetName val="Est__Outflows2"/>
      <sheetName val="insur-2_(closed)3"/>
      <sheetName val="diff_on_tic_&amp;_po3"/>
      <sheetName val="po_log_ssb3"/>
      <sheetName val="po_log_ssb_incl_cc3"/>
      <sheetName val="Est__Outflows3"/>
      <sheetName val="310480_as_on_311207"/>
      <sheetName val="GRIR REF DEC 07"/>
      <sheetName val="ON HOLD - PA &amp; 2.7"/>
      <sheetName val="Sheet2"/>
      <sheetName val="Input"/>
      <sheetName val="sum"/>
      <sheetName val="Sheet3 (2)"/>
      <sheetName val="a-4"/>
      <sheetName val="ON_HOLD_-_PA_&amp;_2_7"/>
      <sheetName val="FUEL_&amp;_LOSS"/>
      <sheetName val="ON_HOLD_-_PA_&amp;_2_71"/>
      <sheetName val="ON_HOLD_-_PA_&amp;_2_72"/>
      <sheetName val="Links"/>
      <sheetName val="ON_HOLD_-_PA_&amp;_2_73"/>
      <sheetName val="Sheet3_(2)"/>
      <sheetName val="1612.01AN(7) - Niep Tds Summary"/>
      <sheetName val="FOIL"/>
      <sheetName val="insur-2_(closed)4"/>
      <sheetName val="diff_on_tic_&amp;_po4"/>
      <sheetName val="po_log_ssb4"/>
      <sheetName val="po_log_ssb_incl_cc4"/>
      <sheetName val="Est__Outflows4"/>
      <sheetName val="310480_as_on_3112071"/>
      <sheetName val="ON_HOLD_-_PA_&amp;_2_74"/>
      <sheetName val="Sheet3_(2)1"/>
      <sheetName val="1612_01AN(7)_-_Niep_Tds_Summary"/>
      <sheetName val="GRIR_REF_DEC_07"/>
      <sheetName val="Codes"/>
      <sheetName val="insur-2_(closed)5"/>
      <sheetName val="diff_on_tic_&amp;_po5"/>
      <sheetName val="po_log_ssb5"/>
      <sheetName val="po_log_ssb_incl_cc5"/>
      <sheetName val="Est__Outflows5"/>
      <sheetName val="310480_as_on_3112072"/>
      <sheetName val="GRIR_REF_DEC_071"/>
      <sheetName val="ON_HOLD_-_PA_&amp;_2_75"/>
      <sheetName val="Sheet3_(2)2"/>
      <sheetName val="1612_01AN(7)_-_Niep_Tds_Summar1"/>
      <sheetName val="P&amp;L"/>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row r="11">
          <cell r="A11" t="str">
            <v>EURO</v>
          </cell>
          <cell r="B11">
            <v>0.90756040000000004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01"/>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01"/>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PL"/>
      <sheetName val="Lead CF"/>
      <sheetName val="Lead BS"/>
      <sheetName val="PL_Index"/>
      <sheetName val="PL1"/>
      <sheetName val="PL2"/>
      <sheetName val="PL3"/>
      <sheetName val="PL4"/>
      <sheetName val="PL5"/>
      <sheetName val="PL6-Revenue Bridge"/>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WC_Index"/>
      <sheetName val="WC1"/>
      <sheetName val="WC2"/>
      <sheetName val="FC_Index"/>
      <sheetName val="FC1"/>
      <sheetName val="FC2"/>
      <sheetName val="AG_Index"/>
      <sheetName val="AG1"/>
      <sheetName val="AG2"/>
      <sheetName val="AG3"/>
      <sheetName val="AG4"/>
      <sheetName val="AG5"/>
      <sheetName val="AG6"/>
      <sheetName val="Sheet8S"/>
      <sheetName val="Sheet4S"/>
      <sheetName val="Sheet01S"/>
      <sheetName val="Sheet12S"/>
      <sheetName val="Determination of Threshold"/>
      <sheetName val="SUMM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A6" t="str">
            <v>Currency:Rsm</v>
          </cell>
        </row>
        <row r="14">
          <cell r="B14">
            <v>11883.978000000001</v>
          </cell>
        </row>
        <row r="21">
          <cell r="B21">
            <v>18547.707000000002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CE"/>
      <sheetName val="deb"/>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Wise Dec"/>
      <sheetName val="Plant Wise Nov"/>
      <sheetName val="Plant Wise oct"/>
      <sheetName val="Plant Wise sep"/>
      <sheetName val="Plant Wise aug"/>
      <sheetName val="Plant Wise jul"/>
      <sheetName val="CCR chpd"/>
      <sheetName val="CCR"/>
      <sheetName val="CCR pip"/>
      <sheetName val="ACP"/>
      <sheetName val="Refinery"/>
      <sheetName val="Prod &amp; sales"/>
      <sheetName val="Last Year QD"/>
      <sheetName val="#REF"/>
      <sheetName val="REFNCOMPARE"/>
      <sheetName val="Details"/>
      <sheetName val="Variables"/>
      <sheetName val="Schedules PL"/>
      <sheetName val="Schedules BS"/>
      <sheetName val="BS"/>
      <sheetName val="Interest 30-11-01 not PA 7%"/>
      <sheetName val="x-rate"/>
      <sheetName val="TRIAL BALANCE"/>
      <sheetName val="PROC "/>
      <sheetName val="Share Performance"/>
      <sheetName val="1612.01AN(7) - Niep Tds Summary"/>
      <sheetName val="HBI NCD"/>
      <sheetName val="CONTANGO"/>
      <sheetName val="margin."/>
      <sheetName val="lot no 86"/>
      <sheetName val="proposallinked"/>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Workign"/>
      <sheetName val="Instruction Sheet"/>
      <sheetName val="cash flow tb"/>
      <sheetName val="Pivot of TB"/>
      <sheetName val="TB CY"/>
      <sheetName val="Sheet12"/>
      <sheetName val="Sheet2"/>
      <sheetName val="Sheet3"/>
      <sheetName val="TB Sheet"/>
      <sheetName val="1. Bal Sheet"/>
      <sheetName val="2. Prof &amp;L"/>
      <sheetName val="AP"/>
      <sheetName val="Equity (2)"/>
      <sheetName val="5.BS Notes"/>
      <sheetName val="3.CF (New) (2)"/>
      <sheetName val="6.PL Notes"/>
      <sheetName val="12 FA Sch"/>
      <sheetName val="12.1 CWIP"/>
      <sheetName val="13.1"/>
      <sheetName val="Note 16"/>
      <sheetName val="NOTE 34 QTY"/>
      <sheetName val="Other notes 35 to 40"/>
      <sheetName val="Note 41 EB"/>
      <sheetName val="42 ESOP"/>
      <sheetName val="43 Related Parties"/>
      <sheetName val="Other notes 44 to 47"/>
      <sheetName val="Merger note"/>
      <sheetName val="4.1 LTBorrowings"/>
      <sheetName val="4.2 MTBorrowings"/>
      <sheetName val="Investment cancellation"/>
      <sheetName val="JV"/>
      <sheetName val="Sheet1"/>
      <sheetName val="3.CF (New)"/>
      <sheetName val="FA Sch"/>
      <sheetName val="Details"/>
    </sheetNames>
    <sheetDataSet>
      <sheetData sheetId="0">
        <row r="4">
          <cell r="AI4">
            <v>419671067.66999996</v>
          </cell>
        </row>
      </sheetData>
      <sheetData sheetId="1">
        <row r="33">
          <cell r="D33">
            <v>2</v>
          </cell>
        </row>
        <row r="35">
          <cell r="E35">
            <v>1</v>
          </cell>
        </row>
      </sheetData>
      <sheetData sheetId="2"/>
      <sheetData sheetId="3"/>
      <sheetData sheetId="4"/>
      <sheetData sheetId="5"/>
      <sheetData sheetId="6"/>
      <sheetData sheetId="7"/>
      <sheetData sheetId="8">
        <row r="4">
          <cell r="C4" t="str">
            <v>Check-TB</v>
          </cell>
        </row>
      </sheetData>
      <sheetData sheetId="9">
        <row r="9">
          <cell r="P9">
            <v>1376780249.9973679</v>
          </cell>
        </row>
      </sheetData>
      <sheetData sheetId="10">
        <row r="32">
          <cell r="I32">
            <v>1506587793</v>
          </cell>
        </row>
      </sheetData>
      <sheetData sheetId="11"/>
      <sheetData sheetId="12">
        <row r="33">
          <cell r="E33">
            <v>124520129.92105263</v>
          </cell>
        </row>
      </sheetData>
      <sheetData sheetId="13">
        <row r="1">
          <cell r="A1" t="str">
            <v>Surplus in Statement of Profit and Loss</v>
          </cell>
        </row>
      </sheetData>
      <sheetData sheetId="14">
        <row r="79">
          <cell r="C79">
            <v>15990800000</v>
          </cell>
        </row>
      </sheetData>
      <sheetData sheetId="15"/>
      <sheetData sheetId="16">
        <row r="11">
          <cell r="N11">
            <v>110171158.0346909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132kv DCDS"/>
      <sheetName val=""/>
      <sheetName val="04REL"/>
      <sheetName val="A 3_7"/>
      <sheetName val="data"/>
      <sheetName val="Data base Feb 09"/>
      <sheetName val="grid"/>
      <sheetName val="Salient1"/>
      <sheetName val="Cat_Ser_load"/>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heet1"/>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Adj.TB"/>
      <sheetName val="Sheet2"/>
      <sheetName val="Citrix"/>
      <sheetName val="Instruction Sheet"/>
      <sheetName val="UK"/>
      <sheetName val="Scheme Area Details_Block__ C2"/>
      <sheetName val="New33KVSS_E3"/>
      <sheetName val="Prop aug of Ex 33KVSS_E3a"/>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Coalmine"/>
      <sheetName val="C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BOQ"/>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sheetData sheetId="4"/>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8">
          <cell r="A38">
            <v>0</v>
          </cell>
        </row>
      </sheetData>
      <sheetData sheetId="73">
        <row r="38">
          <cell r="A38" t="str">
            <v xml:space="preserve">ESTIMATE FOR INSTALLATION OF ADDITIONAL 1X40MVA 132/33KV TRANSFORMER AT EXISTING EHV SUBSTATION </v>
          </cell>
        </row>
      </sheetData>
      <sheetData sheetId="74">
        <row r="38">
          <cell r="A38">
            <v>0</v>
          </cell>
        </row>
      </sheetData>
      <sheetData sheetId="75">
        <row r="38">
          <cell r="A38">
            <v>0</v>
          </cell>
        </row>
      </sheetData>
      <sheetData sheetId="76">
        <row r="38">
          <cell r="A38" t="str">
            <v xml:space="preserve">ESTIMATE FOR INSTALLATION OF ADDITIONAL 1X40MVA 132/33KV TRANSFORMER AT EXISTING EHV SUBSTATION </v>
          </cell>
        </row>
      </sheetData>
      <sheetData sheetId="77">
        <row r="38">
          <cell r="A38" t="str">
            <v xml:space="preserve">ESTIMATE FOR INSTALLATION OF ADDITIONAL 1X40MVA 132/33KV TRANSFORMER AT EXISTING EHV SUBSTATION </v>
          </cell>
        </row>
      </sheetData>
      <sheetData sheetId="78">
        <row r="38">
          <cell r="A38" t="str">
            <v xml:space="preserve">ESTIMATE FOR INSTALLATION OF ADDITIONAL 1X40MVA 132/33KV TRANSFORMER AT EXISTING EHV SUBSTATION </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sheetData sheetId="88">
        <row r="38">
          <cell r="A38" t="str">
            <v xml:space="preserve">ESTIMATE FOR INSTALLATION OF ADDITIONAL 1X40MVA 132/33KV TRANSFORMER AT EXISTING EHV SUBSTATION </v>
          </cell>
        </row>
      </sheetData>
      <sheetData sheetId="89">
        <row r="38">
          <cell r="A38">
            <v>0</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sheetData sheetId="93">
        <row r="38">
          <cell r="A38" t="str">
            <v xml:space="preserve">ESTIMATE FOR INSTALLATION OF ADDITIONAL 1X40MVA 132/33KV TRANSFORMER AT EXISTING EHV SUBSTATION </v>
          </cell>
        </row>
      </sheetData>
      <sheetData sheetId="94">
        <row r="38">
          <cell r="A38">
            <v>0</v>
          </cell>
        </row>
      </sheetData>
      <sheetData sheetId="95">
        <row r="38">
          <cell r="A38" t="str">
            <v xml:space="preserve">ESTIMATE FOR INSTALLATION OF ADDITIONAL 1X40MVA 132/33KV TRANSFORMER AT EXISTING EHV SUBSTATION </v>
          </cell>
        </row>
      </sheetData>
      <sheetData sheetId="96"/>
      <sheetData sheetId="97"/>
      <sheetData sheetId="98">
        <row r="38">
          <cell r="A38" t="str">
            <v xml:space="preserve">ESTIMATE FOR INSTALLATION OF ADDITIONAL 1X40MVA 132/33KV TRANSFORMER AT EXISTING EHV SUBSTATION </v>
          </cell>
        </row>
      </sheetData>
      <sheetData sheetId="99"/>
      <sheetData sheetId="100">
        <row r="38">
          <cell r="A38" t="str">
            <v xml:space="preserve">ESTIMATE FOR INSTALLATION OF ADDITIONAL 1X40MVA 132/33KV TRANSFORMER AT EXISTING EHV SUBSTATION </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t="str">
            <v xml:space="preserve">ESTIMATE FOR INSTALLATION OF ADDITIONAL 1X40MVA 132/33KV TRANSFORMER AT EXISTING EHV SUBSTATION </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sheetData sheetId="117">
        <row r="38">
          <cell r="A38" t="str">
            <v xml:space="preserve">ESTIMATE FOR INSTALLATION OF ADDITIONAL 1X40MVA 132/33KV TRANSFORMER AT EXISTING EHV SUBSTATION </v>
          </cell>
        </row>
      </sheetData>
      <sheetData sheetId="118"/>
      <sheetData sheetId="119">
        <row r="38">
          <cell r="A38" t="str">
            <v xml:space="preserve">ESTIMATE FOR INSTALLATION OF ADDITIONAL 1X40MVA 132/33KV TRANSFORMER AT EXISTING EHV SUBSTATION </v>
          </cell>
        </row>
      </sheetData>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ow r="38">
          <cell r="A38" t="str">
            <v xml:space="preserve">ESTIMATE FOR INSTALLATION OF ADDITIONAL 1X40MVA 132/33KV TRANSFORMER AT EXISTING EHV SUBSTATION </v>
          </cell>
        </row>
      </sheetData>
      <sheetData sheetId="133">
        <row r="38">
          <cell r="A38" t="str">
            <v xml:space="preserve">ESTIMATE FOR INSTALLATION OF ADDITIONAL 1X40MVA 132/33KV TRANSFORMER AT EXISTING EHV SUBSTATION </v>
          </cell>
        </row>
      </sheetData>
      <sheetData sheetId="134">
        <row r="38">
          <cell r="A38" t="str">
            <v xml:space="preserve">ESTIMATE FOR INSTALLATION OF ADDITIONAL 1X40MVA 132/33KV TRANSFORMER AT EXISTING EHV SUBSTATION </v>
          </cell>
        </row>
      </sheetData>
      <sheetData sheetId="135">
        <row r="38">
          <cell r="A38" t="str">
            <v xml:space="preserve">ESTIMATE FOR INSTALLATION OF ADDITIONAL 1X40MVA 132/33KV TRANSFORMER AT EXISTING EHV SUBSTATION </v>
          </cell>
        </row>
      </sheetData>
      <sheetData sheetId="136">
        <row r="38">
          <cell r="A38" t="str">
            <v xml:space="preserve">ESTIMATE FOR INSTALLATION OF ADDITIONAL 1X40MVA 132/33KV TRANSFORMER AT EXISTING EHV SUBSTATION </v>
          </cell>
        </row>
      </sheetData>
      <sheetData sheetId="137">
        <row r="38">
          <cell r="A38" t="str">
            <v xml:space="preserve">ESTIMATE FOR INSTALLATION OF ADDITIONAL 1X40MVA 132/33KV TRANSFORMER AT EXISTING EHV SUBSTATION </v>
          </cell>
        </row>
      </sheetData>
      <sheetData sheetId="138">
        <row r="38">
          <cell r="A38" t="str">
            <v xml:space="preserve">ESTIMATE FOR INSTALLATION OF ADDITIONAL 1X40MVA 132/33KV TRANSFORMER AT EXISTING EHV SUBSTATION </v>
          </cell>
        </row>
      </sheetData>
      <sheetData sheetId="139">
        <row r="38">
          <cell r="A38" t="str">
            <v xml:space="preserve">ESTIMATE FOR INSTALLATION OF ADDITIONAL 1X40MVA 132/33KV TRANSFORMER AT EXISTING EHV SUBSTATION </v>
          </cell>
        </row>
      </sheetData>
      <sheetData sheetId="140">
        <row r="38">
          <cell r="A38" t="str">
            <v xml:space="preserve">ESTIMATE FOR INSTALLATION OF ADDITIONAL 1X40MVA 132/33KV TRANSFORMER AT EXISTING EHV SUBSTATION </v>
          </cell>
        </row>
      </sheetData>
      <sheetData sheetId="141">
        <row r="38">
          <cell r="A38" t="str">
            <v xml:space="preserve">ESTIMATE FOR INSTALLATION OF ADDITIONAL 1X40MVA 132/33KV TRANSFORMER AT EXISTING EHV SUBSTATION </v>
          </cell>
        </row>
      </sheetData>
      <sheetData sheetId="142">
        <row r="38">
          <cell r="A38" t="str">
            <v xml:space="preserve">ESTIMATE FOR INSTALLATION OF ADDITIONAL 1X40MVA 132/33KV TRANSFORMER AT EXISTING EHV SUBSTATION </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HBI NCD"/>
      <sheetName val="310280 on 310307 (070607)"/>
      <sheetName val="CRITERIA1"/>
      <sheetName val="TRIAL BALANCE"/>
      <sheetName val="Non-Recurring Items Detail"/>
      <sheetName val="Gross Margin by Practice"/>
      <sheetName val="OpServicesDetail"/>
      <sheetName val="Lookups"/>
      <sheetName val="Mode d emploie et exemple"/>
      <sheetName val="Masters"/>
      <sheetName val="Dep"/>
      <sheetName val="gen ledger data"/>
      <sheetName val="Addl.40"/>
      <sheetName val="BALANCE SHEET"/>
      <sheetName val="SNAP SHOT"/>
      <sheetName val="DLC sites"/>
      <sheetName val="SDH COST"/>
      <sheetName val="Other assumptions"/>
      <sheetName val="RSU lookups"/>
      <sheetName val="RSU sites"/>
      <sheetName val="profit &amp; loss account"/>
      <sheetName val="vgr"/>
      <sheetName val="Schedules_BS1"/>
      <sheetName val="Schedules_PL1"/>
      <sheetName val="Sec_2121"/>
      <sheetName val="HBI_NCD1"/>
      <sheetName val="310280_on_310307_(070607)1"/>
      <sheetName val="Schedules_BS"/>
      <sheetName val="Schedules_PL"/>
      <sheetName val="Sec_212"/>
      <sheetName val="HBI_NCD"/>
      <sheetName val="310280_on_310307_(070607)"/>
      <sheetName val=""/>
      <sheetName val="UBRD"/>
      <sheetName val="UPCA"/>
      <sheetName val="UBRS"/>
      <sheetName val="KPM Data Tables"/>
      <sheetName val="TTDZ22"/>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 val="Metro consind updation sheet"/>
      <sheetName val="Dom"/>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Q1 SEBI"/>
      <sheetName val="BS - Ind AS"/>
      <sheetName val="BS Notes"/>
      <sheetName val="PL - Ind AS"/>
      <sheetName val="PL Notes"/>
      <sheetName val="Journal Entries"/>
      <sheetName val="TB"/>
      <sheetName val="Old tb"/>
      <sheetName val="int Accrued but not due"/>
      <sheetName val="Reserve Reco"/>
      <sheetName val="Sheet2"/>
      <sheetName val="EIR NCD"/>
      <sheetName val="DT components"/>
      <sheetName val="Reserve changes"/>
      <sheetName val="Proposed dividend"/>
      <sheetName val="Commission"/>
      <sheetName val="Loan processing fees"/>
      <sheetName val="Recovery Amount Working"/>
      <sheetName val="OVYS"/>
      <sheetName val="Sheet1 (2)"/>
      <sheetName val="Free Hold land- For Audit"/>
      <sheetName val="Security deposits-GSPC Gas"/>
      <sheetName val="DT calculations(new)"/>
      <sheetName val="DT calculations"/>
      <sheetName val="ICC"/>
      <sheetName val="Sheet5"/>
      <sheetName val="Indexation cal"/>
      <sheetName val="Mapping"/>
      <sheetName val="DT- Investment"/>
      <sheetName val="TB Sheet"/>
      <sheetName val="Ind AS Mapping (2)"/>
      <sheetName val="Sheet1"/>
      <sheetName val="BS"/>
      <sheetName val="x-rate"/>
    </sheetNames>
    <sheetDataSet>
      <sheetData sheetId="0">
        <row r="3">
          <cell r="D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Q1 SEBI"/>
      <sheetName val="BS - Ind AS"/>
      <sheetName val="BS Notes"/>
      <sheetName val="PL - Ind AS"/>
      <sheetName val="PL Notes"/>
      <sheetName val="Journal Entries"/>
      <sheetName val="TB"/>
      <sheetName val="Old tb"/>
      <sheetName val="int Accrued but not due"/>
      <sheetName val="Reserve Reco"/>
      <sheetName val="Sheet2"/>
      <sheetName val="EIR NCD"/>
      <sheetName val="DT components"/>
      <sheetName val="Reserve changes"/>
      <sheetName val="Proposed dividend"/>
      <sheetName val="Commission"/>
      <sheetName val="Loan processing fees"/>
      <sheetName val="Recovery Amount Working"/>
      <sheetName val="OVYS"/>
      <sheetName val="Sheet1 (2)"/>
      <sheetName val="Free Hold land- For Audit"/>
      <sheetName val="Security deposits-GSPC Gas"/>
      <sheetName val="DT calculations(new)"/>
      <sheetName val="DT calculations"/>
      <sheetName val="ICC"/>
      <sheetName val="Sheet5"/>
      <sheetName val="Indexation cal"/>
      <sheetName val="Mapping"/>
      <sheetName val="DT- Investment"/>
      <sheetName val="TB Sheet"/>
      <sheetName val="Ind AS Mapping (2)"/>
      <sheetName val="Sheet1"/>
    </sheetNames>
    <sheetDataSet>
      <sheetData sheetId="0">
        <row r="3">
          <cell r="D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9"/>
      <sheetName val="CLause 12"/>
      <sheetName val="CLause 14"/>
      <sheetName val="CLause 14(i)"/>
      <sheetName val="CLause 17(h)"/>
      <sheetName val="CLause 18"/>
      <sheetName val="Clause 21"/>
      <sheetName val="Clause 26"/>
      <sheetName val="CLause 27"/>
      <sheetName val="CLause 28"/>
      <sheetName val="Clause 32"/>
      <sheetName val="Sheet3"/>
      <sheetName val="x-rate"/>
    </sheetNames>
    <sheetDataSet>
      <sheetData sheetId="0" refreshError="1">
        <row r="1">
          <cell r="A1">
            <v>1</v>
          </cell>
        </row>
        <row r="2">
          <cell r="A2" t="str">
            <v>Moet Hennessy India Pvt Ltd</v>
          </cell>
        </row>
        <row r="3">
          <cell r="A3" t="str">
            <v>Previous Year Ended on March 31, 2005</v>
          </cell>
        </row>
        <row r="4">
          <cell r="A4" t="str">
            <v>Assessment Year 2005-2006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 not for distribution"/>
      <sheetName val="cr-board"/>
      <sheetName val="a-3"/>
      <sheetName val="a-3 internal"/>
      <sheetName val="a-4"/>
      <sheetName val="a-5"/>
      <sheetName val="a-7"/>
      <sheetName val="graph PA"/>
      <sheetName val="gk 01-00"/>
      <sheetName val="gk 01-00 jwk"/>
      <sheetName val="gk 12-99"/>
      <sheetName val="gk 11-99"/>
      <sheetName val="gk 10-99"/>
      <sheetName val="gk 09-99 "/>
      <sheetName val="gk 08-99"/>
      <sheetName val="ptc"/>
      <sheetName val="gk-contr 05-00"/>
      <sheetName val="gk-contr 01-00"/>
      <sheetName val="gk-contr 12-99"/>
      <sheetName val="gk-contr 10-99"/>
      <sheetName val="x-rate"/>
      <sheetName val="bh-jdeg"/>
      <sheetName val="gk-contract 01-00"/>
      <sheetName val="gk-contract 12-99"/>
      <sheetName val="gk-contract 10-99"/>
      <sheetName val="cr-board special"/>
      <sheetName val="a-3 special"/>
      <sheetName val="a3-int. special"/>
      <sheetName val="a4-special"/>
      <sheetName val="a-5 special"/>
      <sheetName val="fee+int"/>
      <sheetName val="PGW-ACCOUNTS"/>
      <sheetName val="1612.01AN(7) - Niep Tds Summary"/>
      <sheetName val="BS"/>
      <sheetName val="cr_-_not_for_distribution"/>
      <sheetName val="a-3_internal"/>
      <sheetName val="graph_PA"/>
      <sheetName val="gk_01-00"/>
      <sheetName val="gk_01-00_jwk"/>
      <sheetName val="gk_12-99"/>
      <sheetName val="gk_11-99"/>
      <sheetName val="gk_10-99"/>
      <sheetName val="gk_09-99_"/>
      <sheetName val="gk_08-99"/>
      <sheetName val="gk-contr_05-00"/>
      <sheetName val="gk-contr_01-00"/>
      <sheetName val="gk-contr_12-99"/>
      <sheetName val="gk-contr_10-99"/>
      <sheetName val="gk-contract_01-00"/>
      <sheetName val="gk-contract_12-99"/>
      <sheetName val="gk-contract_10-99"/>
      <sheetName val="cr-board_special"/>
      <sheetName val="a-3_special"/>
      <sheetName val="a3-int__special"/>
      <sheetName val="a-5_special"/>
      <sheetName val="1612_01AN(7)_-_Niep_Tds_Summary"/>
      <sheetName val="ASSAY-new"/>
      <sheetName val="cr_-_not_for_distribution1"/>
      <sheetName val="a-3_internal1"/>
      <sheetName val="graph_PA1"/>
      <sheetName val="gk_01-001"/>
      <sheetName val="gk_01-00_jwk1"/>
      <sheetName val="gk_12-991"/>
      <sheetName val="gk_11-991"/>
      <sheetName val="gk_10-991"/>
      <sheetName val="gk_09-99_1"/>
      <sheetName val="gk_08-991"/>
      <sheetName val="gk-contr_05-001"/>
      <sheetName val="gk-contr_01-001"/>
      <sheetName val="gk-contr_12-991"/>
      <sheetName val="gk-contr_10-991"/>
      <sheetName val="gk-contract_01-001"/>
      <sheetName val="gk-contract_12-991"/>
      <sheetName val="gk-contract_10-991"/>
      <sheetName val="cr-board_special1"/>
      <sheetName val="a-3_special1"/>
      <sheetName val="a3-int__special1"/>
      <sheetName val="a-5_special1"/>
      <sheetName val="1612_01AN(7)_-_Niep_Tds_Summar1"/>
      <sheetName val="cr_-_not_for_distribution2"/>
      <sheetName val="a-3_internal2"/>
      <sheetName val="graph_PA2"/>
      <sheetName val="gk_01-002"/>
      <sheetName val="gk_01-00_jwk2"/>
      <sheetName val="gk_12-992"/>
      <sheetName val="gk_11-992"/>
      <sheetName val="gk_10-992"/>
      <sheetName val="gk_09-99_2"/>
      <sheetName val="gk_08-992"/>
      <sheetName val="gk-contr_05-002"/>
      <sheetName val="gk-contr_01-002"/>
      <sheetName val="gk-contr_12-992"/>
      <sheetName val="gk-contr_10-992"/>
      <sheetName val="gk-contract_01-002"/>
      <sheetName val="gk-contract_12-992"/>
      <sheetName val="gk-contract_10-992"/>
      <sheetName val="cr-board_special2"/>
      <sheetName val="a-3_special2"/>
      <sheetName val="a3-int__special2"/>
      <sheetName val="a-5_special2"/>
      <sheetName val="1612_01AN(7)_-_Niep_Tds_Summar2"/>
      <sheetName val="cr_-_not_for_distribution3"/>
      <sheetName val="a-3_internal3"/>
      <sheetName val="graph_PA3"/>
      <sheetName val="gk_01-003"/>
      <sheetName val="gk_01-00_jwk3"/>
      <sheetName val="gk_12-993"/>
      <sheetName val="gk_11-993"/>
      <sheetName val="gk_10-993"/>
      <sheetName val="gk_09-99_3"/>
      <sheetName val="gk_08-993"/>
      <sheetName val="gk-contr_05-003"/>
      <sheetName val="gk-contr_01-003"/>
      <sheetName val="gk-contr_12-993"/>
      <sheetName val="gk-contr_10-993"/>
      <sheetName val="gk-contract_01-003"/>
      <sheetName val="gk-contract_12-993"/>
      <sheetName val="gk-contract_10-993"/>
      <sheetName val="cr-board_special3"/>
      <sheetName val="a-3_special3"/>
      <sheetName val="a3-int__special3"/>
      <sheetName val="a-5_special3"/>
      <sheetName val="1612_01AN(7)_-_Niep_Tds_Summar3"/>
      <sheetName val="Interest 30-11-01 not PA 7%"/>
      <sheetName val="sum"/>
      <sheetName val="Clause 9"/>
      <sheetName val="cr_-_not_for_distribution4"/>
      <sheetName val="a-3_internal4"/>
      <sheetName val="graph_PA4"/>
      <sheetName val="gk_01-004"/>
      <sheetName val="gk_01-00_jwk4"/>
      <sheetName val="gk_12-994"/>
      <sheetName val="gk_11-994"/>
      <sheetName val="gk_10-994"/>
      <sheetName val="gk_09-99_4"/>
      <sheetName val="gk_08-994"/>
      <sheetName val="gk-contr_05-004"/>
      <sheetName val="gk-contr_01-004"/>
      <sheetName val="gk-contr_12-994"/>
      <sheetName val="gk-contr_10-994"/>
      <sheetName val="gk-contract_01-004"/>
      <sheetName val="gk-contract_12-994"/>
      <sheetName val="gk-contract_10-994"/>
      <sheetName val="cr-board_special4"/>
      <sheetName val="a-3_special4"/>
      <sheetName val="a3-int__special4"/>
      <sheetName val="a-5_special4"/>
      <sheetName val="1612_01AN(7)_-_Niep_Tds_Summar4"/>
      <sheetName val="Interest_30-11-01_not_PA_7%"/>
      <sheetName val="DATA INPUT"/>
      <sheetName val="LANDED PRICE"/>
      <sheetName val="CR-SUPLY"/>
      <sheetName val="gk 09-99"/>
      <sheetName val="77S(O)"/>
      <sheetName val="gk_09-99"/>
      <sheetName val="gk_09-991"/>
      <sheetName val="gk_09-992"/>
      <sheetName val="gk_09-993"/>
      <sheetName val="a_4"/>
      <sheetName val="p&amp;l"/>
      <sheetName val="Scenarios"/>
      <sheetName val="x_rate"/>
      <sheetName val="Rev Working"/>
      <sheetName val="Sheet2"/>
      <sheetName val="Cons"/>
      <sheetName val="diffbetphy&amp;stock"/>
      <sheetName val="12"/>
      <sheetName val="15"/>
      <sheetName val="gk_09-994"/>
      <sheetName val="Rev_Working"/>
      <sheetName val="cr_-_not_for_distribution5"/>
      <sheetName val="a-3_internal5"/>
      <sheetName val="graph_PA5"/>
      <sheetName val="gk_01-005"/>
      <sheetName val="gk_01-00_jwk5"/>
      <sheetName val="gk_12-995"/>
      <sheetName val="gk_11-995"/>
      <sheetName val="gk_10-995"/>
      <sheetName val="gk_09-99_5"/>
      <sheetName val="gk_08-995"/>
      <sheetName val="gk-contr_05-005"/>
      <sheetName val="gk-contr_01-005"/>
      <sheetName val="gk-contr_12-995"/>
      <sheetName val="gk-contr_10-995"/>
      <sheetName val="gk-contract_01-005"/>
      <sheetName val="gk-contract_12-995"/>
      <sheetName val="gk-contract_10-995"/>
      <sheetName val="cr-board_special5"/>
      <sheetName val="a-3_special5"/>
      <sheetName val="a3-int__special5"/>
      <sheetName val="a-5_special5"/>
      <sheetName val="gk_09-995"/>
      <sheetName val="1612_01AN(7)_-_Niep_Tds_Summar5"/>
      <sheetName val="Rev_Working1"/>
      <sheetName val="Interest_30-11-01_not_PA_7%1"/>
    </sheetNames>
    <sheetDataSet>
      <sheetData sheetId="0" refreshError="1"/>
      <sheetData sheetId="1">
        <row r="35">
          <cell r="E35">
            <v>55724.666666666672</v>
          </cell>
        </row>
      </sheetData>
      <sheetData sheetId="2">
        <row r="35">
          <cell r="E35">
            <v>55724.666666666672</v>
          </cell>
        </row>
      </sheetData>
      <sheetData sheetId="3">
        <row r="35">
          <cell r="E35">
            <v>55724.666666666672</v>
          </cell>
        </row>
      </sheetData>
      <sheetData sheetId="4" refreshError="1">
        <row r="35">
          <cell r="E35">
            <v>55724.666666666672</v>
          </cell>
        </row>
        <row r="38">
          <cell r="E38">
            <v>606398</v>
          </cell>
        </row>
        <row r="77">
          <cell r="E77">
            <v>189811.25</v>
          </cell>
        </row>
        <row r="99">
          <cell r="E99">
            <v>681702.99836510175</v>
          </cell>
        </row>
        <row r="100">
          <cell r="E100">
            <v>1051188.8786355641</v>
          </cell>
        </row>
        <row r="101">
          <cell r="E101">
            <v>881181.99426039169</v>
          </cell>
        </row>
        <row r="102">
          <cell r="E102">
            <v>960000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35">
          <cell r="E35">
            <v>55724.666666666672</v>
          </cell>
        </row>
      </sheetData>
      <sheetData sheetId="102">
        <row r="35">
          <cell r="E35">
            <v>55724.666666666672</v>
          </cell>
        </row>
      </sheetData>
      <sheetData sheetId="103">
        <row r="35">
          <cell r="E35">
            <v>55724.666666666672</v>
          </cell>
        </row>
      </sheetData>
      <sheetData sheetId="104">
        <row r="35">
          <cell r="E35">
            <v>55724.666666666672</v>
          </cell>
        </row>
      </sheetData>
      <sheetData sheetId="105">
        <row r="35">
          <cell r="E35">
            <v>55724.666666666672</v>
          </cell>
        </row>
      </sheetData>
      <sheetData sheetId="106">
        <row r="35">
          <cell r="E35">
            <v>55724.666666666672</v>
          </cell>
        </row>
      </sheetData>
      <sheetData sheetId="107">
        <row r="35">
          <cell r="E35">
            <v>55724.666666666672</v>
          </cell>
        </row>
      </sheetData>
      <sheetData sheetId="108">
        <row r="35">
          <cell r="E35">
            <v>55724.666666666672</v>
          </cell>
        </row>
      </sheetData>
      <sheetData sheetId="109">
        <row r="35">
          <cell r="E35">
            <v>55724.666666666672</v>
          </cell>
        </row>
      </sheetData>
      <sheetData sheetId="110">
        <row r="35">
          <cell r="E35">
            <v>55724.666666666672</v>
          </cell>
        </row>
      </sheetData>
      <sheetData sheetId="111">
        <row r="35">
          <cell r="E35">
            <v>55724.666666666672</v>
          </cell>
        </row>
      </sheetData>
      <sheetData sheetId="112">
        <row r="35">
          <cell r="E35">
            <v>55724.666666666672</v>
          </cell>
        </row>
      </sheetData>
      <sheetData sheetId="113">
        <row r="35">
          <cell r="E35">
            <v>55724.666666666672</v>
          </cell>
        </row>
      </sheetData>
      <sheetData sheetId="114">
        <row r="35">
          <cell r="E35">
            <v>55724.666666666672</v>
          </cell>
        </row>
      </sheetData>
      <sheetData sheetId="115">
        <row r="35">
          <cell r="E35">
            <v>55724.666666666672</v>
          </cell>
        </row>
      </sheetData>
      <sheetData sheetId="116">
        <row r="35">
          <cell r="E35">
            <v>55724.666666666672</v>
          </cell>
        </row>
      </sheetData>
      <sheetData sheetId="117"/>
      <sheetData sheetId="118"/>
      <sheetData sheetId="119"/>
      <sheetData sheetId="120"/>
      <sheetData sheetId="121"/>
      <sheetData sheetId="122"/>
      <sheetData sheetId="123" refreshError="1"/>
      <sheetData sheetId="124" refreshError="1"/>
      <sheetData sheetId="125" refreshError="1"/>
      <sheetData sheetId="126">
        <row r="35">
          <cell r="E35">
            <v>55724.666666666672</v>
          </cell>
        </row>
      </sheetData>
      <sheetData sheetId="127">
        <row r="35">
          <cell r="E35">
            <v>55724.666666666672</v>
          </cell>
        </row>
      </sheetData>
      <sheetData sheetId="128">
        <row r="35">
          <cell r="E35">
            <v>55724.666666666672</v>
          </cell>
        </row>
      </sheetData>
      <sheetData sheetId="129">
        <row r="35">
          <cell r="E35">
            <v>55724.666666666672</v>
          </cell>
        </row>
      </sheetData>
      <sheetData sheetId="130">
        <row r="35">
          <cell r="E35">
            <v>55724.666666666672</v>
          </cell>
        </row>
      </sheetData>
      <sheetData sheetId="131">
        <row r="35">
          <cell r="E35">
            <v>55724.666666666672</v>
          </cell>
        </row>
      </sheetData>
      <sheetData sheetId="132">
        <row r="35">
          <cell r="E35">
            <v>55724.666666666672</v>
          </cell>
        </row>
      </sheetData>
      <sheetData sheetId="133">
        <row r="35">
          <cell r="E35">
            <v>55724.666666666672</v>
          </cell>
        </row>
      </sheetData>
      <sheetData sheetId="134">
        <row r="35">
          <cell r="E35">
            <v>55724.666666666672</v>
          </cell>
        </row>
      </sheetData>
      <sheetData sheetId="135">
        <row r="35">
          <cell r="E35">
            <v>55724.666666666672</v>
          </cell>
        </row>
      </sheetData>
      <sheetData sheetId="136">
        <row r="35">
          <cell r="E35">
            <v>55724.666666666672</v>
          </cell>
        </row>
      </sheetData>
      <sheetData sheetId="137">
        <row r="35">
          <cell r="E35">
            <v>55724.666666666672</v>
          </cell>
        </row>
      </sheetData>
      <sheetData sheetId="138">
        <row r="35">
          <cell r="E35">
            <v>55724.666666666672</v>
          </cell>
        </row>
      </sheetData>
      <sheetData sheetId="139">
        <row r="35">
          <cell r="E35">
            <v>55724.666666666672</v>
          </cell>
        </row>
      </sheetData>
      <sheetData sheetId="140">
        <row r="35">
          <cell r="E35">
            <v>55724.666666666672</v>
          </cell>
        </row>
      </sheetData>
      <sheetData sheetId="141">
        <row r="35">
          <cell r="E35">
            <v>55724.666666666672</v>
          </cell>
        </row>
      </sheetData>
      <sheetData sheetId="142">
        <row r="35">
          <cell r="E35">
            <v>55724.666666666672</v>
          </cell>
        </row>
      </sheetData>
      <sheetData sheetId="143">
        <row r="35">
          <cell r="E35">
            <v>55724.666666666672</v>
          </cell>
        </row>
      </sheetData>
      <sheetData sheetId="144">
        <row r="35">
          <cell r="E35">
            <v>55724.666666666672</v>
          </cell>
        </row>
      </sheetData>
      <sheetData sheetId="145">
        <row r="35">
          <cell r="E35">
            <v>55724.666666666672</v>
          </cell>
        </row>
      </sheetData>
      <sheetData sheetId="146">
        <row r="35">
          <cell r="E35">
            <v>55724.666666666672</v>
          </cell>
        </row>
      </sheetData>
      <sheetData sheetId="147">
        <row r="35">
          <cell r="E35">
            <v>55724.666666666672</v>
          </cell>
        </row>
      </sheetData>
      <sheetData sheetId="148">
        <row r="35">
          <cell r="E35">
            <v>55724.666666666672</v>
          </cell>
        </row>
      </sheetData>
      <sheetData sheetId="149"/>
      <sheetData sheetId="150">
        <row r="35">
          <cell r="E35">
            <v>55724.666666666672</v>
          </cell>
        </row>
      </sheetData>
      <sheetData sheetId="151" refreshError="1"/>
      <sheetData sheetId="152">
        <row r="35">
          <cell r="E35">
            <v>55724.666666666672</v>
          </cell>
        </row>
      </sheetData>
      <sheetData sheetId="153">
        <row r="35">
          <cell r="E35">
            <v>55724.666666666672</v>
          </cell>
        </row>
      </sheetData>
      <sheetData sheetId="154">
        <row r="35">
          <cell r="E35">
            <v>55724.666666666672</v>
          </cell>
        </row>
      </sheetData>
      <sheetData sheetId="155" refreshError="1"/>
      <sheetData sheetId="156">
        <row r="35">
          <cell r="E35">
            <v>55724.666666666672</v>
          </cell>
        </row>
      </sheetData>
      <sheetData sheetId="157">
        <row r="35">
          <cell r="E35">
            <v>55724.666666666672</v>
          </cell>
        </row>
      </sheetData>
      <sheetData sheetId="158">
        <row r="35">
          <cell r="E35">
            <v>55724.666666666672</v>
          </cell>
        </row>
      </sheetData>
      <sheetData sheetId="159">
        <row r="35">
          <cell r="E35">
            <v>55724.666666666672</v>
          </cell>
        </row>
      </sheetData>
      <sheetData sheetId="160">
        <row r="35">
          <cell r="E35">
            <v>55724.666666666672</v>
          </cell>
        </row>
      </sheetData>
      <sheetData sheetId="161">
        <row r="35">
          <cell r="E35">
            <v>55724.666666666672</v>
          </cell>
        </row>
      </sheetData>
      <sheetData sheetId="162">
        <row r="35">
          <cell r="E35">
            <v>55724.666666666672</v>
          </cell>
        </row>
      </sheetData>
      <sheetData sheetId="163">
        <row r="35">
          <cell r="E35">
            <v>55724.666666666672</v>
          </cell>
        </row>
      </sheetData>
      <sheetData sheetId="164">
        <row r="35">
          <cell r="E35">
            <v>55724.666666666672</v>
          </cell>
        </row>
      </sheetData>
      <sheetData sheetId="165">
        <row r="35">
          <cell r="E35">
            <v>55724.666666666672</v>
          </cell>
        </row>
      </sheetData>
      <sheetData sheetId="166">
        <row r="35">
          <cell r="E35">
            <v>55724.666666666672</v>
          </cell>
        </row>
      </sheetData>
      <sheetData sheetId="167">
        <row r="35">
          <cell r="E35">
            <v>55724.666666666672</v>
          </cell>
        </row>
      </sheetData>
      <sheetData sheetId="168">
        <row r="35">
          <cell r="E35">
            <v>55724.666666666672</v>
          </cell>
        </row>
      </sheetData>
      <sheetData sheetId="169">
        <row r="35">
          <cell r="E35">
            <v>55724.666666666672</v>
          </cell>
        </row>
      </sheetData>
      <sheetData sheetId="170">
        <row r="35">
          <cell r="E35">
            <v>55724.666666666672</v>
          </cell>
        </row>
      </sheetData>
      <sheetData sheetId="171">
        <row r="35">
          <cell r="E35">
            <v>55724.666666666672</v>
          </cell>
        </row>
      </sheetData>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35">
          <cell r="E35">
            <v>55724.666666666672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4"/>
      <sheetName val="Detail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Projects"/>
      <sheetName val="Regional Office Costs"/>
      <sheetName val="Cash"/>
      <sheetName val="Balance Sheet"/>
      <sheetName val="Investment Schedule"/>
      <sheetName val="KPI"/>
      <sheetName val="04REL"/>
      <sheetName val="Instruction Sheet"/>
    </sheetNames>
    <sheetDataSet>
      <sheetData sheetId="0" refreshError="1">
        <row r="10">
          <cell r="C10" t="str">
            <v>Enter Asset Name here</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1 (2)"/>
      <sheetName val="Sheet4"/>
      <sheetName val="Sheet2"/>
      <sheetName val="depreciation"/>
      <sheetName val="Title"/>
      <sheetName val="Addl.40"/>
    </sheetNames>
    <sheetDataSet>
      <sheetData sheetId="0"/>
      <sheetData sheetId="1"/>
      <sheetData sheetId="2"/>
      <sheetData sheetId="3"/>
      <sheetData sheetId="4" refreshError="1">
        <row r="2">
          <cell r="A2">
            <v>1200000</v>
          </cell>
          <cell r="B2" t="str">
            <v>1200000</v>
          </cell>
          <cell r="C2" t="str">
            <v>0</v>
          </cell>
          <cell r="D2" t="str">
            <v>12000</v>
          </cell>
          <cell r="E2" t="str">
            <v>TCSADMIN</v>
          </cell>
          <cell r="F2">
            <v>0</v>
          </cell>
          <cell r="G2" t="str">
            <v>FURNITURE - GNFC</v>
          </cell>
          <cell r="H2">
            <v>1614390.75</v>
          </cell>
          <cell r="K2">
            <v>0</v>
          </cell>
          <cell r="L2">
            <v>0</v>
          </cell>
          <cell r="M2">
            <v>-1478597</v>
          </cell>
          <cell r="N2">
            <v>0</v>
          </cell>
          <cell r="O2">
            <v>0</v>
          </cell>
          <cell r="P2">
            <v>0</v>
          </cell>
          <cell r="Q2">
            <v>0</v>
          </cell>
          <cell r="R2">
            <v>0</v>
          </cell>
          <cell r="S2">
            <v>0</v>
          </cell>
          <cell r="T2">
            <v>0</v>
          </cell>
          <cell r="U2">
            <v>0</v>
          </cell>
          <cell r="V2">
            <v>-67896.88</v>
          </cell>
          <cell r="W2">
            <v>0</v>
          </cell>
          <cell r="X2">
            <v>0</v>
          </cell>
          <cell r="Y2">
            <v>0</v>
          </cell>
          <cell r="Z2">
            <v>0</v>
          </cell>
          <cell r="AA2">
            <v>0</v>
          </cell>
          <cell r="AB2">
            <v>0</v>
          </cell>
          <cell r="AC2">
            <v>0</v>
          </cell>
          <cell r="AD2">
            <v>0</v>
          </cell>
          <cell r="AE2">
            <v>0</v>
          </cell>
          <cell r="AF2">
            <v>0</v>
          </cell>
        </row>
        <row r="3">
          <cell r="A3">
            <v>1200000</v>
          </cell>
          <cell r="H3">
            <v>1614390.75</v>
          </cell>
          <cell r="I3">
            <v>1614390.75</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row>
        <row r="4">
          <cell r="A4">
            <v>1200000</v>
          </cell>
          <cell r="K4">
            <v>0</v>
          </cell>
          <cell r="L4">
            <v>0</v>
          </cell>
          <cell r="M4">
            <v>-1546493.88</v>
          </cell>
          <cell r="N4">
            <v>0</v>
          </cell>
          <cell r="O4">
            <v>0</v>
          </cell>
          <cell r="P4">
            <v>0</v>
          </cell>
          <cell r="Q4">
            <v>0</v>
          </cell>
          <cell r="R4">
            <v>0</v>
          </cell>
          <cell r="S4">
            <v>0</v>
          </cell>
          <cell r="T4">
            <v>0</v>
          </cell>
          <cell r="U4">
            <v>0</v>
          </cell>
          <cell r="V4">
            <v>-33948.44</v>
          </cell>
          <cell r="W4">
            <v>0</v>
          </cell>
          <cell r="X4">
            <v>0</v>
          </cell>
          <cell r="Y4">
            <v>0</v>
          </cell>
          <cell r="Z4">
            <v>0</v>
          </cell>
          <cell r="AA4">
            <v>0</v>
          </cell>
          <cell r="AB4">
            <v>0</v>
          </cell>
          <cell r="AC4">
            <v>0</v>
          </cell>
          <cell r="AD4">
            <v>0</v>
          </cell>
          <cell r="AE4">
            <v>0</v>
          </cell>
          <cell r="AF4">
            <v>0</v>
          </cell>
        </row>
        <row r="5">
          <cell r="A5">
            <v>1200000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row>
        <row r="6">
          <cell r="A6">
            <v>1200001</v>
          </cell>
          <cell r="B6" t="str">
            <v>1200001</v>
          </cell>
          <cell r="C6" t="str">
            <v>0</v>
          </cell>
          <cell r="D6" t="str">
            <v>12000</v>
          </cell>
          <cell r="E6" t="str">
            <v>TCSADMIN</v>
          </cell>
          <cell r="F6">
            <v>0</v>
          </cell>
          <cell r="G6" t="str">
            <v>ELECTRIC WORKS</v>
          </cell>
          <cell r="H6">
            <v>115745</v>
          </cell>
          <cell r="K6">
            <v>0</v>
          </cell>
          <cell r="L6">
            <v>0</v>
          </cell>
          <cell r="M6">
            <v>-106100</v>
          </cell>
          <cell r="N6">
            <v>0</v>
          </cell>
          <cell r="O6">
            <v>0</v>
          </cell>
          <cell r="P6">
            <v>0</v>
          </cell>
          <cell r="Q6">
            <v>0</v>
          </cell>
          <cell r="R6">
            <v>0</v>
          </cell>
          <cell r="S6">
            <v>0</v>
          </cell>
          <cell r="T6">
            <v>0</v>
          </cell>
          <cell r="U6">
            <v>0</v>
          </cell>
          <cell r="V6">
            <v>-4822.5</v>
          </cell>
          <cell r="W6">
            <v>0</v>
          </cell>
          <cell r="X6">
            <v>0</v>
          </cell>
          <cell r="Y6">
            <v>0</v>
          </cell>
          <cell r="Z6">
            <v>0</v>
          </cell>
          <cell r="AA6">
            <v>0</v>
          </cell>
          <cell r="AB6">
            <v>0</v>
          </cell>
          <cell r="AC6">
            <v>0</v>
          </cell>
          <cell r="AD6">
            <v>0</v>
          </cell>
          <cell r="AE6">
            <v>0</v>
          </cell>
          <cell r="AF6">
            <v>0</v>
          </cell>
        </row>
        <row r="7">
          <cell r="A7">
            <v>1200001</v>
          </cell>
          <cell r="H7">
            <v>115745</v>
          </cell>
          <cell r="I7">
            <v>115745</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A8">
            <v>1200001</v>
          </cell>
          <cell r="K8">
            <v>0</v>
          </cell>
          <cell r="L8">
            <v>0</v>
          </cell>
          <cell r="M8">
            <v>-110922.5</v>
          </cell>
          <cell r="N8">
            <v>0</v>
          </cell>
          <cell r="O8">
            <v>0</v>
          </cell>
          <cell r="P8">
            <v>0</v>
          </cell>
          <cell r="Q8">
            <v>0</v>
          </cell>
          <cell r="R8">
            <v>0</v>
          </cell>
          <cell r="S8">
            <v>0</v>
          </cell>
          <cell r="T8">
            <v>0</v>
          </cell>
          <cell r="U8">
            <v>0</v>
          </cell>
          <cell r="V8">
            <v>-2411.25</v>
          </cell>
          <cell r="W8">
            <v>0</v>
          </cell>
          <cell r="X8">
            <v>0</v>
          </cell>
          <cell r="Y8">
            <v>0</v>
          </cell>
          <cell r="Z8">
            <v>0</v>
          </cell>
          <cell r="AA8">
            <v>0</v>
          </cell>
          <cell r="AB8">
            <v>0</v>
          </cell>
          <cell r="AC8">
            <v>0</v>
          </cell>
          <cell r="AD8">
            <v>0</v>
          </cell>
          <cell r="AE8">
            <v>0</v>
          </cell>
          <cell r="AF8">
            <v>0</v>
          </cell>
        </row>
        <row r="9">
          <cell r="A9">
            <v>1200001</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row>
        <row r="10">
          <cell r="A10">
            <v>1200002</v>
          </cell>
          <cell r="B10" t="str">
            <v>1200002</v>
          </cell>
          <cell r="C10" t="str">
            <v>0</v>
          </cell>
          <cell r="D10" t="str">
            <v>12000</v>
          </cell>
          <cell r="E10" t="str">
            <v>TCSADMIN</v>
          </cell>
          <cell r="F10">
            <v>0</v>
          </cell>
          <cell r="G10" t="str">
            <v>LAN - GNFC</v>
          </cell>
          <cell r="H10">
            <v>65776</v>
          </cell>
          <cell r="K10">
            <v>0</v>
          </cell>
          <cell r="L10">
            <v>0</v>
          </cell>
          <cell r="M10">
            <v>-60295</v>
          </cell>
          <cell r="N10">
            <v>0</v>
          </cell>
          <cell r="O10">
            <v>0</v>
          </cell>
          <cell r="P10">
            <v>0</v>
          </cell>
          <cell r="Q10">
            <v>0</v>
          </cell>
          <cell r="R10">
            <v>0</v>
          </cell>
          <cell r="S10">
            <v>0</v>
          </cell>
          <cell r="T10">
            <v>0</v>
          </cell>
          <cell r="U10">
            <v>0</v>
          </cell>
          <cell r="V10">
            <v>-2740.5</v>
          </cell>
          <cell r="W10">
            <v>0</v>
          </cell>
          <cell r="X10">
            <v>0</v>
          </cell>
          <cell r="Y10">
            <v>0</v>
          </cell>
          <cell r="Z10">
            <v>0</v>
          </cell>
          <cell r="AA10">
            <v>0</v>
          </cell>
          <cell r="AB10">
            <v>0</v>
          </cell>
          <cell r="AC10">
            <v>0</v>
          </cell>
          <cell r="AD10">
            <v>0</v>
          </cell>
          <cell r="AE10">
            <v>0</v>
          </cell>
          <cell r="AF10">
            <v>0</v>
          </cell>
        </row>
        <row r="11">
          <cell r="A11">
            <v>1200002</v>
          </cell>
          <cell r="H11">
            <v>65776</v>
          </cell>
          <cell r="I11">
            <v>65776</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v>1200002</v>
          </cell>
          <cell r="K12">
            <v>0</v>
          </cell>
          <cell r="L12">
            <v>0</v>
          </cell>
          <cell r="M12">
            <v>-63035.5</v>
          </cell>
          <cell r="N12">
            <v>0</v>
          </cell>
          <cell r="O12">
            <v>0</v>
          </cell>
          <cell r="P12">
            <v>0</v>
          </cell>
          <cell r="Q12">
            <v>0</v>
          </cell>
          <cell r="R12">
            <v>0</v>
          </cell>
          <cell r="S12">
            <v>0</v>
          </cell>
          <cell r="T12">
            <v>0</v>
          </cell>
          <cell r="U12">
            <v>0</v>
          </cell>
          <cell r="V12">
            <v>-1370.25</v>
          </cell>
          <cell r="W12">
            <v>0</v>
          </cell>
          <cell r="X12">
            <v>0</v>
          </cell>
          <cell r="Y12">
            <v>0</v>
          </cell>
          <cell r="Z12">
            <v>0</v>
          </cell>
          <cell r="AA12">
            <v>0</v>
          </cell>
          <cell r="AB12">
            <v>0</v>
          </cell>
          <cell r="AC12">
            <v>0</v>
          </cell>
          <cell r="AD12">
            <v>0</v>
          </cell>
          <cell r="AE12">
            <v>0</v>
          </cell>
          <cell r="AF12">
            <v>0</v>
          </cell>
        </row>
        <row r="13">
          <cell r="A13">
            <v>1200002</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A14">
            <v>1200003</v>
          </cell>
          <cell r="B14" t="str">
            <v>1200003</v>
          </cell>
          <cell r="C14" t="str">
            <v>0</v>
          </cell>
          <cell r="D14" t="str">
            <v>12000</v>
          </cell>
          <cell r="E14" t="str">
            <v>TCSADMIN</v>
          </cell>
          <cell r="F14">
            <v>0</v>
          </cell>
          <cell r="G14" t="str">
            <v>LAN - GNFC</v>
          </cell>
          <cell r="H14">
            <v>39425</v>
          </cell>
          <cell r="K14">
            <v>0</v>
          </cell>
          <cell r="L14">
            <v>0</v>
          </cell>
          <cell r="M14">
            <v>-30122</v>
          </cell>
          <cell r="N14">
            <v>0</v>
          </cell>
          <cell r="O14">
            <v>0</v>
          </cell>
          <cell r="P14">
            <v>0</v>
          </cell>
          <cell r="Q14">
            <v>0</v>
          </cell>
          <cell r="R14">
            <v>0</v>
          </cell>
          <cell r="S14">
            <v>0</v>
          </cell>
          <cell r="T14">
            <v>0</v>
          </cell>
          <cell r="U14">
            <v>0</v>
          </cell>
          <cell r="V14">
            <v>-4651.5</v>
          </cell>
          <cell r="W14">
            <v>0</v>
          </cell>
          <cell r="X14">
            <v>0</v>
          </cell>
          <cell r="Y14">
            <v>0</v>
          </cell>
          <cell r="Z14">
            <v>0</v>
          </cell>
          <cell r="AA14">
            <v>0</v>
          </cell>
          <cell r="AB14">
            <v>0</v>
          </cell>
          <cell r="AC14">
            <v>0</v>
          </cell>
          <cell r="AD14">
            <v>0</v>
          </cell>
          <cell r="AE14">
            <v>0</v>
          </cell>
          <cell r="AF14">
            <v>0</v>
          </cell>
        </row>
        <row r="15">
          <cell r="A15">
            <v>1200003</v>
          </cell>
          <cell r="H15">
            <v>39425</v>
          </cell>
          <cell r="I15">
            <v>39425</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v>1200003</v>
          </cell>
          <cell r="K16">
            <v>0</v>
          </cell>
          <cell r="L16">
            <v>0</v>
          </cell>
          <cell r="M16">
            <v>-34773.5</v>
          </cell>
          <cell r="N16">
            <v>0</v>
          </cell>
          <cell r="O16">
            <v>0</v>
          </cell>
          <cell r="P16">
            <v>0</v>
          </cell>
          <cell r="Q16">
            <v>0</v>
          </cell>
          <cell r="R16">
            <v>0</v>
          </cell>
          <cell r="S16">
            <v>0</v>
          </cell>
          <cell r="T16">
            <v>0</v>
          </cell>
          <cell r="U16">
            <v>0</v>
          </cell>
          <cell r="V16">
            <v>-2325.75</v>
          </cell>
          <cell r="W16">
            <v>0</v>
          </cell>
          <cell r="X16">
            <v>0</v>
          </cell>
          <cell r="Y16">
            <v>0</v>
          </cell>
          <cell r="Z16">
            <v>0</v>
          </cell>
          <cell r="AA16">
            <v>0</v>
          </cell>
          <cell r="AB16">
            <v>0</v>
          </cell>
          <cell r="AC16">
            <v>0</v>
          </cell>
          <cell r="AD16">
            <v>0</v>
          </cell>
          <cell r="AE16">
            <v>0</v>
          </cell>
          <cell r="AF16">
            <v>0</v>
          </cell>
        </row>
        <row r="17">
          <cell r="A17">
            <v>1200003</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A18">
            <v>1500000</v>
          </cell>
          <cell r="B18" t="str">
            <v>1500000</v>
          </cell>
          <cell r="C18" t="str">
            <v>0</v>
          </cell>
          <cell r="D18" t="str">
            <v>15000</v>
          </cell>
          <cell r="E18" t="str">
            <v>TCSADMIN</v>
          </cell>
          <cell r="F18">
            <v>0</v>
          </cell>
          <cell r="G18" t="str">
            <v>FURNITURE</v>
          </cell>
          <cell r="H18">
            <v>17932</v>
          </cell>
          <cell r="K18">
            <v>0</v>
          </cell>
          <cell r="L18">
            <v>0</v>
          </cell>
          <cell r="M18">
            <v>-4801</v>
          </cell>
          <cell r="N18">
            <v>0</v>
          </cell>
          <cell r="O18">
            <v>0</v>
          </cell>
          <cell r="P18">
            <v>0</v>
          </cell>
          <cell r="Q18">
            <v>0</v>
          </cell>
          <cell r="R18">
            <v>0</v>
          </cell>
          <cell r="S18">
            <v>0</v>
          </cell>
          <cell r="T18">
            <v>0</v>
          </cell>
          <cell r="U18">
            <v>0</v>
          </cell>
          <cell r="V18">
            <v>-2376.71</v>
          </cell>
          <cell r="W18">
            <v>0</v>
          </cell>
          <cell r="X18">
            <v>0</v>
          </cell>
          <cell r="Y18">
            <v>0</v>
          </cell>
          <cell r="Z18">
            <v>0</v>
          </cell>
          <cell r="AA18">
            <v>0</v>
          </cell>
          <cell r="AB18">
            <v>0</v>
          </cell>
          <cell r="AC18">
            <v>0</v>
          </cell>
          <cell r="AD18">
            <v>0</v>
          </cell>
          <cell r="AE18">
            <v>0</v>
          </cell>
          <cell r="AF18">
            <v>0</v>
          </cell>
        </row>
        <row r="19">
          <cell r="A19">
            <v>1500000</v>
          </cell>
          <cell r="H19">
            <v>17932</v>
          </cell>
          <cell r="I19">
            <v>17932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v>1500000</v>
          </cell>
          <cell r="H20">
            <v>17932</v>
          </cell>
          <cell r="K20">
            <v>0</v>
          </cell>
          <cell r="L20">
            <v>0</v>
          </cell>
          <cell r="M20">
            <v>-7177.71</v>
          </cell>
          <cell r="N20">
            <v>0</v>
          </cell>
          <cell r="O20">
            <v>0</v>
          </cell>
          <cell r="P20">
            <v>0</v>
          </cell>
          <cell r="Q20">
            <v>0</v>
          </cell>
          <cell r="R20">
            <v>0</v>
          </cell>
          <cell r="S20">
            <v>0</v>
          </cell>
          <cell r="T20">
            <v>0</v>
          </cell>
          <cell r="U20">
            <v>0</v>
          </cell>
          <cell r="V20">
            <v>-1946.53</v>
          </cell>
          <cell r="W20">
            <v>0</v>
          </cell>
          <cell r="X20">
            <v>0</v>
          </cell>
          <cell r="Y20">
            <v>0</v>
          </cell>
          <cell r="Z20">
            <v>0</v>
          </cell>
          <cell r="AA20">
            <v>0</v>
          </cell>
          <cell r="AB20">
            <v>0</v>
          </cell>
          <cell r="AC20">
            <v>0</v>
          </cell>
          <cell r="AD20">
            <v>0</v>
          </cell>
          <cell r="AE20">
            <v>0</v>
          </cell>
          <cell r="AF20">
            <v>0</v>
          </cell>
        </row>
        <row r="21">
          <cell r="A21">
            <v>1500000</v>
          </cell>
          <cell r="H21">
            <v>17932</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v>1500001</v>
          </cell>
          <cell r="B22" t="str">
            <v>1500001</v>
          </cell>
          <cell r="C22" t="str">
            <v>0</v>
          </cell>
          <cell r="D22" t="str">
            <v>15000</v>
          </cell>
          <cell r="E22" t="str">
            <v>TCSADMIN</v>
          </cell>
          <cell r="F22">
            <v>0</v>
          </cell>
          <cell r="G22" t="str">
            <v>DOUBLE BED</v>
          </cell>
          <cell r="H22">
            <v>10400</v>
          </cell>
          <cell r="K22">
            <v>0</v>
          </cell>
          <cell r="L22">
            <v>0</v>
          </cell>
          <cell r="M22">
            <v>-2620</v>
          </cell>
          <cell r="N22">
            <v>0</v>
          </cell>
          <cell r="O22">
            <v>0</v>
          </cell>
          <cell r="P22">
            <v>0</v>
          </cell>
          <cell r="Q22">
            <v>0</v>
          </cell>
          <cell r="R22">
            <v>0</v>
          </cell>
          <cell r="S22">
            <v>0</v>
          </cell>
          <cell r="T22">
            <v>0</v>
          </cell>
          <cell r="U22">
            <v>0</v>
          </cell>
          <cell r="V22">
            <v>-1082.2</v>
          </cell>
          <cell r="W22">
            <v>0</v>
          </cell>
          <cell r="X22">
            <v>0</v>
          </cell>
          <cell r="Y22">
            <v>0</v>
          </cell>
          <cell r="Z22">
            <v>0</v>
          </cell>
          <cell r="AA22">
            <v>0</v>
          </cell>
          <cell r="AB22">
            <v>0</v>
          </cell>
          <cell r="AC22">
            <v>0</v>
          </cell>
          <cell r="AD22">
            <v>0</v>
          </cell>
          <cell r="AE22">
            <v>0</v>
          </cell>
          <cell r="AF22">
            <v>0</v>
          </cell>
        </row>
        <row r="23">
          <cell r="A23">
            <v>1500001</v>
          </cell>
          <cell r="H23">
            <v>10400</v>
          </cell>
          <cell r="I23">
            <v>10400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A24">
            <v>1500001</v>
          </cell>
          <cell r="K24">
            <v>0</v>
          </cell>
          <cell r="L24">
            <v>0</v>
          </cell>
          <cell r="M24">
            <v>-3702.2</v>
          </cell>
          <cell r="N24">
            <v>0</v>
          </cell>
          <cell r="O24">
            <v>0</v>
          </cell>
          <cell r="P24">
            <v>0</v>
          </cell>
          <cell r="Q24">
            <v>0</v>
          </cell>
          <cell r="R24">
            <v>0</v>
          </cell>
          <cell r="S24">
            <v>0</v>
          </cell>
          <cell r="T24">
            <v>0</v>
          </cell>
          <cell r="U24">
            <v>0</v>
          </cell>
          <cell r="V24">
            <v>-931.66</v>
          </cell>
          <cell r="W24">
            <v>0</v>
          </cell>
          <cell r="X24">
            <v>0</v>
          </cell>
          <cell r="Y24">
            <v>0</v>
          </cell>
          <cell r="Z24">
            <v>0</v>
          </cell>
          <cell r="AA24">
            <v>0</v>
          </cell>
          <cell r="AB24">
            <v>0</v>
          </cell>
          <cell r="AC24">
            <v>0</v>
          </cell>
          <cell r="AD24">
            <v>0</v>
          </cell>
          <cell r="AE24">
            <v>0</v>
          </cell>
          <cell r="AF24">
            <v>0</v>
          </cell>
        </row>
        <row r="25">
          <cell r="A25">
            <v>1500001</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v>1500002</v>
          </cell>
          <cell r="B26" t="str">
            <v>1500002</v>
          </cell>
          <cell r="C26" t="str">
            <v>0</v>
          </cell>
          <cell r="D26" t="str">
            <v>15000</v>
          </cell>
          <cell r="E26" t="str">
            <v>G3PREMAL</v>
          </cell>
          <cell r="F26">
            <v>0</v>
          </cell>
          <cell r="G26" t="str">
            <v>FURNITURE &amp; FIXTURE -INFOCITY</v>
          </cell>
          <cell r="H26">
            <v>0</v>
          </cell>
          <cell r="K26">
            <v>0</v>
          </cell>
          <cell r="L26">
            <v>0</v>
          </cell>
          <cell r="M26">
            <v>0</v>
          </cell>
          <cell r="N26">
            <v>0</v>
          </cell>
          <cell r="O26">
            <v>0</v>
          </cell>
          <cell r="P26">
            <v>0</v>
          </cell>
          <cell r="Q26">
            <v>0</v>
          </cell>
          <cell r="R26">
            <v>0</v>
          </cell>
          <cell r="S26">
            <v>0</v>
          </cell>
          <cell r="T26">
            <v>0</v>
          </cell>
          <cell r="U26">
            <v>0</v>
          </cell>
          <cell r="V26">
            <v>-9224.85</v>
          </cell>
          <cell r="W26">
            <v>0</v>
          </cell>
          <cell r="X26">
            <v>0</v>
          </cell>
          <cell r="Y26">
            <v>0</v>
          </cell>
          <cell r="Z26">
            <v>0</v>
          </cell>
          <cell r="AA26">
            <v>0</v>
          </cell>
          <cell r="AB26">
            <v>84943.35</v>
          </cell>
          <cell r="AC26">
            <v>0</v>
          </cell>
          <cell r="AD26">
            <v>0</v>
          </cell>
          <cell r="AE26">
            <v>0</v>
          </cell>
          <cell r="AF26">
            <v>0</v>
          </cell>
        </row>
        <row r="27">
          <cell r="A27">
            <v>1500003</v>
          </cell>
          <cell r="B27" t="str">
            <v>1500003</v>
          </cell>
          <cell r="C27" t="str">
            <v>0</v>
          </cell>
          <cell r="D27" t="str">
            <v>15000</v>
          </cell>
          <cell r="E27" t="str">
            <v>G3PREMAL</v>
          </cell>
          <cell r="F27">
            <v>0</v>
          </cell>
          <cell r="G27" t="str">
            <v>ROLLER BLINDS</v>
          </cell>
          <cell r="H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v>1500003</v>
          </cell>
          <cell r="H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v>1500003</v>
          </cell>
          <cell r="H29">
            <v>84943.35</v>
          </cell>
          <cell r="J29">
            <v>84943.35</v>
          </cell>
          <cell r="K29">
            <v>0</v>
          </cell>
          <cell r="L29">
            <v>0</v>
          </cell>
          <cell r="M29">
            <v>-9224.85</v>
          </cell>
          <cell r="N29">
            <v>0</v>
          </cell>
          <cell r="O29">
            <v>0</v>
          </cell>
          <cell r="P29">
            <v>0</v>
          </cell>
          <cell r="Q29">
            <v>0</v>
          </cell>
          <cell r="R29">
            <v>0</v>
          </cell>
          <cell r="S29">
            <v>0</v>
          </cell>
          <cell r="T29">
            <v>0</v>
          </cell>
          <cell r="U29">
            <v>0</v>
          </cell>
          <cell r="V29">
            <v>-13705.05</v>
          </cell>
          <cell r="W29">
            <v>0</v>
          </cell>
          <cell r="X29">
            <v>0</v>
          </cell>
          <cell r="Y29">
            <v>0</v>
          </cell>
          <cell r="Z29">
            <v>0</v>
          </cell>
          <cell r="AA29">
            <v>0</v>
          </cell>
          <cell r="AB29">
            <v>0</v>
          </cell>
          <cell r="AC29">
            <v>0</v>
          </cell>
          <cell r="AD29">
            <v>0</v>
          </cell>
          <cell r="AE29">
            <v>0</v>
          </cell>
          <cell r="AF29">
            <v>0</v>
          </cell>
        </row>
        <row r="30">
          <cell r="A30">
            <v>1500003</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v>1500004</v>
          </cell>
          <cell r="B31" t="str">
            <v>1500004</v>
          </cell>
          <cell r="C31" t="str">
            <v>0</v>
          </cell>
          <cell r="D31" t="str">
            <v>15000</v>
          </cell>
          <cell r="E31" t="str">
            <v>G3PREMAL</v>
          </cell>
          <cell r="F31">
            <v>0</v>
          </cell>
          <cell r="G31" t="str">
            <v>Electrification Work</v>
          </cell>
          <cell r="H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v>1500005</v>
          </cell>
          <cell r="B32" t="str">
            <v>1500005</v>
          </cell>
          <cell r="C32" t="str">
            <v>0</v>
          </cell>
          <cell r="D32" t="str">
            <v>15000</v>
          </cell>
          <cell r="E32" t="str">
            <v>G3GAURAV</v>
          </cell>
          <cell r="F32">
            <v>0</v>
          </cell>
          <cell r="G32" t="str">
            <v>Partition &amp; Wooden Work</v>
          </cell>
          <cell r="H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v>1500006</v>
          </cell>
          <cell r="B33" t="str">
            <v>1500006</v>
          </cell>
          <cell r="C33" t="str">
            <v>0</v>
          </cell>
          <cell r="D33" t="str">
            <v>15000</v>
          </cell>
          <cell r="E33" t="str">
            <v>G3PREMAL</v>
          </cell>
          <cell r="F33">
            <v>0</v>
          </cell>
          <cell r="G33" t="str">
            <v>AIR Conditoner</v>
          </cell>
          <cell r="H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v>1500006</v>
          </cell>
          <cell r="H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v>1500006</v>
          </cell>
          <cell r="H35">
            <v>512651</v>
          </cell>
          <cell r="J35">
            <v>512651</v>
          </cell>
          <cell r="K35">
            <v>0</v>
          </cell>
          <cell r="L35">
            <v>0</v>
          </cell>
          <cell r="M35">
            <v>-66605.31</v>
          </cell>
          <cell r="N35">
            <v>0</v>
          </cell>
          <cell r="O35">
            <v>0</v>
          </cell>
          <cell r="P35">
            <v>0</v>
          </cell>
          <cell r="Q35">
            <v>0</v>
          </cell>
          <cell r="R35">
            <v>0</v>
          </cell>
          <cell r="S35">
            <v>0</v>
          </cell>
          <cell r="T35">
            <v>0</v>
          </cell>
          <cell r="U35">
            <v>0</v>
          </cell>
          <cell r="V35">
            <v>-80734.27</v>
          </cell>
          <cell r="W35">
            <v>0</v>
          </cell>
          <cell r="X35">
            <v>0</v>
          </cell>
          <cell r="Y35">
            <v>0</v>
          </cell>
          <cell r="Z35">
            <v>0</v>
          </cell>
          <cell r="AA35">
            <v>0</v>
          </cell>
          <cell r="AB35">
            <v>0</v>
          </cell>
          <cell r="AC35">
            <v>0</v>
          </cell>
          <cell r="AD35">
            <v>0</v>
          </cell>
          <cell r="AE35">
            <v>0</v>
          </cell>
          <cell r="AF35">
            <v>0</v>
          </cell>
        </row>
        <row r="36">
          <cell r="A36">
            <v>1500006</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v>1500007</v>
          </cell>
          <cell r="B37" t="str">
            <v>1500007</v>
          </cell>
          <cell r="C37" t="str">
            <v>0</v>
          </cell>
          <cell r="D37" t="str">
            <v>15000</v>
          </cell>
          <cell r="E37" t="str">
            <v>G3PREMAL</v>
          </cell>
          <cell r="F37">
            <v>0</v>
          </cell>
          <cell r="G37" t="str">
            <v>Civil, Plumbing &amp; Sanitry Work</v>
          </cell>
          <cell r="H37">
            <v>0</v>
          </cell>
          <cell r="K37">
            <v>0</v>
          </cell>
          <cell r="L37">
            <v>0</v>
          </cell>
          <cell r="M37">
            <v>0</v>
          </cell>
          <cell r="N37">
            <v>0</v>
          </cell>
          <cell r="O37">
            <v>0</v>
          </cell>
          <cell r="P37">
            <v>0</v>
          </cell>
          <cell r="Q37">
            <v>0</v>
          </cell>
          <cell r="R37">
            <v>0</v>
          </cell>
          <cell r="S37">
            <v>0</v>
          </cell>
          <cell r="T37">
            <v>0</v>
          </cell>
          <cell r="U37">
            <v>0</v>
          </cell>
          <cell r="V37">
            <v>-39487.980000000003</v>
          </cell>
          <cell r="W37">
            <v>0</v>
          </cell>
          <cell r="X37">
            <v>0</v>
          </cell>
          <cell r="Y37">
            <v>0</v>
          </cell>
          <cell r="Z37">
            <v>0</v>
          </cell>
          <cell r="AA37">
            <v>0</v>
          </cell>
          <cell r="AB37">
            <v>303933</v>
          </cell>
          <cell r="AC37">
            <v>0</v>
          </cell>
          <cell r="AD37">
            <v>0</v>
          </cell>
          <cell r="AE37">
            <v>0</v>
          </cell>
          <cell r="AF37">
            <v>0</v>
          </cell>
        </row>
        <row r="38">
          <cell r="A38">
            <v>1500007</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303933</v>
          </cell>
          <cell r="AC38">
            <v>0</v>
          </cell>
          <cell r="AD38">
            <v>0</v>
          </cell>
          <cell r="AE38">
            <v>0</v>
          </cell>
          <cell r="AF38">
            <v>0</v>
          </cell>
        </row>
        <row r="39">
          <cell r="A39">
            <v>1500007</v>
          </cell>
          <cell r="H39">
            <v>303933</v>
          </cell>
          <cell r="J39">
            <v>303933</v>
          </cell>
          <cell r="K39">
            <v>0</v>
          </cell>
          <cell r="L39">
            <v>0</v>
          </cell>
          <cell r="M39">
            <v>-39487.980000000003</v>
          </cell>
          <cell r="N39">
            <v>0</v>
          </cell>
          <cell r="O39">
            <v>0</v>
          </cell>
          <cell r="P39">
            <v>0</v>
          </cell>
          <cell r="Q39">
            <v>0</v>
          </cell>
          <cell r="R39">
            <v>0</v>
          </cell>
          <cell r="S39">
            <v>0</v>
          </cell>
          <cell r="T39">
            <v>0</v>
          </cell>
          <cell r="U39">
            <v>0</v>
          </cell>
          <cell r="V39">
            <v>-47864.55</v>
          </cell>
          <cell r="W39">
            <v>0</v>
          </cell>
          <cell r="X39">
            <v>0</v>
          </cell>
          <cell r="Y39">
            <v>0</v>
          </cell>
          <cell r="Z39">
            <v>0</v>
          </cell>
          <cell r="AA39">
            <v>0</v>
          </cell>
          <cell r="AB39">
            <v>0</v>
          </cell>
          <cell r="AC39">
            <v>0</v>
          </cell>
          <cell r="AD39">
            <v>0</v>
          </cell>
          <cell r="AE39">
            <v>0</v>
          </cell>
          <cell r="AF39">
            <v>0</v>
          </cell>
        </row>
        <row r="40">
          <cell r="A40">
            <v>1500007</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v>1500008</v>
          </cell>
          <cell r="B41" t="str">
            <v>1500008</v>
          </cell>
          <cell r="C41" t="str">
            <v>0</v>
          </cell>
          <cell r="D41" t="str">
            <v>15000</v>
          </cell>
          <cell r="E41" t="str">
            <v>G3PREMAL</v>
          </cell>
          <cell r="F41" t="str">
            <v>G3PREMAL</v>
          </cell>
          <cell r="G41" t="str">
            <v>EXECUTIVE TABLE(A)</v>
          </cell>
          <cell r="H41">
            <v>0</v>
          </cell>
          <cell r="K41">
            <v>0</v>
          </cell>
          <cell r="L41">
            <v>0</v>
          </cell>
          <cell r="M41">
            <v>0</v>
          </cell>
          <cell r="N41">
            <v>0</v>
          </cell>
          <cell r="O41">
            <v>0</v>
          </cell>
          <cell r="P41">
            <v>0</v>
          </cell>
          <cell r="Q41">
            <v>0</v>
          </cell>
          <cell r="R41">
            <v>0</v>
          </cell>
          <cell r="S41">
            <v>0</v>
          </cell>
          <cell r="T41">
            <v>0</v>
          </cell>
          <cell r="U41">
            <v>0</v>
          </cell>
          <cell r="V41">
            <v>-5263.58</v>
          </cell>
          <cell r="W41">
            <v>0</v>
          </cell>
          <cell r="X41">
            <v>0</v>
          </cell>
          <cell r="Y41">
            <v>0</v>
          </cell>
          <cell r="Z41">
            <v>0</v>
          </cell>
          <cell r="AA41">
            <v>0</v>
          </cell>
          <cell r="AB41">
            <v>40513</v>
          </cell>
          <cell r="AC41">
            <v>0</v>
          </cell>
          <cell r="AD41">
            <v>0</v>
          </cell>
          <cell r="AE41">
            <v>0</v>
          </cell>
          <cell r="AF41">
            <v>0</v>
          </cell>
        </row>
        <row r="42">
          <cell r="A42">
            <v>1500008</v>
          </cell>
          <cell r="H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40513</v>
          </cell>
          <cell r="AC42">
            <v>0</v>
          </cell>
          <cell r="AD42">
            <v>0</v>
          </cell>
          <cell r="AE42">
            <v>0</v>
          </cell>
          <cell r="AF42">
            <v>0</v>
          </cell>
        </row>
        <row r="43">
          <cell r="A43">
            <v>1500008</v>
          </cell>
          <cell r="H43">
            <v>40513</v>
          </cell>
          <cell r="J43">
            <v>40513</v>
          </cell>
          <cell r="K43">
            <v>0</v>
          </cell>
          <cell r="L43">
            <v>0</v>
          </cell>
          <cell r="M43">
            <v>-5263.58</v>
          </cell>
          <cell r="N43">
            <v>0</v>
          </cell>
          <cell r="O43">
            <v>0</v>
          </cell>
          <cell r="P43">
            <v>0</v>
          </cell>
          <cell r="Q43">
            <v>0</v>
          </cell>
          <cell r="R43">
            <v>0</v>
          </cell>
          <cell r="S43">
            <v>0</v>
          </cell>
          <cell r="T43">
            <v>0</v>
          </cell>
          <cell r="U43">
            <v>0</v>
          </cell>
          <cell r="V43">
            <v>-6380.15</v>
          </cell>
          <cell r="W43">
            <v>0</v>
          </cell>
          <cell r="X43">
            <v>0</v>
          </cell>
          <cell r="Y43">
            <v>0</v>
          </cell>
          <cell r="Z43">
            <v>0</v>
          </cell>
          <cell r="AA43">
            <v>0</v>
          </cell>
          <cell r="AB43">
            <v>0</v>
          </cell>
          <cell r="AC43">
            <v>0</v>
          </cell>
          <cell r="AD43">
            <v>0</v>
          </cell>
          <cell r="AE43">
            <v>0</v>
          </cell>
          <cell r="AF43">
            <v>0</v>
          </cell>
        </row>
        <row r="44">
          <cell r="A44">
            <v>1500008</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v>1500009</v>
          </cell>
          <cell r="B45" t="str">
            <v>1500009</v>
          </cell>
          <cell r="C45" t="str">
            <v>0</v>
          </cell>
          <cell r="D45" t="str">
            <v>15000</v>
          </cell>
          <cell r="E45" t="str">
            <v>G3PREMAL</v>
          </cell>
          <cell r="F45" t="str">
            <v>G3PREMAL</v>
          </cell>
          <cell r="G45" t="str">
            <v>EXECUTIVE TABLE(B)</v>
          </cell>
          <cell r="H45">
            <v>0</v>
          </cell>
          <cell r="K45">
            <v>0</v>
          </cell>
          <cell r="L45">
            <v>0</v>
          </cell>
          <cell r="M45">
            <v>0</v>
          </cell>
          <cell r="N45">
            <v>0</v>
          </cell>
          <cell r="O45">
            <v>0</v>
          </cell>
          <cell r="P45">
            <v>0</v>
          </cell>
          <cell r="Q45">
            <v>0</v>
          </cell>
          <cell r="R45">
            <v>0</v>
          </cell>
          <cell r="S45">
            <v>0</v>
          </cell>
          <cell r="T45">
            <v>0</v>
          </cell>
          <cell r="U45">
            <v>0</v>
          </cell>
          <cell r="V45">
            <v>-3550.93</v>
          </cell>
          <cell r="W45">
            <v>0</v>
          </cell>
          <cell r="X45">
            <v>0</v>
          </cell>
          <cell r="Y45">
            <v>0</v>
          </cell>
          <cell r="Z45">
            <v>0</v>
          </cell>
          <cell r="AA45">
            <v>0</v>
          </cell>
          <cell r="AB45">
            <v>27331</v>
          </cell>
          <cell r="AC45">
            <v>0</v>
          </cell>
          <cell r="AD45">
            <v>0</v>
          </cell>
          <cell r="AE45">
            <v>0</v>
          </cell>
          <cell r="AF45">
            <v>0</v>
          </cell>
        </row>
        <row r="46">
          <cell r="A46">
            <v>1500009</v>
          </cell>
          <cell r="H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27331</v>
          </cell>
          <cell r="AC46">
            <v>0</v>
          </cell>
          <cell r="AD46">
            <v>0</v>
          </cell>
          <cell r="AE46">
            <v>0</v>
          </cell>
          <cell r="AF46">
            <v>0</v>
          </cell>
        </row>
        <row r="47">
          <cell r="A47">
            <v>1500009</v>
          </cell>
          <cell r="H47">
            <v>27331</v>
          </cell>
          <cell r="J47">
            <v>27331</v>
          </cell>
          <cell r="K47">
            <v>0</v>
          </cell>
          <cell r="L47">
            <v>0</v>
          </cell>
          <cell r="M47">
            <v>-3550.93</v>
          </cell>
          <cell r="N47">
            <v>0</v>
          </cell>
          <cell r="O47">
            <v>0</v>
          </cell>
          <cell r="P47">
            <v>0</v>
          </cell>
          <cell r="Q47">
            <v>0</v>
          </cell>
          <cell r="R47">
            <v>0</v>
          </cell>
          <cell r="S47">
            <v>0</v>
          </cell>
          <cell r="T47">
            <v>0</v>
          </cell>
          <cell r="U47">
            <v>0</v>
          </cell>
          <cell r="V47">
            <v>-4304.1899999999996</v>
          </cell>
          <cell r="W47">
            <v>0</v>
          </cell>
          <cell r="X47">
            <v>0</v>
          </cell>
          <cell r="Y47">
            <v>0</v>
          </cell>
          <cell r="Z47">
            <v>0</v>
          </cell>
          <cell r="AA47">
            <v>0</v>
          </cell>
          <cell r="AB47">
            <v>0</v>
          </cell>
          <cell r="AC47">
            <v>0</v>
          </cell>
          <cell r="AD47">
            <v>0</v>
          </cell>
          <cell r="AE47">
            <v>0</v>
          </cell>
          <cell r="AF47">
            <v>0</v>
          </cell>
        </row>
        <row r="48">
          <cell r="A48">
            <v>1500009</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v>1500010</v>
          </cell>
          <cell r="B49" t="str">
            <v>1500010</v>
          </cell>
          <cell r="C49" t="str">
            <v>0</v>
          </cell>
          <cell r="D49" t="str">
            <v>15000</v>
          </cell>
          <cell r="E49" t="str">
            <v>G3PREMAL</v>
          </cell>
          <cell r="F49" t="str">
            <v>G3PREMAL</v>
          </cell>
          <cell r="G49" t="str">
            <v>SIDE UNIT FOR EXE. TABLE</v>
          </cell>
          <cell r="H49">
            <v>0</v>
          </cell>
          <cell r="K49">
            <v>0</v>
          </cell>
          <cell r="L49">
            <v>0</v>
          </cell>
          <cell r="M49">
            <v>0</v>
          </cell>
          <cell r="N49">
            <v>0</v>
          </cell>
          <cell r="O49">
            <v>0</v>
          </cell>
          <cell r="P49">
            <v>0</v>
          </cell>
          <cell r="Q49">
            <v>0</v>
          </cell>
          <cell r="R49">
            <v>0</v>
          </cell>
          <cell r="S49">
            <v>0</v>
          </cell>
          <cell r="T49">
            <v>0</v>
          </cell>
          <cell r="U49">
            <v>0</v>
          </cell>
          <cell r="V49">
            <v>-3517.81</v>
          </cell>
          <cell r="W49">
            <v>0</v>
          </cell>
          <cell r="X49">
            <v>0</v>
          </cell>
          <cell r="Y49">
            <v>0</v>
          </cell>
          <cell r="Z49">
            <v>0</v>
          </cell>
          <cell r="AA49">
            <v>0</v>
          </cell>
          <cell r="AB49">
            <v>27076</v>
          </cell>
          <cell r="AC49">
            <v>0</v>
          </cell>
          <cell r="AD49">
            <v>0</v>
          </cell>
          <cell r="AE49">
            <v>0</v>
          </cell>
          <cell r="AF49">
            <v>0</v>
          </cell>
        </row>
        <row r="50">
          <cell r="A50">
            <v>1500010</v>
          </cell>
          <cell r="H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27076</v>
          </cell>
          <cell r="AC50">
            <v>0</v>
          </cell>
          <cell r="AD50">
            <v>0</v>
          </cell>
          <cell r="AE50">
            <v>0</v>
          </cell>
          <cell r="AF50">
            <v>0</v>
          </cell>
        </row>
        <row r="51">
          <cell r="A51">
            <v>1500010</v>
          </cell>
          <cell r="H51">
            <v>27076</v>
          </cell>
          <cell r="J51">
            <v>27076</v>
          </cell>
          <cell r="K51">
            <v>0</v>
          </cell>
          <cell r="L51">
            <v>0</v>
          </cell>
          <cell r="M51">
            <v>-3517.81</v>
          </cell>
          <cell r="N51">
            <v>0</v>
          </cell>
          <cell r="O51">
            <v>0</v>
          </cell>
          <cell r="P51">
            <v>0</v>
          </cell>
          <cell r="Q51">
            <v>0</v>
          </cell>
          <cell r="R51">
            <v>0</v>
          </cell>
          <cell r="S51">
            <v>0</v>
          </cell>
          <cell r="T51">
            <v>0</v>
          </cell>
          <cell r="U51">
            <v>0</v>
          </cell>
          <cell r="V51">
            <v>-4264.03</v>
          </cell>
          <cell r="W51">
            <v>0</v>
          </cell>
          <cell r="X51">
            <v>0</v>
          </cell>
          <cell r="Y51">
            <v>0</v>
          </cell>
          <cell r="Z51">
            <v>0</v>
          </cell>
          <cell r="AA51">
            <v>0</v>
          </cell>
          <cell r="AB51">
            <v>0</v>
          </cell>
          <cell r="AC51">
            <v>0</v>
          </cell>
          <cell r="AD51">
            <v>0</v>
          </cell>
          <cell r="AE51">
            <v>0</v>
          </cell>
          <cell r="AF51">
            <v>0</v>
          </cell>
        </row>
        <row r="52">
          <cell r="A52">
            <v>1500010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v>1500011</v>
          </cell>
          <cell r="B53" t="str">
            <v>1500011</v>
          </cell>
          <cell r="C53" t="str">
            <v>0</v>
          </cell>
          <cell r="D53" t="str">
            <v>15000</v>
          </cell>
          <cell r="E53" t="str">
            <v>G3PREMAL</v>
          </cell>
          <cell r="F53" t="str">
            <v>G3PREMAL</v>
          </cell>
          <cell r="G53" t="str">
            <v>PEDESTAL UNIT UNDER TABLE</v>
          </cell>
          <cell r="H53">
            <v>0</v>
          </cell>
          <cell r="K53">
            <v>0</v>
          </cell>
          <cell r="L53">
            <v>0</v>
          </cell>
          <cell r="M53">
            <v>0</v>
          </cell>
          <cell r="N53">
            <v>0</v>
          </cell>
          <cell r="O53">
            <v>0</v>
          </cell>
          <cell r="P53">
            <v>0</v>
          </cell>
          <cell r="Q53">
            <v>0</v>
          </cell>
          <cell r="R53">
            <v>0</v>
          </cell>
          <cell r="S53">
            <v>0</v>
          </cell>
          <cell r="T53">
            <v>0</v>
          </cell>
          <cell r="U53">
            <v>0</v>
          </cell>
          <cell r="V53">
            <v>-14177.23</v>
          </cell>
          <cell r="W53">
            <v>0</v>
          </cell>
          <cell r="X53">
            <v>0</v>
          </cell>
          <cell r="Y53">
            <v>0</v>
          </cell>
          <cell r="Z53">
            <v>0</v>
          </cell>
          <cell r="AA53">
            <v>0</v>
          </cell>
          <cell r="AB53">
            <v>109120</v>
          </cell>
          <cell r="AC53">
            <v>0</v>
          </cell>
          <cell r="AD53">
            <v>0</v>
          </cell>
          <cell r="AE53">
            <v>0</v>
          </cell>
          <cell r="AF53">
            <v>0</v>
          </cell>
        </row>
        <row r="54">
          <cell r="A54">
            <v>1500011</v>
          </cell>
          <cell r="H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109120</v>
          </cell>
          <cell r="AC54">
            <v>0</v>
          </cell>
          <cell r="AD54">
            <v>0</v>
          </cell>
          <cell r="AE54">
            <v>0</v>
          </cell>
          <cell r="AF54">
            <v>0</v>
          </cell>
        </row>
        <row r="55">
          <cell r="A55">
            <v>1500011</v>
          </cell>
          <cell r="H55">
            <v>109120</v>
          </cell>
          <cell r="J55">
            <v>109120</v>
          </cell>
          <cell r="K55">
            <v>0</v>
          </cell>
          <cell r="L55">
            <v>0</v>
          </cell>
          <cell r="M55">
            <v>-14177.23</v>
          </cell>
          <cell r="N55">
            <v>0</v>
          </cell>
          <cell r="O55">
            <v>0</v>
          </cell>
          <cell r="P55">
            <v>0</v>
          </cell>
          <cell r="Q55">
            <v>0</v>
          </cell>
          <cell r="R55">
            <v>0</v>
          </cell>
          <cell r="S55">
            <v>0</v>
          </cell>
          <cell r="T55">
            <v>0</v>
          </cell>
          <cell r="U55">
            <v>0</v>
          </cell>
          <cell r="V55">
            <v>-17184.64</v>
          </cell>
          <cell r="W55">
            <v>0</v>
          </cell>
          <cell r="X55">
            <v>0</v>
          </cell>
          <cell r="Y55">
            <v>0</v>
          </cell>
          <cell r="Z55">
            <v>0</v>
          </cell>
          <cell r="AA55">
            <v>0</v>
          </cell>
          <cell r="AB55">
            <v>0</v>
          </cell>
          <cell r="AC55">
            <v>0</v>
          </cell>
          <cell r="AD55">
            <v>0</v>
          </cell>
          <cell r="AE55">
            <v>0</v>
          </cell>
          <cell r="AF55">
            <v>0</v>
          </cell>
        </row>
        <row r="56">
          <cell r="A56">
            <v>1500011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v>1500012</v>
          </cell>
          <cell r="B57" t="str">
            <v>1500012</v>
          </cell>
          <cell r="C57" t="str">
            <v>0</v>
          </cell>
          <cell r="D57" t="str">
            <v>15000</v>
          </cell>
          <cell r="E57" t="str">
            <v>G3PREMAL</v>
          </cell>
          <cell r="F57" t="str">
            <v>G3PREMAL</v>
          </cell>
          <cell r="G57" t="str">
            <v>WORKING TABLE</v>
          </cell>
          <cell r="H57">
            <v>0</v>
          </cell>
          <cell r="K57">
            <v>0</v>
          </cell>
          <cell r="L57">
            <v>0</v>
          </cell>
          <cell r="M57">
            <v>0</v>
          </cell>
          <cell r="N57">
            <v>0</v>
          </cell>
          <cell r="O57">
            <v>0</v>
          </cell>
          <cell r="P57">
            <v>0</v>
          </cell>
          <cell r="Q57">
            <v>0</v>
          </cell>
          <cell r="R57">
            <v>0</v>
          </cell>
          <cell r="S57">
            <v>0</v>
          </cell>
          <cell r="T57">
            <v>0</v>
          </cell>
          <cell r="U57">
            <v>0</v>
          </cell>
          <cell r="V57">
            <v>-12696.11</v>
          </cell>
          <cell r="W57">
            <v>0</v>
          </cell>
          <cell r="X57">
            <v>0</v>
          </cell>
          <cell r="Y57">
            <v>0</v>
          </cell>
          <cell r="Z57">
            <v>0</v>
          </cell>
          <cell r="AA57">
            <v>0</v>
          </cell>
          <cell r="AB57">
            <v>97720</v>
          </cell>
          <cell r="AC57">
            <v>0</v>
          </cell>
          <cell r="AD57">
            <v>0</v>
          </cell>
          <cell r="AE57">
            <v>0</v>
          </cell>
          <cell r="AF57">
            <v>0</v>
          </cell>
        </row>
        <row r="58">
          <cell r="A58">
            <v>1500012</v>
          </cell>
          <cell r="H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97720</v>
          </cell>
          <cell r="AC58">
            <v>0</v>
          </cell>
          <cell r="AD58">
            <v>0</v>
          </cell>
          <cell r="AE58">
            <v>0</v>
          </cell>
          <cell r="AF58">
            <v>0</v>
          </cell>
        </row>
        <row r="59">
          <cell r="A59">
            <v>1500012</v>
          </cell>
          <cell r="H59">
            <v>97720</v>
          </cell>
          <cell r="J59">
            <v>97720</v>
          </cell>
          <cell r="K59">
            <v>0</v>
          </cell>
          <cell r="L59">
            <v>0</v>
          </cell>
          <cell r="M59">
            <v>-12696.11</v>
          </cell>
          <cell r="N59">
            <v>0</v>
          </cell>
          <cell r="O59">
            <v>0</v>
          </cell>
          <cell r="P59">
            <v>0</v>
          </cell>
          <cell r="Q59">
            <v>0</v>
          </cell>
          <cell r="R59">
            <v>0</v>
          </cell>
          <cell r="S59">
            <v>0</v>
          </cell>
          <cell r="T59">
            <v>0</v>
          </cell>
          <cell r="U59">
            <v>0</v>
          </cell>
          <cell r="V59">
            <v>-15389.32</v>
          </cell>
          <cell r="W59">
            <v>0</v>
          </cell>
          <cell r="X59">
            <v>0</v>
          </cell>
          <cell r="Y59">
            <v>0</v>
          </cell>
          <cell r="Z59">
            <v>0</v>
          </cell>
          <cell r="AA59">
            <v>0</v>
          </cell>
          <cell r="AB59">
            <v>0</v>
          </cell>
          <cell r="AC59">
            <v>0</v>
          </cell>
          <cell r="AD59">
            <v>0</v>
          </cell>
          <cell r="AE59">
            <v>0</v>
          </cell>
          <cell r="AF59">
            <v>0</v>
          </cell>
        </row>
        <row r="60">
          <cell r="A60">
            <v>1500012</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v>1500013</v>
          </cell>
          <cell r="B61" t="str">
            <v>1500013</v>
          </cell>
          <cell r="C61" t="str">
            <v>0</v>
          </cell>
          <cell r="D61" t="str">
            <v>15000</v>
          </cell>
          <cell r="E61" t="str">
            <v>G3PREMAL</v>
          </cell>
          <cell r="F61" t="str">
            <v>G3PREMAL</v>
          </cell>
          <cell r="G61" t="str">
            <v>RECEPTION TABLE including Corner Table</v>
          </cell>
          <cell r="H61">
            <v>0</v>
          </cell>
          <cell r="K61">
            <v>0</v>
          </cell>
          <cell r="L61">
            <v>0</v>
          </cell>
          <cell r="M61">
            <v>0</v>
          </cell>
          <cell r="N61">
            <v>0</v>
          </cell>
          <cell r="O61">
            <v>0</v>
          </cell>
          <cell r="P61">
            <v>0</v>
          </cell>
          <cell r="Q61">
            <v>0</v>
          </cell>
          <cell r="R61">
            <v>0</v>
          </cell>
          <cell r="S61">
            <v>0</v>
          </cell>
          <cell r="T61">
            <v>0</v>
          </cell>
          <cell r="U61">
            <v>0</v>
          </cell>
          <cell r="V61">
            <v>-1639.89</v>
          </cell>
          <cell r="W61">
            <v>0</v>
          </cell>
          <cell r="X61">
            <v>0</v>
          </cell>
          <cell r="Y61">
            <v>0</v>
          </cell>
          <cell r="Z61">
            <v>0</v>
          </cell>
          <cell r="AA61">
            <v>0</v>
          </cell>
          <cell r="AB61">
            <v>12622</v>
          </cell>
          <cell r="AC61">
            <v>0</v>
          </cell>
          <cell r="AD61">
            <v>0</v>
          </cell>
          <cell r="AE61">
            <v>0</v>
          </cell>
          <cell r="AF61">
            <v>0</v>
          </cell>
        </row>
        <row r="62">
          <cell r="A62">
            <v>1500013</v>
          </cell>
          <cell r="H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12622</v>
          </cell>
          <cell r="AC62">
            <v>0</v>
          </cell>
          <cell r="AD62">
            <v>0</v>
          </cell>
          <cell r="AE62">
            <v>0</v>
          </cell>
          <cell r="AF62">
            <v>0</v>
          </cell>
        </row>
        <row r="63">
          <cell r="A63">
            <v>1500013</v>
          </cell>
          <cell r="H63">
            <v>12622</v>
          </cell>
          <cell r="J63">
            <v>12622</v>
          </cell>
          <cell r="K63">
            <v>0</v>
          </cell>
          <cell r="L63">
            <v>0</v>
          </cell>
          <cell r="M63">
            <v>-1639.89</v>
          </cell>
          <cell r="N63">
            <v>0</v>
          </cell>
          <cell r="O63">
            <v>0</v>
          </cell>
          <cell r="P63">
            <v>0</v>
          </cell>
          <cell r="Q63">
            <v>0</v>
          </cell>
          <cell r="R63">
            <v>0</v>
          </cell>
          <cell r="S63">
            <v>0</v>
          </cell>
          <cell r="T63">
            <v>0</v>
          </cell>
          <cell r="U63">
            <v>0</v>
          </cell>
          <cell r="V63">
            <v>-1987.76</v>
          </cell>
          <cell r="W63">
            <v>0</v>
          </cell>
          <cell r="X63">
            <v>0</v>
          </cell>
          <cell r="Y63">
            <v>0</v>
          </cell>
          <cell r="Z63">
            <v>0</v>
          </cell>
          <cell r="AA63">
            <v>0</v>
          </cell>
          <cell r="AB63">
            <v>0</v>
          </cell>
          <cell r="AC63">
            <v>0</v>
          </cell>
          <cell r="AD63">
            <v>0</v>
          </cell>
          <cell r="AE63">
            <v>0</v>
          </cell>
          <cell r="AF63">
            <v>0</v>
          </cell>
        </row>
        <row r="64">
          <cell r="A64">
            <v>1500013</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A65">
            <v>1500014</v>
          </cell>
          <cell r="B65" t="str">
            <v>1500014</v>
          </cell>
          <cell r="C65" t="str">
            <v>0</v>
          </cell>
          <cell r="D65" t="str">
            <v>15000</v>
          </cell>
          <cell r="E65" t="str">
            <v>G3PREMAL</v>
          </cell>
          <cell r="F65" t="str">
            <v>G3PREMAL</v>
          </cell>
          <cell r="G65" t="str">
            <v>DINNING TABLE</v>
          </cell>
          <cell r="H65">
            <v>0</v>
          </cell>
          <cell r="K65">
            <v>0</v>
          </cell>
          <cell r="L65">
            <v>0</v>
          </cell>
          <cell r="M65">
            <v>0</v>
          </cell>
          <cell r="N65">
            <v>0</v>
          </cell>
          <cell r="O65">
            <v>0</v>
          </cell>
          <cell r="P65">
            <v>0</v>
          </cell>
          <cell r="Q65">
            <v>0</v>
          </cell>
          <cell r="R65">
            <v>0</v>
          </cell>
          <cell r="S65">
            <v>0</v>
          </cell>
          <cell r="T65">
            <v>0</v>
          </cell>
          <cell r="U65">
            <v>0</v>
          </cell>
          <cell r="V65">
            <v>-2273.4</v>
          </cell>
          <cell r="W65">
            <v>0</v>
          </cell>
          <cell r="X65">
            <v>0</v>
          </cell>
          <cell r="Y65">
            <v>0</v>
          </cell>
          <cell r="Z65">
            <v>0</v>
          </cell>
          <cell r="AA65">
            <v>0</v>
          </cell>
          <cell r="AB65">
            <v>17498</v>
          </cell>
          <cell r="AC65">
            <v>0</v>
          </cell>
          <cell r="AD65">
            <v>0</v>
          </cell>
          <cell r="AE65">
            <v>0</v>
          </cell>
          <cell r="AF65">
            <v>0</v>
          </cell>
        </row>
        <row r="66">
          <cell r="A66">
            <v>1500014</v>
          </cell>
          <cell r="H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17498</v>
          </cell>
          <cell r="AC66">
            <v>0</v>
          </cell>
          <cell r="AD66">
            <v>0</v>
          </cell>
          <cell r="AE66">
            <v>0</v>
          </cell>
          <cell r="AF66">
            <v>0</v>
          </cell>
        </row>
        <row r="67">
          <cell r="A67">
            <v>1500014</v>
          </cell>
          <cell r="H67">
            <v>17498</v>
          </cell>
          <cell r="J67">
            <v>17498</v>
          </cell>
          <cell r="K67">
            <v>0</v>
          </cell>
          <cell r="L67">
            <v>0</v>
          </cell>
          <cell r="M67">
            <v>-2273.4</v>
          </cell>
          <cell r="N67">
            <v>0</v>
          </cell>
          <cell r="O67">
            <v>0</v>
          </cell>
          <cell r="P67">
            <v>0</v>
          </cell>
          <cell r="Q67">
            <v>0</v>
          </cell>
          <cell r="R67">
            <v>0</v>
          </cell>
          <cell r="S67">
            <v>0</v>
          </cell>
          <cell r="T67">
            <v>0</v>
          </cell>
          <cell r="U67">
            <v>0</v>
          </cell>
          <cell r="V67">
            <v>-2755.65</v>
          </cell>
          <cell r="W67">
            <v>0</v>
          </cell>
          <cell r="X67">
            <v>0</v>
          </cell>
          <cell r="Y67">
            <v>0</v>
          </cell>
          <cell r="Z67">
            <v>0</v>
          </cell>
          <cell r="AA67">
            <v>0</v>
          </cell>
          <cell r="AB67">
            <v>0</v>
          </cell>
          <cell r="AC67">
            <v>0</v>
          </cell>
          <cell r="AD67">
            <v>0</v>
          </cell>
          <cell r="AE67">
            <v>0</v>
          </cell>
          <cell r="AF67">
            <v>0</v>
          </cell>
        </row>
        <row r="68">
          <cell r="A68">
            <v>1500014</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v>1500015</v>
          </cell>
          <cell r="B69" t="str">
            <v>1500015</v>
          </cell>
          <cell r="C69" t="str">
            <v>0</v>
          </cell>
          <cell r="D69" t="str">
            <v>15000</v>
          </cell>
          <cell r="E69" t="str">
            <v>G3PREMAL</v>
          </cell>
          <cell r="F69" t="str">
            <v>G3PREMAL</v>
          </cell>
          <cell r="G69" t="str">
            <v>MEETING TABLE</v>
          </cell>
          <cell r="H69">
            <v>0</v>
          </cell>
          <cell r="K69">
            <v>0</v>
          </cell>
          <cell r="L69">
            <v>0</v>
          </cell>
          <cell r="M69">
            <v>0</v>
          </cell>
          <cell r="N69">
            <v>0</v>
          </cell>
          <cell r="O69">
            <v>0</v>
          </cell>
          <cell r="P69">
            <v>0</v>
          </cell>
          <cell r="Q69">
            <v>0</v>
          </cell>
          <cell r="R69">
            <v>0</v>
          </cell>
          <cell r="S69">
            <v>0</v>
          </cell>
          <cell r="T69">
            <v>0</v>
          </cell>
          <cell r="U69">
            <v>0</v>
          </cell>
          <cell r="V69">
            <v>-2380.4499999999998</v>
          </cell>
          <cell r="W69">
            <v>0</v>
          </cell>
          <cell r="X69">
            <v>0</v>
          </cell>
          <cell r="Y69">
            <v>0</v>
          </cell>
          <cell r="Z69">
            <v>0</v>
          </cell>
          <cell r="AA69">
            <v>0</v>
          </cell>
          <cell r="AB69">
            <v>18322</v>
          </cell>
          <cell r="AC69">
            <v>0</v>
          </cell>
          <cell r="AD69">
            <v>0</v>
          </cell>
          <cell r="AE69">
            <v>0</v>
          </cell>
          <cell r="AF69">
            <v>0</v>
          </cell>
        </row>
        <row r="70">
          <cell r="A70">
            <v>1500015</v>
          </cell>
          <cell r="H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18322</v>
          </cell>
          <cell r="AC70">
            <v>0</v>
          </cell>
          <cell r="AD70">
            <v>0</v>
          </cell>
          <cell r="AE70">
            <v>0</v>
          </cell>
          <cell r="AF70">
            <v>0</v>
          </cell>
        </row>
        <row r="71">
          <cell r="A71">
            <v>1500015</v>
          </cell>
          <cell r="H71">
            <v>18322</v>
          </cell>
          <cell r="J71">
            <v>18322</v>
          </cell>
          <cell r="K71">
            <v>0</v>
          </cell>
          <cell r="L71">
            <v>0</v>
          </cell>
          <cell r="M71">
            <v>-2380.4499999999998</v>
          </cell>
          <cell r="N71">
            <v>0</v>
          </cell>
          <cell r="O71">
            <v>0</v>
          </cell>
          <cell r="P71">
            <v>0</v>
          </cell>
          <cell r="Q71">
            <v>0</v>
          </cell>
          <cell r="R71">
            <v>0</v>
          </cell>
          <cell r="S71">
            <v>0</v>
          </cell>
          <cell r="T71">
            <v>0</v>
          </cell>
          <cell r="U71">
            <v>0</v>
          </cell>
          <cell r="V71">
            <v>-2885.42</v>
          </cell>
          <cell r="W71">
            <v>0</v>
          </cell>
          <cell r="X71">
            <v>0</v>
          </cell>
          <cell r="Y71">
            <v>0</v>
          </cell>
          <cell r="Z71">
            <v>0</v>
          </cell>
          <cell r="AA71">
            <v>0</v>
          </cell>
          <cell r="AB71">
            <v>0</v>
          </cell>
          <cell r="AC71">
            <v>0</v>
          </cell>
          <cell r="AD71">
            <v>0</v>
          </cell>
          <cell r="AE71">
            <v>0</v>
          </cell>
          <cell r="AF71">
            <v>0</v>
          </cell>
        </row>
        <row r="72">
          <cell r="A72">
            <v>1500015</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v>1500016</v>
          </cell>
          <cell r="B73" t="str">
            <v>1500016</v>
          </cell>
          <cell r="C73" t="str">
            <v>0</v>
          </cell>
          <cell r="D73" t="str">
            <v>15000</v>
          </cell>
          <cell r="E73" t="str">
            <v>G3PREMAL</v>
          </cell>
          <cell r="F73" t="str">
            <v>G3PREMAL</v>
          </cell>
          <cell r="G73" t="str">
            <v>CORNER TABLE</v>
          </cell>
          <cell r="H73">
            <v>0</v>
          </cell>
          <cell r="K73">
            <v>0</v>
          </cell>
          <cell r="L73">
            <v>0</v>
          </cell>
          <cell r="M73">
            <v>0</v>
          </cell>
          <cell r="N73">
            <v>0</v>
          </cell>
          <cell r="O73">
            <v>0</v>
          </cell>
          <cell r="P73">
            <v>0</v>
          </cell>
          <cell r="Q73">
            <v>0</v>
          </cell>
          <cell r="R73">
            <v>0</v>
          </cell>
          <cell r="S73">
            <v>0</v>
          </cell>
          <cell r="T73">
            <v>0</v>
          </cell>
          <cell r="U73">
            <v>0</v>
          </cell>
          <cell r="V73">
            <v>-793.44</v>
          </cell>
          <cell r="W73">
            <v>0</v>
          </cell>
          <cell r="X73">
            <v>0</v>
          </cell>
          <cell r="Y73">
            <v>0</v>
          </cell>
          <cell r="Z73">
            <v>0</v>
          </cell>
          <cell r="AA73">
            <v>0</v>
          </cell>
          <cell r="AB73">
            <v>6107</v>
          </cell>
          <cell r="AC73">
            <v>0</v>
          </cell>
          <cell r="AD73">
            <v>0</v>
          </cell>
          <cell r="AE73">
            <v>0</v>
          </cell>
          <cell r="AF73">
            <v>0</v>
          </cell>
        </row>
        <row r="74">
          <cell r="A74">
            <v>1500016</v>
          </cell>
          <cell r="H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6107</v>
          </cell>
          <cell r="AC74">
            <v>0</v>
          </cell>
          <cell r="AD74">
            <v>0</v>
          </cell>
          <cell r="AE74">
            <v>0</v>
          </cell>
          <cell r="AF74">
            <v>0</v>
          </cell>
        </row>
        <row r="75">
          <cell r="A75">
            <v>1500016</v>
          </cell>
          <cell r="H75">
            <v>6107</v>
          </cell>
          <cell r="J75">
            <v>6107</v>
          </cell>
          <cell r="K75">
            <v>0</v>
          </cell>
          <cell r="L75">
            <v>0</v>
          </cell>
          <cell r="M75">
            <v>-793.44</v>
          </cell>
          <cell r="N75">
            <v>0</v>
          </cell>
          <cell r="O75">
            <v>0</v>
          </cell>
          <cell r="P75">
            <v>0</v>
          </cell>
          <cell r="Q75">
            <v>0</v>
          </cell>
          <cell r="R75">
            <v>0</v>
          </cell>
          <cell r="S75">
            <v>0</v>
          </cell>
          <cell r="T75">
            <v>0</v>
          </cell>
          <cell r="U75">
            <v>0</v>
          </cell>
          <cell r="V75">
            <v>-961.75</v>
          </cell>
          <cell r="W75">
            <v>0</v>
          </cell>
          <cell r="X75">
            <v>0</v>
          </cell>
          <cell r="Y75">
            <v>0</v>
          </cell>
          <cell r="Z75">
            <v>0</v>
          </cell>
          <cell r="AA75">
            <v>0</v>
          </cell>
          <cell r="AB75">
            <v>0</v>
          </cell>
          <cell r="AC75">
            <v>0</v>
          </cell>
          <cell r="AD75">
            <v>0</v>
          </cell>
          <cell r="AE75">
            <v>0</v>
          </cell>
          <cell r="AF75">
            <v>0</v>
          </cell>
        </row>
        <row r="76">
          <cell r="A76">
            <v>1500016</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v>1500017</v>
          </cell>
          <cell r="B77" t="str">
            <v>1500017</v>
          </cell>
          <cell r="C77" t="str">
            <v>0</v>
          </cell>
          <cell r="D77" t="str">
            <v>15000</v>
          </cell>
          <cell r="E77" t="str">
            <v>G3PREMAL</v>
          </cell>
          <cell r="F77">
            <v>0</v>
          </cell>
          <cell r="G77" t="str">
            <v>PARTITIONS</v>
          </cell>
          <cell r="H77">
            <v>0</v>
          </cell>
          <cell r="K77">
            <v>0</v>
          </cell>
          <cell r="L77">
            <v>0</v>
          </cell>
          <cell r="M77">
            <v>0</v>
          </cell>
          <cell r="N77">
            <v>0</v>
          </cell>
          <cell r="O77">
            <v>0</v>
          </cell>
          <cell r="P77">
            <v>0</v>
          </cell>
          <cell r="Q77">
            <v>0</v>
          </cell>
          <cell r="R77">
            <v>0</v>
          </cell>
          <cell r="S77">
            <v>0</v>
          </cell>
          <cell r="T77">
            <v>0</v>
          </cell>
          <cell r="U77">
            <v>0</v>
          </cell>
          <cell r="V77">
            <v>-63242.25</v>
          </cell>
          <cell r="W77">
            <v>0</v>
          </cell>
          <cell r="X77">
            <v>0</v>
          </cell>
          <cell r="Y77">
            <v>0</v>
          </cell>
          <cell r="Z77">
            <v>0</v>
          </cell>
          <cell r="AA77">
            <v>0</v>
          </cell>
          <cell r="AB77">
            <v>486766</v>
          </cell>
          <cell r="AC77">
            <v>0</v>
          </cell>
          <cell r="AD77">
            <v>0</v>
          </cell>
          <cell r="AE77">
            <v>0</v>
          </cell>
          <cell r="AF77">
            <v>0</v>
          </cell>
        </row>
        <row r="78">
          <cell r="A78">
            <v>1500017</v>
          </cell>
          <cell r="H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486766</v>
          </cell>
          <cell r="AC78">
            <v>0</v>
          </cell>
          <cell r="AD78">
            <v>0</v>
          </cell>
          <cell r="AE78">
            <v>0</v>
          </cell>
          <cell r="AF78">
            <v>0</v>
          </cell>
        </row>
        <row r="79">
          <cell r="A79">
            <v>1500017</v>
          </cell>
          <cell r="H79">
            <v>486766</v>
          </cell>
          <cell r="J79">
            <v>486766</v>
          </cell>
          <cell r="K79">
            <v>0</v>
          </cell>
          <cell r="L79">
            <v>0</v>
          </cell>
          <cell r="M79">
            <v>-63242.25</v>
          </cell>
          <cell r="N79">
            <v>0</v>
          </cell>
          <cell r="O79">
            <v>0</v>
          </cell>
          <cell r="P79">
            <v>0</v>
          </cell>
          <cell r="Q79">
            <v>0</v>
          </cell>
          <cell r="R79">
            <v>0</v>
          </cell>
          <cell r="S79">
            <v>0</v>
          </cell>
          <cell r="T79">
            <v>0</v>
          </cell>
          <cell r="U79">
            <v>0</v>
          </cell>
          <cell r="V79">
            <v>-76657.8</v>
          </cell>
          <cell r="W79">
            <v>0</v>
          </cell>
          <cell r="X79">
            <v>0</v>
          </cell>
          <cell r="Y79">
            <v>0</v>
          </cell>
          <cell r="Z79">
            <v>0</v>
          </cell>
          <cell r="AA79">
            <v>0</v>
          </cell>
          <cell r="AB79">
            <v>0</v>
          </cell>
          <cell r="AC79">
            <v>0</v>
          </cell>
          <cell r="AD79">
            <v>0</v>
          </cell>
          <cell r="AE79">
            <v>0</v>
          </cell>
          <cell r="AF79">
            <v>0</v>
          </cell>
        </row>
        <row r="80">
          <cell r="A80">
            <v>1500017</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v>1500018</v>
          </cell>
          <cell r="B81" t="str">
            <v>1500018</v>
          </cell>
          <cell r="C81" t="str">
            <v>0</v>
          </cell>
          <cell r="D81" t="str">
            <v>15000</v>
          </cell>
          <cell r="E81" t="str">
            <v>G3PREMAL</v>
          </cell>
          <cell r="F81">
            <v>0</v>
          </cell>
          <cell r="G81" t="str">
            <v>STORAGES</v>
          </cell>
          <cell r="H81">
            <v>0</v>
          </cell>
          <cell r="K81">
            <v>0</v>
          </cell>
          <cell r="L81">
            <v>0</v>
          </cell>
          <cell r="M81">
            <v>0</v>
          </cell>
          <cell r="N81">
            <v>0</v>
          </cell>
          <cell r="O81">
            <v>0</v>
          </cell>
          <cell r="P81">
            <v>0</v>
          </cell>
          <cell r="Q81">
            <v>0</v>
          </cell>
          <cell r="R81">
            <v>0</v>
          </cell>
          <cell r="S81">
            <v>0</v>
          </cell>
          <cell r="T81">
            <v>0</v>
          </cell>
          <cell r="U81">
            <v>0</v>
          </cell>
          <cell r="V81">
            <v>-26698.080000000002</v>
          </cell>
          <cell r="W81">
            <v>0</v>
          </cell>
          <cell r="X81">
            <v>0</v>
          </cell>
          <cell r="Y81">
            <v>0</v>
          </cell>
          <cell r="Z81">
            <v>0</v>
          </cell>
          <cell r="AA81">
            <v>0</v>
          </cell>
          <cell r="AB81">
            <v>205491</v>
          </cell>
          <cell r="AC81">
            <v>0</v>
          </cell>
          <cell r="AD81">
            <v>0</v>
          </cell>
          <cell r="AE81">
            <v>0</v>
          </cell>
          <cell r="AF81">
            <v>0</v>
          </cell>
        </row>
        <row r="82">
          <cell r="A82">
            <v>1500018</v>
          </cell>
          <cell r="H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205491</v>
          </cell>
          <cell r="AC82">
            <v>0</v>
          </cell>
          <cell r="AD82">
            <v>0</v>
          </cell>
          <cell r="AE82">
            <v>0</v>
          </cell>
          <cell r="AF82">
            <v>0</v>
          </cell>
        </row>
        <row r="83">
          <cell r="A83">
            <v>1500018</v>
          </cell>
          <cell r="H83">
            <v>205491</v>
          </cell>
          <cell r="J83">
            <v>205491</v>
          </cell>
          <cell r="K83">
            <v>0</v>
          </cell>
          <cell r="L83">
            <v>0</v>
          </cell>
          <cell r="M83">
            <v>-26698.080000000002</v>
          </cell>
          <cell r="N83">
            <v>0</v>
          </cell>
          <cell r="O83">
            <v>0</v>
          </cell>
          <cell r="P83">
            <v>0</v>
          </cell>
          <cell r="Q83">
            <v>0</v>
          </cell>
          <cell r="R83">
            <v>0</v>
          </cell>
          <cell r="S83">
            <v>0</v>
          </cell>
          <cell r="T83">
            <v>0</v>
          </cell>
          <cell r="U83">
            <v>0</v>
          </cell>
          <cell r="V83">
            <v>-32361.52</v>
          </cell>
          <cell r="W83">
            <v>0</v>
          </cell>
          <cell r="X83">
            <v>0</v>
          </cell>
          <cell r="Y83">
            <v>0</v>
          </cell>
          <cell r="Z83">
            <v>0</v>
          </cell>
          <cell r="AA83">
            <v>0</v>
          </cell>
          <cell r="AB83">
            <v>0</v>
          </cell>
          <cell r="AC83">
            <v>0</v>
          </cell>
          <cell r="AD83">
            <v>0</v>
          </cell>
          <cell r="AE83">
            <v>0</v>
          </cell>
          <cell r="AF83">
            <v>0</v>
          </cell>
        </row>
        <row r="84">
          <cell r="A84">
            <v>1500018</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A85">
            <v>1500019</v>
          </cell>
          <cell r="B85" t="str">
            <v>1500019</v>
          </cell>
          <cell r="C85" t="str">
            <v>0</v>
          </cell>
          <cell r="D85" t="str">
            <v>15000</v>
          </cell>
          <cell r="E85" t="str">
            <v>G3PREMAL</v>
          </cell>
          <cell r="F85">
            <v>0</v>
          </cell>
          <cell r="G85" t="str">
            <v>COMPACTOR</v>
          </cell>
          <cell r="H85">
            <v>0</v>
          </cell>
          <cell r="K85">
            <v>0</v>
          </cell>
          <cell r="L85">
            <v>0</v>
          </cell>
          <cell r="M85">
            <v>0</v>
          </cell>
          <cell r="N85">
            <v>0</v>
          </cell>
          <cell r="O85">
            <v>0</v>
          </cell>
          <cell r="P85">
            <v>0</v>
          </cell>
          <cell r="Q85">
            <v>0</v>
          </cell>
          <cell r="R85">
            <v>0</v>
          </cell>
          <cell r="S85">
            <v>0</v>
          </cell>
          <cell r="T85">
            <v>0</v>
          </cell>
          <cell r="U85">
            <v>0</v>
          </cell>
          <cell r="V85">
            <v>-20366.52</v>
          </cell>
          <cell r="W85">
            <v>0</v>
          </cell>
          <cell r="X85">
            <v>0</v>
          </cell>
          <cell r="Y85">
            <v>0</v>
          </cell>
          <cell r="Z85">
            <v>0</v>
          </cell>
          <cell r="AA85">
            <v>0</v>
          </cell>
          <cell r="AB85">
            <v>156758</v>
          </cell>
          <cell r="AC85">
            <v>0</v>
          </cell>
          <cell r="AD85">
            <v>0</v>
          </cell>
          <cell r="AE85">
            <v>0</v>
          </cell>
          <cell r="AF85">
            <v>0</v>
          </cell>
        </row>
        <row r="86">
          <cell r="A86">
            <v>1500019</v>
          </cell>
          <cell r="H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156758</v>
          </cell>
          <cell r="AC86">
            <v>0</v>
          </cell>
          <cell r="AD86">
            <v>0</v>
          </cell>
          <cell r="AE86">
            <v>0</v>
          </cell>
          <cell r="AF86">
            <v>0</v>
          </cell>
        </row>
        <row r="87">
          <cell r="A87">
            <v>1500019</v>
          </cell>
          <cell r="H87">
            <v>156758</v>
          </cell>
          <cell r="J87">
            <v>156758</v>
          </cell>
          <cell r="K87">
            <v>0</v>
          </cell>
          <cell r="L87">
            <v>0</v>
          </cell>
          <cell r="M87">
            <v>-20366.52</v>
          </cell>
          <cell r="N87">
            <v>0</v>
          </cell>
          <cell r="O87">
            <v>0</v>
          </cell>
          <cell r="P87">
            <v>0</v>
          </cell>
          <cell r="Q87">
            <v>0</v>
          </cell>
          <cell r="R87">
            <v>0</v>
          </cell>
          <cell r="S87">
            <v>0</v>
          </cell>
          <cell r="T87">
            <v>0</v>
          </cell>
          <cell r="U87">
            <v>0</v>
          </cell>
          <cell r="V87">
            <v>-24686.86</v>
          </cell>
          <cell r="W87">
            <v>0</v>
          </cell>
          <cell r="X87">
            <v>0</v>
          </cell>
          <cell r="Y87">
            <v>0</v>
          </cell>
          <cell r="Z87">
            <v>0</v>
          </cell>
          <cell r="AA87">
            <v>0</v>
          </cell>
          <cell r="AB87">
            <v>0</v>
          </cell>
          <cell r="AC87">
            <v>0</v>
          </cell>
          <cell r="AD87">
            <v>0</v>
          </cell>
          <cell r="AE87">
            <v>0</v>
          </cell>
          <cell r="AF87">
            <v>0</v>
          </cell>
        </row>
        <row r="88">
          <cell r="A88">
            <v>1500019</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v>1500020</v>
          </cell>
          <cell r="B89" t="str">
            <v>1500020</v>
          </cell>
          <cell r="C89" t="str">
            <v>0</v>
          </cell>
          <cell r="D89" t="str">
            <v>15000</v>
          </cell>
          <cell r="E89" t="str">
            <v>G3PREMAL</v>
          </cell>
          <cell r="F89">
            <v>0</v>
          </cell>
          <cell r="G89" t="str">
            <v>MAIN ENTERANCE DOOR</v>
          </cell>
          <cell r="H89">
            <v>0</v>
          </cell>
          <cell r="K89">
            <v>0</v>
          </cell>
          <cell r="L89">
            <v>0</v>
          </cell>
          <cell r="M89">
            <v>0</v>
          </cell>
          <cell r="N89">
            <v>0</v>
          </cell>
          <cell r="O89">
            <v>0</v>
          </cell>
          <cell r="P89">
            <v>0</v>
          </cell>
          <cell r="Q89">
            <v>0</v>
          </cell>
          <cell r="R89">
            <v>0</v>
          </cell>
          <cell r="S89">
            <v>0</v>
          </cell>
          <cell r="T89">
            <v>0</v>
          </cell>
          <cell r="U89">
            <v>0</v>
          </cell>
          <cell r="V89">
            <v>-7009.23</v>
          </cell>
          <cell r="W89">
            <v>0</v>
          </cell>
          <cell r="X89">
            <v>0</v>
          </cell>
          <cell r="Y89">
            <v>0</v>
          </cell>
          <cell r="Z89">
            <v>0</v>
          </cell>
          <cell r="AA89">
            <v>0</v>
          </cell>
          <cell r="AB89">
            <v>53949</v>
          </cell>
          <cell r="AC89">
            <v>0</v>
          </cell>
          <cell r="AD89">
            <v>0</v>
          </cell>
          <cell r="AE89">
            <v>0</v>
          </cell>
          <cell r="AF89">
            <v>0</v>
          </cell>
        </row>
        <row r="90">
          <cell r="A90">
            <v>1500020</v>
          </cell>
          <cell r="H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53949</v>
          </cell>
          <cell r="AC90">
            <v>0</v>
          </cell>
          <cell r="AD90">
            <v>0</v>
          </cell>
          <cell r="AE90">
            <v>0</v>
          </cell>
          <cell r="AF90">
            <v>0</v>
          </cell>
        </row>
        <row r="91">
          <cell r="A91">
            <v>1500020</v>
          </cell>
          <cell r="H91">
            <v>53949</v>
          </cell>
          <cell r="J91">
            <v>53949</v>
          </cell>
          <cell r="K91">
            <v>0</v>
          </cell>
          <cell r="L91">
            <v>0</v>
          </cell>
          <cell r="M91">
            <v>-7009.23</v>
          </cell>
          <cell r="N91">
            <v>0</v>
          </cell>
          <cell r="O91">
            <v>0</v>
          </cell>
          <cell r="P91">
            <v>0</v>
          </cell>
          <cell r="Q91">
            <v>0</v>
          </cell>
          <cell r="R91">
            <v>0</v>
          </cell>
          <cell r="S91">
            <v>0</v>
          </cell>
          <cell r="T91">
            <v>0</v>
          </cell>
          <cell r="U91">
            <v>0</v>
          </cell>
          <cell r="V91">
            <v>-8496.1</v>
          </cell>
          <cell r="W91">
            <v>0</v>
          </cell>
          <cell r="X91">
            <v>0</v>
          </cell>
          <cell r="Y91">
            <v>0</v>
          </cell>
          <cell r="Z91">
            <v>0</v>
          </cell>
          <cell r="AA91">
            <v>0</v>
          </cell>
          <cell r="AB91">
            <v>0</v>
          </cell>
          <cell r="AC91">
            <v>0</v>
          </cell>
          <cell r="AD91">
            <v>0</v>
          </cell>
          <cell r="AE91">
            <v>0</v>
          </cell>
          <cell r="AF91">
            <v>0</v>
          </cell>
        </row>
        <row r="92">
          <cell r="A92">
            <v>1500020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v>1500021</v>
          </cell>
          <cell r="B93" t="str">
            <v>1500021</v>
          </cell>
          <cell r="C93" t="str">
            <v>0</v>
          </cell>
          <cell r="D93" t="str">
            <v>15000</v>
          </cell>
          <cell r="E93" t="str">
            <v>G3PREMAL</v>
          </cell>
          <cell r="F93" t="str">
            <v>G3PREMAL</v>
          </cell>
          <cell r="G93" t="str">
            <v>PANTRY</v>
          </cell>
          <cell r="H93">
            <v>0</v>
          </cell>
          <cell r="K93">
            <v>0</v>
          </cell>
          <cell r="L93">
            <v>0</v>
          </cell>
          <cell r="M93">
            <v>0</v>
          </cell>
          <cell r="N93">
            <v>0</v>
          </cell>
          <cell r="O93">
            <v>0</v>
          </cell>
          <cell r="P93">
            <v>0</v>
          </cell>
          <cell r="Q93">
            <v>0</v>
          </cell>
          <cell r="R93">
            <v>0</v>
          </cell>
          <cell r="S93">
            <v>0</v>
          </cell>
          <cell r="T93">
            <v>0</v>
          </cell>
          <cell r="U93">
            <v>0</v>
          </cell>
          <cell r="V93">
            <v>-9604.7099999999991</v>
          </cell>
          <cell r="W93">
            <v>0</v>
          </cell>
          <cell r="X93">
            <v>0</v>
          </cell>
          <cell r="Y93">
            <v>0</v>
          </cell>
          <cell r="Z93">
            <v>0</v>
          </cell>
          <cell r="AA93">
            <v>0</v>
          </cell>
          <cell r="AB93">
            <v>73926</v>
          </cell>
          <cell r="AC93">
            <v>0</v>
          </cell>
          <cell r="AD93">
            <v>0</v>
          </cell>
          <cell r="AE93">
            <v>0</v>
          </cell>
          <cell r="AF93">
            <v>0</v>
          </cell>
        </row>
        <row r="94">
          <cell r="A94">
            <v>1500021</v>
          </cell>
          <cell r="H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73926</v>
          </cell>
          <cell r="AC94">
            <v>0</v>
          </cell>
          <cell r="AD94">
            <v>0</v>
          </cell>
          <cell r="AE94">
            <v>0</v>
          </cell>
          <cell r="AF94">
            <v>0</v>
          </cell>
        </row>
        <row r="95">
          <cell r="A95">
            <v>1500021</v>
          </cell>
          <cell r="H95">
            <v>73926</v>
          </cell>
          <cell r="J95">
            <v>73926</v>
          </cell>
          <cell r="K95">
            <v>0</v>
          </cell>
          <cell r="L95">
            <v>0</v>
          </cell>
          <cell r="M95">
            <v>-9604.7099999999991</v>
          </cell>
          <cell r="N95">
            <v>0</v>
          </cell>
          <cell r="O95">
            <v>0</v>
          </cell>
          <cell r="P95">
            <v>0</v>
          </cell>
          <cell r="Q95">
            <v>0</v>
          </cell>
          <cell r="R95">
            <v>0</v>
          </cell>
          <cell r="S95">
            <v>0</v>
          </cell>
          <cell r="T95">
            <v>0</v>
          </cell>
          <cell r="U95">
            <v>0</v>
          </cell>
          <cell r="V95">
            <v>-11642.15</v>
          </cell>
          <cell r="W95">
            <v>0</v>
          </cell>
          <cell r="X95">
            <v>0</v>
          </cell>
          <cell r="Y95">
            <v>0</v>
          </cell>
          <cell r="Z95">
            <v>0</v>
          </cell>
          <cell r="AA95">
            <v>0</v>
          </cell>
          <cell r="AB95">
            <v>0</v>
          </cell>
          <cell r="AC95">
            <v>0</v>
          </cell>
          <cell r="AD95">
            <v>0</v>
          </cell>
          <cell r="AE95">
            <v>0</v>
          </cell>
          <cell r="AF95">
            <v>0</v>
          </cell>
        </row>
        <row r="96">
          <cell r="A96">
            <v>1500021</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v>1500022</v>
          </cell>
          <cell r="B97" t="str">
            <v>1500022</v>
          </cell>
          <cell r="C97" t="str">
            <v>0</v>
          </cell>
          <cell r="D97" t="str">
            <v>15000</v>
          </cell>
          <cell r="E97" t="str">
            <v>G3PREMAL</v>
          </cell>
          <cell r="F97">
            <v>0</v>
          </cell>
          <cell r="G97" t="str">
            <v>FALSE CEILING</v>
          </cell>
          <cell r="H97">
            <v>0</v>
          </cell>
          <cell r="K97">
            <v>0</v>
          </cell>
          <cell r="L97">
            <v>0</v>
          </cell>
          <cell r="M97">
            <v>0</v>
          </cell>
          <cell r="N97">
            <v>0</v>
          </cell>
          <cell r="O97">
            <v>0</v>
          </cell>
          <cell r="P97">
            <v>0</v>
          </cell>
          <cell r="Q97">
            <v>0</v>
          </cell>
          <cell r="R97">
            <v>0</v>
          </cell>
          <cell r="S97">
            <v>0</v>
          </cell>
          <cell r="T97">
            <v>0</v>
          </cell>
          <cell r="U97">
            <v>0</v>
          </cell>
          <cell r="V97">
            <v>-18488.61</v>
          </cell>
          <cell r="W97">
            <v>0</v>
          </cell>
          <cell r="X97">
            <v>0</v>
          </cell>
          <cell r="Y97">
            <v>0</v>
          </cell>
          <cell r="Z97">
            <v>0</v>
          </cell>
          <cell r="AA97">
            <v>0</v>
          </cell>
          <cell r="AB97">
            <v>142304</v>
          </cell>
          <cell r="AC97">
            <v>0</v>
          </cell>
          <cell r="AD97">
            <v>0</v>
          </cell>
          <cell r="AE97">
            <v>0</v>
          </cell>
          <cell r="AF97">
            <v>0</v>
          </cell>
        </row>
        <row r="98">
          <cell r="A98">
            <v>1500022</v>
          </cell>
          <cell r="H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142304</v>
          </cell>
          <cell r="AC98">
            <v>0</v>
          </cell>
          <cell r="AD98">
            <v>0</v>
          </cell>
          <cell r="AE98">
            <v>0</v>
          </cell>
          <cell r="AF98">
            <v>0</v>
          </cell>
        </row>
        <row r="99">
          <cell r="A99">
            <v>1500022</v>
          </cell>
          <cell r="H99">
            <v>142304</v>
          </cell>
          <cell r="J99">
            <v>142304</v>
          </cell>
          <cell r="K99">
            <v>0</v>
          </cell>
          <cell r="L99">
            <v>0</v>
          </cell>
          <cell r="M99">
            <v>-18488.61</v>
          </cell>
          <cell r="N99">
            <v>0</v>
          </cell>
          <cell r="O99">
            <v>0</v>
          </cell>
          <cell r="P99">
            <v>0</v>
          </cell>
          <cell r="Q99">
            <v>0</v>
          </cell>
          <cell r="R99">
            <v>0</v>
          </cell>
          <cell r="S99">
            <v>0</v>
          </cell>
          <cell r="T99">
            <v>0</v>
          </cell>
          <cell r="U99">
            <v>0</v>
          </cell>
          <cell r="V99">
            <v>-22410.59</v>
          </cell>
          <cell r="W99">
            <v>0</v>
          </cell>
          <cell r="X99">
            <v>0</v>
          </cell>
          <cell r="Y99">
            <v>0</v>
          </cell>
          <cell r="Z99">
            <v>0</v>
          </cell>
          <cell r="AA99">
            <v>0</v>
          </cell>
          <cell r="AB99">
            <v>0</v>
          </cell>
          <cell r="AC99">
            <v>0</v>
          </cell>
          <cell r="AD99">
            <v>0</v>
          </cell>
          <cell r="AE99">
            <v>0</v>
          </cell>
          <cell r="AF99">
            <v>0</v>
          </cell>
        </row>
        <row r="100">
          <cell r="A100">
            <v>1500022</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v>1500023</v>
          </cell>
          <cell r="B101" t="str">
            <v>1500023</v>
          </cell>
          <cell r="C101" t="str">
            <v>0</v>
          </cell>
          <cell r="D101" t="str">
            <v>15000</v>
          </cell>
          <cell r="E101" t="str">
            <v>G3PREMAL</v>
          </cell>
          <cell r="F101" t="str">
            <v>G3PREMAL</v>
          </cell>
          <cell r="G101" t="str">
            <v>OVEHEAD UNITS</v>
          </cell>
          <cell r="H101">
            <v>0</v>
          </cell>
          <cell r="K101">
            <v>0</v>
          </cell>
          <cell r="L101">
            <v>0</v>
          </cell>
          <cell r="M101">
            <v>0</v>
          </cell>
          <cell r="N101">
            <v>0</v>
          </cell>
          <cell r="O101">
            <v>0</v>
          </cell>
          <cell r="P101">
            <v>0</v>
          </cell>
          <cell r="Q101">
            <v>0</v>
          </cell>
          <cell r="R101">
            <v>0</v>
          </cell>
          <cell r="S101">
            <v>0</v>
          </cell>
          <cell r="T101">
            <v>0</v>
          </cell>
          <cell r="U101">
            <v>0</v>
          </cell>
          <cell r="V101">
            <v>-3385.68</v>
          </cell>
          <cell r="W101">
            <v>0</v>
          </cell>
          <cell r="X101">
            <v>0</v>
          </cell>
          <cell r="Y101">
            <v>0</v>
          </cell>
          <cell r="Z101">
            <v>0</v>
          </cell>
          <cell r="AA101">
            <v>0</v>
          </cell>
          <cell r="AB101">
            <v>26059</v>
          </cell>
          <cell r="AC101">
            <v>0</v>
          </cell>
          <cell r="AD101">
            <v>0</v>
          </cell>
          <cell r="AE101">
            <v>0</v>
          </cell>
          <cell r="AF101">
            <v>0</v>
          </cell>
        </row>
        <row r="102">
          <cell r="A102">
            <v>1500023</v>
          </cell>
          <cell r="H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26059</v>
          </cell>
          <cell r="AC102">
            <v>0</v>
          </cell>
          <cell r="AD102">
            <v>0</v>
          </cell>
          <cell r="AE102">
            <v>0</v>
          </cell>
          <cell r="AF102">
            <v>0</v>
          </cell>
        </row>
        <row r="103">
          <cell r="A103">
            <v>1500023</v>
          </cell>
          <cell r="H103">
            <v>26059</v>
          </cell>
          <cell r="J103">
            <v>26059</v>
          </cell>
          <cell r="K103">
            <v>0</v>
          </cell>
          <cell r="L103">
            <v>0</v>
          </cell>
          <cell r="M103">
            <v>-3385.68</v>
          </cell>
          <cell r="N103">
            <v>0</v>
          </cell>
          <cell r="O103">
            <v>0</v>
          </cell>
          <cell r="P103">
            <v>0</v>
          </cell>
          <cell r="Q103">
            <v>0</v>
          </cell>
          <cell r="R103">
            <v>0</v>
          </cell>
          <cell r="S103">
            <v>0</v>
          </cell>
          <cell r="T103">
            <v>0</v>
          </cell>
          <cell r="U103">
            <v>0</v>
          </cell>
          <cell r="V103">
            <v>-4103.87</v>
          </cell>
          <cell r="W103">
            <v>0</v>
          </cell>
          <cell r="X103">
            <v>0</v>
          </cell>
          <cell r="Y103">
            <v>0</v>
          </cell>
          <cell r="Z103">
            <v>0</v>
          </cell>
          <cell r="AA103">
            <v>0</v>
          </cell>
          <cell r="AB103">
            <v>0</v>
          </cell>
          <cell r="AC103">
            <v>0</v>
          </cell>
          <cell r="AD103">
            <v>0</v>
          </cell>
          <cell r="AE103">
            <v>0</v>
          </cell>
          <cell r="AF103">
            <v>0</v>
          </cell>
        </row>
        <row r="104">
          <cell r="A104">
            <v>1500023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v>1500024</v>
          </cell>
          <cell r="B105" t="str">
            <v>1500024</v>
          </cell>
          <cell r="C105" t="str">
            <v>0</v>
          </cell>
          <cell r="D105" t="str">
            <v>15000</v>
          </cell>
          <cell r="E105" t="str">
            <v>G3PREMAL</v>
          </cell>
          <cell r="F105" t="str">
            <v>G3PREMAL</v>
          </cell>
          <cell r="G105" t="str">
            <v>FLUSH DOORS</v>
          </cell>
          <cell r="H105">
            <v>0</v>
          </cell>
          <cell r="K105">
            <v>0</v>
          </cell>
          <cell r="L105">
            <v>0</v>
          </cell>
          <cell r="M105">
            <v>0</v>
          </cell>
          <cell r="N105">
            <v>0</v>
          </cell>
          <cell r="O105">
            <v>0</v>
          </cell>
          <cell r="P105">
            <v>0</v>
          </cell>
          <cell r="Q105">
            <v>0</v>
          </cell>
          <cell r="R105">
            <v>0</v>
          </cell>
          <cell r="S105">
            <v>0</v>
          </cell>
          <cell r="T105">
            <v>0</v>
          </cell>
          <cell r="U105">
            <v>0</v>
          </cell>
          <cell r="V105">
            <v>-2168.9299999999998</v>
          </cell>
          <cell r="W105">
            <v>0</v>
          </cell>
          <cell r="X105">
            <v>0</v>
          </cell>
          <cell r="Y105">
            <v>0</v>
          </cell>
          <cell r="Z105">
            <v>0</v>
          </cell>
          <cell r="AA105">
            <v>0</v>
          </cell>
          <cell r="AB105">
            <v>16694</v>
          </cell>
          <cell r="AC105">
            <v>0</v>
          </cell>
          <cell r="AD105">
            <v>0</v>
          </cell>
          <cell r="AE105">
            <v>0</v>
          </cell>
          <cell r="AF105">
            <v>0</v>
          </cell>
        </row>
        <row r="106">
          <cell r="A106">
            <v>1500024</v>
          </cell>
          <cell r="H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16694</v>
          </cell>
          <cell r="AC106">
            <v>0</v>
          </cell>
          <cell r="AD106">
            <v>0</v>
          </cell>
          <cell r="AE106">
            <v>0</v>
          </cell>
          <cell r="AF106">
            <v>0</v>
          </cell>
        </row>
        <row r="107">
          <cell r="A107">
            <v>1500024</v>
          </cell>
          <cell r="H107">
            <v>16694</v>
          </cell>
          <cell r="J107">
            <v>16694</v>
          </cell>
          <cell r="K107">
            <v>0</v>
          </cell>
          <cell r="L107">
            <v>0</v>
          </cell>
          <cell r="M107">
            <v>-2168.9299999999998</v>
          </cell>
          <cell r="N107">
            <v>0</v>
          </cell>
          <cell r="O107">
            <v>0</v>
          </cell>
          <cell r="P107">
            <v>0</v>
          </cell>
          <cell r="Q107">
            <v>0</v>
          </cell>
          <cell r="R107">
            <v>0</v>
          </cell>
          <cell r="S107">
            <v>0</v>
          </cell>
          <cell r="T107">
            <v>0</v>
          </cell>
          <cell r="U107">
            <v>0</v>
          </cell>
          <cell r="V107">
            <v>-2629.04</v>
          </cell>
          <cell r="W107">
            <v>0</v>
          </cell>
          <cell r="X107">
            <v>0</v>
          </cell>
          <cell r="Y107">
            <v>0</v>
          </cell>
          <cell r="Z107">
            <v>0</v>
          </cell>
          <cell r="AA107">
            <v>0</v>
          </cell>
          <cell r="AB107">
            <v>0</v>
          </cell>
          <cell r="AC107">
            <v>0</v>
          </cell>
          <cell r="AD107">
            <v>0</v>
          </cell>
          <cell r="AE107">
            <v>0</v>
          </cell>
          <cell r="AF107">
            <v>0</v>
          </cell>
        </row>
        <row r="108">
          <cell r="A108">
            <v>1500024</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v>1500025</v>
          </cell>
          <cell r="B109" t="str">
            <v>1500025</v>
          </cell>
          <cell r="C109" t="str">
            <v>0</v>
          </cell>
          <cell r="D109" t="str">
            <v>15000</v>
          </cell>
          <cell r="E109" t="str">
            <v>G3PREMAL</v>
          </cell>
          <cell r="F109" t="str">
            <v>G3PREMAL</v>
          </cell>
          <cell r="G109" t="str">
            <v>CABIN DOOR</v>
          </cell>
          <cell r="H109">
            <v>0</v>
          </cell>
          <cell r="K109">
            <v>0</v>
          </cell>
          <cell r="L109">
            <v>0</v>
          </cell>
          <cell r="M109">
            <v>0</v>
          </cell>
          <cell r="N109">
            <v>0</v>
          </cell>
          <cell r="O109">
            <v>0</v>
          </cell>
          <cell r="P109">
            <v>0</v>
          </cell>
          <cell r="Q109">
            <v>0</v>
          </cell>
          <cell r="R109">
            <v>0</v>
          </cell>
          <cell r="S109">
            <v>0</v>
          </cell>
          <cell r="T109">
            <v>0</v>
          </cell>
          <cell r="U109">
            <v>0</v>
          </cell>
          <cell r="V109">
            <v>-3570.81</v>
          </cell>
          <cell r="W109">
            <v>0</v>
          </cell>
          <cell r="X109">
            <v>0</v>
          </cell>
          <cell r="Y109">
            <v>0</v>
          </cell>
          <cell r="Z109">
            <v>0</v>
          </cell>
          <cell r="AA109">
            <v>0</v>
          </cell>
          <cell r="AB109">
            <v>27484</v>
          </cell>
          <cell r="AC109">
            <v>0</v>
          </cell>
          <cell r="AD109">
            <v>0</v>
          </cell>
          <cell r="AE109">
            <v>0</v>
          </cell>
          <cell r="AF109">
            <v>0</v>
          </cell>
        </row>
        <row r="110">
          <cell r="A110">
            <v>1500025</v>
          </cell>
          <cell r="H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27484</v>
          </cell>
          <cell r="AC110">
            <v>0</v>
          </cell>
          <cell r="AD110">
            <v>0</v>
          </cell>
          <cell r="AE110">
            <v>0</v>
          </cell>
          <cell r="AF110">
            <v>0</v>
          </cell>
        </row>
        <row r="111">
          <cell r="A111">
            <v>1500025</v>
          </cell>
          <cell r="H111">
            <v>27484</v>
          </cell>
          <cell r="J111">
            <v>27484</v>
          </cell>
          <cell r="K111">
            <v>0</v>
          </cell>
          <cell r="L111">
            <v>0</v>
          </cell>
          <cell r="M111">
            <v>-3570.81</v>
          </cell>
          <cell r="N111">
            <v>0</v>
          </cell>
          <cell r="O111">
            <v>0</v>
          </cell>
          <cell r="P111">
            <v>0</v>
          </cell>
          <cell r="Q111">
            <v>0</v>
          </cell>
          <cell r="R111">
            <v>0</v>
          </cell>
          <cell r="S111">
            <v>0</v>
          </cell>
          <cell r="T111">
            <v>0</v>
          </cell>
          <cell r="U111">
            <v>0</v>
          </cell>
          <cell r="V111">
            <v>-4328.29</v>
          </cell>
          <cell r="W111">
            <v>0</v>
          </cell>
          <cell r="X111">
            <v>0</v>
          </cell>
          <cell r="Y111">
            <v>0</v>
          </cell>
          <cell r="Z111">
            <v>0</v>
          </cell>
          <cell r="AA111">
            <v>0</v>
          </cell>
          <cell r="AB111">
            <v>0</v>
          </cell>
          <cell r="AC111">
            <v>0</v>
          </cell>
          <cell r="AD111">
            <v>0</v>
          </cell>
          <cell r="AE111">
            <v>0</v>
          </cell>
          <cell r="AF111">
            <v>0</v>
          </cell>
        </row>
        <row r="112">
          <cell r="A112">
            <v>1500025</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v>1500026</v>
          </cell>
          <cell r="B113" t="str">
            <v>1500026</v>
          </cell>
          <cell r="C113" t="str">
            <v>0</v>
          </cell>
          <cell r="D113" t="str">
            <v>15000</v>
          </cell>
          <cell r="E113" t="str">
            <v>G3PREMAL</v>
          </cell>
          <cell r="F113">
            <v>0</v>
          </cell>
          <cell r="G113" t="str">
            <v>SOFAS</v>
          </cell>
          <cell r="H113">
            <v>0</v>
          </cell>
          <cell r="K113">
            <v>0</v>
          </cell>
          <cell r="L113">
            <v>0</v>
          </cell>
          <cell r="M113">
            <v>0</v>
          </cell>
          <cell r="N113">
            <v>0</v>
          </cell>
          <cell r="O113">
            <v>0</v>
          </cell>
          <cell r="P113">
            <v>0</v>
          </cell>
          <cell r="Q113">
            <v>0</v>
          </cell>
          <cell r="R113">
            <v>0</v>
          </cell>
          <cell r="S113">
            <v>0</v>
          </cell>
          <cell r="T113">
            <v>0</v>
          </cell>
          <cell r="U113">
            <v>0</v>
          </cell>
          <cell r="V113">
            <v>-6771.21</v>
          </cell>
          <cell r="W113">
            <v>0</v>
          </cell>
          <cell r="X113">
            <v>0</v>
          </cell>
          <cell r="Y113">
            <v>0</v>
          </cell>
          <cell r="Z113">
            <v>0</v>
          </cell>
          <cell r="AA113">
            <v>0</v>
          </cell>
          <cell r="AB113">
            <v>52117</v>
          </cell>
          <cell r="AC113">
            <v>0</v>
          </cell>
          <cell r="AD113">
            <v>0</v>
          </cell>
          <cell r="AE113">
            <v>0</v>
          </cell>
          <cell r="AF113">
            <v>0</v>
          </cell>
        </row>
        <row r="114">
          <cell r="A114">
            <v>1500026</v>
          </cell>
          <cell r="H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52117</v>
          </cell>
          <cell r="AC114">
            <v>0</v>
          </cell>
          <cell r="AD114">
            <v>0</v>
          </cell>
          <cell r="AE114">
            <v>0</v>
          </cell>
          <cell r="AF114">
            <v>0</v>
          </cell>
        </row>
        <row r="115">
          <cell r="A115">
            <v>1500026</v>
          </cell>
          <cell r="H115">
            <v>52117</v>
          </cell>
          <cell r="J115">
            <v>52117</v>
          </cell>
          <cell r="K115">
            <v>0</v>
          </cell>
          <cell r="L115">
            <v>0</v>
          </cell>
          <cell r="M115">
            <v>-6771.21</v>
          </cell>
          <cell r="N115">
            <v>0</v>
          </cell>
          <cell r="O115">
            <v>0</v>
          </cell>
          <cell r="P115">
            <v>0</v>
          </cell>
          <cell r="Q115">
            <v>0</v>
          </cell>
          <cell r="R115">
            <v>0</v>
          </cell>
          <cell r="S115">
            <v>0</v>
          </cell>
          <cell r="T115">
            <v>0</v>
          </cell>
          <cell r="U115">
            <v>0</v>
          </cell>
          <cell r="V115">
            <v>-8207.59</v>
          </cell>
          <cell r="W115">
            <v>0</v>
          </cell>
          <cell r="X115">
            <v>0</v>
          </cell>
          <cell r="Y115">
            <v>0</v>
          </cell>
          <cell r="Z115">
            <v>0</v>
          </cell>
          <cell r="AA115">
            <v>0</v>
          </cell>
          <cell r="AB115">
            <v>0</v>
          </cell>
          <cell r="AC115">
            <v>0</v>
          </cell>
          <cell r="AD115">
            <v>0</v>
          </cell>
          <cell r="AE115">
            <v>0</v>
          </cell>
          <cell r="AF115">
            <v>0</v>
          </cell>
        </row>
        <row r="116">
          <cell r="A116">
            <v>1500026</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A117">
            <v>1500027</v>
          </cell>
          <cell r="B117" t="str">
            <v>1500027</v>
          </cell>
          <cell r="C117" t="str">
            <v>0</v>
          </cell>
          <cell r="D117" t="str">
            <v>15000</v>
          </cell>
          <cell r="E117" t="str">
            <v>G3PREMAL</v>
          </cell>
          <cell r="F117" t="str">
            <v>G3PREMAL</v>
          </cell>
          <cell r="G117" t="str">
            <v>EXECUTIVE CHAIR (A)</v>
          </cell>
          <cell r="H117">
            <v>0</v>
          </cell>
          <cell r="K117">
            <v>0</v>
          </cell>
          <cell r="L117">
            <v>0</v>
          </cell>
          <cell r="M117">
            <v>0</v>
          </cell>
          <cell r="N117">
            <v>0</v>
          </cell>
          <cell r="O117">
            <v>0</v>
          </cell>
          <cell r="P117">
            <v>0</v>
          </cell>
          <cell r="Q117">
            <v>0</v>
          </cell>
          <cell r="R117">
            <v>0</v>
          </cell>
          <cell r="S117">
            <v>0</v>
          </cell>
          <cell r="T117">
            <v>0</v>
          </cell>
          <cell r="U117">
            <v>0</v>
          </cell>
          <cell r="V117">
            <v>-3703.07</v>
          </cell>
          <cell r="W117">
            <v>0</v>
          </cell>
          <cell r="X117">
            <v>0</v>
          </cell>
          <cell r="Y117">
            <v>0</v>
          </cell>
          <cell r="Z117">
            <v>0</v>
          </cell>
          <cell r="AA117">
            <v>0</v>
          </cell>
          <cell r="AB117">
            <v>28502</v>
          </cell>
          <cell r="AC117">
            <v>0</v>
          </cell>
          <cell r="AD117">
            <v>0</v>
          </cell>
          <cell r="AE117">
            <v>0</v>
          </cell>
          <cell r="AF117">
            <v>0</v>
          </cell>
        </row>
        <row r="118">
          <cell r="A118">
            <v>1500027</v>
          </cell>
          <cell r="H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28502</v>
          </cell>
          <cell r="AC118">
            <v>0</v>
          </cell>
          <cell r="AD118">
            <v>0</v>
          </cell>
          <cell r="AE118">
            <v>0</v>
          </cell>
          <cell r="AF118">
            <v>0</v>
          </cell>
        </row>
        <row r="119">
          <cell r="A119">
            <v>1500027</v>
          </cell>
          <cell r="H119">
            <v>28502</v>
          </cell>
          <cell r="J119">
            <v>28502</v>
          </cell>
          <cell r="K119">
            <v>0</v>
          </cell>
          <cell r="L119">
            <v>0</v>
          </cell>
          <cell r="M119">
            <v>-3703.07</v>
          </cell>
          <cell r="N119">
            <v>0</v>
          </cell>
          <cell r="O119">
            <v>0</v>
          </cell>
          <cell r="P119">
            <v>0</v>
          </cell>
          <cell r="Q119">
            <v>0</v>
          </cell>
          <cell r="R119">
            <v>0</v>
          </cell>
          <cell r="S119">
            <v>0</v>
          </cell>
          <cell r="T119">
            <v>0</v>
          </cell>
          <cell r="U119">
            <v>0</v>
          </cell>
          <cell r="V119">
            <v>-4488.6099999999997</v>
          </cell>
          <cell r="W119">
            <v>0</v>
          </cell>
          <cell r="X119">
            <v>0</v>
          </cell>
          <cell r="Y119">
            <v>0</v>
          </cell>
          <cell r="Z119">
            <v>0</v>
          </cell>
          <cell r="AA119">
            <v>0</v>
          </cell>
          <cell r="AB119">
            <v>0</v>
          </cell>
          <cell r="AC119">
            <v>0</v>
          </cell>
          <cell r="AD119">
            <v>0</v>
          </cell>
          <cell r="AE119">
            <v>0</v>
          </cell>
          <cell r="AF119">
            <v>0</v>
          </cell>
        </row>
        <row r="120">
          <cell r="A120">
            <v>1500027</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v>1500028</v>
          </cell>
          <cell r="B121" t="str">
            <v>1500028</v>
          </cell>
          <cell r="C121" t="str">
            <v>0</v>
          </cell>
          <cell r="D121" t="str">
            <v>15000</v>
          </cell>
          <cell r="E121" t="str">
            <v>G3PREMAL</v>
          </cell>
          <cell r="F121" t="str">
            <v>G3PREMAL</v>
          </cell>
          <cell r="G121" t="str">
            <v>EXECUTIVE CHAIR(B)</v>
          </cell>
          <cell r="H121">
            <v>0</v>
          </cell>
          <cell r="K121">
            <v>0</v>
          </cell>
          <cell r="L121">
            <v>0</v>
          </cell>
          <cell r="M121">
            <v>0</v>
          </cell>
          <cell r="N121">
            <v>0</v>
          </cell>
          <cell r="O121">
            <v>0</v>
          </cell>
          <cell r="P121">
            <v>0</v>
          </cell>
          <cell r="Q121">
            <v>0</v>
          </cell>
          <cell r="R121">
            <v>0</v>
          </cell>
          <cell r="S121">
            <v>0</v>
          </cell>
          <cell r="T121">
            <v>0</v>
          </cell>
          <cell r="U121">
            <v>0</v>
          </cell>
          <cell r="V121">
            <v>-3570.81</v>
          </cell>
          <cell r="W121">
            <v>0</v>
          </cell>
          <cell r="X121">
            <v>0</v>
          </cell>
          <cell r="Y121">
            <v>0</v>
          </cell>
          <cell r="Z121">
            <v>0</v>
          </cell>
          <cell r="AA121">
            <v>0</v>
          </cell>
          <cell r="AB121">
            <v>27484</v>
          </cell>
          <cell r="AC121">
            <v>0</v>
          </cell>
          <cell r="AD121">
            <v>0</v>
          </cell>
          <cell r="AE121">
            <v>0</v>
          </cell>
          <cell r="AF121">
            <v>0</v>
          </cell>
        </row>
        <row r="122">
          <cell r="A122">
            <v>1500028</v>
          </cell>
          <cell r="H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27484</v>
          </cell>
          <cell r="AC122">
            <v>0</v>
          </cell>
          <cell r="AD122">
            <v>0</v>
          </cell>
          <cell r="AE122">
            <v>0</v>
          </cell>
          <cell r="AF122">
            <v>0</v>
          </cell>
        </row>
        <row r="123">
          <cell r="A123">
            <v>1500028</v>
          </cell>
          <cell r="H123">
            <v>27484</v>
          </cell>
          <cell r="J123">
            <v>27484</v>
          </cell>
          <cell r="K123">
            <v>0</v>
          </cell>
          <cell r="L123">
            <v>0</v>
          </cell>
          <cell r="M123">
            <v>-3570.81</v>
          </cell>
          <cell r="N123">
            <v>0</v>
          </cell>
          <cell r="O123">
            <v>0</v>
          </cell>
          <cell r="P123">
            <v>0</v>
          </cell>
          <cell r="Q123">
            <v>0</v>
          </cell>
          <cell r="R123">
            <v>0</v>
          </cell>
          <cell r="S123">
            <v>0</v>
          </cell>
          <cell r="T123">
            <v>0</v>
          </cell>
          <cell r="U123">
            <v>0</v>
          </cell>
          <cell r="V123">
            <v>-4328.29</v>
          </cell>
          <cell r="W123">
            <v>0</v>
          </cell>
          <cell r="X123">
            <v>0</v>
          </cell>
          <cell r="Y123">
            <v>0</v>
          </cell>
          <cell r="Z123">
            <v>0</v>
          </cell>
          <cell r="AA123">
            <v>0</v>
          </cell>
          <cell r="AB123">
            <v>0</v>
          </cell>
          <cell r="AC123">
            <v>0</v>
          </cell>
          <cell r="AD123">
            <v>0</v>
          </cell>
          <cell r="AE123">
            <v>0</v>
          </cell>
          <cell r="AF123">
            <v>0</v>
          </cell>
        </row>
        <row r="124">
          <cell r="A124">
            <v>1500028</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A125">
            <v>1500029</v>
          </cell>
          <cell r="B125" t="str">
            <v>1500029</v>
          </cell>
          <cell r="C125" t="str">
            <v>0</v>
          </cell>
          <cell r="D125" t="str">
            <v>15000</v>
          </cell>
          <cell r="E125" t="str">
            <v>G3PREMAL</v>
          </cell>
          <cell r="F125" t="str">
            <v>G3PREMAL</v>
          </cell>
          <cell r="G125" t="str">
            <v>CHAIRS</v>
          </cell>
          <cell r="H125">
            <v>0</v>
          </cell>
          <cell r="K125">
            <v>0</v>
          </cell>
          <cell r="L125">
            <v>0</v>
          </cell>
          <cell r="M125">
            <v>0</v>
          </cell>
          <cell r="N125">
            <v>0</v>
          </cell>
          <cell r="O125">
            <v>0</v>
          </cell>
          <cell r="P125">
            <v>0</v>
          </cell>
          <cell r="Q125">
            <v>0</v>
          </cell>
          <cell r="R125">
            <v>0</v>
          </cell>
          <cell r="S125">
            <v>0</v>
          </cell>
          <cell r="T125">
            <v>0</v>
          </cell>
          <cell r="U125">
            <v>0</v>
          </cell>
          <cell r="V125">
            <v>-28169.32</v>
          </cell>
          <cell r="W125">
            <v>0</v>
          </cell>
          <cell r="X125">
            <v>0</v>
          </cell>
          <cell r="Y125">
            <v>0</v>
          </cell>
          <cell r="Z125">
            <v>0</v>
          </cell>
          <cell r="AA125">
            <v>0</v>
          </cell>
          <cell r="AB125">
            <v>216815</v>
          </cell>
          <cell r="AC125">
            <v>0</v>
          </cell>
          <cell r="AD125">
            <v>0</v>
          </cell>
          <cell r="AE125">
            <v>0</v>
          </cell>
          <cell r="AF125">
            <v>0</v>
          </cell>
        </row>
        <row r="126">
          <cell r="A126">
            <v>1500029</v>
          </cell>
          <cell r="H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216815</v>
          </cell>
          <cell r="AC126">
            <v>0</v>
          </cell>
          <cell r="AD126">
            <v>0</v>
          </cell>
          <cell r="AE126">
            <v>0</v>
          </cell>
          <cell r="AF126">
            <v>0</v>
          </cell>
        </row>
        <row r="127">
          <cell r="A127">
            <v>1500029</v>
          </cell>
          <cell r="H127">
            <v>216815</v>
          </cell>
          <cell r="J127">
            <v>216815</v>
          </cell>
          <cell r="K127">
            <v>0</v>
          </cell>
          <cell r="L127">
            <v>0</v>
          </cell>
          <cell r="M127">
            <v>-28169.32</v>
          </cell>
          <cell r="N127">
            <v>0</v>
          </cell>
          <cell r="O127">
            <v>0</v>
          </cell>
          <cell r="P127">
            <v>0</v>
          </cell>
          <cell r="Q127">
            <v>0</v>
          </cell>
          <cell r="R127">
            <v>0</v>
          </cell>
          <cell r="S127">
            <v>0</v>
          </cell>
          <cell r="T127">
            <v>0</v>
          </cell>
          <cell r="U127">
            <v>0</v>
          </cell>
          <cell r="V127">
            <v>-34144.870000000003</v>
          </cell>
          <cell r="W127">
            <v>0</v>
          </cell>
          <cell r="X127">
            <v>0</v>
          </cell>
          <cell r="Y127">
            <v>0</v>
          </cell>
          <cell r="Z127">
            <v>0</v>
          </cell>
          <cell r="AA127">
            <v>0</v>
          </cell>
          <cell r="AB127">
            <v>0</v>
          </cell>
          <cell r="AC127">
            <v>0</v>
          </cell>
          <cell r="AD127">
            <v>0</v>
          </cell>
          <cell r="AE127">
            <v>0</v>
          </cell>
          <cell r="AF127">
            <v>0</v>
          </cell>
        </row>
        <row r="128">
          <cell r="A128">
            <v>1500029</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A129">
            <v>1500030</v>
          </cell>
          <cell r="B129" t="str">
            <v>1500030</v>
          </cell>
          <cell r="C129" t="str">
            <v>0</v>
          </cell>
          <cell r="D129" t="str">
            <v>15000</v>
          </cell>
          <cell r="E129" t="str">
            <v>G3PREMAL</v>
          </cell>
          <cell r="F129" t="str">
            <v>G3PREMAL</v>
          </cell>
          <cell r="G129" t="str">
            <v>M.S.Coated Key board Tray &amp; CPU Trolly</v>
          </cell>
          <cell r="H129">
            <v>0</v>
          </cell>
          <cell r="K129">
            <v>0</v>
          </cell>
          <cell r="L129">
            <v>0</v>
          </cell>
          <cell r="M129">
            <v>0</v>
          </cell>
          <cell r="N129">
            <v>0</v>
          </cell>
          <cell r="O129">
            <v>0</v>
          </cell>
          <cell r="P129">
            <v>0</v>
          </cell>
          <cell r="Q129">
            <v>0</v>
          </cell>
          <cell r="R129">
            <v>0</v>
          </cell>
          <cell r="S129">
            <v>0</v>
          </cell>
          <cell r="T129">
            <v>0</v>
          </cell>
          <cell r="U129">
            <v>0</v>
          </cell>
          <cell r="V129">
            <v>-4298.12</v>
          </cell>
          <cell r="W129">
            <v>0</v>
          </cell>
          <cell r="X129">
            <v>0</v>
          </cell>
          <cell r="Y129">
            <v>0</v>
          </cell>
          <cell r="Z129">
            <v>0</v>
          </cell>
          <cell r="AA129">
            <v>0</v>
          </cell>
          <cell r="AB129">
            <v>33082</v>
          </cell>
          <cell r="AC129">
            <v>0</v>
          </cell>
          <cell r="AD129">
            <v>0</v>
          </cell>
          <cell r="AE129">
            <v>0</v>
          </cell>
          <cell r="AF129">
            <v>0</v>
          </cell>
        </row>
        <row r="130">
          <cell r="A130">
            <v>1500030</v>
          </cell>
          <cell r="H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33082</v>
          </cell>
          <cell r="AC130">
            <v>0</v>
          </cell>
          <cell r="AD130">
            <v>0</v>
          </cell>
          <cell r="AE130">
            <v>0</v>
          </cell>
          <cell r="AF130">
            <v>0</v>
          </cell>
        </row>
        <row r="131">
          <cell r="A131">
            <v>1500030</v>
          </cell>
          <cell r="H131">
            <v>33082</v>
          </cell>
          <cell r="J131">
            <v>33082</v>
          </cell>
          <cell r="K131">
            <v>0</v>
          </cell>
          <cell r="L131">
            <v>0</v>
          </cell>
          <cell r="M131">
            <v>-4298.12</v>
          </cell>
          <cell r="N131">
            <v>0</v>
          </cell>
          <cell r="O131">
            <v>0</v>
          </cell>
          <cell r="P131">
            <v>0</v>
          </cell>
          <cell r="Q131">
            <v>0</v>
          </cell>
          <cell r="R131">
            <v>0</v>
          </cell>
          <cell r="S131">
            <v>0</v>
          </cell>
          <cell r="T131">
            <v>0</v>
          </cell>
          <cell r="U131">
            <v>0</v>
          </cell>
          <cell r="V131">
            <v>-5209.88</v>
          </cell>
          <cell r="W131">
            <v>0</v>
          </cell>
          <cell r="X131">
            <v>0</v>
          </cell>
          <cell r="Y131">
            <v>0</v>
          </cell>
          <cell r="Z131">
            <v>0</v>
          </cell>
          <cell r="AA131">
            <v>0</v>
          </cell>
          <cell r="AB131">
            <v>0</v>
          </cell>
          <cell r="AC131">
            <v>0</v>
          </cell>
          <cell r="AD131">
            <v>0</v>
          </cell>
          <cell r="AE131">
            <v>0</v>
          </cell>
          <cell r="AF131">
            <v>0</v>
          </cell>
        </row>
        <row r="132">
          <cell r="A132">
            <v>1500030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A133">
            <v>1500031</v>
          </cell>
          <cell r="B133" t="str">
            <v>1500031</v>
          </cell>
          <cell r="C133" t="str">
            <v>0</v>
          </cell>
          <cell r="D133" t="str">
            <v>15000</v>
          </cell>
          <cell r="E133" t="str">
            <v>G3PREMAL</v>
          </cell>
          <cell r="F133" t="str">
            <v>G3PREMAL</v>
          </cell>
          <cell r="G133" t="str">
            <v>DUSTBINS</v>
          </cell>
          <cell r="H133">
            <v>0</v>
          </cell>
          <cell r="K133">
            <v>0</v>
          </cell>
          <cell r="L133">
            <v>0</v>
          </cell>
          <cell r="M133">
            <v>0</v>
          </cell>
          <cell r="N133">
            <v>0</v>
          </cell>
          <cell r="O133">
            <v>0</v>
          </cell>
          <cell r="P133">
            <v>0</v>
          </cell>
          <cell r="Q133">
            <v>0</v>
          </cell>
          <cell r="R133">
            <v>0</v>
          </cell>
          <cell r="S133">
            <v>0</v>
          </cell>
          <cell r="T133">
            <v>0</v>
          </cell>
          <cell r="U133">
            <v>0</v>
          </cell>
          <cell r="V133">
            <v>-1322.49</v>
          </cell>
          <cell r="W133">
            <v>0</v>
          </cell>
          <cell r="X133">
            <v>0</v>
          </cell>
          <cell r="Y133">
            <v>0</v>
          </cell>
          <cell r="Z133">
            <v>0</v>
          </cell>
          <cell r="AA133">
            <v>0</v>
          </cell>
          <cell r="AB133">
            <v>10179</v>
          </cell>
          <cell r="AC133">
            <v>0</v>
          </cell>
          <cell r="AD133">
            <v>0</v>
          </cell>
          <cell r="AE133">
            <v>0</v>
          </cell>
          <cell r="AF133">
            <v>0</v>
          </cell>
        </row>
        <row r="134">
          <cell r="A134">
            <v>1500031</v>
          </cell>
          <cell r="H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10179</v>
          </cell>
          <cell r="AC134">
            <v>0</v>
          </cell>
          <cell r="AD134">
            <v>0</v>
          </cell>
          <cell r="AE134">
            <v>0</v>
          </cell>
          <cell r="AF134">
            <v>0</v>
          </cell>
        </row>
        <row r="135">
          <cell r="A135">
            <v>1500031</v>
          </cell>
          <cell r="H135">
            <v>10179</v>
          </cell>
          <cell r="J135">
            <v>10179</v>
          </cell>
          <cell r="K135">
            <v>0</v>
          </cell>
          <cell r="L135">
            <v>0</v>
          </cell>
          <cell r="M135">
            <v>-1322.49</v>
          </cell>
          <cell r="N135">
            <v>0</v>
          </cell>
          <cell r="O135">
            <v>0</v>
          </cell>
          <cell r="P135">
            <v>0</v>
          </cell>
          <cell r="Q135">
            <v>0</v>
          </cell>
          <cell r="R135">
            <v>0</v>
          </cell>
          <cell r="S135">
            <v>0</v>
          </cell>
          <cell r="T135">
            <v>0</v>
          </cell>
          <cell r="U135">
            <v>0</v>
          </cell>
          <cell r="V135">
            <v>-1603.03</v>
          </cell>
          <cell r="W135">
            <v>0</v>
          </cell>
          <cell r="X135">
            <v>0</v>
          </cell>
          <cell r="Y135">
            <v>0</v>
          </cell>
          <cell r="Z135">
            <v>0</v>
          </cell>
          <cell r="AA135">
            <v>0</v>
          </cell>
          <cell r="AB135">
            <v>0</v>
          </cell>
          <cell r="AC135">
            <v>0</v>
          </cell>
          <cell r="AD135">
            <v>0</v>
          </cell>
          <cell r="AE135">
            <v>0</v>
          </cell>
          <cell r="AF135">
            <v>0</v>
          </cell>
        </row>
        <row r="136">
          <cell r="A136">
            <v>1500031</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A137">
            <v>1500032</v>
          </cell>
          <cell r="B137" t="str">
            <v>1500032</v>
          </cell>
          <cell r="C137" t="str">
            <v>0</v>
          </cell>
          <cell r="D137" t="str">
            <v>15000</v>
          </cell>
          <cell r="E137" t="str">
            <v>G3PREMAL</v>
          </cell>
          <cell r="F137">
            <v>0</v>
          </cell>
          <cell r="G137" t="str">
            <v>A.C. UNIT</v>
          </cell>
          <cell r="H137">
            <v>0</v>
          </cell>
          <cell r="K137">
            <v>0</v>
          </cell>
          <cell r="L137">
            <v>0</v>
          </cell>
          <cell r="M137">
            <v>0</v>
          </cell>
          <cell r="N137">
            <v>0</v>
          </cell>
          <cell r="O137">
            <v>0</v>
          </cell>
          <cell r="P137">
            <v>0</v>
          </cell>
          <cell r="Q137">
            <v>0</v>
          </cell>
          <cell r="R137">
            <v>0</v>
          </cell>
          <cell r="S137">
            <v>0</v>
          </cell>
          <cell r="T137">
            <v>0</v>
          </cell>
          <cell r="U137">
            <v>0</v>
          </cell>
          <cell r="V137">
            <v>-1587.02</v>
          </cell>
          <cell r="W137">
            <v>0</v>
          </cell>
          <cell r="X137">
            <v>0</v>
          </cell>
          <cell r="Y137">
            <v>0</v>
          </cell>
          <cell r="Z137">
            <v>0</v>
          </cell>
          <cell r="AA137">
            <v>0</v>
          </cell>
          <cell r="AB137">
            <v>12215</v>
          </cell>
          <cell r="AC137">
            <v>0</v>
          </cell>
          <cell r="AD137">
            <v>0</v>
          </cell>
          <cell r="AE137">
            <v>0</v>
          </cell>
          <cell r="AF137">
            <v>0</v>
          </cell>
        </row>
        <row r="138">
          <cell r="A138">
            <v>1500032</v>
          </cell>
          <cell r="H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12215</v>
          </cell>
          <cell r="AC138">
            <v>0</v>
          </cell>
          <cell r="AD138">
            <v>0</v>
          </cell>
          <cell r="AE138">
            <v>0</v>
          </cell>
          <cell r="AF138">
            <v>0</v>
          </cell>
        </row>
        <row r="139">
          <cell r="A139">
            <v>1500032</v>
          </cell>
          <cell r="H139">
            <v>12215</v>
          </cell>
          <cell r="J139">
            <v>12215</v>
          </cell>
          <cell r="K139">
            <v>0</v>
          </cell>
          <cell r="L139">
            <v>0</v>
          </cell>
          <cell r="M139">
            <v>-1587.02</v>
          </cell>
          <cell r="N139">
            <v>0</v>
          </cell>
          <cell r="O139">
            <v>0</v>
          </cell>
          <cell r="P139">
            <v>0</v>
          </cell>
          <cell r="Q139">
            <v>0</v>
          </cell>
          <cell r="R139">
            <v>0</v>
          </cell>
          <cell r="S139">
            <v>0</v>
          </cell>
          <cell r="T139">
            <v>0</v>
          </cell>
          <cell r="U139">
            <v>0</v>
          </cell>
          <cell r="V139">
            <v>-1923.66</v>
          </cell>
          <cell r="W139">
            <v>0</v>
          </cell>
          <cell r="X139">
            <v>0</v>
          </cell>
          <cell r="Y139">
            <v>0</v>
          </cell>
          <cell r="Z139">
            <v>0</v>
          </cell>
          <cell r="AA139">
            <v>0</v>
          </cell>
          <cell r="AB139">
            <v>0</v>
          </cell>
          <cell r="AC139">
            <v>0</v>
          </cell>
          <cell r="AD139">
            <v>0</v>
          </cell>
          <cell r="AE139">
            <v>0</v>
          </cell>
          <cell r="AF139">
            <v>0</v>
          </cell>
        </row>
        <row r="140">
          <cell r="A140">
            <v>1500032</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A141">
            <v>1500033</v>
          </cell>
          <cell r="B141" t="str">
            <v>1500033</v>
          </cell>
          <cell r="C141" t="str">
            <v>0</v>
          </cell>
          <cell r="D141" t="str">
            <v>15000</v>
          </cell>
          <cell r="E141" t="str">
            <v>G3PREMAL</v>
          </cell>
          <cell r="F141">
            <v>0</v>
          </cell>
          <cell r="G141" t="str">
            <v>GIPL LETTER</v>
          </cell>
          <cell r="H141">
            <v>0</v>
          </cell>
          <cell r="K141">
            <v>0</v>
          </cell>
          <cell r="L141">
            <v>0</v>
          </cell>
          <cell r="M141">
            <v>0</v>
          </cell>
          <cell r="N141">
            <v>0</v>
          </cell>
          <cell r="O141">
            <v>0</v>
          </cell>
          <cell r="P141">
            <v>0</v>
          </cell>
          <cell r="Q141">
            <v>0</v>
          </cell>
          <cell r="R141">
            <v>0</v>
          </cell>
          <cell r="S141">
            <v>0</v>
          </cell>
          <cell r="T141">
            <v>0</v>
          </cell>
          <cell r="U141">
            <v>0</v>
          </cell>
          <cell r="V141">
            <v>-5697.4</v>
          </cell>
          <cell r="W141">
            <v>0</v>
          </cell>
          <cell r="X141">
            <v>0</v>
          </cell>
          <cell r="Y141">
            <v>0</v>
          </cell>
          <cell r="Z141">
            <v>0</v>
          </cell>
          <cell r="AA141">
            <v>0</v>
          </cell>
          <cell r="AB141">
            <v>43852</v>
          </cell>
          <cell r="AC141">
            <v>0</v>
          </cell>
          <cell r="AD141">
            <v>0</v>
          </cell>
          <cell r="AE141">
            <v>0</v>
          </cell>
          <cell r="AF141">
            <v>0</v>
          </cell>
        </row>
        <row r="142">
          <cell r="A142">
            <v>1500033</v>
          </cell>
          <cell r="H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43852</v>
          </cell>
          <cell r="AC142">
            <v>0</v>
          </cell>
          <cell r="AD142">
            <v>0</v>
          </cell>
          <cell r="AE142">
            <v>0</v>
          </cell>
          <cell r="AF142">
            <v>0</v>
          </cell>
        </row>
        <row r="143">
          <cell r="A143">
            <v>1500033</v>
          </cell>
          <cell r="H143">
            <v>43852</v>
          </cell>
          <cell r="J143">
            <v>43852</v>
          </cell>
          <cell r="K143">
            <v>0</v>
          </cell>
          <cell r="L143">
            <v>0</v>
          </cell>
          <cell r="M143">
            <v>-5697.4</v>
          </cell>
          <cell r="N143">
            <v>0</v>
          </cell>
          <cell r="O143">
            <v>0</v>
          </cell>
          <cell r="P143">
            <v>0</v>
          </cell>
          <cell r="Q143">
            <v>0</v>
          </cell>
          <cell r="R143">
            <v>0</v>
          </cell>
          <cell r="S143">
            <v>0</v>
          </cell>
          <cell r="T143">
            <v>0</v>
          </cell>
          <cell r="U143">
            <v>0</v>
          </cell>
          <cell r="V143">
            <v>-6905.98</v>
          </cell>
          <cell r="W143">
            <v>0</v>
          </cell>
          <cell r="X143">
            <v>0</v>
          </cell>
          <cell r="Y143">
            <v>0</v>
          </cell>
          <cell r="Z143">
            <v>0</v>
          </cell>
          <cell r="AA143">
            <v>0</v>
          </cell>
          <cell r="AB143">
            <v>0</v>
          </cell>
          <cell r="AC143">
            <v>0</v>
          </cell>
          <cell r="AD143">
            <v>0</v>
          </cell>
          <cell r="AE143">
            <v>0</v>
          </cell>
          <cell r="AF143">
            <v>0</v>
          </cell>
        </row>
        <row r="144">
          <cell r="A144">
            <v>1500033</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A145">
            <v>1500034</v>
          </cell>
          <cell r="B145" t="str">
            <v>1500034</v>
          </cell>
          <cell r="C145" t="str">
            <v>0</v>
          </cell>
          <cell r="D145" t="str">
            <v>15000</v>
          </cell>
          <cell r="E145" t="str">
            <v>G3PREMAL</v>
          </cell>
          <cell r="F145" t="str">
            <v>G3PREMAL</v>
          </cell>
          <cell r="G145" t="str">
            <v>MIRRORS</v>
          </cell>
          <cell r="H145">
            <v>0</v>
          </cell>
          <cell r="K145">
            <v>0</v>
          </cell>
          <cell r="L145">
            <v>0</v>
          </cell>
          <cell r="M145">
            <v>0</v>
          </cell>
          <cell r="N145">
            <v>0</v>
          </cell>
          <cell r="O145">
            <v>0</v>
          </cell>
          <cell r="P145">
            <v>0</v>
          </cell>
          <cell r="Q145">
            <v>0</v>
          </cell>
          <cell r="R145">
            <v>0</v>
          </cell>
          <cell r="S145">
            <v>0</v>
          </cell>
          <cell r="T145">
            <v>0</v>
          </cell>
          <cell r="U145">
            <v>0</v>
          </cell>
          <cell r="V145">
            <v>-396.78</v>
          </cell>
          <cell r="W145">
            <v>0</v>
          </cell>
          <cell r="X145">
            <v>0</v>
          </cell>
          <cell r="Y145">
            <v>0</v>
          </cell>
          <cell r="Z145">
            <v>0</v>
          </cell>
          <cell r="AA145">
            <v>0</v>
          </cell>
          <cell r="AB145">
            <v>3054</v>
          </cell>
          <cell r="AC145">
            <v>0</v>
          </cell>
          <cell r="AD145">
            <v>0</v>
          </cell>
          <cell r="AE145">
            <v>0</v>
          </cell>
          <cell r="AF145">
            <v>0</v>
          </cell>
        </row>
        <row r="146">
          <cell r="A146">
            <v>1500034</v>
          </cell>
          <cell r="H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3054</v>
          </cell>
          <cell r="AC146">
            <v>0</v>
          </cell>
          <cell r="AD146">
            <v>0</v>
          </cell>
          <cell r="AE146">
            <v>0</v>
          </cell>
          <cell r="AF146">
            <v>0</v>
          </cell>
        </row>
        <row r="147">
          <cell r="A147">
            <v>1500034</v>
          </cell>
          <cell r="H147">
            <v>3054</v>
          </cell>
          <cell r="J147">
            <v>3054</v>
          </cell>
          <cell r="K147">
            <v>0</v>
          </cell>
          <cell r="L147">
            <v>0</v>
          </cell>
          <cell r="M147">
            <v>-396.78</v>
          </cell>
          <cell r="N147">
            <v>0</v>
          </cell>
          <cell r="O147">
            <v>0</v>
          </cell>
          <cell r="P147">
            <v>0</v>
          </cell>
          <cell r="Q147">
            <v>0</v>
          </cell>
          <cell r="R147">
            <v>0</v>
          </cell>
          <cell r="S147">
            <v>0</v>
          </cell>
          <cell r="T147">
            <v>0</v>
          </cell>
          <cell r="U147">
            <v>0</v>
          </cell>
          <cell r="V147">
            <v>-480.96</v>
          </cell>
          <cell r="W147">
            <v>0</v>
          </cell>
          <cell r="X147">
            <v>0</v>
          </cell>
          <cell r="Y147">
            <v>0</v>
          </cell>
          <cell r="Z147">
            <v>0</v>
          </cell>
          <cell r="AA147">
            <v>0</v>
          </cell>
          <cell r="AB147">
            <v>0</v>
          </cell>
          <cell r="AC147">
            <v>0</v>
          </cell>
          <cell r="AD147">
            <v>0</v>
          </cell>
          <cell r="AE147">
            <v>0</v>
          </cell>
          <cell r="AF147">
            <v>0</v>
          </cell>
        </row>
        <row r="148">
          <cell r="A148">
            <v>1500034</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A149">
            <v>1500035</v>
          </cell>
          <cell r="B149" t="str">
            <v>1500035</v>
          </cell>
          <cell r="C149" t="str">
            <v>0</v>
          </cell>
          <cell r="D149" t="str">
            <v>15000</v>
          </cell>
          <cell r="E149" t="str">
            <v>G3PREMAL</v>
          </cell>
          <cell r="F149" t="str">
            <v>G3PREMAL</v>
          </cell>
          <cell r="G149" t="str">
            <v>MISC. FURNITURE</v>
          </cell>
          <cell r="H149">
            <v>0</v>
          </cell>
          <cell r="K149">
            <v>0</v>
          </cell>
          <cell r="L149">
            <v>0</v>
          </cell>
          <cell r="M149">
            <v>0</v>
          </cell>
          <cell r="N149">
            <v>0</v>
          </cell>
          <cell r="O149">
            <v>0</v>
          </cell>
          <cell r="P149">
            <v>0</v>
          </cell>
          <cell r="Q149">
            <v>0</v>
          </cell>
          <cell r="R149">
            <v>0</v>
          </cell>
          <cell r="S149">
            <v>0</v>
          </cell>
          <cell r="T149">
            <v>0</v>
          </cell>
          <cell r="U149">
            <v>0</v>
          </cell>
          <cell r="V149">
            <v>-2644.98</v>
          </cell>
          <cell r="W149">
            <v>0</v>
          </cell>
          <cell r="X149">
            <v>0</v>
          </cell>
          <cell r="Y149">
            <v>0</v>
          </cell>
          <cell r="Z149">
            <v>0</v>
          </cell>
          <cell r="AA149">
            <v>0</v>
          </cell>
          <cell r="AB149">
            <v>20358</v>
          </cell>
          <cell r="AC149">
            <v>0</v>
          </cell>
          <cell r="AD149">
            <v>0</v>
          </cell>
          <cell r="AE149">
            <v>0</v>
          </cell>
          <cell r="AF149">
            <v>0</v>
          </cell>
        </row>
        <row r="150">
          <cell r="A150">
            <v>1500035</v>
          </cell>
          <cell r="H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20358</v>
          </cell>
          <cell r="AC150">
            <v>0</v>
          </cell>
          <cell r="AD150">
            <v>0</v>
          </cell>
          <cell r="AE150">
            <v>0</v>
          </cell>
          <cell r="AF150">
            <v>0</v>
          </cell>
        </row>
        <row r="151">
          <cell r="A151">
            <v>1500035</v>
          </cell>
          <cell r="H151">
            <v>20358</v>
          </cell>
          <cell r="J151">
            <v>20358</v>
          </cell>
          <cell r="K151">
            <v>0</v>
          </cell>
          <cell r="L151">
            <v>0</v>
          </cell>
          <cell r="M151">
            <v>-2644.98</v>
          </cell>
          <cell r="N151">
            <v>0</v>
          </cell>
          <cell r="O151">
            <v>0</v>
          </cell>
          <cell r="P151">
            <v>0</v>
          </cell>
          <cell r="Q151">
            <v>0</v>
          </cell>
          <cell r="R151">
            <v>0</v>
          </cell>
          <cell r="S151">
            <v>0</v>
          </cell>
          <cell r="T151">
            <v>0</v>
          </cell>
          <cell r="U151">
            <v>0</v>
          </cell>
          <cell r="V151">
            <v>-3206.06</v>
          </cell>
          <cell r="W151">
            <v>0</v>
          </cell>
          <cell r="X151">
            <v>0</v>
          </cell>
          <cell r="Y151">
            <v>0</v>
          </cell>
          <cell r="Z151">
            <v>0</v>
          </cell>
          <cell r="AA151">
            <v>0</v>
          </cell>
          <cell r="AB151">
            <v>0</v>
          </cell>
          <cell r="AC151">
            <v>0</v>
          </cell>
          <cell r="AD151">
            <v>0</v>
          </cell>
          <cell r="AE151">
            <v>0</v>
          </cell>
          <cell r="AF151">
            <v>0</v>
          </cell>
        </row>
        <row r="152">
          <cell r="A152">
            <v>1500035</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row>
        <row r="153">
          <cell r="A153">
            <v>1500036</v>
          </cell>
          <cell r="B153" t="str">
            <v>1500036</v>
          </cell>
          <cell r="C153" t="str">
            <v>0</v>
          </cell>
          <cell r="D153" t="str">
            <v>15000</v>
          </cell>
          <cell r="E153" t="str">
            <v>G3PREMAL</v>
          </cell>
          <cell r="F153">
            <v>0</v>
          </cell>
          <cell r="G153" t="str">
            <v>Potted Plants</v>
          </cell>
          <cell r="H153">
            <v>0</v>
          </cell>
          <cell r="K153">
            <v>0</v>
          </cell>
          <cell r="L153">
            <v>0</v>
          </cell>
          <cell r="M153">
            <v>0</v>
          </cell>
          <cell r="N153">
            <v>0</v>
          </cell>
          <cell r="O153">
            <v>0</v>
          </cell>
          <cell r="P153">
            <v>0</v>
          </cell>
          <cell r="Q153">
            <v>0</v>
          </cell>
          <cell r="R153">
            <v>0</v>
          </cell>
          <cell r="S153">
            <v>0</v>
          </cell>
          <cell r="T153">
            <v>0</v>
          </cell>
          <cell r="U153">
            <v>0</v>
          </cell>
          <cell r="V153">
            <v>-586.44000000000005</v>
          </cell>
          <cell r="W153">
            <v>0</v>
          </cell>
          <cell r="X153">
            <v>0</v>
          </cell>
          <cell r="Y153">
            <v>0</v>
          </cell>
          <cell r="Z153">
            <v>0</v>
          </cell>
          <cell r="AA153">
            <v>0</v>
          </cell>
          <cell r="AB153">
            <v>5400</v>
          </cell>
          <cell r="AC153">
            <v>0</v>
          </cell>
          <cell r="AD153">
            <v>0</v>
          </cell>
          <cell r="AE153">
            <v>0</v>
          </cell>
          <cell r="AF153">
            <v>0</v>
          </cell>
        </row>
        <row r="154">
          <cell r="A154">
            <v>1500036</v>
          </cell>
          <cell r="H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5400</v>
          </cell>
          <cell r="AC154">
            <v>0</v>
          </cell>
          <cell r="AD154">
            <v>0</v>
          </cell>
          <cell r="AE154">
            <v>0</v>
          </cell>
          <cell r="AF154">
            <v>0</v>
          </cell>
        </row>
        <row r="155">
          <cell r="A155">
            <v>1500036</v>
          </cell>
          <cell r="H155">
            <v>5400</v>
          </cell>
          <cell r="J155">
            <v>5400</v>
          </cell>
          <cell r="K155">
            <v>0</v>
          </cell>
          <cell r="L155">
            <v>0</v>
          </cell>
          <cell r="M155">
            <v>-586.44000000000005</v>
          </cell>
          <cell r="N155">
            <v>0</v>
          </cell>
          <cell r="O155">
            <v>0</v>
          </cell>
          <cell r="P155">
            <v>0</v>
          </cell>
          <cell r="Q155">
            <v>0</v>
          </cell>
          <cell r="R155">
            <v>0</v>
          </cell>
          <cell r="S155">
            <v>0</v>
          </cell>
          <cell r="T155">
            <v>0</v>
          </cell>
          <cell r="U155">
            <v>0</v>
          </cell>
          <cell r="V155">
            <v>-871.25</v>
          </cell>
          <cell r="W155">
            <v>0</v>
          </cell>
          <cell r="X155">
            <v>0</v>
          </cell>
          <cell r="Y155">
            <v>0</v>
          </cell>
          <cell r="Z155">
            <v>0</v>
          </cell>
          <cell r="AA155">
            <v>0</v>
          </cell>
          <cell r="AB155">
            <v>0</v>
          </cell>
          <cell r="AC155">
            <v>0</v>
          </cell>
          <cell r="AD155">
            <v>0</v>
          </cell>
          <cell r="AE155">
            <v>0</v>
          </cell>
          <cell r="AF155">
            <v>0</v>
          </cell>
        </row>
        <row r="156">
          <cell r="A156">
            <v>1500036</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A157">
            <v>1500037</v>
          </cell>
          <cell r="B157" t="str">
            <v>1500037</v>
          </cell>
          <cell r="C157" t="str">
            <v>0</v>
          </cell>
          <cell r="D157" t="str">
            <v>15000</v>
          </cell>
          <cell r="E157" t="str">
            <v>G3PREMAL</v>
          </cell>
          <cell r="F157">
            <v>0</v>
          </cell>
          <cell r="G157" t="str">
            <v>Electric Fittings</v>
          </cell>
          <cell r="H157">
            <v>0</v>
          </cell>
          <cell r="K157">
            <v>0</v>
          </cell>
          <cell r="L157">
            <v>0</v>
          </cell>
          <cell r="M157">
            <v>0</v>
          </cell>
          <cell r="N157">
            <v>0</v>
          </cell>
          <cell r="O157">
            <v>0</v>
          </cell>
          <cell r="P157">
            <v>0</v>
          </cell>
          <cell r="Q157">
            <v>0</v>
          </cell>
          <cell r="R157">
            <v>0</v>
          </cell>
          <cell r="S157">
            <v>0</v>
          </cell>
          <cell r="T157">
            <v>0</v>
          </cell>
          <cell r="U157">
            <v>0</v>
          </cell>
          <cell r="V157">
            <v>-103756.21</v>
          </cell>
          <cell r="W157">
            <v>0</v>
          </cell>
          <cell r="X157">
            <v>0</v>
          </cell>
          <cell r="Y157">
            <v>0</v>
          </cell>
          <cell r="Z157">
            <v>0</v>
          </cell>
          <cell r="AA157">
            <v>0</v>
          </cell>
          <cell r="AB157">
            <v>798596</v>
          </cell>
          <cell r="AC157">
            <v>0</v>
          </cell>
          <cell r="AD157">
            <v>0</v>
          </cell>
          <cell r="AE157">
            <v>0</v>
          </cell>
          <cell r="AF157">
            <v>0</v>
          </cell>
        </row>
        <row r="158">
          <cell r="A158">
            <v>1500037</v>
          </cell>
          <cell r="H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798596</v>
          </cell>
          <cell r="AC158">
            <v>0</v>
          </cell>
          <cell r="AD158">
            <v>0</v>
          </cell>
          <cell r="AE158">
            <v>0</v>
          </cell>
          <cell r="AF158">
            <v>0</v>
          </cell>
        </row>
        <row r="159">
          <cell r="A159">
            <v>1500037</v>
          </cell>
          <cell r="H159">
            <v>798596</v>
          </cell>
          <cell r="J159">
            <v>798596</v>
          </cell>
          <cell r="K159">
            <v>0</v>
          </cell>
          <cell r="L159">
            <v>0</v>
          </cell>
          <cell r="M159">
            <v>-103756.21</v>
          </cell>
          <cell r="N159">
            <v>0</v>
          </cell>
          <cell r="O159">
            <v>0</v>
          </cell>
          <cell r="P159">
            <v>0</v>
          </cell>
          <cell r="Q159">
            <v>0</v>
          </cell>
          <cell r="R159">
            <v>0</v>
          </cell>
          <cell r="S159">
            <v>0</v>
          </cell>
          <cell r="T159">
            <v>0</v>
          </cell>
          <cell r="U159">
            <v>0</v>
          </cell>
          <cell r="V159">
            <v>-125766</v>
          </cell>
          <cell r="W159">
            <v>0</v>
          </cell>
          <cell r="X159">
            <v>0</v>
          </cell>
          <cell r="Y159">
            <v>0</v>
          </cell>
          <cell r="Z159">
            <v>0</v>
          </cell>
          <cell r="AA159">
            <v>0</v>
          </cell>
          <cell r="AB159">
            <v>0</v>
          </cell>
          <cell r="AC159">
            <v>0</v>
          </cell>
          <cell r="AD159">
            <v>0</v>
          </cell>
          <cell r="AE159">
            <v>0</v>
          </cell>
          <cell r="AF159">
            <v>0</v>
          </cell>
        </row>
        <row r="160">
          <cell r="A160">
            <v>1500037</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row>
        <row r="161">
          <cell r="A161">
            <v>1500038</v>
          </cell>
          <cell r="B161" t="str">
            <v>1500038</v>
          </cell>
          <cell r="C161" t="str">
            <v>0</v>
          </cell>
          <cell r="D161" t="str">
            <v>15000</v>
          </cell>
          <cell r="E161" t="str">
            <v>G3PREMAL</v>
          </cell>
          <cell r="F161">
            <v>0</v>
          </cell>
          <cell r="G161" t="str">
            <v>VERTICAL BLINDS</v>
          </cell>
          <cell r="H161">
            <v>0</v>
          </cell>
          <cell r="K161">
            <v>0</v>
          </cell>
          <cell r="L161">
            <v>0</v>
          </cell>
          <cell r="M161">
            <v>0</v>
          </cell>
          <cell r="N161">
            <v>0</v>
          </cell>
          <cell r="O161">
            <v>0</v>
          </cell>
          <cell r="P161">
            <v>0</v>
          </cell>
          <cell r="Q161">
            <v>0</v>
          </cell>
          <cell r="R161">
            <v>0</v>
          </cell>
          <cell r="S161">
            <v>0</v>
          </cell>
          <cell r="T161">
            <v>0</v>
          </cell>
          <cell r="U161">
            <v>0</v>
          </cell>
          <cell r="V161">
            <v>-1381.67</v>
          </cell>
          <cell r="W161">
            <v>0</v>
          </cell>
          <cell r="X161">
            <v>0</v>
          </cell>
          <cell r="Y161">
            <v>0</v>
          </cell>
          <cell r="Z161">
            <v>0</v>
          </cell>
          <cell r="AA161">
            <v>0</v>
          </cell>
          <cell r="AB161">
            <v>9226</v>
          </cell>
          <cell r="AC161">
            <v>0</v>
          </cell>
          <cell r="AD161">
            <v>0</v>
          </cell>
          <cell r="AE161">
            <v>0</v>
          </cell>
          <cell r="AF161">
            <v>0</v>
          </cell>
        </row>
        <row r="162">
          <cell r="A162">
            <v>1500038</v>
          </cell>
          <cell r="H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9226</v>
          </cell>
          <cell r="AC162">
            <v>0</v>
          </cell>
          <cell r="AD162">
            <v>0</v>
          </cell>
          <cell r="AE162">
            <v>0</v>
          </cell>
          <cell r="AF162">
            <v>0</v>
          </cell>
        </row>
        <row r="163">
          <cell r="A163">
            <v>1500039</v>
          </cell>
          <cell r="B163" t="str">
            <v>1500039</v>
          </cell>
          <cell r="C163" t="str">
            <v>0</v>
          </cell>
          <cell r="D163" t="str">
            <v>15000</v>
          </cell>
          <cell r="E163" t="str">
            <v>G3PREMAL</v>
          </cell>
          <cell r="F163">
            <v>0</v>
          </cell>
          <cell r="G163" t="str">
            <v>Electric Fittings &amp; installation</v>
          </cell>
          <cell r="H163">
            <v>0</v>
          </cell>
          <cell r="K163">
            <v>0</v>
          </cell>
          <cell r="L163">
            <v>0</v>
          </cell>
          <cell r="M163">
            <v>0</v>
          </cell>
          <cell r="N163">
            <v>0</v>
          </cell>
          <cell r="O163">
            <v>0</v>
          </cell>
          <cell r="P163">
            <v>0</v>
          </cell>
          <cell r="Q163">
            <v>0</v>
          </cell>
          <cell r="R163">
            <v>0</v>
          </cell>
          <cell r="S163">
            <v>0</v>
          </cell>
          <cell r="T163">
            <v>0</v>
          </cell>
          <cell r="U163">
            <v>0</v>
          </cell>
          <cell r="V163">
            <v>-436.48</v>
          </cell>
          <cell r="W163">
            <v>0</v>
          </cell>
          <cell r="X163">
            <v>0</v>
          </cell>
          <cell r="Y163">
            <v>0</v>
          </cell>
          <cell r="Z163">
            <v>0</v>
          </cell>
          <cell r="AA163">
            <v>0</v>
          </cell>
          <cell r="AB163">
            <v>5400</v>
          </cell>
          <cell r="AC163">
            <v>0</v>
          </cell>
          <cell r="AD163">
            <v>0</v>
          </cell>
          <cell r="AE163">
            <v>0</v>
          </cell>
          <cell r="AF163">
            <v>0</v>
          </cell>
        </row>
        <row r="164">
          <cell r="A164">
            <v>1500039</v>
          </cell>
          <cell r="H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5400</v>
          </cell>
          <cell r="AC164">
            <v>0</v>
          </cell>
          <cell r="AD164">
            <v>0</v>
          </cell>
          <cell r="AE164">
            <v>0</v>
          </cell>
          <cell r="AF164">
            <v>0</v>
          </cell>
        </row>
        <row r="165">
          <cell r="A165">
            <v>1500040</v>
          </cell>
          <cell r="B165" t="str">
            <v>1500040</v>
          </cell>
          <cell r="C165" t="str">
            <v>0</v>
          </cell>
          <cell r="D165" t="str">
            <v>15000</v>
          </cell>
          <cell r="E165" t="str">
            <v>G3PREMAL</v>
          </cell>
          <cell r="F165">
            <v>0</v>
          </cell>
          <cell r="G165" t="str">
            <v>FILE CABINET</v>
          </cell>
          <cell r="H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A166">
            <v>1500040</v>
          </cell>
          <cell r="H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A167">
            <v>1500041</v>
          </cell>
          <cell r="B167" t="str">
            <v>1500041</v>
          </cell>
          <cell r="C167" t="str">
            <v>0</v>
          </cell>
          <cell r="D167" t="str">
            <v>15000</v>
          </cell>
          <cell r="E167" t="str">
            <v>G3PREMAL</v>
          </cell>
          <cell r="F167">
            <v>0</v>
          </cell>
          <cell r="G167" t="str">
            <v>Executive Table - New Office</v>
          </cell>
          <cell r="H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A168">
            <v>1500042</v>
          </cell>
          <cell r="B168" t="str">
            <v>1500042</v>
          </cell>
          <cell r="C168" t="str">
            <v>0</v>
          </cell>
          <cell r="D168" t="str">
            <v>15000</v>
          </cell>
          <cell r="E168" t="str">
            <v>G3PREMAL</v>
          </cell>
          <cell r="F168">
            <v>0</v>
          </cell>
          <cell r="G168" t="str">
            <v>Storage - New Office</v>
          </cell>
          <cell r="H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A169">
            <v>1500043</v>
          </cell>
          <cell r="B169" t="str">
            <v>1500043</v>
          </cell>
          <cell r="C169" t="str">
            <v>0</v>
          </cell>
          <cell r="D169" t="str">
            <v>15000</v>
          </cell>
          <cell r="E169" t="str">
            <v>G3PREMAL</v>
          </cell>
          <cell r="F169">
            <v>0</v>
          </cell>
          <cell r="G169" t="str">
            <v>Partition - New Office</v>
          </cell>
          <cell r="H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row>
        <row r="170">
          <cell r="A170">
            <v>1500044</v>
          </cell>
          <cell r="B170" t="str">
            <v>1500044</v>
          </cell>
          <cell r="C170" t="str">
            <v>0</v>
          </cell>
          <cell r="D170" t="str">
            <v>15000</v>
          </cell>
          <cell r="E170" t="str">
            <v>G3PREMAL</v>
          </cell>
          <cell r="F170">
            <v>0</v>
          </cell>
          <cell r="G170" t="str">
            <v>Storage - Conference</v>
          </cell>
          <cell r="H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row>
        <row r="171">
          <cell r="A171">
            <v>1600000</v>
          </cell>
          <cell r="B171" t="str">
            <v>1600000</v>
          </cell>
          <cell r="C171" t="str">
            <v>0</v>
          </cell>
          <cell r="D171" t="str">
            <v>16000</v>
          </cell>
          <cell r="E171" t="str">
            <v>TCSADMIN</v>
          </cell>
          <cell r="F171">
            <v>0</v>
          </cell>
          <cell r="G171" t="str">
            <v>OFFICE EQUIPMENTS</v>
          </cell>
          <cell r="K171">
            <v>0</v>
          </cell>
          <cell r="L171">
            <v>0</v>
          </cell>
          <cell r="M171">
            <v>-2941.21</v>
          </cell>
          <cell r="N171">
            <v>0</v>
          </cell>
          <cell r="O171">
            <v>0</v>
          </cell>
          <cell r="P171">
            <v>0</v>
          </cell>
          <cell r="Q171">
            <v>0</v>
          </cell>
          <cell r="R171">
            <v>0</v>
          </cell>
          <cell r="S171">
            <v>0</v>
          </cell>
          <cell r="T171">
            <v>0</v>
          </cell>
          <cell r="U171">
            <v>0</v>
          </cell>
          <cell r="V171">
            <v>-1136</v>
          </cell>
          <cell r="W171">
            <v>0</v>
          </cell>
          <cell r="X171">
            <v>0</v>
          </cell>
          <cell r="Y171">
            <v>0</v>
          </cell>
          <cell r="Z171">
            <v>0</v>
          </cell>
          <cell r="AA171">
            <v>0</v>
          </cell>
          <cell r="AB171">
            <v>0</v>
          </cell>
          <cell r="AC171">
            <v>0</v>
          </cell>
          <cell r="AD171">
            <v>0</v>
          </cell>
          <cell r="AE171">
            <v>0</v>
          </cell>
          <cell r="AF171">
            <v>0</v>
          </cell>
        </row>
        <row r="172">
          <cell r="A172">
            <v>1600000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A173">
            <v>1600000</v>
          </cell>
          <cell r="H173">
            <v>11108</v>
          </cell>
          <cell r="I173">
            <v>11108</v>
          </cell>
          <cell r="K173">
            <v>0</v>
          </cell>
          <cell r="L173">
            <v>0</v>
          </cell>
          <cell r="M173">
            <v>-4077.21</v>
          </cell>
          <cell r="N173">
            <v>0</v>
          </cell>
          <cell r="O173">
            <v>0</v>
          </cell>
          <cell r="P173">
            <v>0</v>
          </cell>
          <cell r="Q173">
            <v>0</v>
          </cell>
          <cell r="R173">
            <v>0</v>
          </cell>
          <cell r="S173">
            <v>0</v>
          </cell>
          <cell r="T173">
            <v>0</v>
          </cell>
          <cell r="U173">
            <v>0</v>
          </cell>
          <cell r="V173">
            <v>-977.98</v>
          </cell>
          <cell r="W173">
            <v>0</v>
          </cell>
          <cell r="X173">
            <v>0</v>
          </cell>
          <cell r="Y173">
            <v>0</v>
          </cell>
          <cell r="Z173">
            <v>0</v>
          </cell>
          <cell r="AA173">
            <v>0</v>
          </cell>
          <cell r="AB173">
            <v>0</v>
          </cell>
          <cell r="AC173">
            <v>0</v>
          </cell>
          <cell r="AD173">
            <v>0</v>
          </cell>
          <cell r="AE173">
            <v>0</v>
          </cell>
          <cell r="AF173">
            <v>0</v>
          </cell>
        </row>
        <row r="174">
          <cell r="A174">
            <v>1600000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A175">
            <v>1600001</v>
          </cell>
          <cell r="B175" t="str">
            <v>1600001</v>
          </cell>
          <cell r="C175" t="str">
            <v>0</v>
          </cell>
          <cell r="D175" t="str">
            <v>16000</v>
          </cell>
          <cell r="E175" t="str">
            <v>TCSADMIN</v>
          </cell>
          <cell r="F175">
            <v>0</v>
          </cell>
          <cell r="G175" t="str">
            <v>OFFICE EQUIPMENTS</v>
          </cell>
          <cell r="K175">
            <v>0</v>
          </cell>
          <cell r="L175">
            <v>0</v>
          </cell>
          <cell r="M175">
            <v>-1580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A176">
            <v>1600001</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A177">
            <v>1600001</v>
          </cell>
          <cell r="H177">
            <v>1580</v>
          </cell>
          <cell r="I177">
            <v>1580</v>
          </cell>
          <cell r="K177">
            <v>0</v>
          </cell>
          <cell r="L177">
            <v>0</v>
          </cell>
          <cell r="M177">
            <v>-1580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A178">
            <v>1600001</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A179">
            <v>1600002</v>
          </cell>
          <cell r="B179" t="str">
            <v>1600002</v>
          </cell>
          <cell r="C179" t="str">
            <v>0</v>
          </cell>
          <cell r="D179" t="str">
            <v>16000</v>
          </cell>
          <cell r="E179" t="str">
            <v>TCSADMIN</v>
          </cell>
          <cell r="F179" t="str">
            <v>G3PREMAL</v>
          </cell>
          <cell r="G179" t="str">
            <v>REFRIGERATOR</v>
          </cell>
          <cell r="K179">
            <v>0</v>
          </cell>
          <cell r="L179">
            <v>0</v>
          </cell>
          <cell r="M179">
            <v>-416.16</v>
          </cell>
          <cell r="N179">
            <v>0</v>
          </cell>
          <cell r="O179">
            <v>0</v>
          </cell>
          <cell r="P179">
            <v>0</v>
          </cell>
          <cell r="Q179">
            <v>0</v>
          </cell>
          <cell r="R179">
            <v>0</v>
          </cell>
          <cell r="S179">
            <v>0</v>
          </cell>
          <cell r="T179">
            <v>0</v>
          </cell>
          <cell r="U179">
            <v>0</v>
          </cell>
          <cell r="V179">
            <v>-776.71</v>
          </cell>
          <cell r="W179">
            <v>0</v>
          </cell>
          <cell r="X179">
            <v>0</v>
          </cell>
          <cell r="Y179">
            <v>0</v>
          </cell>
          <cell r="Z179">
            <v>0</v>
          </cell>
          <cell r="AA179">
            <v>0</v>
          </cell>
          <cell r="AB179">
            <v>0</v>
          </cell>
          <cell r="AC179">
            <v>0</v>
          </cell>
          <cell r="AD179">
            <v>0</v>
          </cell>
          <cell r="AE179">
            <v>0</v>
          </cell>
          <cell r="AF179">
            <v>0</v>
          </cell>
        </row>
        <row r="180">
          <cell r="A180">
            <v>1600002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A181">
            <v>1600002</v>
          </cell>
          <cell r="H181">
            <v>6000</v>
          </cell>
          <cell r="I181">
            <v>6000</v>
          </cell>
          <cell r="K181">
            <v>0</v>
          </cell>
          <cell r="L181">
            <v>0</v>
          </cell>
          <cell r="M181">
            <v>-1192.8699999999999</v>
          </cell>
          <cell r="N181">
            <v>0</v>
          </cell>
          <cell r="O181">
            <v>0</v>
          </cell>
          <cell r="P181">
            <v>0</v>
          </cell>
          <cell r="Q181">
            <v>0</v>
          </cell>
          <cell r="R181">
            <v>0</v>
          </cell>
          <cell r="S181">
            <v>0</v>
          </cell>
          <cell r="T181">
            <v>0</v>
          </cell>
          <cell r="U181">
            <v>0</v>
          </cell>
          <cell r="V181">
            <v>-668.67</v>
          </cell>
          <cell r="W181">
            <v>0</v>
          </cell>
          <cell r="X181">
            <v>0</v>
          </cell>
          <cell r="Y181">
            <v>0</v>
          </cell>
          <cell r="Z181">
            <v>0</v>
          </cell>
          <cell r="AA181">
            <v>0</v>
          </cell>
          <cell r="AB181">
            <v>0</v>
          </cell>
          <cell r="AC181">
            <v>0</v>
          </cell>
          <cell r="AD181">
            <v>0</v>
          </cell>
          <cell r="AE181">
            <v>0</v>
          </cell>
          <cell r="AF181">
            <v>0</v>
          </cell>
        </row>
        <row r="182">
          <cell r="A182">
            <v>1600002</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A183">
            <v>1600003</v>
          </cell>
          <cell r="B183" t="str">
            <v>1600003</v>
          </cell>
          <cell r="C183" t="str">
            <v>0</v>
          </cell>
          <cell r="D183" t="str">
            <v>16000</v>
          </cell>
          <cell r="E183" t="str">
            <v>TCSADMIN</v>
          </cell>
          <cell r="F183">
            <v>0</v>
          </cell>
          <cell r="G183" t="str">
            <v>REFRIGERATOR</v>
          </cell>
          <cell r="K183">
            <v>0</v>
          </cell>
          <cell r="L183">
            <v>0</v>
          </cell>
          <cell r="M183">
            <v>-1919</v>
          </cell>
          <cell r="N183">
            <v>0</v>
          </cell>
          <cell r="O183">
            <v>0</v>
          </cell>
          <cell r="P183">
            <v>0</v>
          </cell>
          <cell r="Q183">
            <v>0</v>
          </cell>
          <cell r="R183">
            <v>0</v>
          </cell>
          <cell r="S183">
            <v>0</v>
          </cell>
          <cell r="T183">
            <v>0</v>
          </cell>
          <cell r="U183">
            <v>0</v>
          </cell>
          <cell r="V183">
            <v>-825</v>
          </cell>
          <cell r="W183">
            <v>0</v>
          </cell>
          <cell r="X183">
            <v>0</v>
          </cell>
          <cell r="Y183">
            <v>0</v>
          </cell>
          <cell r="Z183">
            <v>0</v>
          </cell>
          <cell r="AA183">
            <v>0</v>
          </cell>
          <cell r="AB183">
            <v>0</v>
          </cell>
          <cell r="AC183">
            <v>0</v>
          </cell>
          <cell r="AD183">
            <v>0</v>
          </cell>
          <cell r="AE183">
            <v>0</v>
          </cell>
          <cell r="AF183">
            <v>0</v>
          </cell>
        </row>
        <row r="184">
          <cell r="A184">
            <v>1600003</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A185">
            <v>1600003</v>
          </cell>
          <cell r="H185">
            <v>7850</v>
          </cell>
          <cell r="I185">
            <v>7850</v>
          </cell>
          <cell r="K185">
            <v>0</v>
          </cell>
          <cell r="L185">
            <v>0</v>
          </cell>
          <cell r="M185">
            <v>-2744</v>
          </cell>
          <cell r="N185">
            <v>0</v>
          </cell>
          <cell r="O185">
            <v>0</v>
          </cell>
          <cell r="P185">
            <v>0</v>
          </cell>
          <cell r="Q185">
            <v>0</v>
          </cell>
          <cell r="R185">
            <v>0</v>
          </cell>
          <cell r="S185">
            <v>0</v>
          </cell>
          <cell r="T185">
            <v>0</v>
          </cell>
          <cell r="U185">
            <v>0</v>
          </cell>
          <cell r="V185">
            <v>-710.24</v>
          </cell>
          <cell r="W185">
            <v>0</v>
          </cell>
          <cell r="X185">
            <v>0</v>
          </cell>
          <cell r="Y185">
            <v>0</v>
          </cell>
          <cell r="Z185">
            <v>0</v>
          </cell>
          <cell r="AA185">
            <v>0</v>
          </cell>
          <cell r="AB185">
            <v>0</v>
          </cell>
          <cell r="AC185">
            <v>0</v>
          </cell>
          <cell r="AD185">
            <v>0</v>
          </cell>
          <cell r="AE185">
            <v>0</v>
          </cell>
          <cell r="AF185">
            <v>0</v>
          </cell>
        </row>
        <row r="186">
          <cell r="A186">
            <v>1600003</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A187">
            <v>1600004</v>
          </cell>
          <cell r="B187" t="str">
            <v>1600004</v>
          </cell>
          <cell r="C187" t="str">
            <v>0</v>
          </cell>
          <cell r="D187" t="str">
            <v>16000</v>
          </cell>
          <cell r="E187" t="str">
            <v>TCSADMIN</v>
          </cell>
          <cell r="F187">
            <v>0</v>
          </cell>
          <cell r="G187" t="str">
            <v>LIGHTINING ARRESTOR</v>
          </cell>
          <cell r="H187">
            <v>13920</v>
          </cell>
          <cell r="K187">
            <v>0</v>
          </cell>
          <cell r="L187">
            <v>0</v>
          </cell>
          <cell r="M187">
            <v>-944</v>
          </cell>
          <cell r="N187">
            <v>0</v>
          </cell>
          <cell r="O187">
            <v>0</v>
          </cell>
          <cell r="P187">
            <v>0</v>
          </cell>
          <cell r="Q187">
            <v>0</v>
          </cell>
          <cell r="R187">
            <v>0</v>
          </cell>
          <cell r="S187">
            <v>0</v>
          </cell>
          <cell r="T187">
            <v>0</v>
          </cell>
          <cell r="U187">
            <v>0</v>
          </cell>
          <cell r="V187">
            <v>-1804.96</v>
          </cell>
          <cell r="W187">
            <v>0</v>
          </cell>
          <cell r="X187">
            <v>0</v>
          </cell>
          <cell r="Y187">
            <v>0</v>
          </cell>
          <cell r="Z187">
            <v>0</v>
          </cell>
          <cell r="AA187">
            <v>0</v>
          </cell>
          <cell r="AB187">
            <v>0</v>
          </cell>
          <cell r="AC187">
            <v>0</v>
          </cell>
          <cell r="AD187">
            <v>0</v>
          </cell>
          <cell r="AE187">
            <v>0</v>
          </cell>
          <cell r="AF187">
            <v>0</v>
          </cell>
        </row>
        <row r="188">
          <cell r="A188">
            <v>1600004</v>
          </cell>
          <cell r="H188">
            <v>13920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row>
        <row r="189">
          <cell r="A189">
            <v>1600004</v>
          </cell>
          <cell r="H189">
            <v>13920</v>
          </cell>
          <cell r="I189">
            <v>13920</v>
          </cell>
          <cell r="K189">
            <v>0</v>
          </cell>
          <cell r="L189">
            <v>0</v>
          </cell>
          <cell r="M189">
            <v>-2748.96</v>
          </cell>
          <cell r="N189">
            <v>0</v>
          </cell>
          <cell r="O189">
            <v>0</v>
          </cell>
          <cell r="P189">
            <v>0</v>
          </cell>
          <cell r="Q189">
            <v>0</v>
          </cell>
          <cell r="R189">
            <v>0</v>
          </cell>
          <cell r="S189">
            <v>0</v>
          </cell>
          <cell r="T189">
            <v>0</v>
          </cell>
          <cell r="U189">
            <v>0</v>
          </cell>
          <cell r="V189">
            <v>-1553.89</v>
          </cell>
          <cell r="W189">
            <v>0</v>
          </cell>
          <cell r="X189">
            <v>0</v>
          </cell>
          <cell r="Y189">
            <v>0</v>
          </cell>
          <cell r="Z189">
            <v>0</v>
          </cell>
          <cell r="AA189">
            <v>0</v>
          </cell>
          <cell r="AB189">
            <v>0</v>
          </cell>
          <cell r="AC189">
            <v>0</v>
          </cell>
          <cell r="AD189">
            <v>0</v>
          </cell>
          <cell r="AE189">
            <v>0</v>
          </cell>
          <cell r="AF189">
            <v>0</v>
          </cell>
        </row>
        <row r="190">
          <cell r="A190">
            <v>1600004</v>
          </cell>
          <cell r="H190">
            <v>13920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row>
        <row r="191">
          <cell r="A191">
            <v>1600005</v>
          </cell>
          <cell r="B191" t="str">
            <v>1600005</v>
          </cell>
          <cell r="C191" t="str">
            <v>0</v>
          </cell>
          <cell r="D191" t="str">
            <v>16000</v>
          </cell>
          <cell r="E191" t="str">
            <v>TCSADMIN</v>
          </cell>
          <cell r="F191">
            <v>0</v>
          </cell>
          <cell r="G191" t="str">
            <v>FAN TUBE</v>
          </cell>
          <cell r="K191">
            <v>0</v>
          </cell>
          <cell r="L191">
            <v>0</v>
          </cell>
          <cell r="M191">
            <v>-1662</v>
          </cell>
          <cell r="N191">
            <v>0</v>
          </cell>
          <cell r="O191">
            <v>0</v>
          </cell>
          <cell r="P191">
            <v>0</v>
          </cell>
          <cell r="Q191">
            <v>0</v>
          </cell>
          <cell r="R191">
            <v>0</v>
          </cell>
          <cell r="S191">
            <v>0</v>
          </cell>
          <cell r="T191">
            <v>0</v>
          </cell>
          <cell r="U191">
            <v>0</v>
          </cell>
          <cell r="V191">
            <v>-714.7</v>
          </cell>
          <cell r="W191">
            <v>0</v>
          </cell>
          <cell r="X191">
            <v>0</v>
          </cell>
          <cell r="Y191">
            <v>0</v>
          </cell>
          <cell r="Z191">
            <v>0</v>
          </cell>
          <cell r="AA191">
            <v>0</v>
          </cell>
          <cell r="AB191">
            <v>0</v>
          </cell>
          <cell r="AC191">
            <v>0</v>
          </cell>
          <cell r="AD191">
            <v>0</v>
          </cell>
          <cell r="AE191">
            <v>0</v>
          </cell>
          <cell r="AF191">
            <v>0</v>
          </cell>
        </row>
        <row r="192">
          <cell r="A192">
            <v>1600005</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row>
        <row r="193">
          <cell r="A193">
            <v>1600005</v>
          </cell>
          <cell r="H193">
            <v>6800</v>
          </cell>
          <cell r="I193">
            <v>6800</v>
          </cell>
          <cell r="K193">
            <v>0</v>
          </cell>
          <cell r="L193">
            <v>0</v>
          </cell>
          <cell r="M193">
            <v>-2376.6999999999998</v>
          </cell>
          <cell r="N193">
            <v>0</v>
          </cell>
          <cell r="O193">
            <v>0</v>
          </cell>
          <cell r="P193">
            <v>0</v>
          </cell>
          <cell r="Q193">
            <v>0</v>
          </cell>
          <cell r="R193">
            <v>0</v>
          </cell>
          <cell r="S193">
            <v>0</v>
          </cell>
          <cell r="T193">
            <v>0</v>
          </cell>
          <cell r="U193">
            <v>0</v>
          </cell>
          <cell r="V193">
            <v>-615.28</v>
          </cell>
          <cell r="W193">
            <v>0</v>
          </cell>
          <cell r="X193">
            <v>0</v>
          </cell>
          <cell r="Y193">
            <v>0</v>
          </cell>
          <cell r="Z193">
            <v>0</v>
          </cell>
          <cell r="AA193">
            <v>0</v>
          </cell>
          <cell r="AB193">
            <v>0</v>
          </cell>
          <cell r="AC193">
            <v>0</v>
          </cell>
          <cell r="AD193">
            <v>0</v>
          </cell>
          <cell r="AE193">
            <v>0</v>
          </cell>
          <cell r="AF193">
            <v>0</v>
          </cell>
        </row>
        <row r="194">
          <cell r="A194">
            <v>1600005</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A195">
            <v>1600006</v>
          </cell>
          <cell r="B195" t="str">
            <v>1600006</v>
          </cell>
          <cell r="C195" t="str">
            <v>0</v>
          </cell>
          <cell r="D195" t="str">
            <v>16000</v>
          </cell>
          <cell r="E195" t="str">
            <v>TCSADMIN</v>
          </cell>
          <cell r="F195">
            <v>0</v>
          </cell>
          <cell r="G195" t="str">
            <v>STOREWEL</v>
          </cell>
          <cell r="K195">
            <v>0</v>
          </cell>
          <cell r="L195">
            <v>0</v>
          </cell>
          <cell r="M195">
            <v>-1545</v>
          </cell>
          <cell r="N195">
            <v>0</v>
          </cell>
          <cell r="O195">
            <v>0</v>
          </cell>
          <cell r="P195">
            <v>0</v>
          </cell>
          <cell r="Q195">
            <v>0</v>
          </cell>
          <cell r="R195">
            <v>0</v>
          </cell>
          <cell r="S195">
            <v>0</v>
          </cell>
          <cell r="T195">
            <v>0</v>
          </cell>
          <cell r="U195">
            <v>0</v>
          </cell>
          <cell r="V195">
            <v>-1273.46</v>
          </cell>
          <cell r="W195">
            <v>0</v>
          </cell>
          <cell r="X195">
            <v>0</v>
          </cell>
          <cell r="Y195">
            <v>0</v>
          </cell>
          <cell r="Z195">
            <v>0</v>
          </cell>
          <cell r="AA195">
            <v>0</v>
          </cell>
          <cell r="AB195">
            <v>0</v>
          </cell>
          <cell r="AC195">
            <v>0</v>
          </cell>
          <cell r="AD195">
            <v>0</v>
          </cell>
          <cell r="AE195">
            <v>0</v>
          </cell>
          <cell r="AF195">
            <v>0</v>
          </cell>
        </row>
        <row r="196">
          <cell r="A196">
            <v>1600006</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A197">
            <v>1600006</v>
          </cell>
          <cell r="H197">
            <v>10700</v>
          </cell>
          <cell r="I197">
            <v>10700</v>
          </cell>
          <cell r="K197">
            <v>0</v>
          </cell>
          <cell r="L197">
            <v>0</v>
          </cell>
          <cell r="M197">
            <v>-2818.46</v>
          </cell>
          <cell r="N197">
            <v>0</v>
          </cell>
          <cell r="O197">
            <v>0</v>
          </cell>
          <cell r="P197">
            <v>0</v>
          </cell>
          <cell r="Q197">
            <v>0</v>
          </cell>
          <cell r="R197">
            <v>0</v>
          </cell>
          <cell r="S197">
            <v>0</v>
          </cell>
          <cell r="T197">
            <v>0</v>
          </cell>
          <cell r="U197">
            <v>0</v>
          </cell>
          <cell r="V197">
            <v>-1096.32</v>
          </cell>
          <cell r="W197">
            <v>0</v>
          </cell>
          <cell r="X197">
            <v>0</v>
          </cell>
          <cell r="Y197">
            <v>0</v>
          </cell>
          <cell r="Z197">
            <v>0</v>
          </cell>
          <cell r="AA197">
            <v>0</v>
          </cell>
          <cell r="AB197">
            <v>0</v>
          </cell>
          <cell r="AC197">
            <v>0</v>
          </cell>
          <cell r="AD197">
            <v>0</v>
          </cell>
          <cell r="AE197">
            <v>0</v>
          </cell>
          <cell r="AF197">
            <v>0</v>
          </cell>
        </row>
        <row r="198">
          <cell r="A198">
            <v>1600006</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A199">
            <v>1600007</v>
          </cell>
          <cell r="B199" t="str">
            <v>1600007</v>
          </cell>
          <cell r="C199" t="str">
            <v>0</v>
          </cell>
          <cell r="D199" t="str">
            <v>16000</v>
          </cell>
          <cell r="E199" t="str">
            <v>TCSADMIN</v>
          </cell>
          <cell r="F199">
            <v>0</v>
          </cell>
          <cell r="G199" t="str">
            <v>VERTICAL BLIND</v>
          </cell>
          <cell r="K199">
            <v>0</v>
          </cell>
          <cell r="L199">
            <v>0</v>
          </cell>
          <cell r="M199">
            <v>-3665</v>
          </cell>
          <cell r="N199">
            <v>0</v>
          </cell>
          <cell r="O199">
            <v>0</v>
          </cell>
          <cell r="P199">
            <v>0</v>
          </cell>
          <cell r="Q199">
            <v>0</v>
          </cell>
          <cell r="R199">
            <v>0</v>
          </cell>
          <cell r="S199">
            <v>0</v>
          </cell>
          <cell r="T199">
            <v>0</v>
          </cell>
          <cell r="U199">
            <v>0</v>
          </cell>
          <cell r="V199">
            <v>-3146.58</v>
          </cell>
          <cell r="W199">
            <v>0</v>
          </cell>
          <cell r="X199">
            <v>0</v>
          </cell>
          <cell r="Y199">
            <v>0</v>
          </cell>
          <cell r="Z199">
            <v>0</v>
          </cell>
          <cell r="AA199">
            <v>0</v>
          </cell>
          <cell r="AB199">
            <v>0</v>
          </cell>
          <cell r="AC199">
            <v>0</v>
          </cell>
          <cell r="AD199">
            <v>0</v>
          </cell>
          <cell r="AE199">
            <v>0</v>
          </cell>
          <cell r="AF199">
            <v>0</v>
          </cell>
        </row>
        <row r="200">
          <cell r="A200">
            <v>1600007</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A201">
            <v>1600007</v>
          </cell>
          <cell r="H201">
            <v>26286</v>
          </cell>
          <cell r="I201">
            <v>26286</v>
          </cell>
          <cell r="K201">
            <v>0</v>
          </cell>
          <cell r="L201">
            <v>0</v>
          </cell>
          <cell r="M201">
            <v>-6811.58</v>
          </cell>
          <cell r="N201">
            <v>0</v>
          </cell>
          <cell r="O201">
            <v>0</v>
          </cell>
          <cell r="P201">
            <v>0</v>
          </cell>
          <cell r="Q201">
            <v>0</v>
          </cell>
          <cell r="R201">
            <v>0</v>
          </cell>
          <cell r="S201">
            <v>0</v>
          </cell>
          <cell r="T201">
            <v>0</v>
          </cell>
          <cell r="U201">
            <v>0</v>
          </cell>
          <cell r="V201">
            <v>-2708.89</v>
          </cell>
          <cell r="W201">
            <v>0</v>
          </cell>
          <cell r="X201">
            <v>0</v>
          </cell>
          <cell r="Y201">
            <v>0</v>
          </cell>
          <cell r="Z201">
            <v>0</v>
          </cell>
          <cell r="AA201">
            <v>0</v>
          </cell>
          <cell r="AB201">
            <v>0</v>
          </cell>
          <cell r="AC201">
            <v>0</v>
          </cell>
          <cell r="AD201">
            <v>0</v>
          </cell>
          <cell r="AE201">
            <v>0</v>
          </cell>
          <cell r="AF201">
            <v>0</v>
          </cell>
        </row>
        <row r="202">
          <cell r="A202">
            <v>1600007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row>
        <row r="203">
          <cell r="A203">
            <v>1600008</v>
          </cell>
          <cell r="B203" t="str">
            <v>1600008</v>
          </cell>
          <cell r="C203" t="str">
            <v>0</v>
          </cell>
          <cell r="D203" t="str">
            <v>16000</v>
          </cell>
          <cell r="E203" t="str">
            <v>TCSADMIN</v>
          </cell>
          <cell r="F203">
            <v>0</v>
          </cell>
          <cell r="G203" t="str">
            <v>REFRIGERATOR</v>
          </cell>
          <cell r="K203">
            <v>0</v>
          </cell>
          <cell r="L203">
            <v>0</v>
          </cell>
          <cell r="M203">
            <v>-1808</v>
          </cell>
          <cell r="N203">
            <v>0</v>
          </cell>
          <cell r="O203">
            <v>0</v>
          </cell>
          <cell r="P203">
            <v>0</v>
          </cell>
          <cell r="Q203">
            <v>0</v>
          </cell>
          <cell r="R203">
            <v>0</v>
          </cell>
          <cell r="S203">
            <v>0</v>
          </cell>
          <cell r="T203">
            <v>0</v>
          </cell>
          <cell r="U203">
            <v>0</v>
          </cell>
          <cell r="V203">
            <v>-777.85</v>
          </cell>
          <cell r="W203">
            <v>0</v>
          </cell>
          <cell r="X203">
            <v>0</v>
          </cell>
          <cell r="Y203">
            <v>0</v>
          </cell>
          <cell r="Z203">
            <v>0</v>
          </cell>
          <cell r="AA203">
            <v>0</v>
          </cell>
          <cell r="AB203">
            <v>0</v>
          </cell>
          <cell r="AC203">
            <v>0</v>
          </cell>
          <cell r="AD203">
            <v>0</v>
          </cell>
          <cell r="AE203">
            <v>0</v>
          </cell>
          <cell r="AF203">
            <v>0</v>
          </cell>
        </row>
        <row r="204">
          <cell r="A204">
            <v>1600008</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row>
        <row r="205">
          <cell r="A205">
            <v>1600008</v>
          </cell>
          <cell r="H205">
            <v>7400</v>
          </cell>
          <cell r="I205">
            <v>7400</v>
          </cell>
          <cell r="K205">
            <v>0</v>
          </cell>
          <cell r="L205">
            <v>0</v>
          </cell>
          <cell r="M205">
            <v>-2585.85</v>
          </cell>
          <cell r="N205">
            <v>0</v>
          </cell>
          <cell r="O205">
            <v>0</v>
          </cell>
          <cell r="P205">
            <v>0</v>
          </cell>
          <cell r="Q205">
            <v>0</v>
          </cell>
          <cell r="R205">
            <v>0</v>
          </cell>
          <cell r="S205">
            <v>0</v>
          </cell>
          <cell r="T205">
            <v>0</v>
          </cell>
          <cell r="U205">
            <v>0</v>
          </cell>
          <cell r="V205">
            <v>-669.65</v>
          </cell>
          <cell r="W205">
            <v>0</v>
          </cell>
          <cell r="X205">
            <v>0</v>
          </cell>
          <cell r="Y205">
            <v>0</v>
          </cell>
          <cell r="Z205">
            <v>0</v>
          </cell>
          <cell r="AA205">
            <v>0</v>
          </cell>
          <cell r="AB205">
            <v>0</v>
          </cell>
          <cell r="AC205">
            <v>0</v>
          </cell>
          <cell r="AD205">
            <v>0</v>
          </cell>
          <cell r="AE205">
            <v>0</v>
          </cell>
          <cell r="AF205">
            <v>0</v>
          </cell>
        </row>
        <row r="206">
          <cell r="A206">
            <v>1600008</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row>
        <row r="207">
          <cell r="A207">
            <v>1600009</v>
          </cell>
          <cell r="B207" t="str">
            <v>1600009</v>
          </cell>
          <cell r="C207" t="str">
            <v>0</v>
          </cell>
          <cell r="D207" t="str">
            <v>16000</v>
          </cell>
          <cell r="E207" t="str">
            <v>TCSADMIN</v>
          </cell>
          <cell r="F207">
            <v>0</v>
          </cell>
          <cell r="G207" t="str">
            <v>FIRE EXTINGUISHER</v>
          </cell>
          <cell r="H207">
            <v>31680</v>
          </cell>
          <cell r="K207">
            <v>0</v>
          </cell>
          <cell r="L207">
            <v>0</v>
          </cell>
          <cell r="M207">
            <v>-9345.75</v>
          </cell>
          <cell r="N207">
            <v>0</v>
          </cell>
          <cell r="O207">
            <v>0</v>
          </cell>
          <cell r="P207">
            <v>0</v>
          </cell>
          <cell r="Q207">
            <v>0</v>
          </cell>
          <cell r="R207">
            <v>0</v>
          </cell>
          <cell r="S207">
            <v>0</v>
          </cell>
          <cell r="T207">
            <v>0</v>
          </cell>
          <cell r="U207">
            <v>0</v>
          </cell>
          <cell r="V207">
            <v>-3106.69</v>
          </cell>
          <cell r="W207">
            <v>0</v>
          </cell>
          <cell r="X207">
            <v>0</v>
          </cell>
          <cell r="Y207">
            <v>0</v>
          </cell>
          <cell r="Z207">
            <v>0</v>
          </cell>
          <cell r="AA207">
            <v>0</v>
          </cell>
          <cell r="AB207">
            <v>0</v>
          </cell>
          <cell r="AC207">
            <v>0</v>
          </cell>
          <cell r="AD207">
            <v>0</v>
          </cell>
          <cell r="AE207">
            <v>0</v>
          </cell>
          <cell r="AF207">
            <v>0</v>
          </cell>
        </row>
        <row r="208">
          <cell r="A208">
            <v>1600009</v>
          </cell>
          <cell r="H208">
            <v>31680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A209">
            <v>1600009</v>
          </cell>
          <cell r="H209">
            <v>31680</v>
          </cell>
          <cell r="K209">
            <v>0</v>
          </cell>
          <cell r="L209">
            <v>0</v>
          </cell>
          <cell r="M209">
            <v>-12452.44</v>
          </cell>
          <cell r="N209">
            <v>0</v>
          </cell>
          <cell r="O209">
            <v>0</v>
          </cell>
          <cell r="P209">
            <v>0</v>
          </cell>
          <cell r="Q209">
            <v>0</v>
          </cell>
          <cell r="R209">
            <v>0</v>
          </cell>
          <cell r="S209">
            <v>0</v>
          </cell>
          <cell r="T209">
            <v>0</v>
          </cell>
          <cell r="U209">
            <v>0</v>
          </cell>
          <cell r="V209">
            <v>-2674.55</v>
          </cell>
          <cell r="W209">
            <v>0</v>
          </cell>
          <cell r="X209">
            <v>0</v>
          </cell>
          <cell r="Y209">
            <v>0</v>
          </cell>
          <cell r="Z209">
            <v>0</v>
          </cell>
          <cell r="AA209">
            <v>0</v>
          </cell>
          <cell r="AB209">
            <v>0</v>
          </cell>
          <cell r="AC209">
            <v>0</v>
          </cell>
          <cell r="AD209">
            <v>0</v>
          </cell>
          <cell r="AE209">
            <v>0</v>
          </cell>
          <cell r="AF209">
            <v>0</v>
          </cell>
        </row>
        <row r="210">
          <cell r="A210">
            <v>1600009</v>
          </cell>
          <cell r="H210">
            <v>31680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A211">
            <v>1600010</v>
          </cell>
          <cell r="B211" t="str">
            <v>1600010</v>
          </cell>
          <cell r="C211" t="str">
            <v>0</v>
          </cell>
          <cell r="D211" t="str">
            <v>16000</v>
          </cell>
          <cell r="E211" t="str">
            <v>TCSADMIN</v>
          </cell>
          <cell r="F211">
            <v>0</v>
          </cell>
          <cell r="G211" t="str">
            <v>WATER PURIFIER</v>
          </cell>
          <cell r="H211">
            <v>18000</v>
          </cell>
          <cell r="K211">
            <v>0</v>
          </cell>
          <cell r="L211">
            <v>0</v>
          </cell>
          <cell r="M211">
            <v>-5416.85</v>
          </cell>
          <cell r="N211">
            <v>0</v>
          </cell>
          <cell r="O211">
            <v>0</v>
          </cell>
          <cell r="P211">
            <v>0</v>
          </cell>
          <cell r="Q211">
            <v>0</v>
          </cell>
          <cell r="R211">
            <v>0</v>
          </cell>
          <cell r="S211">
            <v>0</v>
          </cell>
          <cell r="T211">
            <v>0</v>
          </cell>
          <cell r="U211">
            <v>0</v>
          </cell>
          <cell r="V211">
            <v>-1750.32</v>
          </cell>
          <cell r="W211">
            <v>0</v>
          </cell>
          <cell r="X211">
            <v>0</v>
          </cell>
          <cell r="Y211">
            <v>0</v>
          </cell>
          <cell r="Z211">
            <v>0</v>
          </cell>
          <cell r="AA211">
            <v>0</v>
          </cell>
          <cell r="AB211">
            <v>0</v>
          </cell>
          <cell r="AC211">
            <v>0</v>
          </cell>
          <cell r="AD211">
            <v>0</v>
          </cell>
          <cell r="AE211">
            <v>0</v>
          </cell>
          <cell r="AF211">
            <v>0</v>
          </cell>
        </row>
        <row r="212">
          <cell r="A212">
            <v>1600010</v>
          </cell>
          <cell r="H212">
            <v>18000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A213">
            <v>1600010</v>
          </cell>
          <cell r="H213">
            <v>18000</v>
          </cell>
          <cell r="K213">
            <v>0</v>
          </cell>
          <cell r="L213">
            <v>0</v>
          </cell>
          <cell r="M213">
            <v>-7167.17</v>
          </cell>
          <cell r="N213">
            <v>0</v>
          </cell>
          <cell r="O213">
            <v>0</v>
          </cell>
          <cell r="P213">
            <v>0</v>
          </cell>
          <cell r="Q213">
            <v>0</v>
          </cell>
          <cell r="R213">
            <v>0</v>
          </cell>
          <cell r="S213">
            <v>0</v>
          </cell>
          <cell r="T213">
            <v>0</v>
          </cell>
          <cell r="U213">
            <v>0</v>
          </cell>
          <cell r="V213">
            <v>-1506.85</v>
          </cell>
          <cell r="W213">
            <v>0</v>
          </cell>
          <cell r="X213">
            <v>0</v>
          </cell>
          <cell r="Y213">
            <v>0</v>
          </cell>
          <cell r="Z213">
            <v>0</v>
          </cell>
          <cell r="AA213">
            <v>0</v>
          </cell>
          <cell r="AB213">
            <v>0</v>
          </cell>
          <cell r="AC213">
            <v>0</v>
          </cell>
          <cell r="AD213">
            <v>0</v>
          </cell>
          <cell r="AE213">
            <v>0</v>
          </cell>
          <cell r="AF213">
            <v>0</v>
          </cell>
        </row>
        <row r="214">
          <cell r="A214">
            <v>1600010</v>
          </cell>
          <cell r="H214">
            <v>18000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A215">
            <v>1600011</v>
          </cell>
          <cell r="B215" t="str">
            <v>1600011</v>
          </cell>
          <cell r="C215" t="str">
            <v>0</v>
          </cell>
          <cell r="D215" t="str">
            <v>16000</v>
          </cell>
          <cell r="E215" t="str">
            <v>TCSADMIN</v>
          </cell>
          <cell r="F215">
            <v>0</v>
          </cell>
          <cell r="G215" t="str">
            <v>VACCUME CLEANER</v>
          </cell>
          <cell r="H215">
            <v>6490</v>
          </cell>
          <cell r="K215">
            <v>0</v>
          </cell>
          <cell r="L215">
            <v>0</v>
          </cell>
          <cell r="M215">
            <v>-2151.0500000000002</v>
          </cell>
          <cell r="N215">
            <v>0</v>
          </cell>
          <cell r="O215">
            <v>0</v>
          </cell>
          <cell r="P215">
            <v>0</v>
          </cell>
          <cell r="Q215">
            <v>0</v>
          </cell>
          <cell r="R215">
            <v>0</v>
          </cell>
          <cell r="S215">
            <v>0</v>
          </cell>
          <cell r="T215">
            <v>0</v>
          </cell>
          <cell r="U215">
            <v>0</v>
          </cell>
          <cell r="V215">
            <v>-603.54999999999995</v>
          </cell>
          <cell r="W215">
            <v>0</v>
          </cell>
          <cell r="X215">
            <v>0</v>
          </cell>
          <cell r="Y215">
            <v>0</v>
          </cell>
          <cell r="Z215">
            <v>0</v>
          </cell>
          <cell r="AA215">
            <v>0</v>
          </cell>
          <cell r="AB215">
            <v>0</v>
          </cell>
          <cell r="AC215">
            <v>0</v>
          </cell>
          <cell r="AD215">
            <v>0</v>
          </cell>
          <cell r="AE215">
            <v>0</v>
          </cell>
          <cell r="AF215">
            <v>0</v>
          </cell>
        </row>
        <row r="216">
          <cell r="A216">
            <v>1600011</v>
          </cell>
          <cell r="H216">
            <v>6490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A217">
            <v>1600011</v>
          </cell>
          <cell r="H217">
            <v>6490</v>
          </cell>
          <cell r="K217">
            <v>0</v>
          </cell>
          <cell r="L217">
            <v>0</v>
          </cell>
          <cell r="M217">
            <v>-2754.6</v>
          </cell>
          <cell r="N217">
            <v>0</v>
          </cell>
          <cell r="O217">
            <v>0</v>
          </cell>
          <cell r="P217">
            <v>0</v>
          </cell>
          <cell r="Q217">
            <v>0</v>
          </cell>
          <cell r="R217">
            <v>0</v>
          </cell>
          <cell r="S217">
            <v>0</v>
          </cell>
          <cell r="T217">
            <v>0</v>
          </cell>
          <cell r="U217">
            <v>0</v>
          </cell>
          <cell r="V217">
            <v>-519.59</v>
          </cell>
          <cell r="W217">
            <v>0</v>
          </cell>
          <cell r="X217">
            <v>0</v>
          </cell>
          <cell r="Y217">
            <v>0</v>
          </cell>
          <cell r="Z217">
            <v>0</v>
          </cell>
          <cell r="AA217">
            <v>0</v>
          </cell>
          <cell r="AB217">
            <v>0</v>
          </cell>
          <cell r="AC217">
            <v>0</v>
          </cell>
          <cell r="AD217">
            <v>0</v>
          </cell>
          <cell r="AE217">
            <v>0</v>
          </cell>
          <cell r="AF217">
            <v>0</v>
          </cell>
        </row>
        <row r="218">
          <cell r="A218">
            <v>1600011</v>
          </cell>
          <cell r="H218">
            <v>6490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A219">
            <v>1600012</v>
          </cell>
          <cell r="B219" t="str">
            <v>1600012</v>
          </cell>
          <cell r="C219" t="str">
            <v>0</v>
          </cell>
          <cell r="D219" t="str">
            <v>16000</v>
          </cell>
          <cell r="E219" t="str">
            <v>TCSADMIN</v>
          </cell>
          <cell r="F219">
            <v>0</v>
          </cell>
          <cell r="G219" t="str">
            <v>VACCUME CLEANER</v>
          </cell>
          <cell r="H219">
            <v>6390</v>
          </cell>
          <cell r="K219">
            <v>0</v>
          </cell>
          <cell r="L219">
            <v>0</v>
          </cell>
          <cell r="M219">
            <v>-1700.99</v>
          </cell>
          <cell r="N219">
            <v>0</v>
          </cell>
          <cell r="O219">
            <v>0</v>
          </cell>
          <cell r="P219">
            <v>0</v>
          </cell>
          <cell r="Q219">
            <v>0</v>
          </cell>
          <cell r="R219">
            <v>0</v>
          </cell>
          <cell r="S219">
            <v>0</v>
          </cell>
          <cell r="T219">
            <v>0</v>
          </cell>
          <cell r="U219">
            <v>0</v>
          </cell>
          <cell r="V219">
            <v>-652.24</v>
          </cell>
          <cell r="W219">
            <v>0</v>
          </cell>
          <cell r="X219">
            <v>0</v>
          </cell>
          <cell r="Y219">
            <v>0</v>
          </cell>
          <cell r="Z219">
            <v>0</v>
          </cell>
          <cell r="AA219">
            <v>0</v>
          </cell>
          <cell r="AB219">
            <v>0</v>
          </cell>
          <cell r="AC219">
            <v>0</v>
          </cell>
          <cell r="AD219">
            <v>0</v>
          </cell>
          <cell r="AE219">
            <v>0</v>
          </cell>
          <cell r="AF219">
            <v>0</v>
          </cell>
        </row>
        <row r="220">
          <cell r="A220">
            <v>1600012</v>
          </cell>
          <cell r="H220">
            <v>6390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A221">
            <v>1600012</v>
          </cell>
          <cell r="H221">
            <v>6390</v>
          </cell>
          <cell r="K221">
            <v>0</v>
          </cell>
          <cell r="L221">
            <v>0</v>
          </cell>
          <cell r="M221">
            <v>-2353.23</v>
          </cell>
          <cell r="N221">
            <v>0</v>
          </cell>
          <cell r="O221">
            <v>0</v>
          </cell>
          <cell r="P221">
            <v>0</v>
          </cell>
          <cell r="Q221">
            <v>0</v>
          </cell>
          <cell r="R221">
            <v>0</v>
          </cell>
          <cell r="S221">
            <v>0</v>
          </cell>
          <cell r="T221">
            <v>0</v>
          </cell>
          <cell r="U221">
            <v>0</v>
          </cell>
          <cell r="V221">
            <v>-561.51</v>
          </cell>
          <cell r="W221">
            <v>0</v>
          </cell>
          <cell r="X221">
            <v>0</v>
          </cell>
          <cell r="Y221">
            <v>0</v>
          </cell>
          <cell r="Z221">
            <v>0</v>
          </cell>
          <cell r="AA221">
            <v>0</v>
          </cell>
          <cell r="AB221">
            <v>0</v>
          </cell>
          <cell r="AC221">
            <v>0</v>
          </cell>
          <cell r="AD221">
            <v>0</v>
          </cell>
          <cell r="AE221">
            <v>0</v>
          </cell>
          <cell r="AF221">
            <v>0</v>
          </cell>
        </row>
        <row r="222">
          <cell r="A222">
            <v>1600012</v>
          </cell>
          <cell r="H222">
            <v>6390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A223">
            <v>1600013</v>
          </cell>
          <cell r="B223" t="str">
            <v>1600013</v>
          </cell>
          <cell r="C223" t="str">
            <v>0</v>
          </cell>
          <cell r="D223" t="str">
            <v>16000</v>
          </cell>
          <cell r="E223" t="str">
            <v>TCSADMIN</v>
          </cell>
          <cell r="F223">
            <v>0</v>
          </cell>
          <cell r="G223" t="str">
            <v>XEROX MACHINE</v>
          </cell>
          <cell r="H223">
            <v>189929</v>
          </cell>
          <cell r="K223">
            <v>0</v>
          </cell>
          <cell r="L223">
            <v>0</v>
          </cell>
          <cell r="M223">
            <v>-77426.5</v>
          </cell>
          <cell r="N223">
            <v>0</v>
          </cell>
          <cell r="O223">
            <v>0</v>
          </cell>
          <cell r="P223">
            <v>0</v>
          </cell>
          <cell r="Q223">
            <v>0</v>
          </cell>
          <cell r="R223">
            <v>0</v>
          </cell>
          <cell r="S223">
            <v>0</v>
          </cell>
          <cell r="T223">
            <v>0</v>
          </cell>
          <cell r="U223">
            <v>0</v>
          </cell>
          <cell r="V223">
            <v>-15649.1</v>
          </cell>
          <cell r="W223">
            <v>0</v>
          </cell>
          <cell r="X223">
            <v>0</v>
          </cell>
          <cell r="Y223">
            <v>0</v>
          </cell>
          <cell r="Z223">
            <v>0</v>
          </cell>
          <cell r="AA223">
            <v>0</v>
          </cell>
          <cell r="AB223">
            <v>0</v>
          </cell>
          <cell r="AC223">
            <v>0</v>
          </cell>
          <cell r="AD223">
            <v>0</v>
          </cell>
          <cell r="AE223">
            <v>0</v>
          </cell>
          <cell r="AF223">
            <v>0</v>
          </cell>
        </row>
        <row r="224">
          <cell r="A224">
            <v>1600013</v>
          </cell>
          <cell r="H224">
            <v>189929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A225">
            <v>1600013</v>
          </cell>
          <cell r="H225">
            <v>189929</v>
          </cell>
          <cell r="K225">
            <v>0</v>
          </cell>
          <cell r="L225">
            <v>0</v>
          </cell>
          <cell r="M225">
            <v>-93075.6</v>
          </cell>
          <cell r="N225">
            <v>0</v>
          </cell>
          <cell r="O225">
            <v>0</v>
          </cell>
          <cell r="P225">
            <v>0</v>
          </cell>
          <cell r="Q225">
            <v>0</v>
          </cell>
          <cell r="R225">
            <v>0</v>
          </cell>
          <cell r="S225">
            <v>0</v>
          </cell>
          <cell r="T225">
            <v>0</v>
          </cell>
          <cell r="U225">
            <v>0</v>
          </cell>
          <cell r="V225">
            <v>-13472.31</v>
          </cell>
          <cell r="W225">
            <v>0</v>
          </cell>
          <cell r="X225">
            <v>0</v>
          </cell>
          <cell r="Y225">
            <v>0</v>
          </cell>
          <cell r="Z225">
            <v>0</v>
          </cell>
          <cell r="AA225">
            <v>0</v>
          </cell>
          <cell r="AB225">
            <v>0</v>
          </cell>
          <cell r="AC225">
            <v>0</v>
          </cell>
          <cell r="AD225">
            <v>0</v>
          </cell>
          <cell r="AE225">
            <v>0</v>
          </cell>
          <cell r="AF225">
            <v>0</v>
          </cell>
        </row>
        <row r="226">
          <cell r="A226">
            <v>1600013</v>
          </cell>
          <cell r="H226">
            <v>189929</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A227">
            <v>1600014</v>
          </cell>
          <cell r="B227" t="str">
            <v>1600014</v>
          </cell>
          <cell r="C227" t="str">
            <v>0</v>
          </cell>
          <cell r="D227" t="str">
            <v>16000</v>
          </cell>
          <cell r="E227" t="str">
            <v>TCSADMIN</v>
          </cell>
          <cell r="F227">
            <v>0</v>
          </cell>
          <cell r="G227" t="str">
            <v>VENDING MACHINE</v>
          </cell>
          <cell r="H227">
            <v>21760</v>
          </cell>
          <cell r="K227">
            <v>0</v>
          </cell>
          <cell r="L227">
            <v>0</v>
          </cell>
          <cell r="M227">
            <v>-8357.65</v>
          </cell>
          <cell r="N227">
            <v>0</v>
          </cell>
          <cell r="O227">
            <v>0</v>
          </cell>
          <cell r="P227">
            <v>0</v>
          </cell>
          <cell r="Q227">
            <v>0</v>
          </cell>
          <cell r="R227">
            <v>0</v>
          </cell>
          <cell r="S227">
            <v>0</v>
          </cell>
          <cell r="T227">
            <v>0</v>
          </cell>
          <cell r="U227">
            <v>0</v>
          </cell>
          <cell r="V227">
            <v>-1864.27</v>
          </cell>
          <cell r="W227">
            <v>0</v>
          </cell>
          <cell r="X227">
            <v>0</v>
          </cell>
          <cell r="Y227">
            <v>0</v>
          </cell>
          <cell r="Z227">
            <v>0</v>
          </cell>
          <cell r="AA227">
            <v>0</v>
          </cell>
          <cell r="AB227">
            <v>0</v>
          </cell>
          <cell r="AC227">
            <v>0</v>
          </cell>
          <cell r="AD227">
            <v>0</v>
          </cell>
          <cell r="AE227">
            <v>0</v>
          </cell>
          <cell r="AF227">
            <v>0</v>
          </cell>
        </row>
        <row r="228">
          <cell r="A228">
            <v>1600014</v>
          </cell>
          <cell r="H228">
            <v>21760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A229">
            <v>1600014</v>
          </cell>
          <cell r="H229">
            <v>21760</v>
          </cell>
          <cell r="K229">
            <v>0</v>
          </cell>
          <cell r="L229">
            <v>0</v>
          </cell>
          <cell r="M229">
            <v>-10221.92</v>
          </cell>
          <cell r="N229">
            <v>0</v>
          </cell>
          <cell r="O229">
            <v>0</v>
          </cell>
          <cell r="P229">
            <v>0</v>
          </cell>
          <cell r="Q229">
            <v>0</v>
          </cell>
          <cell r="R229">
            <v>0</v>
          </cell>
          <cell r="S229">
            <v>0</v>
          </cell>
          <cell r="T229">
            <v>0</v>
          </cell>
          <cell r="U229">
            <v>0</v>
          </cell>
          <cell r="V229">
            <v>-1604.95</v>
          </cell>
          <cell r="W229">
            <v>0</v>
          </cell>
          <cell r="X229">
            <v>0</v>
          </cell>
          <cell r="Y229">
            <v>0</v>
          </cell>
          <cell r="Z229">
            <v>0</v>
          </cell>
          <cell r="AA229">
            <v>0</v>
          </cell>
          <cell r="AB229">
            <v>0</v>
          </cell>
          <cell r="AC229">
            <v>0</v>
          </cell>
          <cell r="AD229">
            <v>0</v>
          </cell>
          <cell r="AE229">
            <v>0</v>
          </cell>
          <cell r="AF229">
            <v>0</v>
          </cell>
        </row>
        <row r="230">
          <cell r="A230">
            <v>1600014</v>
          </cell>
          <cell r="H230">
            <v>21760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A231">
            <v>1600015</v>
          </cell>
          <cell r="B231" t="str">
            <v>1600015</v>
          </cell>
          <cell r="C231" t="str">
            <v>0</v>
          </cell>
          <cell r="D231" t="str">
            <v>16000</v>
          </cell>
          <cell r="E231" t="str">
            <v>TCSADMIN</v>
          </cell>
          <cell r="F231">
            <v>0</v>
          </cell>
          <cell r="G231" t="str">
            <v>WATER  COOLER</v>
          </cell>
          <cell r="H231">
            <v>10500</v>
          </cell>
          <cell r="K231">
            <v>0</v>
          </cell>
          <cell r="L231">
            <v>0</v>
          </cell>
          <cell r="M231">
            <v>-4259</v>
          </cell>
          <cell r="N231">
            <v>0</v>
          </cell>
          <cell r="O231">
            <v>0</v>
          </cell>
          <cell r="P231">
            <v>0</v>
          </cell>
          <cell r="Q231">
            <v>0</v>
          </cell>
          <cell r="R231">
            <v>0</v>
          </cell>
          <cell r="S231">
            <v>0</v>
          </cell>
          <cell r="T231">
            <v>0</v>
          </cell>
          <cell r="U231">
            <v>0</v>
          </cell>
          <cell r="V231">
            <v>-868.12</v>
          </cell>
          <cell r="W231">
            <v>0</v>
          </cell>
          <cell r="X231">
            <v>0</v>
          </cell>
          <cell r="Y231">
            <v>0</v>
          </cell>
          <cell r="Z231">
            <v>0</v>
          </cell>
          <cell r="AA231">
            <v>0</v>
          </cell>
          <cell r="AB231">
            <v>0</v>
          </cell>
          <cell r="AC231">
            <v>0</v>
          </cell>
          <cell r="AD231">
            <v>0</v>
          </cell>
          <cell r="AE231">
            <v>0</v>
          </cell>
          <cell r="AF231">
            <v>0</v>
          </cell>
        </row>
        <row r="232">
          <cell r="A232">
            <v>1600015</v>
          </cell>
          <cell r="H232">
            <v>10500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A233">
            <v>1600015</v>
          </cell>
          <cell r="H233">
            <v>10500</v>
          </cell>
          <cell r="K233">
            <v>0</v>
          </cell>
          <cell r="L233">
            <v>0</v>
          </cell>
          <cell r="M233">
            <v>-5127.12</v>
          </cell>
          <cell r="N233">
            <v>0</v>
          </cell>
          <cell r="O233">
            <v>0</v>
          </cell>
          <cell r="P233">
            <v>0</v>
          </cell>
          <cell r="Q233">
            <v>0</v>
          </cell>
          <cell r="R233">
            <v>0</v>
          </cell>
          <cell r="S233">
            <v>0</v>
          </cell>
          <cell r="T233">
            <v>0</v>
          </cell>
          <cell r="U233">
            <v>0</v>
          </cell>
          <cell r="V233">
            <v>-747.37</v>
          </cell>
          <cell r="W233">
            <v>0</v>
          </cell>
          <cell r="X233">
            <v>0</v>
          </cell>
          <cell r="Y233">
            <v>0</v>
          </cell>
          <cell r="Z233">
            <v>0</v>
          </cell>
          <cell r="AA233">
            <v>0</v>
          </cell>
          <cell r="AB233">
            <v>0</v>
          </cell>
          <cell r="AC233">
            <v>0</v>
          </cell>
          <cell r="AD233">
            <v>0</v>
          </cell>
          <cell r="AE233">
            <v>0</v>
          </cell>
          <cell r="AF233">
            <v>0</v>
          </cell>
        </row>
        <row r="234">
          <cell r="A234">
            <v>1600015</v>
          </cell>
          <cell r="H234">
            <v>10500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A235">
            <v>1600016</v>
          </cell>
          <cell r="B235" t="str">
            <v>1600016</v>
          </cell>
          <cell r="C235" t="str">
            <v>0</v>
          </cell>
          <cell r="D235" t="str">
            <v>16000</v>
          </cell>
          <cell r="E235" t="str">
            <v>TCSADMIN</v>
          </cell>
          <cell r="F235">
            <v>0</v>
          </cell>
          <cell r="G235" t="str">
            <v>RACK - A'BAD</v>
          </cell>
          <cell r="H235">
            <v>16273</v>
          </cell>
          <cell r="K235">
            <v>0</v>
          </cell>
          <cell r="L235">
            <v>0</v>
          </cell>
          <cell r="M235">
            <v>-5522.23</v>
          </cell>
          <cell r="N235">
            <v>0</v>
          </cell>
          <cell r="O235">
            <v>0</v>
          </cell>
          <cell r="P235">
            <v>0</v>
          </cell>
          <cell r="Q235">
            <v>0</v>
          </cell>
          <cell r="R235">
            <v>0</v>
          </cell>
          <cell r="S235">
            <v>0</v>
          </cell>
          <cell r="T235">
            <v>0</v>
          </cell>
          <cell r="U235">
            <v>0</v>
          </cell>
          <cell r="V235">
            <v>-1495.43</v>
          </cell>
          <cell r="W235">
            <v>0</v>
          </cell>
          <cell r="X235">
            <v>0</v>
          </cell>
          <cell r="Y235">
            <v>0</v>
          </cell>
          <cell r="Z235">
            <v>0</v>
          </cell>
          <cell r="AA235">
            <v>0</v>
          </cell>
          <cell r="AB235">
            <v>0</v>
          </cell>
          <cell r="AC235">
            <v>0</v>
          </cell>
          <cell r="AD235">
            <v>0</v>
          </cell>
          <cell r="AE235">
            <v>0</v>
          </cell>
          <cell r="AF235">
            <v>0</v>
          </cell>
        </row>
        <row r="236">
          <cell r="A236">
            <v>1600016</v>
          </cell>
          <cell r="H236">
            <v>16273</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A237">
            <v>1600016</v>
          </cell>
          <cell r="H237">
            <v>16273</v>
          </cell>
          <cell r="K237">
            <v>0</v>
          </cell>
          <cell r="L237">
            <v>0</v>
          </cell>
          <cell r="M237">
            <v>-7017.66</v>
          </cell>
          <cell r="N237">
            <v>0</v>
          </cell>
          <cell r="O237">
            <v>0</v>
          </cell>
          <cell r="P237">
            <v>0</v>
          </cell>
          <cell r="Q237">
            <v>0</v>
          </cell>
          <cell r="R237">
            <v>0</v>
          </cell>
          <cell r="S237">
            <v>0</v>
          </cell>
          <cell r="T237">
            <v>0</v>
          </cell>
          <cell r="U237">
            <v>0</v>
          </cell>
          <cell r="V237">
            <v>-1287.42</v>
          </cell>
          <cell r="W237">
            <v>0</v>
          </cell>
          <cell r="X237">
            <v>0</v>
          </cell>
          <cell r="Y237">
            <v>0</v>
          </cell>
          <cell r="Z237">
            <v>0</v>
          </cell>
          <cell r="AA237">
            <v>0</v>
          </cell>
          <cell r="AB237">
            <v>0</v>
          </cell>
          <cell r="AC237">
            <v>0</v>
          </cell>
          <cell r="AD237">
            <v>0</v>
          </cell>
          <cell r="AE237">
            <v>0</v>
          </cell>
          <cell r="AF237">
            <v>0</v>
          </cell>
        </row>
        <row r="238">
          <cell r="A238">
            <v>1600016</v>
          </cell>
          <cell r="H238">
            <v>16273</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A239">
            <v>1600017</v>
          </cell>
          <cell r="B239" t="str">
            <v>1600017</v>
          </cell>
          <cell r="C239" t="str">
            <v>0</v>
          </cell>
          <cell r="D239" t="str">
            <v>16000</v>
          </cell>
          <cell r="E239" t="str">
            <v>TCSADMIN</v>
          </cell>
          <cell r="F239">
            <v>0</v>
          </cell>
          <cell r="G239" t="str">
            <v>RACK - A'BAD</v>
          </cell>
          <cell r="H239">
            <v>19490</v>
          </cell>
          <cell r="K239">
            <v>0</v>
          </cell>
          <cell r="L239">
            <v>0</v>
          </cell>
          <cell r="M239">
            <v>-6235</v>
          </cell>
          <cell r="N239">
            <v>0</v>
          </cell>
          <cell r="O239">
            <v>0</v>
          </cell>
          <cell r="P239">
            <v>0</v>
          </cell>
          <cell r="Q239">
            <v>0</v>
          </cell>
          <cell r="R239">
            <v>0</v>
          </cell>
          <cell r="S239">
            <v>0</v>
          </cell>
          <cell r="T239">
            <v>0</v>
          </cell>
          <cell r="U239">
            <v>0</v>
          </cell>
          <cell r="V239">
            <v>-1843.77</v>
          </cell>
          <cell r="W239">
            <v>0</v>
          </cell>
          <cell r="X239">
            <v>0</v>
          </cell>
          <cell r="Y239">
            <v>0</v>
          </cell>
          <cell r="Z239">
            <v>0</v>
          </cell>
          <cell r="AA239">
            <v>0</v>
          </cell>
          <cell r="AB239">
            <v>0</v>
          </cell>
          <cell r="AC239">
            <v>0</v>
          </cell>
          <cell r="AD239">
            <v>0</v>
          </cell>
          <cell r="AE239">
            <v>0</v>
          </cell>
          <cell r="AF239">
            <v>0</v>
          </cell>
        </row>
        <row r="240">
          <cell r="A240">
            <v>1600017</v>
          </cell>
          <cell r="H240">
            <v>19490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A241">
            <v>1600017</v>
          </cell>
          <cell r="H241">
            <v>19490</v>
          </cell>
          <cell r="K241">
            <v>0</v>
          </cell>
          <cell r="L241">
            <v>0</v>
          </cell>
          <cell r="M241">
            <v>-8078.77</v>
          </cell>
          <cell r="N241">
            <v>0</v>
          </cell>
          <cell r="O241">
            <v>0</v>
          </cell>
          <cell r="P241">
            <v>0</v>
          </cell>
          <cell r="Q241">
            <v>0</v>
          </cell>
          <cell r="R241">
            <v>0</v>
          </cell>
          <cell r="S241">
            <v>0</v>
          </cell>
          <cell r="T241">
            <v>0</v>
          </cell>
          <cell r="U241">
            <v>0</v>
          </cell>
          <cell r="V241">
            <v>-1587.3</v>
          </cell>
          <cell r="W241">
            <v>0</v>
          </cell>
          <cell r="X241">
            <v>0</v>
          </cell>
          <cell r="Y241">
            <v>0</v>
          </cell>
          <cell r="Z241">
            <v>0</v>
          </cell>
          <cell r="AA241">
            <v>0</v>
          </cell>
          <cell r="AB241">
            <v>0</v>
          </cell>
          <cell r="AC241">
            <v>0</v>
          </cell>
          <cell r="AD241">
            <v>0</v>
          </cell>
          <cell r="AE241">
            <v>0</v>
          </cell>
          <cell r="AF241">
            <v>0</v>
          </cell>
        </row>
        <row r="242">
          <cell r="A242">
            <v>1600017</v>
          </cell>
          <cell r="H242">
            <v>19490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A243">
            <v>1600018</v>
          </cell>
          <cell r="B243" t="str">
            <v>1600018</v>
          </cell>
          <cell r="C243" t="str">
            <v>0</v>
          </cell>
          <cell r="D243" t="str">
            <v>16000</v>
          </cell>
          <cell r="E243" t="str">
            <v>TCSADMIN</v>
          </cell>
          <cell r="F243">
            <v>0</v>
          </cell>
          <cell r="G243" t="str">
            <v>RACK - A'BAD</v>
          </cell>
          <cell r="H243">
            <v>17280</v>
          </cell>
          <cell r="K243">
            <v>0</v>
          </cell>
          <cell r="L243">
            <v>0</v>
          </cell>
          <cell r="M243">
            <v>-3872</v>
          </cell>
          <cell r="N243">
            <v>0</v>
          </cell>
          <cell r="O243">
            <v>0</v>
          </cell>
          <cell r="P243">
            <v>0</v>
          </cell>
          <cell r="Q243">
            <v>0</v>
          </cell>
          <cell r="R243">
            <v>0</v>
          </cell>
          <cell r="S243">
            <v>0</v>
          </cell>
          <cell r="T243">
            <v>0</v>
          </cell>
          <cell r="U243">
            <v>0</v>
          </cell>
          <cell r="V243">
            <v>-1865.05</v>
          </cell>
          <cell r="W243">
            <v>0</v>
          </cell>
          <cell r="X243">
            <v>0</v>
          </cell>
          <cell r="Y243">
            <v>0</v>
          </cell>
          <cell r="Z243">
            <v>0</v>
          </cell>
          <cell r="AA243">
            <v>0</v>
          </cell>
          <cell r="AB243">
            <v>0</v>
          </cell>
          <cell r="AC243">
            <v>0</v>
          </cell>
          <cell r="AD243">
            <v>0</v>
          </cell>
          <cell r="AE243">
            <v>0</v>
          </cell>
          <cell r="AF243">
            <v>0</v>
          </cell>
        </row>
        <row r="244">
          <cell r="A244">
            <v>1600018</v>
          </cell>
          <cell r="H244">
            <v>17280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A245">
            <v>1600018</v>
          </cell>
          <cell r="H245">
            <v>17280</v>
          </cell>
          <cell r="K245">
            <v>0</v>
          </cell>
          <cell r="L245">
            <v>0</v>
          </cell>
          <cell r="M245">
            <v>-5737.05</v>
          </cell>
          <cell r="N245">
            <v>0</v>
          </cell>
          <cell r="O245">
            <v>0</v>
          </cell>
          <cell r="P245">
            <v>0</v>
          </cell>
          <cell r="Q245">
            <v>0</v>
          </cell>
          <cell r="R245">
            <v>0</v>
          </cell>
          <cell r="S245">
            <v>0</v>
          </cell>
          <cell r="T245">
            <v>0</v>
          </cell>
          <cell r="U245">
            <v>0</v>
          </cell>
          <cell r="V245">
            <v>-1605.62</v>
          </cell>
          <cell r="W245">
            <v>0</v>
          </cell>
          <cell r="X245">
            <v>0</v>
          </cell>
          <cell r="Y245">
            <v>0</v>
          </cell>
          <cell r="Z245">
            <v>0</v>
          </cell>
          <cell r="AA245">
            <v>0</v>
          </cell>
          <cell r="AB245">
            <v>0</v>
          </cell>
          <cell r="AC245">
            <v>0</v>
          </cell>
          <cell r="AD245">
            <v>0</v>
          </cell>
          <cell r="AE245">
            <v>0</v>
          </cell>
          <cell r="AF245">
            <v>0</v>
          </cell>
        </row>
        <row r="246">
          <cell r="A246">
            <v>1600018</v>
          </cell>
          <cell r="H246">
            <v>17280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A247">
            <v>1600019</v>
          </cell>
          <cell r="B247" t="str">
            <v>1600019</v>
          </cell>
          <cell r="C247" t="str">
            <v>0</v>
          </cell>
          <cell r="D247" t="str">
            <v>16000</v>
          </cell>
          <cell r="E247" t="str">
            <v>TCSADMIN</v>
          </cell>
          <cell r="F247">
            <v>0</v>
          </cell>
          <cell r="G247" t="str">
            <v>EPBX</v>
          </cell>
          <cell r="H247">
            <v>10365</v>
          </cell>
          <cell r="K247">
            <v>0</v>
          </cell>
          <cell r="L247">
            <v>0</v>
          </cell>
          <cell r="M247">
            <v>-2759</v>
          </cell>
          <cell r="N247">
            <v>0</v>
          </cell>
          <cell r="O247">
            <v>0</v>
          </cell>
          <cell r="P247">
            <v>0</v>
          </cell>
          <cell r="Q247">
            <v>0</v>
          </cell>
          <cell r="R247">
            <v>0</v>
          </cell>
          <cell r="S247">
            <v>0</v>
          </cell>
          <cell r="T247">
            <v>0</v>
          </cell>
          <cell r="U247">
            <v>0</v>
          </cell>
          <cell r="V247">
            <v>-1057.99</v>
          </cell>
          <cell r="W247">
            <v>0</v>
          </cell>
          <cell r="X247">
            <v>0</v>
          </cell>
          <cell r="Y247">
            <v>0</v>
          </cell>
          <cell r="Z247">
            <v>0</v>
          </cell>
          <cell r="AA247">
            <v>0</v>
          </cell>
          <cell r="AB247">
            <v>0</v>
          </cell>
          <cell r="AC247">
            <v>0</v>
          </cell>
          <cell r="AD247">
            <v>0</v>
          </cell>
          <cell r="AE247">
            <v>0</v>
          </cell>
          <cell r="AF247">
            <v>0</v>
          </cell>
        </row>
        <row r="248">
          <cell r="A248">
            <v>1600019</v>
          </cell>
          <cell r="H248">
            <v>10365</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A249">
            <v>1600019</v>
          </cell>
          <cell r="H249">
            <v>10365</v>
          </cell>
          <cell r="K249">
            <v>0</v>
          </cell>
          <cell r="L249">
            <v>0</v>
          </cell>
          <cell r="M249">
            <v>-3816.99</v>
          </cell>
          <cell r="N249">
            <v>0</v>
          </cell>
          <cell r="O249">
            <v>0</v>
          </cell>
          <cell r="P249">
            <v>0</v>
          </cell>
          <cell r="Q249">
            <v>0</v>
          </cell>
          <cell r="R249">
            <v>0</v>
          </cell>
          <cell r="S249">
            <v>0</v>
          </cell>
          <cell r="T249">
            <v>0</v>
          </cell>
          <cell r="U249">
            <v>0</v>
          </cell>
          <cell r="V249">
            <v>-910.83</v>
          </cell>
          <cell r="W249">
            <v>0</v>
          </cell>
          <cell r="X249">
            <v>0</v>
          </cell>
          <cell r="Y249">
            <v>0</v>
          </cell>
          <cell r="Z249">
            <v>0</v>
          </cell>
          <cell r="AA249">
            <v>0</v>
          </cell>
          <cell r="AB249">
            <v>0</v>
          </cell>
          <cell r="AC249">
            <v>0</v>
          </cell>
          <cell r="AD249">
            <v>0</v>
          </cell>
          <cell r="AE249">
            <v>0</v>
          </cell>
          <cell r="AF249">
            <v>0</v>
          </cell>
        </row>
        <row r="250">
          <cell r="A250">
            <v>1600019</v>
          </cell>
          <cell r="H250">
            <v>10365</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A251">
            <v>1600020</v>
          </cell>
          <cell r="B251" t="str">
            <v>1600020</v>
          </cell>
          <cell r="C251" t="str">
            <v>0</v>
          </cell>
          <cell r="D251" t="str">
            <v>16000</v>
          </cell>
          <cell r="E251" t="str">
            <v>TCSADMIN</v>
          </cell>
          <cell r="F251">
            <v>0</v>
          </cell>
          <cell r="G251" t="str">
            <v>WATER PURIFIER</v>
          </cell>
          <cell r="H251">
            <v>7590</v>
          </cell>
          <cell r="K251">
            <v>0</v>
          </cell>
          <cell r="L251">
            <v>0</v>
          </cell>
          <cell r="M251">
            <v>-2018</v>
          </cell>
          <cell r="N251">
            <v>0</v>
          </cell>
          <cell r="O251">
            <v>0</v>
          </cell>
          <cell r="P251">
            <v>0</v>
          </cell>
          <cell r="Q251">
            <v>0</v>
          </cell>
          <cell r="R251">
            <v>0</v>
          </cell>
          <cell r="S251">
            <v>0</v>
          </cell>
          <cell r="T251">
            <v>0</v>
          </cell>
          <cell r="U251">
            <v>0</v>
          </cell>
          <cell r="V251">
            <v>-775.07</v>
          </cell>
          <cell r="W251">
            <v>0</v>
          </cell>
          <cell r="X251">
            <v>0</v>
          </cell>
          <cell r="Y251">
            <v>0</v>
          </cell>
          <cell r="Z251">
            <v>0</v>
          </cell>
          <cell r="AA251">
            <v>0</v>
          </cell>
          <cell r="AB251">
            <v>0</v>
          </cell>
          <cell r="AC251">
            <v>0</v>
          </cell>
          <cell r="AD251">
            <v>0</v>
          </cell>
          <cell r="AE251">
            <v>0</v>
          </cell>
          <cell r="AF251">
            <v>0</v>
          </cell>
        </row>
        <row r="252">
          <cell r="A252">
            <v>1600020</v>
          </cell>
          <cell r="H252">
            <v>7590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A253">
            <v>1600020</v>
          </cell>
          <cell r="H253">
            <v>7590</v>
          </cell>
          <cell r="K253">
            <v>0</v>
          </cell>
          <cell r="L253">
            <v>0</v>
          </cell>
          <cell r="M253">
            <v>-2793.07</v>
          </cell>
          <cell r="N253">
            <v>0</v>
          </cell>
          <cell r="O253">
            <v>0</v>
          </cell>
          <cell r="P253">
            <v>0</v>
          </cell>
          <cell r="Q253">
            <v>0</v>
          </cell>
          <cell r="R253">
            <v>0</v>
          </cell>
          <cell r="S253">
            <v>0</v>
          </cell>
          <cell r="T253">
            <v>0</v>
          </cell>
          <cell r="U253">
            <v>0</v>
          </cell>
          <cell r="V253">
            <v>-667.25</v>
          </cell>
          <cell r="W253">
            <v>0</v>
          </cell>
          <cell r="X253">
            <v>0</v>
          </cell>
          <cell r="Y253">
            <v>0</v>
          </cell>
          <cell r="Z253">
            <v>0</v>
          </cell>
          <cell r="AA253">
            <v>0</v>
          </cell>
          <cell r="AB253">
            <v>0</v>
          </cell>
          <cell r="AC253">
            <v>0</v>
          </cell>
          <cell r="AD253">
            <v>0</v>
          </cell>
          <cell r="AE253">
            <v>0</v>
          </cell>
          <cell r="AF253">
            <v>0</v>
          </cell>
        </row>
        <row r="254">
          <cell r="A254">
            <v>1600020</v>
          </cell>
          <cell r="H254">
            <v>7590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A255">
            <v>1600021</v>
          </cell>
          <cell r="B255" t="str">
            <v>1600021</v>
          </cell>
          <cell r="C255" t="str">
            <v>0</v>
          </cell>
          <cell r="D255" t="str">
            <v>16000</v>
          </cell>
          <cell r="E255" t="str">
            <v>TCSADMIN</v>
          </cell>
          <cell r="F255">
            <v>0</v>
          </cell>
          <cell r="G255" t="str">
            <v>REFRIGERATOR</v>
          </cell>
          <cell r="H255">
            <v>9890</v>
          </cell>
          <cell r="K255">
            <v>0</v>
          </cell>
          <cell r="L255">
            <v>0</v>
          </cell>
          <cell r="M255">
            <v>-2639</v>
          </cell>
          <cell r="N255">
            <v>0</v>
          </cell>
          <cell r="O255">
            <v>0</v>
          </cell>
          <cell r="P255">
            <v>0</v>
          </cell>
          <cell r="Q255">
            <v>0</v>
          </cell>
          <cell r="R255">
            <v>0</v>
          </cell>
          <cell r="S255">
            <v>0</v>
          </cell>
          <cell r="T255">
            <v>0</v>
          </cell>
          <cell r="U255">
            <v>0</v>
          </cell>
          <cell r="V255">
            <v>-1008.61</v>
          </cell>
          <cell r="W255">
            <v>0</v>
          </cell>
          <cell r="X255">
            <v>0</v>
          </cell>
          <cell r="Y255">
            <v>0</v>
          </cell>
          <cell r="Z255">
            <v>0</v>
          </cell>
          <cell r="AA255">
            <v>0</v>
          </cell>
          <cell r="AB255">
            <v>0</v>
          </cell>
          <cell r="AC255">
            <v>0</v>
          </cell>
          <cell r="AD255">
            <v>0</v>
          </cell>
          <cell r="AE255">
            <v>0</v>
          </cell>
          <cell r="AF255">
            <v>0</v>
          </cell>
        </row>
        <row r="256">
          <cell r="A256">
            <v>1600021</v>
          </cell>
          <cell r="H256">
            <v>9890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A257">
            <v>1600021</v>
          </cell>
          <cell r="H257">
            <v>9890</v>
          </cell>
          <cell r="K257">
            <v>0</v>
          </cell>
          <cell r="L257">
            <v>0</v>
          </cell>
          <cell r="M257">
            <v>-3647.61</v>
          </cell>
          <cell r="N257">
            <v>0</v>
          </cell>
          <cell r="O257">
            <v>0</v>
          </cell>
          <cell r="P257">
            <v>0</v>
          </cell>
          <cell r="Q257">
            <v>0</v>
          </cell>
          <cell r="R257">
            <v>0</v>
          </cell>
          <cell r="S257">
            <v>0</v>
          </cell>
          <cell r="T257">
            <v>0</v>
          </cell>
          <cell r="U257">
            <v>0</v>
          </cell>
          <cell r="V257">
            <v>-868.32</v>
          </cell>
          <cell r="W257">
            <v>0</v>
          </cell>
          <cell r="X257">
            <v>0</v>
          </cell>
          <cell r="Y257">
            <v>0</v>
          </cell>
          <cell r="Z257">
            <v>0</v>
          </cell>
          <cell r="AA257">
            <v>0</v>
          </cell>
          <cell r="AB257">
            <v>0</v>
          </cell>
          <cell r="AC257">
            <v>0</v>
          </cell>
          <cell r="AD257">
            <v>0</v>
          </cell>
          <cell r="AE257">
            <v>0</v>
          </cell>
          <cell r="AF257">
            <v>0</v>
          </cell>
        </row>
        <row r="258">
          <cell r="A258">
            <v>1600021</v>
          </cell>
          <cell r="H258">
            <v>9890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A259">
            <v>1600022</v>
          </cell>
          <cell r="B259" t="str">
            <v>1600022</v>
          </cell>
          <cell r="C259" t="str">
            <v>0</v>
          </cell>
          <cell r="D259" t="str">
            <v>16000</v>
          </cell>
          <cell r="E259" t="str">
            <v>TCSADMIN</v>
          </cell>
          <cell r="F259">
            <v>0</v>
          </cell>
          <cell r="G259" t="str">
            <v>AIR CONDITION - RAJKOT</v>
          </cell>
          <cell r="H259">
            <v>46000</v>
          </cell>
          <cell r="K259">
            <v>0</v>
          </cell>
          <cell r="L259">
            <v>0</v>
          </cell>
          <cell r="M259">
            <v>-12206</v>
          </cell>
          <cell r="N259">
            <v>0</v>
          </cell>
          <cell r="O259">
            <v>0</v>
          </cell>
          <cell r="P259">
            <v>0</v>
          </cell>
          <cell r="Q259">
            <v>0</v>
          </cell>
          <cell r="R259">
            <v>0</v>
          </cell>
          <cell r="S259">
            <v>0</v>
          </cell>
          <cell r="T259">
            <v>0</v>
          </cell>
          <cell r="U259">
            <v>0</v>
          </cell>
          <cell r="V259">
            <v>-4700.75</v>
          </cell>
          <cell r="W259">
            <v>0</v>
          </cell>
          <cell r="X259">
            <v>0</v>
          </cell>
          <cell r="Y259">
            <v>0</v>
          </cell>
          <cell r="Z259">
            <v>0</v>
          </cell>
          <cell r="AA259">
            <v>0</v>
          </cell>
          <cell r="AB259">
            <v>0</v>
          </cell>
          <cell r="AC259">
            <v>0</v>
          </cell>
          <cell r="AD259">
            <v>0</v>
          </cell>
          <cell r="AE259">
            <v>0</v>
          </cell>
          <cell r="AF259">
            <v>0</v>
          </cell>
        </row>
        <row r="260">
          <cell r="A260">
            <v>1600022</v>
          </cell>
          <cell r="H260">
            <v>46000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A261">
            <v>1600022</v>
          </cell>
          <cell r="H261">
            <v>46000</v>
          </cell>
          <cell r="K261">
            <v>0</v>
          </cell>
          <cell r="L261">
            <v>0</v>
          </cell>
          <cell r="M261">
            <v>-16906.75</v>
          </cell>
          <cell r="N261">
            <v>0</v>
          </cell>
          <cell r="O261">
            <v>0</v>
          </cell>
          <cell r="P261">
            <v>0</v>
          </cell>
          <cell r="Q261">
            <v>0</v>
          </cell>
          <cell r="R261">
            <v>0</v>
          </cell>
          <cell r="S261">
            <v>0</v>
          </cell>
          <cell r="T261">
            <v>0</v>
          </cell>
          <cell r="U261">
            <v>0</v>
          </cell>
          <cell r="V261">
            <v>-4046.87</v>
          </cell>
          <cell r="W261">
            <v>0</v>
          </cell>
          <cell r="X261">
            <v>0</v>
          </cell>
          <cell r="Y261">
            <v>0</v>
          </cell>
          <cell r="Z261">
            <v>0</v>
          </cell>
          <cell r="AA261">
            <v>0</v>
          </cell>
          <cell r="AB261">
            <v>0</v>
          </cell>
          <cell r="AC261">
            <v>0</v>
          </cell>
          <cell r="AD261">
            <v>0</v>
          </cell>
          <cell r="AE261">
            <v>0</v>
          </cell>
          <cell r="AF261">
            <v>0</v>
          </cell>
        </row>
        <row r="262">
          <cell r="A262">
            <v>1600022</v>
          </cell>
          <cell r="H262">
            <v>46000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A263">
            <v>1600023</v>
          </cell>
          <cell r="B263" t="str">
            <v>1600023</v>
          </cell>
          <cell r="C263" t="str">
            <v>0</v>
          </cell>
          <cell r="D263" t="str">
            <v>16000</v>
          </cell>
          <cell r="E263" t="str">
            <v>TCSADMIN</v>
          </cell>
          <cell r="F263">
            <v>0</v>
          </cell>
          <cell r="G263" t="str">
            <v>AIR CONDITIONER</v>
          </cell>
          <cell r="H263">
            <v>84671</v>
          </cell>
          <cell r="K263">
            <v>0</v>
          </cell>
          <cell r="L263">
            <v>0</v>
          </cell>
          <cell r="M263">
            <v>-31296.25</v>
          </cell>
          <cell r="N263">
            <v>0</v>
          </cell>
          <cell r="O263">
            <v>0</v>
          </cell>
          <cell r="P263">
            <v>0</v>
          </cell>
          <cell r="Q263">
            <v>0</v>
          </cell>
          <cell r="R263">
            <v>0</v>
          </cell>
          <cell r="S263">
            <v>0</v>
          </cell>
          <cell r="T263">
            <v>0</v>
          </cell>
          <cell r="U263">
            <v>0</v>
          </cell>
          <cell r="V263">
            <v>-7424.43</v>
          </cell>
          <cell r="W263">
            <v>0</v>
          </cell>
          <cell r="X263">
            <v>0</v>
          </cell>
          <cell r="Y263">
            <v>0</v>
          </cell>
          <cell r="Z263">
            <v>0</v>
          </cell>
          <cell r="AA263">
            <v>0</v>
          </cell>
          <cell r="AB263">
            <v>0</v>
          </cell>
          <cell r="AC263">
            <v>0</v>
          </cell>
          <cell r="AD263">
            <v>0</v>
          </cell>
          <cell r="AE263">
            <v>0</v>
          </cell>
          <cell r="AF263">
            <v>0</v>
          </cell>
        </row>
        <row r="264">
          <cell r="A264">
            <v>1600023</v>
          </cell>
          <cell r="H264">
            <v>84671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A265">
            <v>1600023</v>
          </cell>
          <cell r="H265">
            <v>84671</v>
          </cell>
          <cell r="K265">
            <v>0</v>
          </cell>
          <cell r="L265">
            <v>0</v>
          </cell>
          <cell r="M265">
            <v>-38720.68</v>
          </cell>
          <cell r="N265">
            <v>0</v>
          </cell>
          <cell r="O265">
            <v>0</v>
          </cell>
          <cell r="P265">
            <v>0</v>
          </cell>
          <cell r="Q265">
            <v>0</v>
          </cell>
          <cell r="R265">
            <v>0</v>
          </cell>
          <cell r="S265">
            <v>0</v>
          </cell>
          <cell r="T265">
            <v>0</v>
          </cell>
          <cell r="U265">
            <v>0</v>
          </cell>
          <cell r="V265">
            <v>-6391.69</v>
          </cell>
          <cell r="W265">
            <v>0</v>
          </cell>
          <cell r="X265">
            <v>0</v>
          </cell>
          <cell r="Y265">
            <v>0</v>
          </cell>
          <cell r="Z265">
            <v>0</v>
          </cell>
          <cell r="AA265">
            <v>0</v>
          </cell>
          <cell r="AB265">
            <v>0</v>
          </cell>
          <cell r="AC265">
            <v>0</v>
          </cell>
          <cell r="AD265">
            <v>0</v>
          </cell>
          <cell r="AE265">
            <v>0</v>
          </cell>
          <cell r="AF265">
            <v>0</v>
          </cell>
        </row>
        <row r="266">
          <cell r="A266">
            <v>1600023</v>
          </cell>
          <cell r="H266">
            <v>84671</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A267">
            <v>1600024</v>
          </cell>
          <cell r="B267" t="str">
            <v>1600024</v>
          </cell>
          <cell r="C267" t="str">
            <v>0</v>
          </cell>
          <cell r="D267" t="str">
            <v>16000</v>
          </cell>
          <cell r="E267" t="str">
            <v>TCSADMIN</v>
          </cell>
          <cell r="F267">
            <v>0</v>
          </cell>
          <cell r="G267" t="str">
            <v>AIR PROCESSORS</v>
          </cell>
          <cell r="H267">
            <v>6400</v>
          </cell>
          <cell r="K267">
            <v>0</v>
          </cell>
          <cell r="L267">
            <v>0</v>
          </cell>
          <cell r="M267">
            <v>-1245.0999999999999</v>
          </cell>
          <cell r="N267">
            <v>0</v>
          </cell>
          <cell r="O267">
            <v>0</v>
          </cell>
          <cell r="P267">
            <v>0</v>
          </cell>
          <cell r="Q267">
            <v>0</v>
          </cell>
          <cell r="R267">
            <v>0</v>
          </cell>
          <cell r="S267">
            <v>0</v>
          </cell>
          <cell r="T267">
            <v>0</v>
          </cell>
          <cell r="U267">
            <v>0</v>
          </cell>
          <cell r="V267">
            <v>-717.05</v>
          </cell>
          <cell r="W267">
            <v>0</v>
          </cell>
          <cell r="X267">
            <v>0</v>
          </cell>
          <cell r="Y267">
            <v>0</v>
          </cell>
          <cell r="Z267">
            <v>0</v>
          </cell>
          <cell r="AA267">
            <v>0</v>
          </cell>
          <cell r="AB267">
            <v>0</v>
          </cell>
          <cell r="AC267">
            <v>0</v>
          </cell>
          <cell r="AD267">
            <v>0</v>
          </cell>
          <cell r="AE267">
            <v>0</v>
          </cell>
          <cell r="AF267">
            <v>0</v>
          </cell>
        </row>
        <row r="268">
          <cell r="A268">
            <v>1600024</v>
          </cell>
          <cell r="H268">
            <v>6400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A269">
            <v>1600024</v>
          </cell>
          <cell r="H269">
            <v>6400</v>
          </cell>
          <cell r="K269">
            <v>0</v>
          </cell>
          <cell r="L269">
            <v>0</v>
          </cell>
          <cell r="M269">
            <v>-1962.15</v>
          </cell>
          <cell r="N269">
            <v>0</v>
          </cell>
          <cell r="O269">
            <v>0</v>
          </cell>
          <cell r="P269">
            <v>0</v>
          </cell>
          <cell r="Q269">
            <v>0</v>
          </cell>
          <cell r="R269">
            <v>0</v>
          </cell>
          <cell r="S269">
            <v>0</v>
          </cell>
          <cell r="T269">
            <v>0</v>
          </cell>
          <cell r="U269">
            <v>0</v>
          </cell>
          <cell r="V269">
            <v>-617.29999999999995</v>
          </cell>
          <cell r="W269">
            <v>0</v>
          </cell>
          <cell r="X269">
            <v>0</v>
          </cell>
          <cell r="Y269">
            <v>0</v>
          </cell>
          <cell r="Z269">
            <v>0</v>
          </cell>
          <cell r="AA269">
            <v>0</v>
          </cell>
          <cell r="AB269">
            <v>0</v>
          </cell>
          <cell r="AC269">
            <v>0</v>
          </cell>
          <cell r="AD269">
            <v>0</v>
          </cell>
          <cell r="AE269">
            <v>0</v>
          </cell>
          <cell r="AF269">
            <v>0</v>
          </cell>
        </row>
        <row r="270">
          <cell r="A270">
            <v>1600024</v>
          </cell>
          <cell r="H270">
            <v>6400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A271">
            <v>1600025</v>
          </cell>
          <cell r="B271" t="str">
            <v>1600025</v>
          </cell>
          <cell r="C271" t="str">
            <v>0</v>
          </cell>
          <cell r="D271" t="str">
            <v>16000</v>
          </cell>
          <cell r="E271" t="str">
            <v>TCSADMIN</v>
          </cell>
          <cell r="F271">
            <v>0</v>
          </cell>
          <cell r="G271" t="str">
            <v>LOCKER</v>
          </cell>
          <cell r="H271">
            <v>18144</v>
          </cell>
          <cell r="K271">
            <v>0</v>
          </cell>
          <cell r="L271">
            <v>0</v>
          </cell>
          <cell r="M271">
            <v>-3964.4</v>
          </cell>
          <cell r="N271">
            <v>0</v>
          </cell>
          <cell r="O271">
            <v>0</v>
          </cell>
          <cell r="P271">
            <v>0</v>
          </cell>
          <cell r="Q271">
            <v>0</v>
          </cell>
          <cell r="R271">
            <v>0</v>
          </cell>
          <cell r="S271">
            <v>0</v>
          </cell>
          <cell r="T271">
            <v>0</v>
          </cell>
          <cell r="U271">
            <v>0</v>
          </cell>
          <cell r="V271">
            <v>-1972.38</v>
          </cell>
          <cell r="W271">
            <v>0</v>
          </cell>
          <cell r="X271">
            <v>0</v>
          </cell>
          <cell r="Y271">
            <v>0</v>
          </cell>
          <cell r="Z271">
            <v>0</v>
          </cell>
          <cell r="AA271">
            <v>0</v>
          </cell>
          <cell r="AB271">
            <v>0</v>
          </cell>
          <cell r="AC271">
            <v>0</v>
          </cell>
          <cell r="AD271">
            <v>0</v>
          </cell>
          <cell r="AE271">
            <v>0</v>
          </cell>
          <cell r="AF271">
            <v>0</v>
          </cell>
        </row>
        <row r="272">
          <cell r="A272">
            <v>1600025</v>
          </cell>
          <cell r="H272">
            <v>18144</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A273">
            <v>1600025</v>
          </cell>
          <cell r="H273">
            <v>18144</v>
          </cell>
          <cell r="K273">
            <v>0</v>
          </cell>
          <cell r="L273">
            <v>0</v>
          </cell>
          <cell r="M273">
            <v>-5936.78</v>
          </cell>
          <cell r="N273">
            <v>0</v>
          </cell>
          <cell r="O273">
            <v>0</v>
          </cell>
          <cell r="P273">
            <v>0</v>
          </cell>
          <cell r="Q273">
            <v>0</v>
          </cell>
          <cell r="R273">
            <v>0</v>
          </cell>
          <cell r="S273">
            <v>0</v>
          </cell>
          <cell r="T273">
            <v>0</v>
          </cell>
          <cell r="U273">
            <v>0</v>
          </cell>
          <cell r="V273">
            <v>-1698.02</v>
          </cell>
          <cell r="W273">
            <v>0</v>
          </cell>
          <cell r="X273">
            <v>0</v>
          </cell>
          <cell r="Y273">
            <v>0</v>
          </cell>
          <cell r="Z273">
            <v>0</v>
          </cell>
          <cell r="AA273">
            <v>0</v>
          </cell>
          <cell r="AB273">
            <v>0</v>
          </cell>
          <cell r="AC273">
            <v>0</v>
          </cell>
          <cell r="AD273">
            <v>0</v>
          </cell>
          <cell r="AE273">
            <v>0</v>
          </cell>
          <cell r="AF273">
            <v>0</v>
          </cell>
        </row>
        <row r="274">
          <cell r="A274">
            <v>1600025</v>
          </cell>
          <cell r="H274">
            <v>18144</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A275">
            <v>1600026</v>
          </cell>
          <cell r="B275" t="str">
            <v>1600026</v>
          </cell>
          <cell r="C275" t="str">
            <v>0</v>
          </cell>
          <cell r="D275" t="str">
            <v>16000</v>
          </cell>
          <cell r="E275" t="str">
            <v>TCSADMIN</v>
          </cell>
          <cell r="F275">
            <v>0</v>
          </cell>
          <cell r="G275" t="str">
            <v>GRANITE NAME PLATE</v>
          </cell>
          <cell r="H275">
            <v>10481</v>
          </cell>
          <cell r="K275">
            <v>0</v>
          </cell>
          <cell r="L275">
            <v>0</v>
          </cell>
          <cell r="M275">
            <v>-2386.35</v>
          </cell>
          <cell r="N275">
            <v>0</v>
          </cell>
          <cell r="O275">
            <v>0</v>
          </cell>
          <cell r="P275">
            <v>0</v>
          </cell>
          <cell r="Q275">
            <v>0</v>
          </cell>
          <cell r="R275">
            <v>0</v>
          </cell>
          <cell r="S275">
            <v>0</v>
          </cell>
          <cell r="T275">
            <v>0</v>
          </cell>
          <cell r="U275">
            <v>0</v>
          </cell>
          <cell r="V275">
            <v>-1125.97</v>
          </cell>
          <cell r="W275">
            <v>0</v>
          </cell>
          <cell r="X275">
            <v>0</v>
          </cell>
          <cell r="Y275">
            <v>0</v>
          </cell>
          <cell r="Z275">
            <v>0</v>
          </cell>
          <cell r="AA275">
            <v>0</v>
          </cell>
          <cell r="AB275">
            <v>0</v>
          </cell>
          <cell r="AC275">
            <v>0</v>
          </cell>
          <cell r="AD275">
            <v>0</v>
          </cell>
          <cell r="AE275">
            <v>0</v>
          </cell>
          <cell r="AF275">
            <v>0</v>
          </cell>
        </row>
        <row r="276">
          <cell r="A276">
            <v>1600026</v>
          </cell>
          <cell r="H276">
            <v>10481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A277">
            <v>1600026</v>
          </cell>
          <cell r="H277">
            <v>10481</v>
          </cell>
          <cell r="K277">
            <v>0</v>
          </cell>
          <cell r="L277">
            <v>0</v>
          </cell>
          <cell r="M277">
            <v>-3512.32</v>
          </cell>
          <cell r="N277">
            <v>0</v>
          </cell>
          <cell r="O277">
            <v>0</v>
          </cell>
          <cell r="P277">
            <v>0</v>
          </cell>
          <cell r="Q277">
            <v>0</v>
          </cell>
          <cell r="R277">
            <v>0</v>
          </cell>
          <cell r="S277">
            <v>0</v>
          </cell>
          <cell r="T277">
            <v>0</v>
          </cell>
          <cell r="U277">
            <v>0</v>
          </cell>
          <cell r="V277">
            <v>-969.34</v>
          </cell>
          <cell r="W277">
            <v>0</v>
          </cell>
          <cell r="X277">
            <v>0</v>
          </cell>
          <cell r="Y277">
            <v>0</v>
          </cell>
          <cell r="Z277">
            <v>0</v>
          </cell>
          <cell r="AA277">
            <v>0</v>
          </cell>
          <cell r="AB277">
            <v>0</v>
          </cell>
          <cell r="AC277">
            <v>0</v>
          </cell>
          <cell r="AD277">
            <v>0</v>
          </cell>
          <cell r="AE277">
            <v>0</v>
          </cell>
          <cell r="AF277">
            <v>0</v>
          </cell>
        </row>
        <row r="278">
          <cell r="A278">
            <v>1600026</v>
          </cell>
          <cell r="H278">
            <v>10481</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A279">
            <v>1600027</v>
          </cell>
          <cell r="B279" t="str">
            <v>1600027</v>
          </cell>
          <cell r="C279" t="str">
            <v>0</v>
          </cell>
          <cell r="D279" t="str">
            <v>16000</v>
          </cell>
          <cell r="E279" t="str">
            <v>TCSADMIN</v>
          </cell>
          <cell r="F279">
            <v>0</v>
          </cell>
          <cell r="G279" t="str">
            <v>REFRIGERATOR</v>
          </cell>
          <cell r="H279">
            <v>5750</v>
          </cell>
          <cell r="K279">
            <v>0</v>
          </cell>
          <cell r="L279">
            <v>0</v>
          </cell>
          <cell r="M279">
            <v>-232.28</v>
          </cell>
          <cell r="N279">
            <v>0</v>
          </cell>
          <cell r="O279">
            <v>0</v>
          </cell>
          <cell r="P279">
            <v>0</v>
          </cell>
          <cell r="Q279">
            <v>0</v>
          </cell>
          <cell r="R279">
            <v>0</v>
          </cell>
          <cell r="S279">
            <v>0</v>
          </cell>
          <cell r="T279">
            <v>0</v>
          </cell>
          <cell r="U279">
            <v>0</v>
          </cell>
          <cell r="V279">
            <v>-767.51</v>
          </cell>
          <cell r="W279">
            <v>0</v>
          </cell>
          <cell r="X279">
            <v>0</v>
          </cell>
          <cell r="Y279">
            <v>0</v>
          </cell>
          <cell r="Z279">
            <v>0</v>
          </cell>
          <cell r="AA279">
            <v>0</v>
          </cell>
          <cell r="AB279">
            <v>0</v>
          </cell>
          <cell r="AC279">
            <v>0</v>
          </cell>
          <cell r="AD279">
            <v>0</v>
          </cell>
          <cell r="AE279">
            <v>0</v>
          </cell>
          <cell r="AF279">
            <v>0</v>
          </cell>
        </row>
        <row r="280">
          <cell r="A280">
            <v>1600027</v>
          </cell>
          <cell r="H280">
            <v>5750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row>
        <row r="281">
          <cell r="A281">
            <v>1600027</v>
          </cell>
          <cell r="H281">
            <v>5750</v>
          </cell>
          <cell r="K281">
            <v>0</v>
          </cell>
          <cell r="L281">
            <v>0</v>
          </cell>
          <cell r="M281">
            <v>-999.79</v>
          </cell>
          <cell r="N281">
            <v>0</v>
          </cell>
          <cell r="O281">
            <v>0</v>
          </cell>
          <cell r="P281">
            <v>0</v>
          </cell>
          <cell r="Q281">
            <v>0</v>
          </cell>
          <cell r="R281">
            <v>0</v>
          </cell>
          <cell r="S281">
            <v>0</v>
          </cell>
          <cell r="T281">
            <v>0</v>
          </cell>
          <cell r="U281">
            <v>0</v>
          </cell>
          <cell r="V281">
            <v>-660.75</v>
          </cell>
          <cell r="W281">
            <v>0</v>
          </cell>
          <cell r="X281">
            <v>0</v>
          </cell>
          <cell r="Y281">
            <v>0</v>
          </cell>
          <cell r="Z281">
            <v>0</v>
          </cell>
          <cell r="AA281">
            <v>0</v>
          </cell>
          <cell r="AB281">
            <v>0</v>
          </cell>
          <cell r="AC281">
            <v>0</v>
          </cell>
          <cell r="AD281">
            <v>0</v>
          </cell>
          <cell r="AE281">
            <v>0</v>
          </cell>
          <cell r="AF281">
            <v>0</v>
          </cell>
        </row>
        <row r="282">
          <cell r="A282">
            <v>1600027</v>
          </cell>
          <cell r="H282">
            <v>5750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A283">
            <v>1600028</v>
          </cell>
          <cell r="B283" t="str">
            <v>1600028</v>
          </cell>
          <cell r="C283" t="str">
            <v>0</v>
          </cell>
          <cell r="D283" t="str">
            <v>16000</v>
          </cell>
          <cell r="E283" t="str">
            <v>TCSADMIN</v>
          </cell>
          <cell r="F283">
            <v>0</v>
          </cell>
          <cell r="G283" t="str">
            <v>ELECTRIC BLOWER</v>
          </cell>
          <cell r="H283">
            <v>8700</v>
          </cell>
          <cell r="K283">
            <v>0</v>
          </cell>
          <cell r="L283">
            <v>0</v>
          </cell>
          <cell r="M283">
            <v>-8700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A284">
            <v>1600028</v>
          </cell>
          <cell r="H284">
            <v>8700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row>
        <row r="285">
          <cell r="A285">
            <v>1600028</v>
          </cell>
          <cell r="H285">
            <v>8700</v>
          </cell>
          <cell r="K285">
            <v>0</v>
          </cell>
          <cell r="L285">
            <v>0</v>
          </cell>
          <cell r="M285">
            <v>-8700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row>
        <row r="286">
          <cell r="A286">
            <v>1600028</v>
          </cell>
          <cell r="H286">
            <v>8700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row>
        <row r="287">
          <cell r="A287">
            <v>1600029</v>
          </cell>
          <cell r="B287" t="str">
            <v>1600029</v>
          </cell>
          <cell r="C287" t="str">
            <v>0</v>
          </cell>
          <cell r="D287" t="str">
            <v>16000</v>
          </cell>
          <cell r="E287" t="str">
            <v>G3PREMAL</v>
          </cell>
          <cell r="F287">
            <v>0</v>
          </cell>
          <cell r="G287" t="str">
            <v>SPLIT AIR CONDITIONING MACHINE</v>
          </cell>
          <cell r="H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row>
        <row r="288">
          <cell r="A288">
            <v>1600030</v>
          </cell>
          <cell r="B288" t="str">
            <v>1600030</v>
          </cell>
          <cell r="C288" t="str">
            <v>0</v>
          </cell>
          <cell r="D288" t="str">
            <v>16000</v>
          </cell>
          <cell r="E288" t="str">
            <v>G3PREMAL</v>
          </cell>
          <cell r="F288" t="str">
            <v>G3PREMAL</v>
          </cell>
          <cell r="G288" t="str">
            <v>Water Purifier (Infocity)</v>
          </cell>
          <cell r="H288">
            <v>0</v>
          </cell>
          <cell r="K288">
            <v>0</v>
          </cell>
          <cell r="L288">
            <v>0</v>
          </cell>
          <cell r="M288">
            <v>0</v>
          </cell>
          <cell r="N288">
            <v>0</v>
          </cell>
          <cell r="O288">
            <v>0</v>
          </cell>
          <cell r="P288">
            <v>0</v>
          </cell>
          <cell r="Q288">
            <v>0</v>
          </cell>
          <cell r="R288">
            <v>0</v>
          </cell>
          <cell r="S288">
            <v>0</v>
          </cell>
          <cell r="T288">
            <v>0</v>
          </cell>
          <cell r="U288">
            <v>0</v>
          </cell>
          <cell r="V288">
            <v>-2790.73</v>
          </cell>
          <cell r="W288">
            <v>0</v>
          </cell>
          <cell r="X288">
            <v>0</v>
          </cell>
          <cell r="Y288">
            <v>0</v>
          </cell>
          <cell r="Z288">
            <v>0</v>
          </cell>
          <cell r="AA288">
            <v>0</v>
          </cell>
          <cell r="AB288">
            <v>27950</v>
          </cell>
          <cell r="AC288">
            <v>0</v>
          </cell>
          <cell r="AD288">
            <v>0</v>
          </cell>
          <cell r="AE288">
            <v>0</v>
          </cell>
          <cell r="AF288">
            <v>0</v>
          </cell>
        </row>
        <row r="289">
          <cell r="A289">
            <v>1600030</v>
          </cell>
          <cell r="H289">
            <v>0</v>
          </cell>
          <cell r="K289">
            <v>0</v>
          </cell>
          <cell r="L289">
            <v>0</v>
          </cell>
          <cell r="M289">
            <v>0</v>
          </cell>
          <cell r="N289">
            <v>0</v>
          </cell>
          <cell r="O289">
            <v>0</v>
          </cell>
          <cell r="P289">
            <v>0</v>
          </cell>
          <cell r="Q289">
            <v>0</v>
          </cell>
          <cell r="R289">
            <v>0</v>
          </cell>
          <cell r="S289">
            <v>0</v>
          </cell>
          <cell r="T289">
            <v>0</v>
          </cell>
          <cell r="U289">
            <v>0</v>
          </cell>
          <cell r="V289">
            <v>-5240.63</v>
          </cell>
          <cell r="W289">
            <v>0</v>
          </cell>
          <cell r="X289">
            <v>0</v>
          </cell>
          <cell r="Y289">
            <v>0</v>
          </cell>
          <cell r="Z289">
            <v>0</v>
          </cell>
          <cell r="AA289">
            <v>0</v>
          </cell>
          <cell r="AB289">
            <v>27950</v>
          </cell>
          <cell r="AC289">
            <v>0</v>
          </cell>
          <cell r="AD289">
            <v>0</v>
          </cell>
          <cell r="AE289">
            <v>0</v>
          </cell>
          <cell r="AF289">
            <v>0</v>
          </cell>
        </row>
        <row r="290">
          <cell r="A290">
            <v>1600030</v>
          </cell>
          <cell r="H290">
            <v>27950</v>
          </cell>
          <cell r="K290">
            <v>0</v>
          </cell>
          <cell r="L290">
            <v>0</v>
          </cell>
          <cell r="M290">
            <v>-2790.73</v>
          </cell>
          <cell r="N290">
            <v>0</v>
          </cell>
          <cell r="O290">
            <v>0</v>
          </cell>
          <cell r="P290">
            <v>0</v>
          </cell>
          <cell r="Q290">
            <v>0</v>
          </cell>
          <cell r="R290">
            <v>0</v>
          </cell>
          <cell r="S290">
            <v>0</v>
          </cell>
          <cell r="T290">
            <v>0</v>
          </cell>
          <cell r="U290">
            <v>0</v>
          </cell>
          <cell r="V290">
            <v>-3499.65</v>
          </cell>
          <cell r="W290">
            <v>0</v>
          </cell>
          <cell r="X290">
            <v>0</v>
          </cell>
          <cell r="Y290">
            <v>0</v>
          </cell>
          <cell r="Z290">
            <v>0</v>
          </cell>
          <cell r="AA290">
            <v>0</v>
          </cell>
          <cell r="AB290">
            <v>0</v>
          </cell>
          <cell r="AC290">
            <v>0</v>
          </cell>
          <cell r="AD290">
            <v>0</v>
          </cell>
          <cell r="AE290">
            <v>0</v>
          </cell>
          <cell r="AF290">
            <v>0</v>
          </cell>
        </row>
        <row r="291">
          <cell r="A291">
            <v>1600030</v>
          </cell>
          <cell r="H291">
            <v>27950</v>
          </cell>
          <cell r="K291">
            <v>0</v>
          </cell>
          <cell r="L291">
            <v>0</v>
          </cell>
          <cell r="M291">
            <v>-5240.63</v>
          </cell>
          <cell r="N291">
            <v>0</v>
          </cell>
          <cell r="O291">
            <v>0</v>
          </cell>
          <cell r="P291">
            <v>0</v>
          </cell>
          <cell r="Q291">
            <v>0</v>
          </cell>
          <cell r="R291">
            <v>0</v>
          </cell>
          <cell r="S291">
            <v>0</v>
          </cell>
          <cell r="T291">
            <v>0</v>
          </cell>
          <cell r="U291">
            <v>0</v>
          </cell>
          <cell r="V291">
            <v>-5677.34</v>
          </cell>
          <cell r="W291">
            <v>0</v>
          </cell>
          <cell r="X291">
            <v>0</v>
          </cell>
          <cell r="Y291">
            <v>0</v>
          </cell>
          <cell r="Z291">
            <v>0</v>
          </cell>
          <cell r="AA291">
            <v>0</v>
          </cell>
          <cell r="AB291">
            <v>0</v>
          </cell>
          <cell r="AC291">
            <v>0</v>
          </cell>
          <cell r="AD291">
            <v>0</v>
          </cell>
          <cell r="AE291">
            <v>0</v>
          </cell>
          <cell r="AF291">
            <v>0</v>
          </cell>
        </row>
        <row r="292">
          <cell r="A292">
            <v>1600031</v>
          </cell>
          <cell r="B292" t="str">
            <v>1600031</v>
          </cell>
          <cell r="C292" t="str">
            <v>0</v>
          </cell>
          <cell r="D292" t="str">
            <v>16000</v>
          </cell>
          <cell r="E292" t="str">
            <v>G3PREMAL</v>
          </cell>
          <cell r="F292">
            <v>0</v>
          </cell>
          <cell r="G292" t="str">
            <v>Lightining Arrester</v>
          </cell>
          <cell r="H292">
            <v>0</v>
          </cell>
          <cell r="K292">
            <v>0</v>
          </cell>
          <cell r="L292">
            <v>0</v>
          </cell>
          <cell r="M292">
            <v>0</v>
          </cell>
          <cell r="N292">
            <v>0</v>
          </cell>
          <cell r="O292">
            <v>0</v>
          </cell>
          <cell r="P292">
            <v>0</v>
          </cell>
          <cell r="Q292">
            <v>0</v>
          </cell>
          <cell r="R292">
            <v>0</v>
          </cell>
          <cell r="S292">
            <v>0</v>
          </cell>
          <cell r="T292">
            <v>0</v>
          </cell>
          <cell r="U292">
            <v>0</v>
          </cell>
          <cell r="V292">
            <v>-4567.43</v>
          </cell>
          <cell r="W292">
            <v>0</v>
          </cell>
          <cell r="X292">
            <v>0</v>
          </cell>
          <cell r="Y292">
            <v>0</v>
          </cell>
          <cell r="Z292">
            <v>0</v>
          </cell>
          <cell r="AA292">
            <v>0</v>
          </cell>
          <cell r="AB292">
            <v>47000</v>
          </cell>
          <cell r="AC292">
            <v>0</v>
          </cell>
          <cell r="AD292">
            <v>0</v>
          </cell>
          <cell r="AE292">
            <v>0</v>
          </cell>
          <cell r="AF292">
            <v>0</v>
          </cell>
        </row>
        <row r="293">
          <cell r="A293">
            <v>1600031</v>
          </cell>
          <cell r="H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47000</v>
          </cell>
          <cell r="AC293">
            <v>0</v>
          </cell>
          <cell r="AD293">
            <v>0</v>
          </cell>
          <cell r="AE293">
            <v>0</v>
          </cell>
          <cell r="AF293">
            <v>0</v>
          </cell>
        </row>
        <row r="294">
          <cell r="A294">
            <v>1600031</v>
          </cell>
          <cell r="H294">
            <v>47000</v>
          </cell>
          <cell r="K294">
            <v>0</v>
          </cell>
          <cell r="L294">
            <v>0</v>
          </cell>
          <cell r="M294">
            <v>-4567.43</v>
          </cell>
          <cell r="N294">
            <v>0</v>
          </cell>
          <cell r="O294">
            <v>0</v>
          </cell>
          <cell r="P294">
            <v>0</v>
          </cell>
          <cell r="Q294">
            <v>0</v>
          </cell>
          <cell r="R294">
            <v>0</v>
          </cell>
          <cell r="S294">
            <v>0</v>
          </cell>
          <cell r="T294">
            <v>0</v>
          </cell>
          <cell r="U294">
            <v>0</v>
          </cell>
          <cell r="V294">
            <v>-5902.37</v>
          </cell>
          <cell r="W294">
            <v>0</v>
          </cell>
          <cell r="X294">
            <v>0</v>
          </cell>
          <cell r="Y294">
            <v>0</v>
          </cell>
          <cell r="Z294">
            <v>0</v>
          </cell>
          <cell r="AA294">
            <v>0</v>
          </cell>
          <cell r="AB294">
            <v>0</v>
          </cell>
          <cell r="AC294">
            <v>0</v>
          </cell>
          <cell r="AD294">
            <v>0</v>
          </cell>
          <cell r="AE294">
            <v>0</v>
          </cell>
          <cell r="AF294">
            <v>0</v>
          </cell>
        </row>
        <row r="295">
          <cell r="A295">
            <v>1600031</v>
          </cell>
          <cell r="H295">
            <v>47000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A296">
            <v>1600032</v>
          </cell>
          <cell r="B296" t="str">
            <v>1600032</v>
          </cell>
          <cell r="C296" t="str">
            <v>0</v>
          </cell>
          <cell r="D296" t="str">
            <v>16000</v>
          </cell>
          <cell r="E296" t="str">
            <v>G3PREMAL</v>
          </cell>
          <cell r="F296">
            <v>0</v>
          </cell>
          <cell r="G296" t="str">
            <v>Laser Jet Fax Machine</v>
          </cell>
          <cell r="H296">
            <v>0</v>
          </cell>
          <cell r="K296">
            <v>0</v>
          </cell>
          <cell r="L296">
            <v>0</v>
          </cell>
          <cell r="M296">
            <v>0</v>
          </cell>
          <cell r="N296">
            <v>0</v>
          </cell>
          <cell r="O296">
            <v>0</v>
          </cell>
          <cell r="P296">
            <v>0</v>
          </cell>
          <cell r="Q296">
            <v>0</v>
          </cell>
          <cell r="R296">
            <v>0</v>
          </cell>
          <cell r="S296">
            <v>0</v>
          </cell>
          <cell r="T296">
            <v>0</v>
          </cell>
          <cell r="U296">
            <v>0</v>
          </cell>
          <cell r="V296">
            <v>-1655.02</v>
          </cell>
          <cell r="W296">
            <v>0</v>
          </cell>
          <cell r="X296">
            <v>0</v>
          </cell>
          <cell r="Y296">
            <v>0</v>
          </cell>
          <cell r="Z296">
            <v>0</v>
          </cell>
          <cell r="AA296">
            <v>0</v>
          </cell>
          <cell r="AB296">
            <v>15400</v>
          </cell>
          <cell r="AC296">
            <v>0</v>
          </cell>
          <cell r="AD296">
            <v>0</v>
          </cell>
          <cell r="AE296">
            <v>0</v>
          </cell>
          <cell r="AF296">
            <v>0</v>
          </cell>
        </row>
        <row r="297">
          <cell r="A297">
            <v>1600032</v>
          </cell>
          <cell r="H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15400</v>
          </cell>
          <cell r="AC297">
            <v>0</v>
          </cell>
          <cell r="AD297">
            <v>0</v>
          </cell>
          <cell r="AE297">
            <v>0</v>
          </cell>
          <cell r="AF297">
            <v>0</v>
          </cell>
        </row>
        <row r="298">
          <cell r="A298">
            <v>1600033</v>
          </cell>
          <cell r="B298" t="str">
            <v>1600033</v>
          </cell>
          <cell r="C298" t="str">
            <v>0</v>
          </cell>
          <cell r="D298" t="str">
            <v>16000</v>
          </cell>
          <cell r="E298" t="str">
            <v>G3PREMAL</v>
          </cell>
          <cell r="F298">
            <v>0</v>
          </cell>
          <cell r="G298" t="str">
            <v>Laser Jet Fax Machine</v>
          </cell>
          <cell r="H298">
            <v>0</v>
          </cell>
          <cell r="K298">
            <v>0</v>
          </cell>
          <cell r="L298">
            <v>0</v>
          </cell>
          <cell r="M298">
            <v>0</v>
          </cell>
          <cell r="N298">
            <v>0</v>
          </cell>
          <cell r="O298">
            <v>0</v>
          </cell>
          <cell r="P298">
            <v>0</v>
          </cell>
          <cell r="Q298">
            <v>0</v>
          </cell>
          <cell r="R298">
            <v>0</v>
          </cell>
          <cell r="S298">
            <v>0</v>
          </cell>
          <cell r="T298">
            <v>0</v>
          </cell>
          <cell r="U298">
            <v>0</v>
          </cell>
          <cell r="V298">
            <v>-576.59</v>
          </cell>
          <cell r="W298">
            <v>0</v>
          </cell>
          <cell r="X298">
            <v>0</v>
          </cell>
          <cell r="Y298">
            <v>0</v>
          </cell>
          <cell r="Z298">
            <v>0</v>
          </cell>
          <cell r="AA298">
            <v>0</v>
          </cell>
          <cell r="AB298">
            <v>6252</v>
          </cell>
          <cell r="AC298">
            <v>0</v>
          </cell>
          <cell r="AD298">
            <v>0</v>
          </cell>
          <cell r="AE298">
            <v>0</v>
          </cell>
          <cell r="AF298">
            <v>0</v>
          </cell>
        </row>
        <row r="299">
          <cell r="A299">
            <v>1600033</v>
          </cell>
          <cell r="H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6252</v>
          </cell>
          <cell r="AC299">
            <v>0</v>
          </cell>
          <cell r="AD299">
            <v>0</v>
          </cell>
          <cell r="AE299">
            <v>0</v>
          </cell>
          <cell r="AF299">
            <v>0</v>
          </cell>
        </row>
        <row r="300">
          <cell r="A300">
            <v>1600034</v>
          </cell>
          <cell r="B300" t="str">
            <v>1600034</v>
          </cell>
          <cell r="C300" t="str">
            <v>0</v>
          </cell>
          <cell r="D300" t="str">
            <v>16000</v>
          </cell>
          <cell r="E300" t="str">
            <v>G3PREMAL</v>
          </cell>
          <cell r="F300" t="str">
            <v>G3PREMAL</v>
          </cell>
          <cell r="G300" t="str">
            <v>XEROX MACHINE - CP420</v>
          </cell>
          <cell r="H300">
            <v>0</v>
          </cell>
          <cell r="K300">
            <v>0</v>
          </cell>
          <cell r="L300">
            <v>0</v>
          </cell>
          <cell r="M300">
            <v>0</v>
          </cell>
          <cell r="N300">
            <v>0</v>
          </cell>
          <cell r="O300">
            <v>0</v>
          </cell>
          <cell r="P300">
            <v>0</v>
          </cell>
          <cell r="Q300">
            <v>0</v>
          </cell>
          <cell r="R300">
            <v>0</v>
          </cell>
          <cell r="S300">
            <v>0</v>
          </cell>
          <cell r="T300">
            <v>0</v>
          </cell>
          <cell r="U300">
            <v>0</v>
          </cell>
          <cell r="V300">
            <v>-1260.8699999999999</v>
          </cell>
          <cell r="W300">
            <v>0</v>
          </cell>
          <cell r="X300">
            <v>0</v>
          </cell>
          <cell r="Y300">
            <v>0</v>
          </cell>
          <cell r="Z300">
            <v>0</v>
          </cell>
          <cell r="AA300">
            <v>0</v>
          </cell>
          <cell r="AB300">
            <v>56076.800000000003</v>
          </cell>
          <cell r="AC300">
            <v>0</v>
          </cell>
          <cell r="AD300">
            <v>0</v>
          </cell>
          <cell r="AE300">
            <v>0</v>
          </cell>
          <cell r="AF300">
            <v>0</v>
          </cell>
        </row>
        <row r="301">
          <cell r="A301">
            <v>1600034</v>
          </cell>
          <cell r="H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56076.800000000003</v>
          </cell>
          <cell r="AC301">
            <v>0</v>
          </cell>
          <cell r="AD301">
            <v>0</v>
          </cell>
          <cell r="AE301">
            <v>0</v>
          </cell>
          <cell r="AF301">
            <v>0</v>
          </cell>
        </row>
        <row r="302">
          <cell r="A302">
            <v>1700000</v>
          </cell>
          <cell r="B302" t="str">
            <v>1700000</v>
          </cell>
          <cell r="C302" t="str">
            <v>0</v>
          </cell>
          <cell r="D302" t="str">
            <v>17000</v>
          </cell>
          <cell r="E302" t="str">
            <v>TCSADMIN</v>
          </cell>
          <cell r="F302">
            <v>0</v>
          </cell>
          <cell r="G302" t="str">
            <v>RADIO LINK - BARODA</v>
          </cell>
          <cell r="H302">
            <v>107406</v>
          </cell>
          <cell r="K302">
            <v>0</v>
          </cell>
          <cell r="L302">
            <v>0</v>
          </cell>
          <cell r="M302">
            <v>-30502.14</v>
          </cell>
          <cell r="N302">
            <v>0</v>
          </cell>
          <cell r="O302">
            <v>0</v>
          </cell>
          <cell r="P302">
            <v>0</v>
          </cell>
          <cell r="Q302">
            <v>0</v>
          </cell>
          <cell r="R302">
            <v>0</v>
          </cell>
          <cell r="S302">
            <v>0</v>
          </cell>
          <cell r="T302">
            <v>0</v>
          </cell>
          <cell r="U302">
            <v>0</v>
          </cell>
          <cell r="V302">
            <v>-10697.33</v>
          </cell>
          <cell r="W302">
            <v>0</v>
          </cell>
          <cell r="X302">
            <v>0</v>
          </cell>
          <cell r="Y302">
            <v>0</v>
          </cell>
          <cell r="Z302">
            <v>0</v>
          </cell>
          <cell r="AA302">
            <v>0</v>
          </cell>
          <cell r="AB302">
            <v>0</v>
          </cell>
          <cell r="AC302">
            <v>0</v>
          </cell>
          <cell r="AD302">
            <v>0</v>
          </cell>
          <cell r="AE302">
            <v>0</v>
          </cell>
          <cell r="AF302">
            <v>0</v>
          </cell>
        </row>
        <row r="303">
          <cell r="A303">
            <v>1700000</v>
          </cell>
          <cell r="H303">
            <v>107406</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A304">
            <v>1700000</v>
          </cell>
          <cell r="H304">
            <v>107406</v>
          </cell>
          <cell r="K304">
            <v>0</v>
          </cell>
          <cell r="L304">
            <v>0</v>
          </cell>
          <cell r="M304">
            <v>-41199.47</v>
          </cell>
          <cell r="N304">
            <v>0</v>
          </cell>
          <cell r="O304">
            <v>0</v>
          </cell>
          <cell r="P304">
            <v>0</v>
          </cell>
          <cell r="Q304">
            <v>0</v>
          </cell>
          <cell r="R304">
            <v>0</v>
          </cell>
          <cell r="S304">
            <v>0</v>
          </cell>
          <cell r="T304">
            <v>0</v>
          </cell>
          <cell r="U304">
            <v>0</v>
          </cell>
          <cell r="V304">
            <v>-9209.33</v>
          </cell>
          <cell r="W304">
            <v>0</v>
          </cell>
          <cell r="X304">
            <v>0</v>
          </cell>
          <cell r="Y304">
            <v>0</v>
          </cell>
          <cell r="Z304">
            <v>0</v>
          </cell>
          <cell r="AA304">
            <v>0</v>
          </cell>
          <cell r="AB304">
            <v>0</v>
          </cell>
          <cell r="AC304">
            <v>0</v>
          </cell>
          <cell r="AD304">
            <v>0</v>
          </cell>
          <cell r="AE304">
            <v>0</v>
          </cell>
          <cell r="AF304">
            <v>0</v>
          </cell>
        </row>
        <row r="305">
          <cell r="A305">
            <v>1700000</v>
          </cell>
          <cell r="H305">
            <v>107406</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row>
        <row r="306">
          <cell r="A306">
            <v>1700001</v>
          </cell>
          <cell r="B306" t="str">
            <v>1700001</v>
          </cell>
          <cell r="C306" t="str">
            <v>0</v>
          </cell>
          <cell r="D306" t="str">
            <v>17000</v>
          </cell>
          <cell r="E306" t="str">
            <v>TCSADMIN</v>
          </cell>
          <cell r="F306">
            <v>0</v>
          </cell>
          <cell r="G306" t="str">
            <v>ANTANNAE</v>
          </cell>
          <cell r="H306">
            <v>39500</v>
          </cell>
          <cell r="K306">
            <v>0</v>
          </cell>
          <cell r="L306">
            <v>0</v>
          </cell>
          <cell r="M306">
            <v>-8850.93</v>
          </cell>
          <cell r="N306">
            <v>0</v>
          </cell>
          <cell r="O306">
            <v>0</v>
          </cell>
          <cell r="P306">
            <v>0</v>
          </cell>
          <cell r="Q306">
            <v>0</v>
          </cell>
          <cell r="R306">
            <v>0</v>
          </cell>
          <cell r="S306">
            <v>0</v>
          </cell>
          <cell r="T306">
            <v>0</v>
          </cell>
          <cell r="U306">
            <v>0</v>
          </cell>
          <cell r="V306">
            <v>-4263.29</v>
          </cell>
          <cell r="W306">
            <v>0</v>
          </cell>
          <cell r="X306">
            <v>0</v>
          </cell>
          <cell r="Y306">
            <v>0</v>
          </cell>
          <cell r="Z306">
            <v>0</v>
          </cell>
          <cell r="AA306">
            <v>0</v>
          </cell>
          <cell r="AB306">
            <v>0</v>
          </cell>
          <cell r="AC306">
            <v>0</v>
          </cell>
          <cell r="AD306">
            <v>0</v>
          </cell>
          <cell r="AE306">
            <v>0</v>
          </cell>
          <cell r="AF306">
            <v>0</v>
          </cell>
        </row>
        <row r="307">
          <cell r="A307">
            <v>1700001</v>
          </cell>
          <cell r="H307">
            <v>39500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row>
        <row r="308">
          <cell r="A308">
            <v>1700001</v>
          </cell>
          <cell r="H308">
            <v>39500</v>
          </cell>
          <cell r="K308">
            <v>0</v>
          </cell>
          <cell r="L308">
            <v>0</v>
          </cell>
          <cell r="M308">
            <v>-13114.22</v>
          </cell>
          <cell r="N308">
            <v>0</v>
          </cell>
          <cell r="O308">
            <v>0</v>
          </cell>
          <cell r="P308">
            <v>0</v>
          </cell>
          <cell r="Q308">
            <v>0</v>
          </cell>
          <cell r="R308">
            <v>0</v>
          </cell>
          <cell r="S308">
            <v>0</v>
          </cell>
          <cell r="T308">
            <v>0</v>
          </cell>
          <cell r="U308">
            <v>0</v>
          </cell>
          <cell r="V308">
            <v>-3670.26</v>
          </cell>
          <cell r="W308">
            <v>0</v>
          </cell>
          <cell r="X308">
            <v>0</v>
          </cell>
          <cell r="Y308">
            <v>0</v>
          </cell>
          <cell r="Z308">
            <v>0</v>
          </cell>
          <cell r="AA308">
            <v>0</v>
          </cell>
          <cell r="AB308">
            <v>0</v>
          </cell>
          <cell r="AC308">
            <v>0</v>
          </cell>
          <cell r="AD308">
            <v>0</v>
          </cell>
          <cell r="AE308">
            <v>0</v>
          </cell>
          <cell r="AF308">
            <v>0</v>
          </cell>
        </row>
        <row r="309">
          <cell r="A309">
            <v>1700001</v>
          </cell>
          <cell r="H309">
            <v>39500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row>
        <row r="310">
          <cell r="A310">
            <v>1700002</v>
          </cell>
          <cell r="B310" t="str">
            <v>1700002</v>
          </cell>
          <cell r="C310" t="str">
            <v>0</v>
          </cell>
          <cell r="D310" t="str">
            <v>17000</v>
          </cell>
          <cell r="E310" t="str">
            <v>TCSADMIN</v>
          </cell>
          <cell r="F310">
            <v>0</v>
          </cell>
          <cell r="G310" t="str">
            <v>ROUTER</v>
          </cell>
          <cell r="H310">
            <v>20000</v>
          </cell>
          <cell r="K310">
            <v>0</v>
          </cell>
          <cell r="L310">
            <v>0</v>
          </cell>
          <cell r="M310">
            <v>-4481.4799999999996</v>
          </cell>
          <cell r="N310">
            <v>0</v>
          </cell>
          <cell r="O310">
            <v>0</v>
          </cell>
          <cell r="P310">
            <v>0</v>
          </cell>
          <cell r="Q310">
            <v>0</v>
          </cell>
          <cell r="R310">
            <v>0</v>
          </cell>
          <cell r="S310">
            <v>0</v>
          </cell>
          <cell r="T310">
            <v>0</v>
          </cell>
          <cell r="U310">
            <v>0</v>
          </cell>
          <cell r="V310">
            <v>-2158.63</v>
          </cell>
          <cell r="W310">
            <v>0</v>
          </cell>
          <cell r="X310">
            <v>0</v>
          </cell>
          <cell r="Y310">
            <v>0</v>
          </cell>
          <cell r="Z310">
            <v>0</v>
          </cell>
          <cell r="AA310">
            <v>0</v>
          </cell>
          <cell r="AB310">
            <v>0</v>
          </cell>
          <cell r="AC310">
            <v>0</v>
          </cell>
          <cell r="AD310">
            <v>0</v>
          </cell>
          <cell r="AE310">
            <v>0</v>
          </cell>
          <cell r="AF310">
            <v>0</v>
          </cell>
        </row>
        <row r="311">
          <cell r="A311">
            <v>1700002</v>
          </cell>
          <cell r="H311">
            <v>20000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row>
        <row r="312">
          <cell r="A312">
            <v>1700002</v>
          </cell>
          <cell r="H312">
            <v>20000</v>
          </cell>
          <cell r="K312">
            <v>0</v>
          </cell>
          <cell r="L312">
            <v>0</v>
          </cell>
          <cell r="M312">
            <v>-6640.11</v>
          </cell>
          <cell r="N312">
            <v>0</v>
          </cell>
          <cell r="O312">
            <v>0</v>
          </cell>
          <cell r="P312">
            <v>0</v>
          </cell>
          <cell r="Q312">
            <v>0</v>
          </cell>
          <cell r="R312">
            <v>0</v>
          </cell>
          <cell r="S312">
            <v>0</v>
          </cell>
          <cell r="T312">
            <v>0</v>
          </cell>
          <cell r="U312">
            <v>0</v>
          </cell>
          <cell r="V312">
            <v>-1858.36</v>
          </cell>
          <cell r="W312">
            <v>0</v>
          </cell>
          <cell r="X312">
            <v>0</v>
          </cell>
          <cell r="Y312">
            <v>0</v>
          </cell>
          <cell r="Z312">
            <v>0</v>
          </cell>
          <cell r="AA312">
            <v>0</v>
          </cell>
          <cell r="AB312">
            <v>0</v>
          </cell>
          <cell r="AC312">
            <v>0</v>
          </cell>
          <cell r="AD312">
            <v>0</v>
          </cell>
          <cell r="AE312">
            <v>0</v>
          </cell>
          <cell r="AF312">
            <v>0</v>
          </cell>
        </row>
        <row r="313">
          <cell r="A313">
            <v>1700002</v>
          </cell>
          <cell r="H313">
            <v>20000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row>
        <row r="314">
          <cell r="A314">
            <v>1700003</v>
          </cell>
          <cell r="B314" t="str">
            <v>1700003</v>
          </cell>
          <cell r="C314" t="str">
            <v>0</v>
          </cell>
          <cell r="D314" t="str">
            <v>17000</v>
          </cell>
          <cell r="E314" t="str">
            <v>TCSADMIN</v>
          </cell>
          <cell r="F314">
            <v>0</v>
          </cell>
          <cell r="G314" t="str">
            <v>RF CABLE</v>
          </cell>
          <cell r="H314">
            <v>70854</v>
          </cell>
          <cell r="K314">
            <v>0</v>
          </cell>
          <cell r="L314">
            <v>0</v>
          </cell>
          <cell r="M314">
            <v>-15876.55</v>
          </cell>
          <cell r="N314">
            <v>0</v>
          </cell>
          <cell r="O314">
            <v>0</v>
          </cell>
          <cell r="P314">
            <v>0</v>
          </cell>
          <cell r="Q314">
            <v>0</v>
          </cell>
          <cell r="R314">
            <v>0</v>
          </cell>
          <cell r="S314">
            <v>0</v>
          </cell>
          <cell r="T314">
            <v>0</v>
          </cell>
          <cell r="U314">
            <v>0</v>
          </cell>
          <cell r="V314">
            <v>-7647.36</v>
          </cell>
          <cell r="W314">
            <v>0</v>
          </cell>
          <cell r="X314">
            <v>0</v>
          </cell>
          <cell r="Y314">
            <v>0</v>
          </cell>
          <cell r="Z314">
            <v>0</v>
          </cell>
          <cell r="AA314">
            <v>0</v>
          </cell>
          <cell r="AB314">
            <v>0</v>
          </cell>
          <cell r="AC314">
            <v>0</v>
          </cell>
          <cell r="AD314">
            <v>0</v>
          </cell>
          <cell r="AE314">
            <v>0</v>
          </cell>
          <cell r="AF314">
            <v>0</v>
          </cell>
        </row>
        <row r="315">
          <cell r="A315">
            <v>1700003</v>
          </cell>
          <cell r="H315">
            <v>70854</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row>
        <row r="316">
          <cell r="A316">
            <v>1700003</v>
          </cell>
          <cell r="H316">
            <v>70854</v>
          </cell>
          <cell r="K316">
            <v>0</v>
          </cell>
          <cell r="L316">
            <v>0</v>
          </cell>
          <cell r="M316">
            <v>-23523.91</v>
          </cell>
          <cell r="N316">
            <v>0</v>
          </cell>
          <cell r="O316">
            <v>0</v>
          </cell>
          <cell r="P316">
            <v>0</v>
          </cell>
          <cell r="Q316">
            <v>0</v>
          </cell>
          <cell r="R316">
            <v>0</v>
          </cell>
          <cell r="S316">
            <v>0</v>
          </cell>
          <cell r="T316">
            <v>0</v>
          </cell>
          <cell r="U316">
            <v>0</v>
          </cell>
          <cell r="V316">
            <v>-6583.62</v>
          </cell>
          <cell r="W316">
            <v>0</v>
          </cell>
          <cell r="X316">
            <v>0</v>
          </cell>
          <cell r="Y316">
            <v>0</v>
          </cell>
          <cell r="Z316">
            <v>0</v>
          </cell>
          <cell r="AA316">
            <v>0</v>
          </cell>
          <cell r="AB316">
            <v>0</v>
          </cell>
          <cell r="AC316">
            <v>0</v>
          </cell>
          <cell r="AD316">
            <v>0</v>
          </cell>
          <cell r="AE316">
            <v>0</v>
          </cell>
          <cell r="AF316">
            <v>0</v>
          </cell>
        </row>
        <row r="317">
          <cell r="A317">
            <v>1700003</v>
          </cell>
          <cell r="H317">
            <v>70854</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row>
        <row r="318">
          <cell r="A318">
            <v>1700004</v>
          </cell>
          <cell r="B318" t="str">
            <v>1700004</v>
          </cell>
          <cell r="C318" t="str">
            <v>0</v>
          </cell>
          <cell r="D318" t="str">
            <v>17000</v>
          </cell>
          <cell r="E318" t="str">
            <v>TCSADMIN</v>
          </cell>
          <cell r="F318">
            <v>0</v>
          </cell>
          <cell r="G318" t="str">
            <v>ANTANNAE</v>
          </cell>
          <cell r="H318">
            <v>9360</v>
          </cell>
          <cell r="K318">
            <v>0</v>
          </cell>
          <cell r="L318">
            <v>0</v>
          </cell>
          <cell r="M318">
            <v>-1198.53</v>
          </cell>
          <cell r="N318">
            <v>0</v>
          </cell>
          <cell r="O318">
            <v>0</v>
          </cell>
          <cell r="P318">
            <v>0</v>
          </cell>
          <cell r="Q318">
            <v>0</v>
          </cell>
          <cell r="R318">
            <v>0</v>
          </cell>
          <cell r="S318">
            <v>0</v>
          </cell>
          <cell r="T318">
            <v>0</v>
          </cell>
          <cell r="U318">
            <v>0</v>
          </cell>
          <cell r="V318">
            <v>-1135.26</v>
          </cell>
          <cell r="W318">
            <v>0</v>
          </cell>
          <cell r="X318">
            <v>0</v>
          </cell>
          <cell r="Y318">
            <v>0</v>
          </cell>
          <cell r="Z318">
            <v>0</v>
          </cell>
          <cell r="AA318">
            <v>0</v>
          </cell>
          <cell r="AB318">
            <v>0</v>
          </cell>
          <cell r="AC318">
            <v>0</v>
          </cell>
          <cell r="AD318">
            <v>0</v>
          </cell>
          <cell r="AE318">
            <v>0</v>
          </cell>
          <cell r="AF318">
            <v>0</v>
          </cell>
        </row>
        <row r="319">
          <cell r="A319">
            <v>1700004</v>
          </cell>
          <cell r="H319">
            <v>9360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row>
        <row r="320">
          <cell r="A320">
            <v>1700004</v>
          </cell>
          <cell r="H320">
            <v>9360</v>
          </cell>
          <cell r="K320">
            <v>0</v>
          </cell>
          <cell r="L320">
            <v>0</v>
          </cell>
          <cell r="M320">
            <v>-2333.79</v>
          </cell>
          <cell r="N320">
            <v>0</v>
          </cell>
          <cell r="O320">
            <v>0</v>
          </cell>
          <cell r="P320">
            <v>0</v>
          </cell>
          <cell r="Q320">
            <v>0</v>
          </cell>
          <cell r="R320">
            <v>0</v>
          </cell>
          <cell r="S320">
            <v>0</v>
          </cell>
          <cell r="T320">
            <v>0</v>
          </cell>
          <cell r="U320">
            <v>0</v>
          </cell>
          <cell r="V320">
            <v>-977.35</v>
          </cell>
          <cell r="W320">
            <v>0</v>
          </cell>
          <cell r="X320">
            <v>0</v>
          </cell>
          <cell r="Y320">
            <v>0</v>
          </cell>
          <cell r="Z320">
            <v>0</v>
          </cell>
          <cell r="AA320">
            <v>0</v>
          </cell>
          <cell r="AB320">
            <v>0</v>
          </cell>
          <cell r="AC320">
            <v>0</v>
          </cell>
          <cell r="AD320">
            <v>0</v>
          </cell>
          <cell r="AE320">
            <v>0</v>
          </cell>
          <cell r="AF320">
            <v>0</v>
          </cell>
        </row>
        <row r="321">
          <cell r="A321">
            <v>1700004</v>
          </cell>
          <cell r="H321">
            <v>9360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row>
        <row r="322">
          <cell r="A322">
            <v>1700005</v>
          </cell>
          <cell r="B322" t="str">
            <v>1700005</v>
          </cell>
          <cell r="C322" t="str">
            <v>0</v>
          </cell>
          <cell r="D322" t="str">
            <v>17000</v>
          </cell>
          <cell r="E322" t="str">
            <v>TCSADMIN</v>
          </cell>
          <cell r="F322">
            <v>0</v>
          </cell>
          <cell r="G322" t="str">
            <v>RADIO LINK -</v>
          </cell>
          <cell r="H322">
            <v>29600</v>
          </cell>
          <cell r="K322">
            <v>0</v>
          </cell>
          <cell r="L322">
            <v>0</v>
          </cell>
          <cell r="M322">
            <v>-665.55</v>
          </cell>
          <cell r="N322">
            <v>0</v>
          </cell>
          <cell r="O322">
            <v>0</v>
          </cell>
          <cell r="P322">
            <v>0</v>
          </cell>
          <cell r="Q322">
            <v>0</v>
          </cell>
          <cell r="R322">
            <v>0</v>
          </cell>
          <cell r="S322">
            <v>0</v>
          </cell>
          <cell r="T322">
            <v>0</v>
          </cell>
          <cell r="U322">
            <v>0</v>
          </cell>
          <cell r="V322">
            <v>-6031.25</v>
          </cell>
          <cell r="W322">
            <v>0</v>
          </cell>
          <cell r="X322">
            <v>0</v>
          </cell>
          <cell r="Y322">
            <v>0</v>
          </cell>
          <cell r="Z322">
            <v>0</v>
          </cell>
          <cell r="AA322">
            <v>0</v>
          </cell>
          <cell r="AB322">
            <v>45000</v>
          </cell>
          <cell r="AC322">
            <v>0</v>
          </cell>
          <cell r="AD322">
            <v>0</v>
          </cell>
          <cell r="AE322">
            <v>0</v>
          </cell>
          <cell r="AF322">
            <v>0</v>
          </cell>
        </row>
        <row r="323">
          <cell r="A323">
            <v>1700005</v>
          </cell>
          <cell r="H323">
            <v>29600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45000</v>
          </cell>
          <cell r="AC323">
            <v>0</v>
          </cell>
          <cell r="AD323">
            <v>0</v>
          </cell>
          <cell r="AE323">
            <v>0</v>
          </cell>
          <cell r="AF323">
            <v>0</v>
          </cell>
        </row>
        <row r="324">
          <cell r="A324">
            <v>1700005</v>
          </cell>
          <cell r="H324">
            <v>74600</v>
          </cell>
          <cell r="K324">
            <v>0</v>
          </cell>
          <cell r="L324">
            <v>0</v>
          </cell>
          <cell r="M324">
            <v>-6696.8</v>
          </cell>
          <cell r="N324">
            <v>0</v>
          </cell>
          <cell r="O324">
            <v>0</v>
          </cell>
          <cell r="P324">
            <v>0</v>
          </cell>
          <cell r="Q324">
            <v>0</v>
          </cell>
          <cell r="R324">
            <v>0</v>
          </cell>
          <cell r="S324">
            <v>0</v>
          </cell>
          <cell r="T324">
            <v>0</v>
          </cell>
          <cell r="U324">
            <v>0</v>
          </cell>
          <cell r="V324">
            <v>-9445.34</v>
          </cell>
          <cell r="W324">
            <v>0</v>
          </cell>
          <cell r="X324">
            <v>0</v>
          </cell>
          <cell r="Y324">
            <v>0</v>
          </cell>
          <cell r="Z324">
            <v>0</v>
          </cell>
          <cell r="AA324">
            <v>0</v>
          </cell>
          <cell r="AB324">
            <v>0</v>
          </cell>
          <cell r="AC324">
            <v>0</v>
          </cell>
          <cell r="AD324">
            <v>0</v>
          </cell>
          <cell r="AE324">
            <v>0</v>
          </cell>
          <cell r="AF324">
            <v>0</v>
          </cell>
        </row>
        <row r="325">
          <cell r="A325">
            <v>1700005</v>
          </cell>
          <cell r="H325">
            <v>74600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row>
        <row r="326">
          <cell r="A326">
            <v>1700006</v>
          </cell>
          <cell r="B326" t="str">
            <v>1700006</v>
          </cell>
          <cell r="C326" t="str">
            <v>0</v>
          </cell>
          <cell r="D326" t="str">
            <v>17000</v>
          </cell>
          <cell r="E326" t="str">
            <v>TCSADMIN</v>
          </cell>
          <cell r="F326">
            <v>0</v>
          </cell>
          <cell r="G326" t="str">
            <v>OPTICAL FIBRE CABLE</v>
          </cell>
          <cell r="H326">
            <v>137961</v>
          </cell>
          <cell r="K326">
            <v>0</v>
          </cell>
          <cell r="L326">
            <v>0</v>
          </cell>
          <cell r="M326">
            <v>-49505.66</v>
          </cell>
          <cell r="N326">
            <v>0</v>
          </cell>
          <cell r="O326">
            <v>0</v>
          </cell>
          <cell r="P326">
            <v>0</v>
          </cell>
          <cell r="Q326">
            <v>0</v>
          </cell>
          <cell r="R326">
            <v>0</v>
          </cell>
          <cell r="S326">
            <v>0</v>
          </cell>
          <cell r="T326">
            <v>0</v>
          </cell>
          <cell r="U326">
            <v>0</v>
          </cell>
          <cell r="V326">
            <v>-12304.14</v>
          </cell>
          <cell r="W326">
            <v>0</v>
          </cell>
          <cell r="X326">
            <v>0</v>
          </cell>
          <cell r="Y326">
            <v>0</v>
          </cell>
          <cell r="Z326">
            <v>0</v>
          </cell>
          <cell r="AA326">
            <v>0</v>
          </cell>
          <cell r="AB326">
            <v>0</v>
          </cell>
          <cell r="AC326">
            <v>0</v>
          </cell>
          <cell r="AD326">
            <v>0</v>
          </cell>
          <cell r="AE326">
            <v>0</v>
          </cell>
          <cell r="AF326">
            <v>0</v>
          </cell>
        </row>
        <row r="327">
          <cell r="A327">
            <v>1700006</v>
          </cell>
          <cell r="H327">
            <v>137961</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row>
        <row r="328">
          <cell r="A328">
            <v>1700006</v>
          </cell>
          <cell r="H328">
            <v>137961</v>
          </cell>
          <cell r="K328">
            <v>0</v>
          </cell>
          <cell r="L328">
            <v>0</v>
          </cell>
          <cell r="M328">
            <v>-61809.8</v>
          </cell>
          <cell r="N328">
            <v>0</v>
          </cell>
          <cell r="O328">
            <v>0</v>
          </cell>
          <cell r="P328">
            <v>0</v>
          </cell>
          <cell r="Q328">
            <v>0</v>
          </cell>
          <cell r="R328">
            <v>0</v>
          </cell>
          <cell r="S328">
            <v>0</v>
          </cell>
          <cell r="T328">
            <v>0</v>
          </cell>
          <cell r="U328">
            <v>0</v>
          </cell>
          <cell r="V328">
            <v>-10592.63</v>
          </cell>
          <cell r="W328">
            <v>0</v>
          </cell>
          <cell r="X328">
            <v>0</v>
          </cell>
          <cell r="Y328">
            <v>0</v>
          </cell>
          <cell r="Z328">
            <v>0</v>
          </cell>
          <cell r="AA328">
            <v>0</v>
          </cell>
          <cell r="AB328">
            <v>0</v>
          </cell>
          <cell r="AC328">
            <v>0</v>
          </cell>
          <cell r="AD328">
            <v>0</v>
          </cell>
          <cell r="AE328">
            <v>0</v>
          </cell>
          <cell r="AF328">
            <v>0</v>
          </cell>
        </row>
        <row r="329">
          <cell r="A329">
            <v>1700006</v>
          </cell>
          <cell r="H329">
            <v>137961</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row>
        <row r="330">
          <cell r="A330">
            <v>1700007</v>
          </cell>
          <cell r="B330" t="str">
            <v>1700007</v>
          </cell>
          <cell r="C330" t="str">
            <v>0</v>
          </cell>
          <cell r="D330" t="str">
            <v>17000</v>
          </cell>
          <cell r="E330" t="str">
            <v>TCSADMIN</v>
          </cell>
          <cell r="F330">
            <v>0</v>
          </cell>
          <cell r="G330" t="str">
            <v>YJ963.*-</v>
          </cell>
          <cell r="H330">
            <v>10000</v>
          </cell>
          <cell r="K330">
            <v>0</v>
          </cell>
          <cell r="L330">
            <v>0</v>
          </cell>
          <cell r="M330">
            <v>-1919.22</v>
          </cell>
          <cell r="N330">
            <v>0</v>
          </cell>
          <cell r="O330">
            <v>0</v>
          </cell>
          <cell r="P330">
            <v>0</v>
          </cell>
          <cell r="Q330">
            <v>0</v>
          </cell>
          <cell r="R330">
            <v>0</v>
          </cell>
          <cell r="S330">
            <v>0</v>
          </cell>
          <cell r="T330">
            <v>0</v>
          </cell>
          <cell r="U330">
            <v>0</v>
          </cell>
          <cell r="V330">
            <v>-1124.04</v>
          </cell>
          <cell r="W330">
            <v>0</v>
          </cell>
          <cell r="X330">
            <v>0</v>
          </cell>
          <cell r="Y330">
            <v>0</v>
          </cell>
          <cell r="Z330">
            <v>0</v>
          </cell>
          <cell r="AA330">
            <v>0</v>
          </cell>
          <cell r="AB330">
            <v>0</v>
          </cell>
          <cell r="AC330">
            <v>0</v>
          </cell>
          <cell r="AD330">
            <v>0</v>
          </cell>
          <cell r="AE330">
            <v>0</v>
          </cell>
          <cell r="AF330">
            <v>0</v>
          </cell>
        </row>
        <row r="331">
          <cell r="A331">
            <v>1700007</v>
          </cell>
          <cell r="H331">
            <v>10000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row>
        <row r="332">
          <cell r="A332">
            <v>1700007</v>
          </cell>
          <cell r="H332">
            <v>10000</v>
          </cell>
          <cell r="K332">
            <v>0</v>
          </cell>
          <cell r="L332">
            <v>0</v>
          </cell>
          <cell r="M332">
            <v>-3043.26</v>
          </cell>
          <cell r="N332">
            <v>0</v>
          </cell>
          <cell r="O332">
            <v>0</v>
          </cell>
          <cell r="P332">
            <v>0</v>
          </cell>
          <cell r="Q332">
            <v>0</v>
          </cell>
          <cell r="R332">
            <v>0</v>
          </cell>
          <cell r="S332">
            <v>0</v>
          </cell>
          <cell r="T332">
            <v>0</v>
          </cell>
          <cell r="U332">
            <v>0</v>
          </cell>
          <cell r="V332">
            <v>-967.68</v>
          </cell>
          <cell r="W332">
            <v>0</v>
          </cell>
          <cell r="X332">
            <v>0</v>
          </cell>
          <cell r="Y332">
            <v>0</v>
          </cell>
          <cell r="Z332">
            <v>0</v>
          </cell>
          <cell r="AA332">
            <v>0</v>
          </cell>
          <cell r="AB332">
            <v>0</v>
          </cell>
          <cell r="AC332">
            <v>0</v>
          </cell>
          <cell r="AD332">
            <v>0</v>
          </cell>
          <cell r="AE332">
            <v>0</v>
          </cell>
          <cell r="AF332">
            <v>0</v>
          </cell>
        </row>
        <row r="333">
          <cell r="A333">
            <v>1700007</v>
          </cell>
          <cell r="H333">
            <v>10000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A334">
            <v>1700008</v>
          </cell>
          <cell r="B334" t="str">
            <v>1700008</v>
          </cell>
          <cell r="C334" t="str">
            <v>0</v>
          </cell>
          <cell r="D334" t="str">
            <v>17000</v>
          </cell>
          <cell r="E334" t="str">
            <v>TCSADMIN</v>
          </cell>
          <cell r="F334">
            <v>0</v>
          </cell>
          <cell r="G334" t="str">
            <v>OPTICAL FIBRE CABLE</v>
          </cell>
          <cell r="H334">
            <v>10000</v>
          </cell>
          <cell r="K334">
            <v>0</v>
          </cell>
          <cell r="L334">
            <v>0</v>
          </cell>
          <cell r="M334">
            <v>-5695.5</v>
          </cell>
          <cell r="N334">
            <v>0</v>
          </cell>
          <cell r="O334">
            <v>0</v>
          </cell>
          <cell r="P334">
            <v>0</v>
          </cell>
          <cell r="Q334">
            <v>0</v>
          </cell>
          <cell r="R334">
            <v>0</v>
          </cell>
          <cell r="S334">
            <v>0</v>
          </cell>
          <cell r="T334">
            <v>0</v>
          </cell>
          <cell r="U334">
            <v>0</v>
          </cell>
          <cell r="V334">
            <v>-598.76</v>
          </cell>
          <cell r="W334">
            <v>0</v>
          </cell>
          <cell r="X334">
            <v>0</v>
          </cell>
          <cell r="Y334">
            <v>0</v>
          </cell>
          <cell r="Z334">
            <v>0</v>
          </cell>
          <cell r="AA334">
            <v>0</v>
          </cell>
          <cell r="AB334">
            <v>0</v>
          </cell>
          <cell r="AC334">
            <v>0</v>
          </cell>
          <cell r="AD334">
            <v>0</v>
          </cell>
          <cell r="AE334">
            <v>0</v>
          </cell>
          <cell r="AF334">
            <v>0</v>
          </cell>
        </row>
        <row r="335">
          <cell r="A335">
            <v>1700008</v>
          </cell>
          <cell r="H335">
            <v>10000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row>
        <row r="336">
          <cell r="A336">
            <v>1700008</v>
          </cell>
          <cell r="H336">
            <v>10000</v>
          </cell>
          <cell r="K336">
            <v>0</v>
          </cell>
          <cell r="L336">
            <v>0</v>
          </cell>
          <cell r="M336">
            <v>-6294.26</v>
          </cell>
          <cell r="N336">
            <v>0</v>
          </cell>
          <cell r="O336">
            <v>0</v>
          </cell>
          <cell r="P336">
            <v>0</v>
          </cell>
          <cell r="Q336">
            <v>0</v>
          </cell>
          <cell r="R336">
            <v>0</v>
          </cell>
          <cell r="S336">
            <v>0</v>
          </cell>
          <cell r="T336">
            <v>0</v>
          </cell>
          <cell r="U336">
            <v>0</v>
          </cell>
          <cell r="V336">
            <v>-515.47</v>
          </cell>
          <cell r="W336">
            <v>0</v>
          </cell>
          <cell r="X336">
            <v>0</v>
          </cell>
          <cell r="Y336">
            <v>0</v>
          </cell>
          <cell r="Z336">
            <v>0</v>
          </cell>
          <cell r="AA336">
            <v>0</v>
          </cell>
          <cell r="AB336">
            <v>0</v>
          </cell>
          <cell r="AC336">
            <v>0</v>
          </cell>
          <cell r="AD336">
            <v>0</v>
          </cell>
          <cell r="AE336">
            <v>0</v>
          </cell>
          <cell r="AF336">
            <v>0</v>
          </cell>
        </row>
        <row r="337">
          <cell r="A337">
            <v>1700008</v>
          </cell>
          <cell r="H337">
            <v>10000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A338">
            <v>1700009</v>
          </cell>
          <cell r="B338" t="str">
            <v>1700009</v>
          </cell>
          <cell r="C338" t="str">
            <v>0</v>
          </cell>
          <cell r="D338" t="str">
            <v>17000</v>
          </cell>
          <cell r="E338" t="str">
            <v>TCSADMIN</v>
          </cell>
          <cell r="F338">
            <v>0</v>
          </cell>
          <cell r="G338" t="str">
            <v>OPTICAL FIBRE CABLE</v>
          </cell>
          <cell r="H338">
            <v>20000</v>
          </cell>
          <cell r="K338">
            <v>0</v>
          </cell>
          <cell r="L338">
            <v>0</v>
          </cell>
          <cell r="M338">
            <v>-2854.18</v>
          </cell>
          <cell r="N338">
            <v>0</v>
          </cell>
          <cell r="O338">
            <v>0</v>
          </cell>
          <cell r="P338">
            <v>0</v>
          </cell>
          <cell r="Q338">
            <v>0</v>
          </cell>
          <cell r="R338">
            <v>0</v>
          </cell>
          <cell r="S338">
            <v>0</v>
          </cell>
          <cell r="T338">
            <v>0</v>
          </cell>
          <cell r="U338">
            <v>0</v>
          </cell>
          <cell r="V338">
            <v>-2384.98</v>
          </cell>
          <cell r="W338">
            <v>0</v>
          </cell>
          <cell r="X338">
            <v>0</v>
          </cell>
          <cell r="Y338">
            <v>0</v>
          </cell>
          <cell r="Z338">
            <v>0</v>
          </cell>
          <cell r="AA338">
            <v>0</v>
          </cell>
          <cell r="AB338">
            <v>0</v>
          </cell>
          <cell r="AC338">
            <v>0</v>
          </cell>
          <cell r="AD338">
            <v>0</v>
          </cell>
          <cell r="AE338">
            <v>0</v>
          </cell>
          <cell r="AF338">
            <v>0</v>
          </cell>
        </row>
        <row r="339">
          <cell r="A339">
            <v>1700009</v>
          </cell>
          <cell r="H339">
            <v>20000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row>
        <row r="340">
          <cell r="A340">
            <v>1700009</v>
          </cell>
          <cell r="H340">
            <v>20000</v>
          </cell>
          <cell r="K340">
            <v>0</v>
          </cell>
          <cell r="L340">
            <v>0</v>
          </cell>
          <cell r="M340">
            <v>-5239.16</v>
          </cell>
          <cell r="N340">
            <v>0</v>
          </cell>
          <cell r="O340">
            <v>0</v>
          </cell>
          <cell r="P340">
            <v>0</v>
          </cell>
          <cell r="Q340">
            <v>0</v>
          </cell>
          <cell r="R340">
            <v>0</v>
          </cell>
          <cell r="S340">
            <v>0</v>
          </cell>
          <cell r="T340">
            <v>0</v>
          </cell>
          <cell r="U340">
            <v>0</v>
          </cell>
          <cell r="V340">
            <v>-2053.23</v>
          </cell>
          <cell r="W340">
            <v>0</v>
          </cell>
          <cell r="X340">
            <v>0</v>
          </cell>
          <cell r="Y340">
            <v>0</v>
          </cell>
          <cell r="Z340">
            <v>0</v>
          </cell>
          <cell r="AA340">
            <v>0</v>
          </cell>
          <cell r="AB340">
            <v>0</v>
          </cell>
          <cell r="AC340">
            <v>0</v>
          </cell>
          <cell r="AD340">
            <v>0</v>
          </cell>
          <cell r="AE340">
            <v>0</v>
          </cell>
          <cell r="AF340">
            <v>0</v>
          </cell>
        </row>
        <row r="341">
          <cell r="A341">
            <v>1700009</v>
          </cell>
          <cell r="H341">
            <v>20000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row>
        <row r="342">
          <cell r="A342">
            <v>1700010</v>
          </cell>
          <cell r="B342" t="str">
            <v>1700010</v>
          </cell>
          <cell r="C342" t="str">
            <v>0</v>
          </cell>
          <cell r="D342" t="str">
            <v>17000</v>
          </cell>
          <cell r="E342" t="str">
            <v>TCSADMIN</v>
          </cell>
          <cell r="F342">
            <v>0</v>
          </cell>
          <cell r="G342" t="str">
            <v>FIBER OPTIC TRANCEIVER</v>
          </cell>
          <cell r="H342">
            <v>8250</v>
          </cell>
          <cell r="K342">
            <v>0</v>
          </cell>
          <cell r="L342">
            <v>0</v>
          </cell>
          <cell r="M342">
            <v>-1588.77</v>
          </cell>
          <cell r="N342">
            <v>0</v>
          </cell>
          <cell r="O342">
            <v>0</v>
          </cell>
          <cell r="P342">
            <v>0</v>
          </cell>
          <cell r="Q342">
            <v>0</v>
          </cell>
          <cell r="R342">
            <v>0</v>
          </cell>
          <cell r="S342">
            <v>0</v>
          </cell>
          <cell r="T342">
            <v>0</v>
          </cell>
          <cell r="U342">
            <v>0</v>
          </cell>
          <cell r="V342">
            <v>-926.58</v>
          </cell>
          <cell r="W342">
            <v>0</v>
          </cell>
          <cell r="X342">
            <v>0</v>
          </cell>
          <cell r="Y342">
            <v>0</v>
          </cell>
          <cell r="Z342">
            <v>0</v>
          </cell>
          <cell r="AA342">
            <v>0</v>
          </cell>
          <cell r="AB342">
            <v>0</v>
          </cell>
          <cell r="AC342">
            <v>0</v>
          </cell>
          <cell r="AD342">
            <v>0</v>
          </cell>
          <cell r="AE342">
            <v>0</v>
          </cell>
          <cell r="AF342">
            <v>0</v>
          </cell>
        </row>
        <row r="343">
          <cell r="A343">
            <v>1700010</v>
          </cell>
          <cell r="H343">
            <v>8250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A344">
            <v>1700010</v>
          </cell>
          <cell r="H344">
            <v>8250</v>
          </cell>
          <cell r="K344">
            <v>0</v>
          </cell>
          <cell r="L344">
            <v>0</v>
          </cell>
          <cell r="M344">
            <v>-2515.35</v>
          </cell>
          <cell r="N344">
            <v>0</v>
          </cell>
          <cell r="O344">
            <v>0</v>
          </cell>
          <cell r="P344">
            <v>0</v>
          </cell>
          <cell r="Q344">
            <v>0</v>
          </cell>
          <cell r="R344">
            <v>0</v>
          </cell>
          <cell r="S344">
            <v>0</v>
          </cell>
          <cell r="T344">
            <v>0</v>
          </cell>
          <cell r="U344">
            <v>0</v>
          </cell>
          <cell r="V344">
            <v>-797.69</v>
          </cell>
          <cell r="W344">
            <v>0</v>
          </cell>
          <cell r="X344">
            <v>0</v>
          </cell>
          <cell r="Y344">
            <v>0</v>
          </cell>
          <cell r="Z344">
            <v>0</v>
          </cell>
          <cell r="AA344">
            <v>0</v>
          </cell>
          <cell r="AB344">
            <v>0</v>
          </cell>
          <cell r="AC344">
            <v>0</v>
          </cell>
          <cell r="AD344">
            <v>0</v>
          </cell>
          <cell r="AE344">
            <v>0</v>
          </cell>
          <cell r="AF344">
            <v>0</v>
          </cell>
        </row>
        <row r="345">
          <cell r="A345">
            <v>1700010</v>
          </cell>
          <cell r="H345">
            <v>8250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row>
        <row r="346">
          <cell r="A346">
            <v>1700011</v>
          </cell>
          <cell r="B346" t="str">
            <v>1700011</v>
          </cell>
          <cell r="C346" t="str">
            <v>0</v>
          </cell>
          <cell r="D346" t="str">
            <v>17000</v>
          </cell>
          <cell r="E346" t="str">
            <v>TCSADMIN</v>
          </cell>
          <cell r="F346">
            <v>0</v>
          </cell>
          <cell r="G346" t="str">
            <v>OPTICAL FIBRE CABLE</v>
          </cell>
          <cell r="H346">
            <v>189380</v>
          </cell>
          <cell r="K346">
            <v>0</v>
          </cell>
          <cell r="L346">
            <v>0</v>
          </cell>
          <cell r="M346">
            <v>-5196.38</v>
          </cell>
          <cell r="N346">
            <v>0</v>
          </cell>
          <cell r="O346">
            <v>0</v>
          </cell>
          <cell r="P346">
            <v>0</v>
          </cell>
          <cell r="Q346">
            <v>0</v>
          </cell>
          <cell r="R346">
            <v>0</v>
          </cell>
          <cell r="S346">
            <v>0</v>
          </cell>
          <cell r="T346">
            <v>0</v>
          </cell>
          <cell r="U346">
            <v>0</v>
          </cell>
          <cell r="V346">
            <v>-25619.94</v>
          </cell>
          <cell r="W346">
            <v>0</v>
          </cell>
          <cell r="X346">
            <v>0</v>
          </cell>
          <cell r="Y346">
            <v>0</v>
          </cell>
          <cell r="Z346">
            <v>0</v>
          </cell>
          <cell r="AA346">
            <v>0</v>
          </cell>
          <cell r="AB346">
            <v>0</v>
          </cell>
          <cell r="AC346">
            <v>0</v>
          </cell>
          <cell r="AD346">
            <v>0</v>
          </cell>
          <cell r="AE346">
            <v>0</v>
          </cell>
          <cell r="AF346">
            <v>0</v>
          </cell>
        </row>
        <row r="347">
          <cell r="A347">
            <v>1700011</v>
          </cell>
          <cell r="H347">
            <v>189380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row>
        <row r="348">
          <cell r="A348">
            <v>1700011</v>
          </cell>
          <cell r="H348">
            <v>189380</v>
          </cell>
          <cell r="K348">
            <v>0</v>
          </cell>
          <cell r="L348">
            <v>0</v>
          </cell>
          <cell r="M348">
            <v>-30816.32</v>
          </cell>
          <cell r="N348">
            <v>0</v>
          </cell>
          <cell r="O348">
            <v>0</v>
          </cell>
          <cell r="P348">
            <v>0</v>
          </cell>
          <cell r="Q348">
            <v>0</v>
          </cell>
          <cell r="R348">
            <v>0</v>
          </cell>
          <cell r="S348">
            <v>0</v>
          </cell>
          <cell r="T348">
            <v>0</v>
          </cell>
          <cell r="U348">
            <v>0</v>
          </cell>
          <cell r="V348">
            <v>-22056.21</v>
          </cell>
          <cell r="W348">
            <v>0</v>
          </cell>
          <cell r="X348">
            <v>0</v>
          </cell>
          <cell r="Y348">
            <v>0</v>
          </cell>
          <cell r="Z348">
            <v>0</v>
          </cell>
          <cell r="AA348">
            <v>0</v>
          </cell>
          <cell r="AB348">
            <v>0</v>
          </cell>
          <cell r="AC348">
            <v>0</v>
          </cell>
          <cell r="AD348">
            <v>0</v>
          </cell>
          <cell r="AE348">
            <v>0</v>
          </cell>
          <cell r="AF348">
            <v>0</v>
          </cell>
        </row>
        <row r="349">
          <cell r="A349">
            <v>1700011</v>
          </cell>
          <cell r="H349">
            <v>189380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row>
        <row r="350">
          <cell r="A350">
            <v>1700012</v>
          </cell>
          <cell r="B350" t="str">
            <v>1700012</v>
          </cell>
          <cell r="C350" t="str">
            <v>0</v>
          </cell>
          <cell r="D350" t="str">
            <v>17000</v>
          </cell>
          <cell r="E350" t="str">
            <v>TCSADMIN</v>
          </cell>
          <cell r="F350">
            <v>0</v>
          </cell>
          <cell r="G350" t="str">
            <v>OPTICAL FIBRE CABLE</v>
          </cell>
          <cell r="H350">
            <v>27900</v>
          </cell>
          <cell r="K350">
            <v>0</v>
          </cell>
          <cell r="L350">
            <v>0</v>
          </cell>
          <cell r="M350">
            <v>-2041.45</v>
          </cell>
          <cell r="N350">
            <v>0</v>
          </cell>
          <cell r="O350">
            <v>0</v>
          </cell>
          <cell r="P350">
            <v>0</v>
          </cell>
          <cell r="Q350">
            <v>0</v>
          </cell>
          <cell r="R350">
            <v>0</v>
          </cell>
          <cell r="S350">
            <v>0</v>
          </cell>
          <cell r="T350">
            <v>0</v>
          </cell>
          <cell r="U350">
            <v>0</v>
          </cell>
          <cell r="V350">
            <v>-3596.92</v>
          </cell>
          <cell r="W350">
            <v>0</v>
          </cell>
          <cell r="X350">
            <v>0</v>
          </cell>
          <cell r="Y350">
            <v>0</v>
          </cell>
          <cell r="Z350">
            <v>0</v>
          </cell>
          <cell r="AA350">
            <v>0</v>
          </cell>
          <cell r="AB350">
            <v>0</v>
          </cell>
          <cell r="AC350">
            <v>0</v>
          </cell>
          <cell r="AD350">
            <v>0</v>
          </cell>
          <cell r="AE350">
            <v>0</v>
          </cell>
          <cell r="AF350">
            <v>0</v>
          </cell>
        </row>
        <row r="351">
          <cell r="A351">
            <v>1700012</v>
          </cell>
          <cell r="H351">
            <v>27900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row>
        <row r="352">
          <cell r="A352">
            <v>1700012</v>
          </cell>
          <cell r="H352">
            <v>27900</v>
          </cell>
          <cell r="K352">
            <v>0</v>
          </cell>
          <cell r="L352">
            <v>0</v>
          </cell>
          <cell r="M352">
            <v>-5638.37</v>
          </cell>
          <cell r="N352">
            <v>0</v>
          </cell>
          <cell r="O352">
            <v>0</v>
          </cell>
          <cell r="P352">
            <v>0</v>
          </cell>
          <cell r="Q352">
            <v>0</v>
          </cell>
          <cell r="R352">
            <v>0</v>
          </cell>
          <cell r="S352">
            <v>0</v>
          </cell>
          <cell r="T352">
            <v>0</v>
          </cell>
          <cell r="U352">
            <v>0</v>
          </cell>
          <cell r="V352">
            <v>-3096.59</v>
          </cell>
          <cell r="W352">
            <v>0</v>
          </cell>
          <cell r="X352">
            <v>0</v>
          </cell>
          <cell r="Y352">
            <v>0</v>
          </cell>
          <cell r="Z352">
            <v>0</v>
          </cell>
          <cell r="AA352">
            <v>0</v>
          </cell>
          <cell r="AB352">
            <v>0</v>
          </cell>
          <cell r="AC352">
            <v>0</v>
          </cell>
          <cell r="AD352">
            <v>0</v>
          </cell>
          <cell r="AE352">
            <v>0</v>
          </cell>
          <cell r="AF352">
            <v>0</v>
          </cell>
        </row>
        <row r="353">
          <cell r="A353">
            <v>1700012</v>
          </cell>
          <cell r="H353">
            <v>27900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A354">
            <v>1700013</v>
          </cell>
          <cell r="B354" t="str">
            <v>1700013</v>
          </cell>
          <cell r="C354" t="str">
            <v>0</v>
          </cell>
          <cell r="D354" t="str">
            <v>17000</v>
          </cell>
          <cell r="E354" t="str">
            <v>TCSADMIN</v>
          </cell>
          <cell r="F354">
            <v>0</v>
          </cell>
          <cell r="G354" t="str">
            <v>FIBER OPTIC TRANCEIVER</v>
          </cell>
          <cell r="H354">
            <v>21000</v>
          </cell>
          <cell r="K354">
            <v>0</v>
          </cell>
          <cell r="L354">
            <v>0</v>
          </cell>
          <cell r="M354">
            <v>-400.15</v>
          </cell>
          <cell r="N354">
            <v>0</v>
          </cell>
          <cell r="O354">
            <v>0</v>
          </cell>
          <cell r="P354">
            <v>0</v>
          </cell>
          <cell r="Q354">
            <v>0</v>
          </cell>
          <cell r="R354">
            <v>0</v>
          </cell>
          <cell r="S354">
            <v>0</v>
          </cell>
          <cell r="T354">
            <v>0</v>
          </cell>
          <cell r="U354">
            <v>0</v>
          </cell>
          <cell r="V354">
            <v>-2865.44</v>
          </cell>
          <cell r="W354">
            <v>0</v>
          </cell>
          <cell r="X354">
            <v>0</v>
          </cell>
          <cell r="Y354">
            <v>0</v>
          </cell>
          <cell r="Z354">
            <v>0</v>
          </cell>
          <cell r="AA354">
            <v>0</v>
          </cell>
          <cell r="AB354">
            <v>0</v>
          </cell>
          <cell r="AC354">
            <v>0</v>
          </cell>
          <cell r="AD354">
            <v>0</v>
          </cell>
          <cell r="AE354">
            <v>0</v>
          </cell>
          <cell r="AF354">
            <v>0</v>
          </cell>
        </row>
        <row r="355">
          <cell r="A355">
            <v>1700013</v>
          </cell>
          <cell r="H355">
            <v>21000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A356">
            <v>1700013</v>
          </cell>
          <cell r="H356">
            <v>21000</v>
          </cell>
          <cell r="K356">
            <v>0</v>
          </cell>
          <cell r="L356">
            <v>0</v>
          </cell>
          <cell r="M356">
            <v>-3265.59</v>
          </cell>
          <cell r="N356">
            <v>0</v>
          </cell>
          <cell r="O356">
            <v>0</v>
          </cell>
          <cell r="P356">
            <v>0</v>
          </cell>
          <cell r="Q356">
            <v>0</v>
          </cell>
          <cell r="R356">
            <v>0</v>
          </cell>
          <cell r="S356">
            <v>0</v>
          </cell>
          <cell r="T356">
            <v>0</v>
          </cell>
          <cell r="U356">
            <v>0</v>
          </cell>
          <cell r="V356">
            <v>-2466.86</v>
          </cell>
          <cell r="W356">
            <v>0</v>
          </cell>
          <cell r="X356">
            <v>0</v>
          </cell>
          <cell r="Y356">
            <v>0</v>
          </cell>
          <cell r="Z356">
            <v>0</v>
          </cell>
          <cell r="AA356">
            <v>0</v>
          </cell>
          <cell r="AB356">
            <v>0</v>
          </cell>
          <cell r="AC356">
            <v>0</v>
          </cell>
          <cell r="AD356">
            <v>0</v>
          </cell>
          <cell r="AE356">
            <v>0</v>
          </cell>
          <cell r="AF356">
            <v>0</v>
          </cell>
        </row>
        <row r="357">
          <cell r="A357">
            <v>1700013</v>
          </cell>
          <cell r="H357">
            <v>21000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A358">
            <v>1700014</v>
          </cell>
          <cell r="B358" t="str">
            <v>1700014</v>
          </cell>
          <cell r="C358" t="str">
            <v>0</v>
          </cell>
          <cell r="D358" t="str">
            <v>17000</v>
          </cell>
          <cell r="E358" t="str">
            <v>TCSADMIN</v>
          </cell>
          <cell r="F358">
            <v>0</v>
          </cell>
          <cell r="G358" t="str">
            <v>JELLY FILLED CABLE</v>
          </cell>
          <cell r="H358">
            <v>48048</v>
          </cell>
          <cell r="K358">
            <v>0</v>
          </cell>
          <cell r="L358">
            <v>0</v>
          </cell>
          <cell r="M358">
            <v>-3259.34</v>
          </cell>
          <cell r="N358">
            <v>0</v>
          </cell>
          <cell r="O358">
            <v>0</v>
          </cell>
          <cell r="P358">
            <v>0</v>
          </cell>
          <cell r="Q358">
            <v>0</v>
          </cell>
          <cell r="R358">
            <v>0</v>
          </cell>
          <cell r="S358">
            <v>0</v>
          </cell>
          <cell r="T358">
            <v>0</v>
          </cell>
          <cell r="U358">
            <v>0</v>
          </cell>
          <cell r="V358">
            <v>-6230.1</v>
          </cell>
          <cell r="W358">
            <v>0</v>
          </cell>
          <cell r="X358">
            <v>0</v>
          </cell>
          <cell r="Y358">
            <v>0</v>
          </cell>
          <cell r="Z358">
            <v>0</v>
          </cell>
          <cell r="AA358">
            <v>0</v>
          </cell>
          <cell r="AB358">
            <v>0</v>
          </cell>
          <cell r="AC358">
            <v>0</v>
          </cell>
          <cell r="AD358">
            <v>0</v>
          </cell>
          <cell r="AE358">
            <v>0</v>
          </cell>
          <cell r="AF358">
            <v>0</v>
          </cell>
        </row>
        <row r="359">
          <cell r="A359">
            <v>1700014</v>
          </cell>
          <cell r="H359">
            <v>48048</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row>
        <row r="360">
          <cell r="A360">
            <v>1700014</v>
          </cell>
          <cell r="H360">
            <v>48048</v>
          </cell>
          <cell r="K360">
            <v>0</v>
          </cell>
          <cell r="L360">
            <v>0</v>
          </cell>
          <cell r="M360">
            <v>-9489.44</v>
          </cell>
          <cell r="N360">
            <v>0</v>
          </cell>
          <cell r="O360">
            <v>0</v>
          </cell>
          <cell r="P360">
            <v>0</v>
          </cell>
          <cell r="Q360">
            <v>0</v>
          </cell>
          <cell r="R360">
            <v>0</v>
          </cell>
          <cell r="S360">
            <v>0</v>
          </cell>
          <cell r="T360">
            <v>0</v>
          </cell>
          <cell r="U360">
            <v>0</v>
          </cell>
          <cell r="V360">
            <v>-5363.5</v>
          </cell>
          <cell r="W360">
            <v>0</v>
          </cell>
          <cell r="X360">
            <v>0</v>
          </cell>
          <cell r="Y360">
            <v>0</v>
          </cell>
          <cell r="Z360">
            <v>0</v>
          </cell>
          <cell r="AA360">
            <v>0</v>
          </cell>
          <cell r="AB360">
            <v>0</v>
          </cell>
          <cell r="AC360">
            <v>0</v>
          </cell>
          <cell r="AD360">
            <v>0</v>
          </cell>
          <cell r="AE360">
            <v>0</v>
          </cell>
          <cell r="AF360">
            <v>0</v>
          </cell>
        </row>
        <row r="361">
          <cell r="A361">
            <v>1700014</v>
          </cell>
          <cell r="H361">
            <v>48048</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row>
        <row r="362">
          <cell r="A362">
            <v>1700015</v>
          </cell>
          <cell r="B362" t="str">
            <v>1700015</v>
          </cell>
          <cell r="C362" t="str">
            <v>0</v>
          </cell>
          <cell r="D362" t="str">
            <v>17000</v>
          </cell>
          <cell r="E362" t="str">
            <v>TCSADMIN</v>
          </cell>
          <cell r="F362">
            <v>0</v>
          </cell>
          <cell r="G362" t="str">
            <v>ROUTER</v>
          </cell>
          <cell r="H362">
            <v>99350</v>
          </cell>
          <cell r="K362">
            <v>0</v>
          </cell>
          <cell r="L362">
            <v>0</v>
          </cell>
          <cell r="M362">
            <v>-31385.25</v>
          </cell>
          <cell r="N362">
            <v>0</v>
          </cell>
          <cell r="O362">
            <v>0</v>
          </cell>
          <cell r="P362">
            <v>0</v>
          </cell>
          <cell r="Q362">
            <v>0</v>
          </cell>
          <cell r="R362">
            <v>0</v>
          </cell>
          <cell r="S362">
            <v>0</v>
          </cell>
          <cell r="T362">
            <v>0</v>
          </cell>
          <cell r="U362">
            <v>0</v>
          </cell>
          <cell r="V362">
            <v>-9453.9</v>
          </cell>
          <cell r="W362">
            <v>0</v>
          </cell>
          <cell r="X362">
            <v>0</v>
          </cell>
          <cell r="Y362">
            <v>0</v>
          </cell>
          <cell r="Z362">
            <v>0</v>
          </cell>
          <cell r="AA362">
            <v>0</v>
          </cell>
          <cell r="AB362">
            <v>0</v>
          </cell>
          <cell r="AC362">
            <v>0</v>
          </cell>
          <cell r="AD362">
            <v>0</v>
          </cell>
          <cell r="AE362">
            <v>0</v>
          </cell>
          <cell r="AF362">
            <v>0</v>
          </cell>
        </row>
        <row r="363">
          <cell r="A363">
            <v>1700015</v>
          </cell>
          <cell r="H363">
            <v>99350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A364">
            <v>1700015</v>
          </cell>
          <cell r="H364">
            <v>99350</v>
          </cell>
          <cell r="K364">
            <v>0</v>
          </cell>
          <cell r="L364">
            <v>0</v>
          </cell>
          <cell r="M364">
            <v>-40839.15</v>
          </cell>
          <cell r="N364">
            <v>0</v>
          </cell>
          <cell r="O364">
            <v>0</v>
          </cell>
          <cell r="P364">
            <v>0</v>
          </cell>
          <cell r="Q364">
            <v>0</v>
          </cell>
          <cell r="R364">
            <v>0</v>
          </cell>
          <cell r="S364">
            <v>0</v>
          </cell>
          <cell r="T364">
            <v>0</v>
          </cell>
          <cell r="U364">
            <v>0</v>
          </cell>
          <cell r="V364">
            <v>-8138.86</v>
          </cell>
          <cell r="W364">
            <v>0</v>
          </cell>
          <cell r="X364">
            <v>0</v>
          </cell>
          <cell r="Y364">
            <v>0</v>
          </cell>
          <cell r="Z364">
            <v>0</v>
          </cell>
          <cell r="AA364">
            <v>0</v>
          </cell>
          <cell r="AB364">
            <v>0</v>
          </cell>
          <cell r="AC364">
            <v>0</v>
          </cell>
          <cell r="AD364">
            <v>0</v>
          </cell>
          <cell r="AE364">
            <v>0</v>
          </cell>
          <cell r="AF364">
            <v>0</v>
          </cell>
        </row>
        <row r="365">
          <cell r="A365">
            <v>1700015</v>
          </cell>
          <cell r="H365">
            <v>99350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row>
        <row r="366">
          <cell r="A366">
            <v>1700016</v>
          </cell>
          <cell r="B366" t="str">
            <v>1700016</v>
          </cell>
          <cell r="C366" t="str">
            <v>0</v>
          </cell>
          <cell r="D366" t="str">
            <v>17000</v>
          </cell>
          <cell r="E366" t="str">
            <v>TCSADMIN</v>
          </cell>
          <cell r="F366">
            <v>0</v>
          </cell>
          <cell r="G366" t="str">
            <v>1 WATT AMPLIFIER</v>
          </cell>
          <cell r="H366">
            <v>33000</v>
          </cell>
          <cell r="K366">
            <v>0</v>
          </cell>
          <cell r="L366">
            <v>0</v>
          </cell>
          <cell r="M366">
            <v>-5748.77</v>
          </cell>
          <cell r="N366">
            <v>0</v>
          </cell>
          <cell r="O366">
            <v>0</v>
          </cell>
          <cell r="P366">
            <v>0</v>
          </cell>
          <cell r="Q366">
            <v>0</v>
          </cell>
          <cell r="R366">
            <v>0</v>
          </cell>
          <cell r="S366">
            <v>0</v>
          </cell>
          <cell r="T366">
            <v>0</v>
          </cell>
          <cell r="U366">
            <v>0</v>
          </cell>
          <cell r="V366">
            <v>-3790.65</v>
          </cell>
          <cell r="W366">
            <v>0</v>
          </cell>
          <cell r="X366">
            <v>0</v>
          </cell>
          <cell r="Y366">
            <v>0</v>
          </cell>
          <cell r="Z366">
            <v>0</v>
          </cell>
          <cell r="AA366">
            <v>0</v>
          </cell>
          <cell r="AB366">
            <v>0</v>
          </cell>
          <cell r="AC366">
            <v>0</v>
          </cell>
          <cell r="AD366">
            <v>0</v>
          </cell>
          <cell r="AE366">
            <v>0</v>
          </cell>
          <cell r="AF366">
            <v>0</v>
          </cell>
        </row>
        <row r="367">
          <cell r="A367">
            <v>1700016</v>
          </cell>
          <cell r="H367">
            <v>33000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row>
        <row r="368">
          <cell r="A368">
            <v>1700016</v>
          </cell>
          <cell r="H368">
            <v>33000</v>
          </cell>
          <cell r="K368">
            <v>0</v>
          </cell>
          <cell r="L368">
            <v>0</v>
          </cell>
          <cell r="M368">
            <v>-9539.42</v>
          </cell>
          <cell r="N368">
            <v>0</v>
          </cell>
          <cell r="O368">
            <v>0</v>
          </cell>
          <cell r="P368">
            <v>0</v>
          </cell>
          <cell r="Q368">
            <v>0</v>
          </cell>
          <cell r="R368">
            <v>0</v>
          </cell>
          <cell r="S368">
            <v>0</v>
          </cell>
          <cell r="T368">
            <v>0</v>
          </cell>
          <cell r="U368">
            <v>0</v>
          </cell>
          <cell r="V368">
            <v>-3263.37</v>
          </cell>
          <cell r="W368">
            <v>0</v>
          </cell>
          <cell r="X368">
            <v>0</v>
          </cell>
          <cell r="Y368">
            <v>0</v>
          </cell>
          <cell r="Z368">
            <v>0</v>
          </cell>
          <cell r="AA368">
            <v>0</v>
          </cell>
          <cell r="AB368">
            <v>0</v>
          </cell>
          <cell r="AC368">
            <v>0</v>
          </cell>
          <cell r="AD368">
            <v>0</v>
          </cell>
          <cell r="AE368">
            <v>0</v>
          </cell>
          <cell r="AF368">
            <v>0</v>
          </cell>
        </row>
        <row r="369">
          <cell r="A369">
            <v>1700016</v>
          </cell>
          <cell r="H369">
            <v>33000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row>
        <row r="370">
          <cell r="A370">
            <v>1700017</v>
          </cell>
          <cell r="B370" t="str">
            <v>1700017</v>
          </cell>
          <cell r="C370" t="str">
            <v>0</v>
          </cell>
          <cell r="D370" t="str">
            <v>17000</v>
          </cell>
          <cell r="E370" t="str">
            <v>TCSADMIN</v>
          </cell>
          <cell r="F370">
            <v>0</v>
          </cell>
          <cell r="G370" t="str">
            <v>100 MBPS FOT DAX MAKE</v>
          </cell>
          <cell r="H370">
            <v>18920</v>
          </cell>
          <cell r="K370">
            <v>0</v>
          </cell>
          <cell r="L370">
            <v>0</v>
          </cell>
          <cell r="M370">
            <v>-4382.25</v>
          </cell>
          <cell r="N370">
            <v>0</v>
          </cell>
          <cell r="O370">
            <v>0</v>
          </cell>
          <cell r="P370">
            <v>0</v>
          </cell>
          <cell r="Q370">
            <v>0</v>
          </cell>
          <cell r="R370">
            <v>0</v>
          </cell>
          <cell r="S370">
            <v>0</v>
          </cell>
          <cell r="T370">
            <v>0</v>
          </cell>
          <cell r="U370">
            <v>0</v>
          </cell>
          <cell r="V370">
            <v>-2022.2</v>
          </cell>
          <cell r="W370">
            <v>0</v>
          </cell>
          <cell r="X370">
            <v>0</v>
          </cell>
          <cell r="Y370">
            <v>0</v>
          </cell>
          <cell r="Z370">
            <v>0</v>
          </cell>
          <cell r="AA370">
            <v>0</v>
          </cell>
          <cell r="AB370">
            <v>0</v>
          </cell>
          <cell r="AC370">
            <v>0</v>
          </cell>
          <cell r="AD370">
            <v>0</v>
          </cell>
          <cell r="AE370">
            <v>0</v>
          </cell>
          <cell r="AF370">
            <v>0</v>
          </cell>
        </row>
        <row r="371">
          <cell r="A371">
            <v>1700017</v>
          </cell>
          <cell r="H371">
            <v>18920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row>
        <row r="372">
          <cell r="A372">
            <v>1700017</v>
          </cell>
          <cell r="H372">
            <v>18920</v>
          </cell>
          <cell r="K372">
            <v>0</v>
          </cell>
          <cell r="L372">
            <v>0</v>
          </cell>
          <cell r="M372">
            <v>-6404.45</v>
          </cell>
          <cell r="N372">
            <v>0</v>
          </cell>
          <cell r="O372">
            <v>0</v>
          </cell>
          <cell r="P372">
            <v>0</v>
          </cell>
          <cell r="Q372">
            <v>0</v>
          </cell>
          <cell r="R372">
            <v>0</v>
          </cell>
          <cell r="S372">
            <v>0</v>
          </cell>
          <cell r="T372">
            <v>0</v>
          </cell>
          <cell r="U372">
            <v>0</v>
          </cell>
          <cell r="V372">
            <v>-1740.91</v>
          </cell>
          <cell r="W372">
            <v>0</v>
          </cell>
          <cell r="X372">
            <v>0</v>
          </cell>
          <cell r="Y372">
            <v>0</v>
          </cell>
          <cell r="Z372">
            <v>0</v>
          </cell>
          <cell r="AA372">
            <v>0</v>
          </cell>
          <cell r="AB372">
            <v>0</v>
          </cell>
          <cell r="AC372">
            <v>0</v>
          </cell>
          <cell r="AD372">
            <v>0</v>
          </cell>
          <cell r="AE372">
            <v>0</v>
          </cell>
          <cell r="AF372">
            <v>0</v>
          </cell>
        </row>
        <row r="373">
          <cell r="A373">
            <v>1700017</v>
          </cell>
          <cell r="H373">
            <v>18920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row>
        <row r="374">
          <cell r="A374">
            <v>1700018</v>
          </cell>
          <cell r="B374" t="str">
            <v>1700018</v>
          </cell>
          <cell r="C374" t="str">
            <v>0</v>
          </cell>
          <cell r="D374" t="str">
            <v>17000</v>
          </cell>
          <cell r="E374" t="str">
            <v>TCSADMIN</v>
          </cell>
          <cell r="F374">
            <v>0</v>
          </cell>
          <cell r="G374" t="str">
            <v>POWER AMPLIFIRE</v>
          </cell>
          <cell r="H374">
            <v>28000</v>
          </cell>
          <cell r="K374">
            <v>0</v>
          </cell>
          <cell r="L374">
            <v>0</v>
          </cell>
          <cell r="M374">
            <v>-2795.72</v>
          </cell>
          <cell r="N374">
            <v>0</v>
          </cell>
          <cell r="O374">
            <v>0</v>
          </cell>
          <cell r="P374">
            <v>0</v>
          </cell>
          <cell r="Q374">
            <v>0</v>
          </cell>
          <cell r="R374">
            <v>0</v>
          </cell>
          <cell r="S374">
            <v>0</v>
          </cell>
          <cell r="T374">
            <v>0</v>
          </cell>
          <cell r="U374">
            <v>0</v>
          </cell>
          <cell r="V374">
            <v>-3505.92</v>
          </cell>
          <cell r="W374">
            <v>0</v>
          </cell>
          <cell r="X374">
            <v>0</v>
          </cell>
          <cell r="Y374">
            <v>0</v>
          </cell>
          <cell r="Z374">
            <v>0</v>
          </cell>
          <cell r="AA374">
            <v>0</v>
          </cell>
          <cell r="AB374">
            <v>0</v>
          </cell>
          <cell r="AC374">
            <v>0</v>
          </cell>
          <cell r="AD374">
            <v>0</v>
          </cell>
          <cell r="AE374">
            <v>0</v>
          </cell>
          <cell r="AF374">
            <v>0</v>
          </cell>
        </row>
        <row r="375">
          <cell r="A375">
            <v>1700018</v>
          </cell>
          <cell r="H375">
            <v>28000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row>
        <row r="376">
          <cell r="A376">
            <v>1700018</v>
          </cell>
          <cell r="H376">
            <v>28000</v>
          </cell>
          <cell r="K376">
            <v>0</v>
          </cell>
          <cell r="L376">
            <v>0</v>
          </cell>
          <cell r="M376">
            <v>-6301.64</v>
          </cell>
          <cell r="N376">
            <v>0</v>
          </cell>
          <cell r="O376">
            <v>0</v>
          </cell>
          <cell r="P376">
            <v>0</v>
          </cell>
          <cell r="Q376">
            <v>0</v>
          </cell>
          <cell r="R376">
            <v>0</v>
          </cell>
          <cell r="S376">
            <v>0</v>
          </cell>
          <cell r="T376">
            <v>0</v>
          </cell>
          <cell r="U376">
            <v>0</v>
          </cell>
          <cell r="V376">
            <v>-3018.24</v>
          </cell>
          <cell r="W376">
            <v>0</v>
          </cell>
          <cell r="X376">
            <v>0</v>
          </cell>
          <cell r="Y376">
            <v>0</v>
          </cell>
          <cell r="Z376">
            <v>0</v>
          </cell>
          <cell r="AA376">
            <v>0</v>
          </cell>
          <cell r="AB376">
            <v>0</v>
          </cell>
          <cell r="AC376">
            <v>0</v>
          </cell>
          <cell r="AD376">
            <v>0</v>
          </cell>
          <cell r="AE376">
            <v>0</v>
          </cell>
          <cell r="AF376">
            <v>0</v>
          </cell>
        </row>
        <row r="377">
          <cell r="A377">
            <v>1700018</v>
          </cell>
          <cell r="H377">
            <v>28000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row>
        <row r="378">
          <cell r="A378">
            <v>1700019</v>
          </cell>
          <cell r="B378" t="str">
            <v>1700019</v>
          </cell>
          <cell r="C378" t="str">
            <v>0</v>
          </cell>
          <cell r="D378" t="str">
            <v>17000</v>
          </cell>
          <cell r="E378" t="str">
            <v>TCSADMIN</v>
          </cell>
          <cell r="F378">
            <v>0</v>
          </cell>
          <cell r="G378" t="str">
            <v>CONVERTER</v>
          </cell>
          <cell r="H378">
            <v>43000</v>
          </cell>
          <cell r="K378">
            <v>0</v>
          </cell>
          <cell r="L378">
            <v>0</v>
          </cell>
          <cell r="M378">
            <v>-1737.04</v>
          </cell>
          <cell r="N378">
            <v>0</v>
          </cell>
          <cell r="O378">
            <v>0</v>
          </cell>
          <cell r="P378">
            <v>0</v>
          </cell>
          <cell r="Q378">
            <v>0</v>
          </cell>
          <cell r="R378">
            <v>0</v>
          </cell>
          <cell r="S378">
            <v>0</v>
          </cell>
          <cell r="T378">
            <v>0</v>
          </cell>
          <cell r="U378">
            <v>0</v>
          </cell>
          <cell r="V378">
            <v>-5739.68</v>
          </cell>
          <cell r="W378">
            <v>0</v>
          </cell>
          <cell r="X378">
            <v>0</v>
          </cell>
          <cell r="Y378">
            <v>0</v>
          </cell>
          <cell r="Z378">
            <v>0</v>
          </cell>
          <cell r="AA378">
            <v>0</v>
          </cell>
          <cell r="AB378">
            <v>0</v>
          </cell>
          <cell r="AC378">
            <v>0</v>
          </cell>
          <cell r="AD378">
            <v>0</v>
          </cell>
          <cell r="AE378">
            <v>0</v>
          </cell>
          <cell r="AF378">
            <v>0</v>
          </cell>
        </row>
        <row r="379">
          <cell r="A379">
            <v>1700019</v>
          </cell>
          <cell r="H379">
            <v>43000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row>
        <row r="380">
          <cell r="A380">
            <v>1700019</v>
          </cell>
          <cell r="H380">
            <v>43000</v>
          </cell>
          <cell r="K380">
            <v>0</v>
          </cell>
          <cell r="L380">
            <v>0</v>
          </cell>
          <cell r="M380">
            <v>-7476.72</v>
          </cell>
          <cell r="N380">
            <v>0</v>
          </cell>
          <cell r="O380">
            <v>0</v>
          </cell>
          <cell r="P380">
            <v>0</v>
          </cell>
          <cell r="Q380">
            <v>0</v>
          </cell>
          <cell r="R380">
            <v>0</v>
          </cell>
          <cell r="S380">
            <v>0</v>
          </cell>
          <cell r="T380">
            <v>0</v>
          </cell>
          <cell r="U380">
            <v>0</v>
          </cell>
          <cell r="V380">
            <v>-4941.29</v>
          </cell>
          <cell r="W380">
            <v>0</v>
          </cell>
          <cell r="X380">
            <v>0</v>
          </cell>
          <cell r="Y380">
            <v>0</v>
          </cell>
          <cell r="Z380">
            <v>0</v>
          </cell>
          <cell r="AA380">
            <v>0</v>
          </cell>
          <cell r="AB380">
            <v>0</v>
          </cell>
          <cell r="AC380">
            <v>0</v>
          </cell>
          <cell r="AD380">
            <v>0</v>
          </cell>
          <cell r="AE380">
            <v>0</v>
          </cell>
          <cell r="AF380">
            <v>0</v>
          </cell>
        </row>
        <row r="381">
          <cell r="A381">
            <v>1700019</v>
          </cell>
          <cell r="H381">
            <v>43000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row>
        <row r="382">
          <cell r="A382">
            <v>1700020</v>
          </cell>
          <cell r="B382" t="str">
            <v>1700020</v>
          </cell>
          <cell r="C382" t="str">
            <v>0</v>
          </cell>
          <cell r="D382" t="str">
            <v>17000</v>
          </cell>
          <cell r="E382" t="str">
            <v>TCSADMIN</v>
          </cell>
          <cell r="F382">
            <v>0</v>
          </cell>
          <cell r="G382" t="str">
            <v>SERVO VOLTAGE STEBILIZER</v>
          </cell>
          <cell r="H382">
            <v>12060</v>
          </cell>
          <cell r="K382">
            <v>0</v>
          </cell>
          <cell r="L382">
            <v>0</v>
          </cell>
          <cell r="M382">
            <v>-110.3</v>
          </cell>
          <cell r="N382">
            <v>0</v>
          </cell>
          <cell r="O382">
            <v>0</v>
          </cell>
          <cell r="P382">
            <v>0</v>
          </cell>
          <cell r="Q382">
            <v>0</v>
          </cell>
          <cell r="R382">
            <v>0</v>
          </cell>
          <cell r="S382">
            <v>0</v>
          </cell>
          <cell r="T382">
            <v>0</v>
          </cell>
          <cell r="U382">
            <v>0</v>
          </cell>
          <cell r="V382">
            <v>-1662.2</v>
          </cell>
          <cell r="W382">
            <v>0</v>
          </cell>
          <cell r="X382">
            <v>0</v>
          </cell>
          <cell r="Y382">
            <v>0</v>
          </cell>
          <cell r="Z382">
            <v>0</v>
          </cell>
          <cell r="AA382">
            <v>0</v>
          </cell>
          <cell r="AB382">
            <v>0</v>
          </cell>
          <cell r="AC382">
            <v>0</v>
          </cell>
          <cell r="AD382">
            <v>0</v>
          </cell>
          <cell r="AE382">
            <v>0</v>
          </cell>
          <cell r="AF382">
            <v>0</v>
          </cell>
        </row>
        <row r="383">
          <cell r="A383">
            <v>1700020</v>
          </cell>
          <cell r="H383">
            <v>12060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row>
        <row r="384">
          <cell r="A384">
            <v>1700020</v>
          </cell>
          <cell r="H384">
            <v>12060</v>
          </cell>
          <cell r="K384">
            <v>0</v>
          </cell>
          <cell r="L384">
            <v>0</v>
          </cell>
          <cell r="M384">
            <v>-1772.5</v>
          </cell>
          <cell r="N384">
            <v>0</v>
          </cell>
          <cell r="O384">
            <v>0</v>
          </cell>
          <cell r="P384">
            <v>0</v>
          </cell>
          <cell r="Q384">
            <v>0</v>
          </cell>
          <cell r="R384">
            <v>0</v>
          </cell>
          <cell r="S384">
            <v>0</v>
          </cell>
          <cell r="T384">
            <v>0</v>
          </cell>
          <cell r="U384">
            <v>0</v>
          </cell>
          <cell r="V384">
            <v>-1430.99</v>
          </cell>
          <cell r="W384">
            <v>0</v>
          </cell>
          <cell r="X384">
            <v>0</v>
          </cell>
          <cell r="Y384">
            <v>0</v>
          </cell>
          <cell r="Z384">
            <v>0</v>
          </cell>
          <cell r="AA384">
            <v>0</v>
          </cell>
          <cell r="AB384">
            <v>0</v>
          </cell>
          <cell r="AC384">
            <v>0</v>
          </cell>
          <cell r="AD384">
            <v>0</v>
          </cell>
          <cell r="AE384">
            <v>0</v>
          </cell>
          <cell r="AF384">
            <v>0</v>
          </cell>
        </row>
        <row r="385">
          <cell r="A385">
            <v>1700020</v>
          </cell>
          <cell r="H385">
            <v>12060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row>
        <row r="386">
          <cell r="A386">
            <v>1700021</v>
          </cell>
          <cell r="B386" t="str">
            <v>1700021</v>
          </cell>
          <cell r="C386" t="str">
            <v>0</v>
          </cell>
          <cell r="D386" t="str">
            <v>17000</v>
          </cell>
          <cell r="E386" t="str">
            <v>G3PREMAL</v>
          </cell>
          <cell r="F386">
            <v>0</v>
          </cell>
          <cell r="G386" t="str">
            <v>FIBER OPTIC TRANS RECEIVER</v>
          </cell>
          <cell r="H386">
            <v>0</v>
          </cell>
          <cell r="K386">
            <v>0</v>
          </cell>
          <cell r="L386">
            <v>0</v>
          </cell>
          <cell r="M386">
            <v>0</v>
          </cell>
          <cell r="N386">
            <v>0</v>
          </cell>
          <cell r="O386">
            <v>0</v>
          </cell>
          <cell r="P386">
            <v>0</v>
          </cell>
          <cell r="Q386">
            <v>0</v>
          </cell>
          <cell r="R386">
            <v>0</v>
          </cell>
          <cell r="S386">
            <v>0</v>
          </cell>
          <cell r="T386">
            <v>0</v>
          </cell>
          <cell r="U386">
            <v>0</v>
          </cell>
          <cell r="V386">
            <v>-400</v>
          </cell>
          <cell r="W386">
            <v>0</v>
          </cell>
          <cell r="X386">
            <v>0</v>
          </cell>
          <cell r="Y386">
            <v>0</v>
          </cell>
          <cell r="Z386">
            <v>0</v>
          </cell>
          <cell r="AA386">
            <v>0</v>
          </cell>
          <cell r="AB386">
            <v>8000</v>
          </cell>
          <cell r="AC386">
            <v>0</v>
          </cell>
          <cell r="AD386">
            <v>0</v>
          </cell>
          <cell r="AE386">
            <v>0</v>
          </cell>
          <cell r="AF386">
            <v>0</v>
          </cell>
        </row>
        <row r="387">
          <cell r="A387">
            <v>1700021</v>
          </cell>
          <cell r="H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8000</v>
          </cell>
          <cell r="AC387">
            <v>0</v>
          </cell>
          <cell r="AD387">
            <v>0</v>
          </cell>
          <cell r="AE387">
            <v>0</v>
          </cell>
          <cell r="AF387">
            <v>0</v>
          </cell>
        </row>
        <row r="388">
          <cell r="A388">
            <v>1700021</v>
          </cell>
          <cell r="H388">
            <v>8000</v>
          </cell>
          <cell r="K388">
            <v>0</v>
          </cell>
          <cell r="L388">
            <v>0</v>
          </cell>
          <cell r="M388">
            <v>-400</v>
          </cell>
          <cell r="N388">
            <v>0</v>
          </cell>
          <cell r="O388">
            <v>0</v>
          </cell>
          <cell r="P388">
            <v>0</v>
          </cell>
          <cell r="Q388">
            <v>0</v>
          </cell>
          <cell r="R388">
            <v>0</v>
          </cell>
          <cell r="S388">
            <v>0</v>
          </cell>
          <cell r="T388">
            <v>0</v>
          </cell>
          <cell r="U388">
            <v>0</v>
          </cell>
          <cell r="V388">
            <v>-456</v>
          </cell>
          <cell r="W388">
            <v>0</v>
          </cell>
          <cell r="X388">
            <v>0</v>
          </cell>
          <cell r="Y388">
            <v>0</v>
          </cell>
          <cell r="Z388">
            <v>0</v>
          </cell>
          <cell r="AA388">
            <v>0</v>
          </cell>
          <cell r="AB388">
            <v>0</v>
          </cell>
          <cell r="AC388">
            <v>0</v>
          </cell>
          <cell r="AD388">
            <v>0</v>
          </cell>
          <cell r="AE388">
            <v>0</v>
          </cell>
          <cell r="AF388">
            <v>0</v>
          </cell>
        </row>
        <row r="389">
          <cell r="A389">
            <v>1700021</v>
          </cell>
          <cell r="H389">
            <v>8000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row>
        <row r="390">
          <cell r="A390">
            <v>1700022</v>
          </cell>
          <cell r="B390" t="str">
            <v>1700022</v>
          </cell>
          <cell r="C390" t="str">
            <v>0</v>
          </cell>
          <cell r="D390" t="str">
            <v>17000</v>
          </cell>
          <cell r="E390" t="str">
            <v>G3PREMAL</v>
          </cell>
          <cell r="F390">
            <v>0</v>
          </cell>
          <cell r="G390" t="str">
            <v>FIBER OPTIC TRANS RECEIVER-2</v>
          </cell>
          <cell r="H390">
            <v>0</v>
          </cell>
          <cell r="K390">
            <v>0</v>
          </cell>
          <cell r="L390">
            <v>0</v>
          </cell>
          <cell r="M390">
            <v>0</v>
          </cell>
          <cell r="N390">
            <v>0</v>
          </cell>
          <cell r="O390">
            <v>0</v>
          </cell>
          <cell r="P390">
            <v>0</v>
          </cell>
          <cell r="Q390">
            <v>0</v>
          </cell>
          <cell r="R390">
            <v>0</v>
          </cell>
          <cell r="S390">
            <v>0</v>
          </cell>
          <cell r="T390">
            <v>0</v>
          </cell>
          <cell r="U390">
            <v>0</v>
          </cell>
          <cell r="V390">
            <v>-400</v>
          </cell>
          <cell r="W390">
            <v>0</v>
          </cell>
          <cell r="X390">
            <v>0</v>
          </cell>
          <cell r="Y390">
            <v>0</v>
          </cell>
          <cell r="Z390">
            <v>0</v>
          </cell>
          <cell r="AA390">
            <v>0</v>
          </cell>
          <cell r="AB390">
            <v>8000</v>
          </cell>
          <cell r="AC390">
            <v>0</v>
          </cell>
          <cell r="AD390">
            <v>0</v>
          </cell>
          <cell r="AE390">
            <v>0</v>
          </cell>
          <cell r="AF390">
            <v>0</v>
          </cell>
        </row>
        <row r="391">
          <cell r="A391">
            <v>1700022</v>
          </cell>
          <cell r="H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8000</v>
          </cell>
          <cell r="AC391">
            <v>0</v>
          </cell>
          <cell r="AD391">
            <v>0</v>
          </cell>
          <cell r="AE391">
            <v>0</v>
          </cell>
          <cell r="AF391">
            <v>0</v>
          </cell>
        </row>
        <row r="392">
          <cell r="A392">
            <v>1700022</v>
          </cell>
          <cell r="H392">
            <v>8000</v>
          </cell>
          <cell r="K392">
            <v>0</v>
          </cell>
          <cell r="L392">
            <v>0</v>
          </cell>
          <cell r="M392">
            <v>-400</v>
          </cell>
          <cell r="N392">
            <v>0</v>
          </cell>
          <cell r="O392">
            <v>0</v>
          </cell>
          <cell r="P392">
            <v>0</v>
          </cell>
          <cell r="Q392">
            <v>0</v>
          </cell>
          <cell r="R392">
            <v>0</v>
          </cell>
          <cell r="S392">
            <v>0</v>
          </cell>
          <cell r="T392">
            <v>0</v>
          </cell>
          <cell r="U392">
            <v>0</v>
          </cell>
          <cell r="V392">
            <v>-456</v>
          </cell>
          <cell r="W392">
            <v>0</v>
          </cell>
          <cell r="X392">
            <v>0</v>
          </cell>
          <cell r="Y392">
            <v>0</v>
          </cell>
          <cell r="Z392">
            <v>0</v>
          </cell>
          <cell r="AA392">
            <v>0</v>
          </cell>
          <cell r="AB392">
            <v>0</v>
          </cell>
          <cell r="AC392">
            <v>0</v>
          </cell>
          <cell r="AD392">
            <v>0</v>
          </cell>
          <cell r="AE392">
            <v>0</v>
          </cell>
          <cell r="AF392">
            <v>0</v>
          </cell>
        </row>
        <row r="393">
          <cell r="A393">
            <v>1700022</v>
          </cell>
          <cell r="H393">
            <v>8000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A394">
            <v>1700025</v>
          </cell>
          <cell r="B394" t="str">
            <v>1700025</v>
          </cell>
          <cell r="C394" t="str">
            <v>0</v>
          </cell>
          <cell r="D394" t="str">
            <v>17000</v>
          </cell>
          <cell r="E394" t="str">
            <v>G3PREMAL</v>
          </cell>
          <cell r="F394">
            <v>0</v>
          </cell>
          <cell r="G394" t="str">
            <v>WALL MOUNT RACK</v>
          </cell>
          <cell r="H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row>
        <row r="395">
          <cell r="A395">
            <v>1700026</v>
          </cell>
          <cell r="B395" t="str">
            <v>1700026</v>
          </cell>
          <cell r="C395" t="str">
            <v>0</v>
          </cell>
          <cell r="D395" t="str">
            <v>17000</v>
          </cell>
          <cell r="E395" t="str">
            <v>G3PREMAL</v>
          </cell>
          <cell r="F395">
            <v>0</v>
          </cell>
          <cell r="G395" t="str">
            <v>APC 5 KVA Online UPS</v>
          </cell>
          <cell r="H395">
            <v>0</v>
          </cell>
          <cell r="K395">
            <v>0</v>
          </cell>
          <cell r="L395">
            <v>0</v>
          </cell>
          <cell r="M395">
            <v>0</v>
          </cell>
          <cell r="N395">
            <v>0</v>
          </cell>
          <cell r="O395">
            <v>0</v>
          </cell>
          <cell r="P395">
            <v>0</v>
          </cell>
          <cell r="Q395">
            <v>0</v>
          </cell>
          <cell r="R395">
            <v>0</v>
          </cell>
          <cell r="S395">
            <v>0</v>
          </cell>
          <cell r="T395">
            <v>0</v>
          </cell>
          <cell r="U395">
            <v>0</v>
          </cell>
          <cell r="V395">
            <v>-8347.91</v>
          </cell>
          <cell r="W395">
            <v>0</v>
          </cell>
          <cell r="X395">
            <v>0</v>
          </cell>
          <cell r="Y395">
            <v>0</v>
          </cell>
          <cell r="Z395">
            <v>0</v>
          </cell>
          <cell r="AA395">
            <v>0</v>
          </cell>
          <cell r="AB395">
            <v>84250</v>
          </cell>
          <cell r="AC395">
            <v>0</v>
          </cell>
          <cell r="AD395">
            <v>0</v>
          </cell>
          <cell r="AE395">
            <v>0</v>
          </cell>
          <cell r="AF395">
            <v>0</v>
          </cell>
        </row>
        <row r="396">
          <cell r="A396">
            <v>1700026</v>
          </cell>
          <cell r="H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84250</v>
          </cell>
          <cell r="AC396">
            <v>0</v>
          </cell>
          <cell r="AD396">
            <v>0</v>
          </cell>
          <cell r="AE396">
            <v>0</v>
          </cell>
          <cell r="AF396">
            <v>0</v>
          </cell>
        </row>
        <row r="397">
          <cell r="A397">
            <v>1700026</v>
          </cell>
          <cell r="H397">
            <v>84250</v>
          </cell>
          <cell r="K397">
            <v>0</v>
          </cell>
          <cell r="L397">
            <v>0</v>
          </cell>
          <cell r="M397">
            <v>-8347.91</v>
          </cell>
          <cell r="N397">
            <v>0</v>
          </cell>
          <cell r="O397">
            <v>0</v>
          </cell>
          <cell r="P397">
            <v>0</v>
          </cell>
          <cell r="Q397">
            <v>0</v>
          </cell>
          <cell r="R397">
            <v>0</v>
          </cell>
          <cell r="S397">
            <v>0</v>
          </cell>
          <cell r="T397">
            <v>0</v>
          </cell>
          <cell r="U397">
            <v>0</v>
          </cell>
          <cell r="V397">
            <v>-10557.98</v>
          </cell>
          <cell r="W397">
            <v>0</v>
          </cell>
          <cell r="X397">
            <v>0</v>
          </cell>
          <cell r="Y397">
            <v>0</v>
          </cell>
          <cell r="Z397">
            <v>0</v>
          </cell>
          <cell r="AA397">
            <v>0</v>
          </cell>
          <cell r="AB397">
            <v>0</v>
          </cell>
          <cell r="AC397">
            <v>0</v>
          </cell>
          <cell r="AD397">
            <v>0</v>
          </cell>
          <cell r="AE397">
            <v>0</v>
          </cell>
          <cell r="AF397">
            <v>0</v>
          </cell>
        </row>
        <row r="398">
          <cell r="A398">
            <v>1700026</v>
          </cell>
          <cell r="H398">
            <v>84250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A399">
            <v>1700027</v>
          </cell>
          <cell r="B399" t="str">
            <v>1700027</v>
          </cell>
          <cell r="C399" t="str">
            <v>0</v>
          </cell>
          <cell r="D399" t="str">
            <v>17000</v>
          </cell>
          <cell r="E399" t="str">
            <v>G3PREMAL</v>
          </cell>
          <cell r="F399" t="str">
            <v>G3PREMAL</v>
          </cell>
          <cell r="G399" t="str">
            <v>Radio Mast (60 ft tower Baroda)</v>
          </cell>
          <cell r="H399">
            <v>0</v>
          </cell>
          <cell r="K399">
            <v>0</v>
          </cell>
          <cell r="L399">
            <v>0</v>
          </cell>
          <cell r="M399">
            <v>0</v>
          </cell>
          <cell r="N399">
            <v>0</v>
          </cell>
          <cell r="O399">
            <v>0</v>
          </cell>
          <cell r="P399">
            <v>0</v>
          </cell>
          <cell r="Q399">
            <v>0</v>
          </cell>
          <cell r="R399">
            <v>0</v>
          </cell>
          <cell r="S399">
            <v>0</v>
          </cell>
          <cell r="T399">
            <v>0</v>
          </cell>
          <cell r="U399">
            <v>0</v>
          </cell>
          <cell r="V399">
            <v>-2359.75</v>
          </cell>
          <cell r="W399">
            <v>0</v>
          </cell>
          <cell r="X399">
            <v>0</v>
          </cell>
          <cell r="Y399">
            <v>0</v>
          </cell>
          <cell r="Z399">
            <v>0</v>
          </cell>
          <cell r="AA399">
            <v>0</v>
          </cell>
          <cell r="AB399">
            <v>48000</v>
          </cell>
          <cell r="AC399">
            <v>0</v>
          </cell>
          <cell r="AD399">
            <v>0</v>
          </cell>
          <cell r="AE399">
            <v>0</v>
          </cell>
          <cell r="AF399">
            <v>0</v>
          </cell>
        </row>
        <row r="400">
          <cell r="A400">
            <v>1700027</v>
          </cell>
          <cell r="H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48000</v>
          </cell>
          <cell r="AC400">
            <v>0</v>
          </cell>
          <cell r="AD400">
            <v>0</v>
          </cell>
          <cell r="AE400">
            <v>0</v>
          </cell>
          <cell r="AF400">
            <v>0</v>
          </cell>
        </row>
        <row r="401">
          <cell r="A401">
            <v>1700027</v>
          </cell>
          <cell r="H401">
            <v>48000</v>
          </cell>
          <cell r="K401">
            <v>0</v>
          </cell>
          <cell r="L401">
            <v>0</v>
          </cell>
          <cell r="M401">
            <v>-2359.75</v>
          </cell>
          <cell r="N401">
            <v>0</v>
          </cell>
          <cell r="O401">
            <v>0</v>
          </cell>
          <cell r="P401">
            <v>0</v>
          </cell>
          <cell r="Q401">
            <v>0</v>
          </cell>
          <cell r="R401">
            <v>0</v>
          </cell>
          <cell r="S401">
            <v>0</v>
          </cell>
          <cell r="T401">
            <v>0</v>
          </cell>
          <cell r="U401">
            <v>0</v>
          </cell>
          <cell r="V401">
            <v>-6348.56</v>
          </cell>
          <cell r="W401">
            <v>0</v>
          </cell>
          <cell r="X401">
            <v>0</v>
          </cell>
          <cell r="Y401">
            <v>0</v>
          </cell>
          <cell r="Z401">
            <v>0</v>
          </cell>
          <cell r="AA401">
            <v>0</v>
          </cell>
          <cell r="AB401">
            <v>0</v>
          </cell>
          <cell r="AC401">
            <v>0</v>
          </cell>
          <cell r="AD401">
            <v>0</v>
          </cell>
          <cell r="AE401">
            <v>0</v>
          </cell>
          <cell r="AF401">
            <v>0</v>
          </cell>
        </row>
        <row r="402">
          <cell r="A402">
            <v>1700027</v>
          </cell>
          <cell r="H402">
            <v>48000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row>
        <row r="403">
          <cell r="A403">
            <v>1700028</v>
          </cell>
          <cell r="B403" t="str">
            <v>1700028</v>
          </cell>
          <cell r="C403" t="str">
            <v>0</v>
          </cell>
          <cell r="D403" t="str">
            <v>17000</v>
          </cell>
          <cell r="E403" t="str">
            <v>G3PREMAL</v>
          </cell>
          <cell r="F403">
            <v>0</v>
          </cell>
          <cell r="G403" t="str">
            <v>Radio Mast (30 ft Ankleshwar)</v>
          </cell>
          <cell r="H403">
            <v>0</v>
          </cell>
          <cell r="K403">
            <v>0</v>
          </cell>
          <cell r="L403">
            <v>0</v>
          </cell>
          <cell r="M403">
            <v>0</v>
          </cell>
          <cell r="N403">
            <v>0</v>
          </cell>
          <cell r="O403">
            <v>0</v>
          </cell>
          <cell r="P403">
            <v>0</v>
          </cell>
          <cell r="Q403">
            <v>0</v>
          </cell>
          <cell r="R403">
            <v>0</v>
          </cell>
          <cell r="S403">
            <v>0</v>
          </cell>
          <cell r="T403">
            <v>0</v>
          </cell>
          <cell r="U403">
            <v>0</v>
          </cell>
          <cell r="V403">
            <v>-617.38</v>
          </cell>
          <cell r="W403">
            <v>0</v>
          </cell>
          <cell r="X403">
            <v>0</v>
          </cell>
          <cell r="Y403">
            <v>0</v>
          </cell>
          <cell r="Z403">
            <v>0</v>
          </cell>
          <cell r="AA403">
            <v>0</v>
          </cell>
          <cell r="AB403">
            <v>18000</v>
          </cell>
          <cell r="AC403">
            <v>0</v>
          </cell>
          <cell r="AD403">
            <v>0</v>
          </cell>
          <cell r="AE403">
            <v>0</v>
          </cell>
          <cell r="AF403">
            <v>0</v>
          </cell>
        </row>
        <row r="404">
          <cell r="A404">
            <v>1700028</v>
          </cell>
          <cell r="H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18000</v>
          </cell>
          <cell r="AC404">
            <v>0</v>
          </cell>
          <cell r="AD404">
            <v>0</v>
          </cell>
          <cell r="AE404">
            <v>0</v>
          </cell>
          <cell r="AF404">
            <v>0</v>
          </cell>
        </row>
        <row r="405">
          <cell r="A405">
            <v>1700028</v>
          </cell>
          <cell r="H405">
            <v>18000</v>
          </cell>
          <cell r="K405">
            <v>0</v>
          </cell>
          <cell r="L405">
            <v>0</v>
          </cell>
          <cell r="M405">
            <v>-617.38</v>
          </cell>
          <cell r="N405">
            <v>0</v>
          </cell>
          <cell r="O405">
            <v>0</v>
          </cell>
          <cell r="P405">
            <v>0</v>
          </cell>
          <cell r="Q405">
            <v>0</v>
          </cell>
          <cell r="R405">
            <v>0</v>
          </cell>
          <cell r="S405">
            <v>0</v>
          </cell>
          <cell r="T405">
            <v>0</v>
          </cell>
          <cell r="U405">
            <v>0</v>
          </cell>
          <cell r="V405">
            <v>-2417.92</v>
          </cell>
          <cell r="W405">
            <v>0</v>
          </cell>
          <cell r="X405">
            <v>0</v>
          </cell>
          <cell r="Y405">
            <v>0</v>
          </cell>
          <cell r="Z405">
            <v>0</v>
          </cell>
          <cell r="AA405">
            <v>0</v>
          </cell>
          <cell r="AB405">
            <v>0</v>
          </cell>
          <cell r="AC405">
            <v>0</v>
          </cell>
          <cell r="AD405">
            <v>0</v>
          </cell>
          <cell r="AE405">
            <v>0</v>
          </cell>
          <cell r="AF405">
            <v>0</v>
          </cell>
        </row>
        <row r="406">
          <cell r="A406">
            <v>1700028</v>
          </cell>
          <cell r="H406">
            <v>18000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row>
        <row r="407">
          <cell r="A407">
            <v>1700029</v>
          </cell>
          <cell r="B407" t="str">
            <v>1700029</v>
          </cell>
          <cell r="C407" t="str">
            <v>0</v>
          </cell>
          <cell r="D407" t="str">
            <v>17000</v>
          </cell>
          <cell r="E407" t="str">
            <v>G3PREMAL</v>
          </cell>
          <cell r="F407">
            <v>0</v>
          </cell>
          <cell r="G407" t="str">
            <v>APC on-line UPS - Surt 3000 UXI</v>
          </cell>
          <cell r="H407">
            <v>0</v>
          </cell>
          <cell r="K407">
            <v>0</v>
          </cell>
          <cell r="L407">
            <v>0</v>
          </cell>
          <cell r="M407">
            <v>0</v>
          </cell>
          <cell r="N407">
            <v>0</v>
          </cell>
          <cell r="O407">
            <v>0</v>
          </cell>
          <cell r="P407">
            <v>0</v>
          </cell>
          <cell r="Q407">
            <v>0</v>
          </cell>
          <cell r="R407">
            <v>0</v>
          </cell>
          <cell r="S407">
            <v>0</v>
          </cell>
          <cell r="T407">
            <v>0</v>
          </cell>
          <cell r="U407">
            <v>0</v>
          </cell>
          <cell r="V407">
            <v>-2816.64</v>
          </cell>
          <cell r="W407">
            <v>0</v>
          </cell>
          <cell r="X407">
            <v>0</v>
          </cell>
          <cell r="Y407">
            <v>0</v>
          </cell>
          <cell r="Z407">
            <v>0</v>
          </cell>
          <cell r="AA407">
            <v>0</v>
          </cell>
          <cell r="AB407">
            <v>58196</v>
          </cell>
          <cell r="AC407">
            <v>0</v>
          </cell>
          <cell r="AD407">
            <v>0</v>
          </cell>
          <cell r="AE407">
            <v>0</v>
          </cell>
          <cell r="AF407">
            <v>0</v>
          </cell>
        </row>
        <row r="408">
          <cell r="A408">
            <v>1700029</v>
          </cell>
          <cell r="H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58196</v>
          </cell>
          <cell r="AC408">
            <v>0</v>
          </cell>
          <cell r="AD408">
            <v>0</v>
          </cell>
          <cell r="AE408">
            <v>0</v>
          </cell>
          <cell r="AF408">
            <v>0</v>
          </cell>
        </row>
        <row r="409">
          <cell r="A409">
            <v>1700029</v>
          </cell>
          <cell r="H409">
            <v>58196</v>
          </cell>
          <cell r="K409">
            <v>0</v>
          </cell>
          <cell r="L409">
            <v>0</v>
          </cell>
          <cell r="M409">
            <v>-2816.64</v>
          </cell>
          <cell r="N409">
            <v>0</v>
          </cell>
          <cell r="O409">
            <v>0</v>
          </cell>
          <cell r="P409">
            <v>0</v>
          </cell>
          <cell r="Q409">
            <v>0</v>
          </cell>
          <cell r="R409">
            <v>0</v>
          </cell>
          <cell r="S409">
            <v>0</v>
          </cell>
          <cell r="T409">
            <v>0</v>
          </cell>
          <cell r="U409">
            <v>0</v>
          </cell>
          <cell r="V409">
            <v>-7703.27</v>
          </cell>
          <cell r="W409">
            <v>0</v>
          </cell>
          <cell r="X409">
            <v>0</v>
          </cell>
          <cell r="Y409">
            <v>0</v>
          </cell>
          <cell r="Z409">
            <v>0</v>
          </cell>
          <cell r="AA409">
            <v>0</v>
          </cell>
          <cell r="AB409">
            <v>0</v>
          </cell>
          <cell r="AC409">
            <v>0</v>
          </cell>
          <cell r="AD409">
            <v>0</v>
          </cell>
          <cell r="AE409">
            <v>0</v>
          </cell>
          <cell r="AF409">
            <v>0</v>
          </cell>
        </row>
        <row r="410">
          <cell r="A410">
            <v>1700029</v>
          </cell>
          <cell r="H410">
            <v>58196</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row>
        <row r="411">
          <cell r="A411">
            <v>1700030</v>
          </cell>
          <cell r="B411" t="str">
            <v>1700030</v>
          </cell>
          <cell r="C411" t="str">
            <v>0</v>
          </cell>
          <cell r="D411" t="str">
            <v>17000</v>
          </cell>
          <cell r="E411" t="str">
            <v>G3ACCOUNTS</v>
          </cell>
          <cell r="F411">
            <v>0</v>
          </cell>
          <cell r="G411" t="str">
            <v>Global &amp; Yuassa Battery 12V-26AH</v>
          </cell>
          <cell r="H411">
            <v>0</v>
          </cell>
          <cell r="K411">
            <v>0</v>
          </cell>
          <cell r="L411">
            <v>0</v>
          </cell>
          <cell r="M411">
            <v>0</v>
          </cell>
          <cell r="N411">
            <v>0</v>
          </cell>
          <cell r="O411">
            <v>0</v>
          </cell>
          <cell r="P411">
            <v>0</v>
          </cell>
          <cell r="Q411">
            <v>0</v>
          </cell>
          <cell r="R411">
            <v>0</v>
          </cell>
          <cell r="S411">
            <v>0</v>
          </cell>
          <cell r="T411">
            <v>0</v>
          </cell>
          <cell r="U411">
            <v>0</v>
          </cell>
          <cell r="V411">
            <v>-2665.73</v>
          </cell>
          <cell r="W411">
            <v>0</v>
          </cell>
          <cell r="X411">
            <v>0</v>
          </cell>
          <cell r="Y411">
            <v>0</v>
          </cell>
          <cell r="Z411">
            <v>0</v>
          </cell>
          <cell r="AA411">
            <v>0</v>
          </cell>
          <cell r="AB411">
            <v>55078</v>
          </cell>
          <cell r="AC411">
            <v>0</v>
          </cell>
          <cell r="AD411">
            <v>0</v>
          </cell>
          <cell r="AE411">
            <v>0</v>
          </cell>
          <cell r="AF411">
            <v>0</v>
          </cell>
        </row>
        <row r="412">
          <cell r="A412">
            <v>1700030</v>
          </cell>
          <cell r="H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55078</v>
          </cell>
          <cell r="AC412">
            <v>0</v>
          </cell>
          <cell r="AD412">
            <v>0</v>
          </cell>
          <cell r="AE412">
            <v>0</v>
          </cell>
          <cell r="AF412">
            <v>0</v>
          </cell>
        </row>
        <row r="413">
          <cell r="A413">
            <v>1700030</v>
          </cell>
          <cell r="H413">
            <v>55078</v>
          </cell>
          <cell r="K413">
            <v>0</v>
          </cell>
          <cell r="L413">
            <v>0</v>
          </cell>
          <cell r="M413">
            <v>-2665.73</v>
          </cell>
          <cell r="N413">
            <v>0</v>
          </cell>
          <cell r="O413">
            <v>0</v>
          </cell>
          <cell r="P413">
            <v>0</v>
          </cell>
          <cell r="Q413">
            <v>0</v>
          </cell>
          <cell r="R413">
            <v>0</v>
          </cell>
          <cell r="S413">
            <v>0</v>
          </cell>
          <cell r="T413">
            <v>0</v>
          </cell>
          <cell r="U413">
            <v>0</v>
          </cell>
          <cell r="V413">
            <v>-7290.55</v>
          </cell>
          <cell r="W413">
            <v>0</v>
          </cell>
          <cell r="X413">
            <v>0</v>
          </cell>
          <cell r="Y413">
            <v>0</v>
          </cell>
          <cell r="Z413">
            <v>0</v>
          </cell>
          <cell r="AA413">
            <v>0</v>
          </cell>
          <cell r="AB413">
            <v>0</v>
          </cell>
          <cell r="AC413">
            <v>0</v>
          </cell>
          <cell r="AD413">
            <v>0</v>
          </cell>
          <cell r="AE413">
            <v>0</v>
          </cell>
          <cell r="AF413">
            <v>0</v>
          </cell>
        </row>
        <row r="414">
          <cell r="A414">
            <v>1700030</v>
          </cell>
          <cell r="H414">
            <v>55078</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row>
        <row r="415">
          <cell r="A415">
            <v>1700031</v>
          </cell>
          <cell r="B415" t="str">
            <v>1700031</v>
          </cell>
          <cell r="C415" t="str">
            <v>0</v>
          </cell>
          <cell r="D415" t="str">
            <v>17000</v>
          </cell>
          <cell r="E415" t="str">
            <v>G3PREMAL</v>
          </cell>
          <cell r="F415" t="str">
            <v>G3PREMAL</v>
          </cell>
          <cell r="G415" t="str">
            <v>8 PORT SWITCH</v>
          </cell>
          <cell r="H415">
            <v>0</v>
          </cell>
          <cell r="K415">
            <v>0</v>
          </cell>
          <cell r="L415">
            <v>0</v>
          </cell>
          <cell r="M415">
            <v>0</v>
          </cell>
          <cell r="N415">
            <v>0</v>
          </cell>
          <cell r="O415">
            <v>0</v>
          </cell>
          <cell r="P415">
            <v>0</v>
          </cell>
          <cell r="Q415">
            <v>0</v>
          </cell>
          <cell r="R415">
            <v>0</v>
          </cell>
          <cell r="S415">
            <v>0</v>
          </cell>
          <cell r="T415">
            <v>0</v>
          </cell>
          <cell r="U415">
            <v>0</v>
          </cell>
          <cell r="V415">
            <v>-465.2</v>
          </cell>
          <cell r="W415">
            <v>0</v>
          </cell>
          <cell r="X415">
            <v>0</v>
          </cell>
          <cell r="Y415">
            <v>0</v>
          </cell>
          <cell r="Z415">
            <v>0</v>
          </cell>
          <cell r="AA415">
            <v>0</v>
          </cell>
          <cell r="AB415">
            <v>15650</v>
          </cell>
          <cell r="AC415">
            <v>0</v>
          </cell>
          <cell r="AD415">
            <v>0</v>
          </cell>
          <cell r="AE415">
            <v>0</v>
          </cell>
          <cell r="AF415">
            <v>0</v>
          </cell>
        </row>
        <row r="416">
          <cell r="A416">
            <v>1700031</v>
          </cell>
          <cell r="H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15650</v>
          </cell>
          <cell r="AC416">
            <v>0</v>
          </cell>
          <cell r="AD416">
            <v>0</v>
          </cell>
          <cell r="AE416">
            <v>0</v>
          </cell>
          <cell r="AF416">
            <v>0</v>
          </cell>
        </row>
        <row r="417">
          <cell r="A417">
            <v>1700031</v>
          </cell>
          <cell r="H417">
            <v>15650</v>
          </cell>
          <cell r="K417">
            <v>0</v>
          </cell>
          <cell r="L417">
            <v>0</v>
          </cell>
          <cell r="M417">
            <v>-465.2</v>
          </cell>
          <cell r="N417">
            <v>0</v>
          </cell>
          <cell r="O417">
            <v>0</v>
          </cell>
          <cell r="P417">
            <v>0</v>
          </cell>
          <cell r="Q417">
            <v>0</v>
          </cell>
          <cell r="R417">
            <v>0</v>
          </cell>
          <cell r="S417">
            <v>0</v>
          </cell>
          <cell r="T417">
            <v>0</v>
          </cell>
          <cell r="U417">
            <v>0</v>
          </cell>
          <cell r="V417">
            <v>-2112.21</v>
          </cell>
          <cell r="W417">
            <v>0</v>
          </cell>
          <cell r="X417">
            <v>0</v>
          </cell>
          <cell r="Y417">
            <v>0</v>
          </cell>
          <cell r="Z417">
            <v>0</v>
          </cell>
          <cell r="AA417">
            <v>0</v>
          </cell>
          <cell r="AB417">
            <v>0</v>
          </cell>
          <cell r="AC417">
            <v>0</v>
          </cell>
          <cell r="AD417">
            <v>0</v>
          </cell>
          <cell r="AE417">
            <v>0</v>
          </cell>
          <cell r="AF417">
            <v>0</v>
          </cell>
        </row>
        <row r="418">
          <cell r="A418">
            <v>1700031</v>
          </cell>
          <cell r="H418">
            <v>15650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A419">
            <v>1700032</v>
          </cell>
          <cell r="B419" t="str">
            <v>1700032</v>
          </cell>
          <cell r="C419" t="str">
            <v>0</v>
          </cell>
          <cell r="D419" t="str">
            <v>17000</v>
          </cell>
          <cell r="E419" t="str">
            <v>G3PREMAL</v>
          </cell>
          <cell r="F419" t="str">
            <v>G3PREMAL</v>
          </cell>
          <cell r="G419" t="str">
            <v>8 PORT SWITCH</v>
          </cell>
          <cell r="H419">
            <v>0</v>
          </cell>
          <cell r="K419">
            <v>0</v>
          </cell>
          <cell r="L419">
            <v>0</v>
          </cell>
          <cell r="M419">
            <v>0</v>
          </cell>
          <cell r="N419">
            <v>0</v>
          </cell>
          <cell r="O419">
            <v>0</v>
          </cell>
          <cell r="P419">
            <v>0</v>
          </cell>
          <cell r="Q419">
            <v>0</v>
          </cell>
          <cell r="R419">
            <v>0</v>
          </cell>
          <cell r="S419">
            <v>0</v>
          </cell>
          <cell r="T419">
            <v>0</v>
          </cell>
          <cell r="U419">
            <v>0</v>
          </cell>
          <cell r="V419">
            <v>-465.2</v>
          </cell>
          <cell r="W419">
            <v>0</v>
          </cell>
          <cell r="X419">
            <v>0</v>
          </cell>
          <cell r="Y419">
            <v>0</v>
          </cell>
          <cell r="Z419">
            <v>0</v>
          </cell>
          <cell r="AA419">
            <v>0</v>
          </cell>
          <cell r="AB419">
            <v>15650</v>
          </cell>
          <cell r="AC419">
            <v>0</v>
          </cell>
          <cell r="AD419">
            <v>0</v>
          </cell>
          <cell r="AE419">
            <v>0</v>
          </cell>
          <cell r="AF419">
            <v>0</v>
          </cell>
        </row>
        <row r="420">
          <cell r="A420">
            <v>1700032</v>
          </cell>
          <cell r="H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15650</v>
          </cell>
          <cell r="AC420">
            <v>0</v>
          </cell>
          <cell r="AD420">
            <v>0</v>
          </cell>
          <cell r="AE420">
            <v>0</v>
          </cell>
          <cell r="AF420">
            <v>0</v>
          </cell>
        </row>
        <row r="421">
          <cell r="A421">
            <v>1700032</v>
          </cell>
          <cell r="H421">
            <v>15650</v>
          </cell>
          <cell r="K421">
            <v>0</v>
          </cell>
          <cell r="L421">
            <v>0</v>
          </cell>
          <cell r="M421">
            <v>-465.2</v>
          </cell>
          <cell r="N421">
            <v>0</v>
          </cell>
          <cell r="O421">
            <v>0</v>
          </cell>
          <cell r="P421">
            <v>0</v>
          </cell>
          <cell r="Q421">
            <v>0</v>
          </cell>
          <cell r="R421">
            <v>0</v>
          </cell>
          <cell r="S421">
            <v>0</v>
          </cell>
          <cell r="T421">
            <v>0</v>
          </cell>
          <cell r="U421">
            <v>0</v>
          </cell>
          <cell r="V421">
            <v>-2112.21</v>
          </cell>
          <cell r="W421">
            <v>0</v>
          </cell>
          <cell r="X421">
            <v>0</v>
          </cell>
          <cell r="Y421">
            <v>0</v>
          </cell>
          <cell r="Z421">
            <v>0</v>
          </cell>
          <cell r="AA421">
            <v>0</v>
          </cell>
          <cell r="AB421">
            <v>0</v>
          </cell>
          <cell r="AC421">
            <v>0</v>
          </cell>
          <cell r="AD421">
            <v>0</v>
          </cell>
          <cell r="AE421">
            <v>0</v>
          </cell>
          <cell r="AF421">
            <v>0</v>
          </cell>
        </row>
        <row r="422">
          <cell r="A422">
            <v>1700032</v>
          </cell>
          <cell r="H422">
            <v>15650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row>
        <row r="423">
          <cell r="A423">
            <v>1700033</v>
          </cell>
          <cell r="B423" t="str">
            <v>1700033</v>
          </cell>
          <cell r="C423" t="str">
            <v>0</v>
          </cell>
          <cell r="D423" t="str">
            <v>17000</v>
          </cell>
          <cell r="E423" t="str">
            <v>G3ACCOUNTS</v>
          </cell>
          <cell r="F423" t="str">
            <v>G3GAURAV</v>
          </cell>
          <cell r="G423" t="str">
            <v>6 Core OFC</v>
          </cell>
          <cell r="H423">
            <v>0</v>
          </cell>
          <cell r="K423">
            <v>0</v>
          </cell>
          <cell r="L423">
            <v>0</v>
          </cell>
          <cell r="M423">
            <v>0</v>
          </cell>
          <cell r="N423">
            <v>0</v>
          </cell>
          <cell r="O423">
            <v>0</v>
          </cell>
          <cell r="P423">
            <v>0</v>
          </cell>
          <cell r="Q423">
            <v>0</v>
          </cell>
          <cell r="R423">
            <v>0</v>
          </cell>
          <cell r="S423">
            <v>0</v>
          </cell>
          <cell r="T423">
            <v>0</v>
          </cell>
          <cell r="U423">
            <v>0</v>
          </cell>
          <cell r="V423">
            <v>-36385.99</v>
          </cell>
          <cell r="W423">
            <v>0</v>
          </cell>
          <cell r="X423">
            <v>0</v>
          </cell>
          <cell r="Y423">
            <v>0</v>
          </cell>
          <cell r="Z423">
            <v>0</v>
          </cell>
          <cell r="AA423">
            <v>0</v>
          </cell>
          <cell r="AB423">
            <v>289325</v>
          </cell>
          <cell r="AC423">
            <v>0</v>
          </cell>
          <cell r="AD423">
            <v>0</v>
          </cell>
          <cell r="AE423">
            <v>0</v>
          </cell>
          <cell r="AF423">
            <v>0</v>
          </cell>
        </row>
        <row r="424">
          <cell r="A424">
            <v>1700033</v>
          </cell>
          <cell r="H424">
            <v>0</v>
          </cell>
          <cell r="K424">
            <v>0</v>
          </cell>
          <cell r="L424">
            <v>0</v>
          </cell>
          <cell r="M424">
            <v>0</v>
          </cell>
          <cell r="N424">
            <v>0</v>
          </cell>
          <cell r="O424">
            <v>0</v>
          </cell>
          <cell r="P424">
            <v>0</v>
          </cell>
          <cell r="Q424">
            <v>0</v>
          </cell>
          <cell r="R424">
            <v>0</v>
          </cell>
          <cell r="S424">
            <v>0</v>
          </cell>
          <cell r="T424">
            <v>0</v>
          </cell>
          <cell r="U424">
            <v>0</v>
          </cell>
          <cell r="V424">
            <v>-66303.649999999994</v>
          </cell>
          <cell r="W424">
            <v>0</v>
          </cell>
          <cell r="X424">
            <v>0</v>
          </cell>
          <cell r="Y424">
            <v>0</v>
          </cell>
          <cell r="Z424">
            <v>0</v>
          </cell>
          <cell r="AA424">
            <v>0</v>
          </cell>
          <cell r="AB424">
            <v>289325</v>
          </cell>
          <cell r="AC424">
            <v>0</v>
          </cell>
          <cell r="AD424">
            <v>0</v>
          </cell>
          <cell r="AE424">
            <v>0</v>
          </cell>
          <cell r="AF424">
            <v>0</v>
          </cell>
        </row>
        <row r="425">
          <cell r="A425">
            <v>1700033</v>
          </cell>
          <cell r="H425">
            <v>289325</v>
          </cell>
          <cell r="K425">
            <v>0</v>
          </cell>
          <cell r="L425">
            <v>0</v>
          </cell>
          <cell r="M425">
            <v>-36385.99</v>
          </cell>
          <cell r="N425">
            <v>0</v>
          </cell>
          <cell r="O425">
            <v>0</v>
          </cell>
          <cell r="P425">
            <v>0</v>
          </cell>
          <cell r="Q425">
            <v>0</v>
          </cell>
          <cell r="R425">
            <v>0</v>
          </cell>
          <cell r="S425">
            <v>0</v>
          </cell>
          <cell r="T425">
            <v>0</v>
          </cell>
          <cell r="U425">
            <v>0</v>
          </cell>
          <cell r="V425">
            <v>-35694.019999999997</v>
          </cell>
          <cell r="W425">
            <v>0</v>
          </cell>
          <cell r="X425">
            <v>0</v>
          </cell>
          <cell r="Y425">
            <v>0</v>
          </cell>
          <cell r="Z425">
            <v>0</v>
          </cell>
          <cell r="AA425">
            <v>0</v>
          </cell>
          <cell r="AB425">
            <v>5950</v>
          </cell>
          <cell r="AC425">
            <v>0</v>
          </cell>
          <cell r="AD425">
            <v>0</v>
          </cell>
          <cell r="AE425">
            <v>0</v>
          </cell>
          <cell r="AF425">
            <v>0</v>
          </cell>
        </row>
        <row r="426">
          <cell r="A426">
            <v>1700033</v>
          </cell>
          <cell r="H426">
            <v>289325</v>
          </cell>
          <cell r="K426">
            <v>0</v>
          </cell>
          <cell r="L426">
            <v>0</v>
          </cell>
          <cell r="M426">
            <v>-66303.649999999994</v>
          </cell>
          <cell r="N426">
            <v>0</v>
          </cell>
          <cell r="O426">
            <v>0</v>
          </cell>
          <cell r="P426">
            <v>0</v>
          </cell>
          <cell r="Q426">
            <v>0</v>
          </cell>
          <cell r="R426">
            <v>0</v>
          </cell>
          <cell r="S426">
            <v>0</v>
          </cell>
          <cell r="T426">
            <v>0</v>
          </cell>
          <cell r="U426">
            <v>0</v>
          </cell>
          <cell r="V426">
            <v>-57242.84</v>
          </cell>
          <cell r="W426">
            <v>0</v>
          </cell>
          <cell r="X426">
            <v>0</v>
          </cell>
          <cell r="Y426">
            <v>0</v>
          </cell>
          <cell r="Z426">
            <v>0</v>
          </cell>
          <cell r="AA426">
            <v>0</v>
          </cell>
          <cell r="AB426">
            <v>5950</v>
          </cell>
          <cell r="AC426">
            <v>0</v>
          </cell>
          <cell r="AD426">
            <v>0</v>
          </cell>
          <cell r="AE426">
            <v>0</v>
          </cell>
          <cell r="AF426">
            <v>0</v>
          </cell>
        </row>
        <row r="427">
          <cell r="A427">
            <v>1700034</v>
          </cell>
          <cell r="B427" t="str">
            <v>1700034</v>
          </cell>
          <cell r="C427" t="str">
            <v>0</v>
          </cell>
          <cell r="D427" t="str">
            <v>17000</v>
          </cell>
          <cell r="E427" t="str">
            <v>G3PREMAL</v>
          </cell>
          <cell r="F427">
            <v>0</v>
          </cell>
          <cell r="G427" t="str">
            <v>CISCO WS-3550-24SMI</v>
          </cell>
          <cell r="H427">
            <v>0</v>
          </cell>
          <cell r="K427">
            <v>0</v>
          </cell>
          <cell r="L427">
            <v>0</v>
          </cell>
          <cell r="M427">
            <v>0</v>
          </cell>
          <cell r="N427">
            <v>0</v>
          </cell>
          <cell r="O427">
            <v>0</v>
          </cell>
          <cell r="P427">
            <v>0</v>
          </cell>
          <cell r="Q427">
            <v>0</v>
          </cell>
          <cell r="R427">
            <v>0</v>
          </cell>
          <cell r="S427">
            <v>0</v>
          </cell>
          <cell r="T427">
            <v>0</v>
          </cell>
          <cell r="U427">
            <v>0</v>
          </cell>
          <cell r="V427">
            <v>-7571.68</v>
          </cell>
          <cell r="W427">
            <v>0</v>
          </cell>
          <cell r="X427">
            <v>0</v>
          </cell>
          <cell r="Y427">
            <v>0</v>
          </cell>
          <cell r="Z427">
            <v>0</v>
          </cell>
          <cell r="AA427">
            <v>0</v>
          </cell>
          <cell r="AB427">
            <v>103480</v>
          </cell>
          <cell r="AC427">
            <v>0</v>
          </cell>
          <cell r="AD427">
            <v>0</v>
          </cell>
          <cell r="AE427">
            <v>0</v>
          </cell>
          <cell r="AF427">
            <v>0</v>
          </cell>
        </row>
        <row r="428">
          <cell r="A428">
            <v>1700034</v>
          </cell>
          <cell r="H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103480</v>
          </cell>
          <cell r="AC428">
            <v>0</v>
          </cell>
          <cell r="AD428">
            <v>0</v>
          </cell>
          <cell r="AE428">
            <v>0</v>
          </cell>
          <cell r="AF428">
            <v>0</v>
          </cell>
        </row>
        <row r="429">
          <cell r="A429">
            <v>1700034</v>
          </cell>
          <cell r="H429">
            <v>103480</v>
          </cell>
          <cell r="K429">
            <v>0</v>
          </cell>
          <cell r="L429">
            <v>0</v>
          </cell>
          <cell r="M429">
            <v>-7571.68</v>
          </cell>
          <cell r="N429">
            <v>0</v>
          </cell>
          <cell r="O429">
            <v>0</v>
          </cell>
          <cell r="P429">
            <v>0</v>
          </cell>
          <cell r="Q429">
            <v>0</v>
          </cell>
          <cell r="R429">
            <v>0</v>
          </cell>
          <cell r="S429">
            <v>0</v>
          </cell>
          <cell r="T429">
            <v>0</v>
          </cell>
          <cell r="U429">
            <v>0</v>
          </cell>
          <cell r="V429">
            <v>-13340.85</v>
          </cell>
          <cell r="W429">
            <v>0</v>
          </cell>
          <cell r="X429">
            <v>0</v>
          </cell>
          <cell r="Y429">
            <v>0</v>
          </cell>
          <cell r="Z429">
            <v>0</v>
          </cell>
          <cell r="AA429">
            <v>0</v>
          </cell>
          <cell r="AB429">
            <v>0</v>
          </cell>
          <cell r="AC429">
            <v>0</v>
          </cell>
          <cell r="AD429">
            <v>0</v>
          </cell>
          <cell r="AE429">
            <v>0</v>
          </cell>
          <cell r="AF429">
            <v>0</v>
          </cell>
        </row>
        <row r="430">
          <cell r="A430">
            <v>1700034</v>
          </cell>
          <cell r="H430">
            <v>103480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row>
        <row r="431">
          <cell r="A431">
            <v>1700035</v>
          </cell>
          <cell r="B431" t="str">
            <v>1700035</v>
          </cell>
          <cell r="C431" t="str">
            <v>0</v>
          </cell>
          <cell r="D431" t="str">
            <v>17000</v>
          </cell>
          <cell r="E431" t="str">
            <v>G3PREMAL</v>
          </cell>
          <cell r="F431">
            <v>0</v>
          </cell>
          <cell r="G431" t="str">
            <v>CISCO WS-3550-24SMI</v>
          </cell>
          <cell r="H431">
            <v>0</v>
          </cell>
          <cell r="K431">
            <v>0</v>
          </cell>
          <cell r="L431">
            <v>0</v>
          </cell>
          <cell r="M431">
            <v>0</v>
          </cell>
          <cell r="N431">
            <v>0</v>
          </cell>
          <cell r="O431">
            <v>0</v>
          </cell>
          <cell r="P431">
            <v>0</v>
          </cell>
          <cell r="Q431">
            <v>0</v>
          </cell>
          <cell r="R431">
            <v>0</v>
          </cell>
          <cell r="S431">
            <v>0</v>
          </cell>
          <cell r="T431">
            <v>0</v>
          </cell>
          <cell r="U431">
            <v>0</v>
          </cell>
          <cell r="V431">
            <v>-7874.53</v>
          </cell>
          <cell r="W431">
            <v>0</v>
          </cell>
          <cell r="X431">
            <v>0</v>
          </cell>
          <cell r="Y431">
            <v>0</v>
          </cell>
          <cell r="Z431">
            <v>0</v>
          </cell>
          <cell r="AA431">
            <v>0</v>
          </cell>
          <cell r="AB431">
            <v>107619</v>
          </cell>
          <cell r="AC431">
            <v>0</v>
          </cell>
          <cell r="AD431">
            <v>0</v>
          </cell>
          <cell r="AE431">
            <v>0</v>
          </cell>
          <cell r="AF431">
            <v>0</v>
          </cell>
        </row>
        <row r="432">
          <cell r="A432">
            <v>1700035</v>
          </cell>
          <cell r="H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107619</v>
          </cell>
          <cell r="AC432">
            <v>0</v>
          </cell>
          <cell r="AD432">
            <v>0</v>
          </cell>
          <cell r="AE432">
            <v>0</v>
          </cell>
          <cell r="AF432">
            <v>0</v>
          </cell>
        </row>
        <row r="433">
          <cell r="A433">
            <v>1700035</v>
          </cell>
          <cell r="H433">
            <v>107619</v>
          </cell>
          <cell r="K433">
            <v>0</v>
          </cell>
          <cell r="L433">
            <v>0</v>
          </cell>
          <cell r="M433">
            <v>-7874.53</v>
          </cell>
          <cell r="N433">
            <v>0</v>
          </cell>
          <cell r="O433">
            <v>0</v>
          </cell>
          <cell r="P433">
            <v>0</v>
          </cell>
          <cell r="Q433">
            <v>0</v>
          </cell>
          <cell r="R433">
            <v>0</v>
          </cell>
          <cell r="S433">
            <v>0</v>
          </cell>
          <cell r="T433">
            <v>0</v>
          </cell>
          <cell r="U433">
            <v>0</v>
          </cell>
          <cell r="V433">
            <v>-13874.46</v>
          </cell>
          <cell r="W433">
            <v>0</v>
          </cell>
          <cell r="X433">
            <v>0</v>
          </cell>
          <cell r="Y433">
            <v>0</v>
          </cell>
          <cell r="Z433">
            <v>0</v>
          </cell>
          <cell r="AA433">
            <v>0</v>
          </cell>
          <cell r="AB433">
            <v>0</v>
          </cell>
          <cell r="AC433">
            <v>0</v>
          </cell>
          <cell r="AD433">
            <v>0</v>
          </cell>
          <cell r="AE433">
            <v>0</v>
          </cell>
          <cell r="AF433">
            <v>0</v>
          </cell>
        </row>
        <row r="434">
          <cell r="A434">
            <v>1700035</v>
          </cell>
          <cell r="H434">
            <v>107619</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row>
        <row r="435">
          <cell r="A435">
            <v>1700036</v>
          </cell>
          <cell r="B435" t="str">
            <v>1700036</v>
          </cell>
          <cell r="C435" t="str">
            <v>0</v>
          </cell>
          <cell r="D435" t="str">
            <v>17000</v>
          </cell>
          <cell r="E435" t="str">
            <v>G3PREMAL</v>
          </cell>
          <cell r="F435">
            <v>0</v>
          </cell>
          <cell r="G435" t="str">
            <v>DUCT (500 MTR - KRIBHCO)</v>
          </cell>
          <cell r="H435">
            <v>0</v>
          </cell>
          <cell r="K435">
            <v>0</v>
          </cell>
          <cell r="L435">
            <v>0</v>
          </cell>
          <cell r="M435">
            <v>0</v>
          </cell>
          <cell r="N435">
            <v>0</v>
          </cell>
          <cell r="O435">
            <v>0</v>
          </cell>
          <cell r="P435">
            <v>0</v>
          </cell>
          <cell r="Q435">
            <v>0</v>
          </cell>
          <cell r="R435">
            <v>0</v>
          </cell>
          <cell r="S435">
            <v>0</v>
          </cell>
          <cell r="T435">
            <v>0</v>
          </cell>
          <cell r="U435">
            <v>0</v>
          </cell>
          <cell r="V435">
            <v>-926.06</v>
          </cell>
          <cell r="W435">
            <v>0</v>
          </cell>
          <cell r="X435">
            <v>0</v>
          </cell>
          <cell r="Y435">
            <v>0</v>
          </cell>
          <cell r="Z435">
            <v>0</v>
          </cell>
          <cell r="AA435">
            <v>0</v>
          </cell>
          <cell r="AB435">
            <v>13500</v>
          </cell>
          <cell r="AC435">
            <v>0</v>
          </cell>
          <cell r="AD435">
            <v>0</v>
          </cell>
          <cell r="AE435">
            <v>0</v>
          </cell>
          <cell r="AF435">
            <v>0</v>
          </cell>
        </row>
        <row r="436">
          <cell r="A436">
            <v>1700036</v>
          </cell>
          <cell r="H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13500</v>
          </cell>
          <cell r="AC436">
            <v>0</v>
          </cell>
          <cell r="AD436">
            <v>0</v>
          </cell>
          <cell r="AE436">
            <v>0</v>
          </cell>
          <cell r="AF436">
            <v>0</v>
          </cell>
        </row>
        <row r="437">
          <cell r="A437">
            <v>1700036</v>
          </cell>
          <cell r="H437">
            <v>13500</v>
          </cell>
          <cell r="K437">
            <v>0</v>
          </cell>
          <cell r="L437">
            <v>0</v>
          </cell>
          <cell r="M437">
            <v>-926.06</v>
          </cell>
          <cell r="N437">
            <v>0</v>
          </cell>
          <cell r="O437">
            <v>0</v>
          </cell>
          <cell r="P437">
            <v>0</v>
          </cell>
          <cell r="Q437">
            <v>0</v>
          </cell>
          <cell r="R437">
            <v>0</v>
          </cell>
          <cell r="S437">
            <v>0</v>
          </cell>
          <cell r="T437">
            <v>0</v>
          </cell>
          <cell r="U437">
            <v>0</v>
          </cell>
          <cell r="V437">
            <v>-1749.04</v>
          </cell>
          <cell r="W437">
            <v>0</v>
          </cell>
          <cell r="X437">
            <v>0</v>
          </cell>
          <cell r="Y437">
            <v>0</v>
          </cell>
          <cell r="Z437">
            <v>0</v>
          </cell>
          <cell r="AA437">
            <v>0</v>
          </cell>
          <cell r="AB437">
            <v>0</v>
          </cell>
          <cell r="AC437">
            <v>0</v>
          </cell>
          <cell r="AD437">
            <v>0</v>
          </cell>
          <cell r="AE437">
            <v>0</v>
          </cell>
          <cell r="AF437">
            <v>0</v>
          </cell>
        </row>
        <row r="438">
          <cell r="A438">
            <v>1700036</v>
          </cell>
          <cell r="H438">
            <v>13500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A439">
            <v>1700037</v>
          </cell>
          <cell r="B439" t="str">
            <v>1700037</v>
          </cell>
          <cell r="C439" t="str">
            <v>0</v>
          </cell>
          <cell r="D439" t="str">
            <v>17000</v>
          </cell>
          <cell r="E439" t="str">
            <v>G3PREMAL</v>
          </cell>
          <cell r="F439">
            <v>0</v>
          </cell>
          <cell r="G439" t="str">
            <v>Data Modem 02</v>
          </cell>
          <cell r="H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row>
        <row r="440">
          <cell r="A440">
            <v>1700038</v>
          </cell>
          <cell r="B440" t="str">
            <v>1700038</v>
          </cell>
          <cell r="C440" t="str">
            <v>0</v>
          </cell>
          <cell r="D440" t="str">
            <v>17000</v>
          </cell>
          <cell r="E440" t="str">
            <v>G3PREMAL</v>
          </cell>
          <cell r="F440">
            <v>0</v>
          </cell>
          <cell r="G440" t="str">
            <v>SERVO REGULATOR - 5.0KVA</v>
          </cell>
          <cell r="H440">
            <v>0</v>
          </cell>
          <cell r="K440">
            <v>0</v>
          </cell>
          <cell r="L440">
            <v>0</v>
          </cell>
          <cell r="M440">
            <v>0</v>
          </cell>
          <cell r="N440">
            <v>0</v>
          </cell>
          <cell r="O440">
            <v>0</v>
          </cell>
          <cell r="P440">
            <v>0</v>
          </cell>
          <cell r="Q440">
            <v>0</v>
          </cell>
          <cell r="R440">
            <v>0</v>
          </cell>
          <cell r="S440">
            <v>0</v>
          </cell>
          <cell r="T440">
            <v>0</v>
          </cell>
          <cell r="U440">
            <v>0</v>
          </cell>
          <cell r="V440">
            <v>-738.38</v>
          </cell>
          <cell r="W440">
            <v>0</v>
          </cell>
          <cell r="X440">
            <v>0</v>
          </cell>
          <cell r="Y440">
            <v>0</v>
          </cell>
          <cell r="Z440">
            <v>0</v>
          </cell>
          <cell r="AA440">
            <v>0</v>
          </cell>
          <cell r="AB440">
            <v>10530</v>
          </cell>
          <cell r="AC440">
            <v>0</v>
          </cell>
          <cell r="AD440">
            <v>0</v>
          </cell>
          <cell r="AE440">
            <v>0</v>
          </cell>
          <cell r="AF440">
            <v>0</v>
          </cell>
        </row>
        <row r="441">
          <cell r="A441">
            <v>1700038</v>
          </cell>
          <cell r="H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10530</v>
          </cell>
          <cell r="AC441">
            <v>0</v>
          </cell>
          <cell r="AD441">
            <v>0</v>
          </cell>
          <cell r="AE441">
            <v>0</v>
          </cell>
          <cell r="AF441">
            <v>0</v>
          </cell>
        </row>
        <row r="442">
          <cell r="A442">
            <v>1700038</v>
          </cell>
          <cell r="H442">
            <v>10530</v>
          </cell>
          <cell r="K442">
            <v>0</v>
          </cell>
          <cell r="L442">
            <v>0</v>
          </cell>
          <cell r="M442">
            <v>-738.38</v>
          </cell>
          <cell r="N442">
            <v>0</v>
          </cell>
          <cell r="O442">
            <v>0</v>
          </cell>
          <cell r="P442">
            <v>0</v>
          </cell>
          <cell r="Q442">
            <v>0</v>
          </cell>
          <cell r="R442">
            <v>0</v>
          </cell>
          <cell r="S442">
            <v>0</v>
          </cell>
          <cell r="T442">
            <v>0</v>
          </cell>
          <cell r="U442">
            <v>0</v>
          </cell>
          <cell r="V442">
            <v>-1362.01</v>
          </cell>
          <cell r="W442">
            <v>0</v>
          </cell>
          <cell r="X442">
            <v>0</v>
          </cell>
          <cell r="Y442">
            <v>0</v>
          </cell>
          <cell r="Z442">
            <v>0</v>
          </cell>
          <cell r="AA442">
            <v>0</v>
          </cell>
          <cell r="AB442">
            <v>0</v>
          </cell>
          <cell r="AC442">
            <v>0</v>
          </cell>
          <cell r="AD442">
            <v>0</v>
          </cell>
          <cell r="AE442">
            <v>0</v>
          </cell>
          <cell r="AF442">
            <v>0</v>
          </cell>
        </row>
        <row r="443">
          <cell r="A443">
            <v>1700038</v>
          </cell>
          <cell r="H443">
            <v>10530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A444">
            <v>1700039</v>
          </cell>
          <cell r="B444" t="str">
            <v>1700039</v>
          </cell>
          <cell r="C444" t="str">
            <v>0</v>
          </cell>
          <cell r="D444" t="str">
            <v>17000</v>
          </cell>
          <cell r="E444" t="str">
            <v>G3PREMAL</v>
          </cell>
          <cell r="F444" t="str">
            <v>G3PREMAL</v>
          </cell>
          <cell r="G444" t="str">
            <v>-48 V DC CONVERTER</v>
          </cell>
          <cell r="H444">
            <v>0</v>
          </cell>
          <cell r="K444">
            <v>0</v>
          </cell>
          <cell r="L444">
            <v>0</v>
          </cell>
          <cell r="M444">
            <v>0</v>
          </cell>
          <cell r="N444">
            <v>0</v>
          </cell>
          <cell r="O444">
            <v>0</v>
          </cell>
          <cell r="P444">
            <v>0</v>
          </cell>
          <cell r="Q444">
            <v>0</v>
          </cell>
          <cell r="R444">
            <v>0</v>
          </cell>
          <cell r="S444">
            <v>0</v>
          </cell>
          <cell r="T444">
            <v>0</v>
          </cell>
          <cell r="U444">
            <v>0</v>
          </cell>
          <cell r="V444">
            <v>-179.88</v>
          </cell>
          <cell r="W444">
            <v>0</v>
          </cell>
          <cell r="X444">
            <v>0</v>
          </cell>
          <cell r="Y444">
            <v>0</v>
          </cell>
          <cell r="Z444">
            <v>0</v>
          </cell>
          <cell r="AA444">
            <v>0</v>
          </cell>
          <cell r="AB444">
            <v>8000</v>
          </cell>
          <cell r="AC444">
            <v>0</v>
          </cell>
          <cell r="AD444">
            <v>0</v>
          </cell>
          <cell r="AE444">
            <v>0</v>
          </cell>
          <cell r="AF444">
            <v>0</v>
          </cell>
        </row>
        <row r="445">
          <cell r="A445">
            <v>1700039</v>
          </cell>
          <cell r="H445">
            <v>8000</v>
          </cell>
          <cell r="K445">
            <v>0</v>
          </cell>
          <cell r="L445">
            <v>0</v>
          </cell>
          <cell r="M445">
            <v>-179.88</v>
          </cell>
          <cell r="N445">
            <v>0</v>
          </cell>
          <cell r="O445">
            <v>0</v>
          </cell>
          <cell r="P445">
            <v>0</v>
          </cell>
          <cell r="Q445">
            <v>0</v>
          </cell>
          <cell r="R445">
            <v>0</v>
          </cell>
          <cell r="S445">
            <v>0</v>
          </cell>
          <cell r="T445">
            <v>0</v>
          </cell>
          <cell r="U445">
            <v>0</v>
          </cell>
          <cell r="V445">
            <v>-1087.78</v>
          </cell>
          <cell r="W445">
            <v>0</v>
          </cell>
          <cell r="X445">
            <v>0</v>
          </cell>
          <cell r="Y445">
            <v>0</v>
          </cell>
          <cell r="Z445">
            <v>0</v>
          </cell>
          <cell r="AA445">
            <v>0</v>
          </cell>
          <cell r="AB445">
            <v>0</v>
          </cell>
          <cell r="AC445">
            <v>0</v>
          </cell>
          <cell r="AD445">
            <v>0</v>
          </cell>
          <cell r="AE445">
            <v>0</v>
          </cell>
          <cell r="AF445">
            <v>0</v>
          </cell>
        </row>
        <row r="446">
          <cell r="A446">
            <v>1700040</v>
          </cell>
          <cell r="B446" t="str">
            <v>1700040</v>
          </cell>
          <cell r="C446" t="str">
            <v>0</v>
          </cell>
          <cell r="D446" t="str">
            <v>17000</v>
          </cell>
          <cell r="E446" t="str">
            <v>G3PREMAL</v>
          </cell>
          <cell r="F446" t="str">
            <v>G3PREMAL</v>
          </cell>
          <cell r="G446" t="str">
            <v>RADIO(changodhar)</v>
          </cell>
          <cell r="H446">
            <v>0</v>
          </cell>
          <cell r="K446">
            <v>0</v>
          </cell>
          <cell r="L446">
            <v>0</v>
          </cell>
          <cell r="M446">
            <v>0</v>
          </cell>
          <cell r="N446">
            <v>0</v>
          </cell>
          <cell r="O446">
            <v>0</v>
          </cell>
          <cell r="P446">
            <v>0</v>
          </cell>
          <cell r="Q446">
            <v>0</v>
          </cell>
          <cell r="R446">
            <v>0</v>
          </cell>
          <cell r="S446">
            <v>0</v>
          </cell>
          <cell r="T446">
            <v>0</v>
          </cell>
          <cell r="U446">
            <v>0</v>
          </cell>
          <cell r="V446">
            <v>-14462.59</v>
          </cell>
          <cell r="W446">
            <v>0</v>
          </cell>
          <cell r="X446">
            <v>0</v>
          </cell>
          <cell r="Y446">
            <v>0</v>
          </cell>
          <cell r="Z446">
            <v>0</v>
          </cell>
          <cell r="AA446">
            <v>0</v>
          </cell>
          <cell r="AB446">
            <v>115000</v>
          </cell>
          <cell r="AC446">
            <v>0</v>
          </cell>
          <cell r="AD446">
            <v>0</v>
          </cell>
          <cell r="AE446">
            <v>0</v>
          </cell>
          <cell r="AF446">
            <v>0</v>
          </cell>
        </row>
        <row r="447">
          <cell r="A447">
            <v>1700040</v>
          </cell>
          <cell r="H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115000</v>
          </cell>
          <cell r="AC447">
            <v>0</v>
          </cell>
          <cell r="AD447">
            <v>0</v>
          </cell>
          <cell r="AE447">
            <v>0</v>
          </cell>
          <cell r="AF447">
            <v>0</v>
          </cell>
        </row>
        <row r="448">
          <cell r="A448">
            <v>1700041</v>
          </cell>
          <cell r="B448" t="str">
            <v>1700041</v>
          </cell>
          <cell r="C448" t="str">
            <v>0</v>
          </cell>
          <cell r="D448" t="str">
            <v>17000</v>
          </cell>
          <cell r="E448" t="str">
            <v>G3PREMAL</v>
          </cell>
          <cell r="F448" t="str">
            <v>G3PREMAL</v>
          </cell>
          <cell r="G448" t="str">
            <v>Mast (changodhar)</v>
          </cell>
          <cell r="H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row>
        <row r="449">
          <cell r="A449">
            <v>1700042</v>
          </cell>
          <cell r="B449" t="str">
            <v>1700042</v>
          </cell>
          <cell r="C449" t="str">
            <v>0</v>
          </cell>
          <cell r="D449" t="str">
            <v>17000</v>
          </cell>
          <cell r="E449" t="str">
            <v>G3PREMAL</v>
          </cell>
          <cell r="F449">
            <v>0</v>
          </cell>
          <cell r="G449" t="str">
            <v>GLOBAL POSITIONING SYSTEM( GPS)</v>
          </cell>
          <cell r="H449">
            <v>0</v>
          </cell>
          <cell r="K449">
            <v>0</v>
          </cell>
          <cell r="L449">
            <v>0</v>
          </cell>
          <cell r="M449">
            <v>0</v>
          </cell>
          <cell r="N449">
            <v>0</v>
          </cell>
          <cell r="O449">
            <v>0</v>
          </cell>
          <cell r="P449">
            <v>0</v>
          </cell>
          <cell r="Q449">
            <v>0</v>
          </cell>
          <cell r="R449">
            <v>0</v>
          </cell>
          <cell r="S449">
            <v>0</v>
          </cell>
          <cell r="T449">
            <v>0</v>
          </cell>
          <cell r="U449">
            <v>0</v>
          </cell>
          <cell r="V449">
            <v>-2097.63</v>
          </cell>
          <cell r="W449">
            <v>0</v>
          </cell>
          <cell r="X449">
            <v>0</v>
          </cell>
          <cell r="Y449">
            <v>0</v>
          </cell>
          <cell r="Z449">
            <v>0</v>
          </cell>
          <cell r="AA449">
            <v>0</v>
          </cell>
          <cell r="AB449">
            <v>15080</v>
          </cell>
          <cell r="AC449">
            <v>0</v>
          </cell>
          <cell r="AD449">
            <v>0</v>
          </cell>
          <cell r="AE449">
            <v>0</v>
          </cell>
          <cell r="AF449">
            <v>0</v>
          </cell>
        </row>
        <row r="450">
          <cell r="A450">
            <v>1700042</v>
          </cell>
          <cell r="H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15080</v>
          </cell>
          <cell r="AC450">
            <v>0</v>
          </cell>
          <cell r="AD450">
            <v>0</v>
          </cell>
          <cell r="AE450">
            <v>0</v>
          </cell>
          <cell r="AF450">
            <v>0</v>
          </cell>
        </row>
        <row r="451">
          <cell r="A451">
            <v>1700043</v>
          </cell>
          <cell r="B451" t="str">
            <v>1700043</v>
          </cell>
          <cell r="C451" t="str">
            <v>0</v>
          </cell>
          <cell r="D451" t="str">
            <v>17000</v>
          </cell>
          <cell r="E451" t="str">
            <v>G3PREMAL</v>
          </cell>
          <cell r="F451">
            <v>0</v>
          </cell>
          <cell r="G451" t="str">
            <v>RADIO ( RAJKOT GIPL&amp;BHARTI POP)</v>
          </cell>
          <cell r="H451">
            <v>0</v>
          </cell>
          <cell r="K451">
            <v>0</v>
          </cell>
          <cell r="L451">
            <v>0</v>
          </cell>
          <cell r="M451">
            <v>0</v>
          </cell>
          <cell r="N451">
            <v>0</v>
          </cell>
          <cell r="O451">
            <v>0</v>
          </cell>
          <cell r="P451">
            <v>0</v>
          </cell>
          <cell r="Q451">
            <v>0</v>
          </cell>
          <cell r="R451">
            <v>0</v>
          </cell>
          <cell r="S451">
            <v>0</v>
          </cell>
          <cell r="T451">
            <v>0</v>
          </cell>
          <cell r="U451">
            <v>0</v>
          </cell>
          <cell r="V451">
            <v>-4405.32</v>
          </cell>
          <cell r="W451">
            <v>0</v>
          </cell>
          <cell r="X451">
            <v>0</v>
          </cell>
          <cell r="Y451">
            <v>0</v>
          </cell>
          <cell r="Z451">
            <v>0</v>
          </cell>
          <cell r="AA451">
            <v>0</v>
          </cell>
          <cell r="AB451">
            <v>98800</v>
          </cell>
          <cell r="AC451">
            <v>0</v>
          </cell>
          <cell r="AD451">
            <v>0</v>
          </cell>
          <cell r="AE451">
            <v>0</v>
          </cell>
          <cell r="AF451">
            <v>0</v>
          </cell>
        </row>
        <row r="452">
          <cell r="A452">
            <v>1700043</v>
          </cell>
          <cell r="H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98800</v>
          </cell>
          <cell r="AC452">
            <v>0</v>
          </cell>
          <cell r="AD452">
            <v>0</v>
          </cell>
          <cell r="AE452">
            <v>0</v>
          </cell>
          <cell r="AF452">
            <v>0</v>
          </cell>
        </row>
        <row r="453">
          <cell r="A453">
            <v>1700043</v>
          </cell>
          <cell r="H453">
            <v>98800</v>
          </cell>
          <cell r="K453">
            <v>0</v>
          </cell>
          <cell r="L453">
            <v>0</v>
          </cell>
          <cell r="M453">
            <v>-4405.32</v>
          </cell>
          <cell r="N453">
            <v>0</v>
          </cell>
          <cell r="O453">
            <v>0</v>
          </cell>
          <cell r="P453">
            <v>0</v>
          </cell>
          <cell r="Q453">
            <v>0</v>
          </cell>
          <cell r="R453">
            <v>0</v>
          </cell>
          <cell r="S453">
            <v>0</v>
          </cell>
          <cell r="T453">
            <v>0</v>
          </cell>
          <cell r="U453">
            <v>0</v>
          </cell>
          <cell r="V453">
            <v>-13732.74</v>
          </cell>
          <cell r="W453">
            <v>0</v>
          </cell>
          <cell r="X453">
            <v>0</v>
          </cell>
          <cell r="Y453">
            <v>0</v>
          </cell>
          <cell r="Z453">
            <v>0</v>
          </cell>
          <cell r="AA453">
            <v>0</v>
          </cell>
          <cell r="AB453">
            <v>0</v>
          </cell>
          <cell r="AC453">
            <v>0</v>
          </cell>
          <cell r="AD453">
            <v>0</v>
          </cell>
          <cell r="AE453">
            <v>0</v>
          </cell>
          <cell r="AF453">
            <v>0</v>
          </cell>
        </row>
        <row r="454">
          <cell r="A454">
            <v>1700043</v>
          </cell>
          <cell r="H454">
            <v>98800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A455">
            <v>1700044</v>
          </cell>
          <cell r="B455" t="str">
            <v>1700044</v>
          </cell>
          <cell r="C455" t="str">
            <v>0</v>
          </cell>
          <cell r="D455" t="str">
            <v>17000</v>
          </cell>
          <cell r="E455" t="str">
            <v>G3PREMAL</v>
          </cell>
          <cell r="F455">
            <v>0</v>
          </cell>
          <cell r="G455" t="str">
            <v>Converter</v>
          </cell>
          <cell r="H455">
            <v>0</v>
          </cell>
          <cell r="K455">
            <v>0</v>
          </cell>
          <cell r="L455">
            <v>0</v>
          </cell>
          <cell r="M455">
            <v>0</v>
          </cell>
          <cell r="N455">
            <v>0</v>
          </cell>
          <cell r="O455">
            <v>0</v>
          </cell>
          <cell r="P455">
            <v>0</v>
          </cell>
          <cell r="Q455">
            <v>0</v>
          </cell>
          <cell r="R455">
            <v>0</v>
          </cell>
          <cell r="S455">
            <v>0</v>
          </cell>
          <cell r="T455">
            <v>0</v>
          </cell>
          <cell r="U455">
            <v>0</v>
          </cell>
          <cell r="V455">
            <v>-1765.98</v>
          </cell>
          <cell r="W455">
            <v>0</v>
          </cell>
          <cell r="X455">
            <v>0</v>
          </cell>
          <cell r="Y455">
            <v>0</v>
          </cell>
          <cell r="Z455">
            <v>0</v>
          </cell>
          <cell r="AA455">
            <v>0</v>
          </cell>
          <cell r="AB455">
            <v>12801</v>
          </cell>
          <cell r="AC455">
            <v>0</v>
          </cell>
          <cell r="AD455">
            <v>0</v>
          </cell>
          <cell r="AE455">
            <v>0</v>
          </cell>
          <cell r="AF455">
            <v>0</v>
          </cell>
        </row>
        <row r="456">
          <cell r="A456">
            <v>1700044</v>
          </cell>
          <cell r="H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12801</v>
          </cell>
          <cell r="AC456">
            <v>0</v>
          </cell>
          <cell r="AD456">
            <v>0</v>
          </cell>
          <cell r="AE456">
            <v>0</v>
          </cell>
          <cell r="AF456">
            <v>0</v>
          </cell>
        </row>
        <row r="457">
          <cell r="A457">
            <v>1700045</v>
          </cell>
          <cell r="B457" t="str">
            <v>1700045</v>
          </cell>
          <cell r="C457" t="str">
            <v>0</v>
          </cell>
          <cell r="D457" t="str">
            <v>17000</v>
          </cell>
          <cell r="E457" t="str">
            <v>G3PREMAL</v>
          </cell>
          <cell r="F457">
            <v>0</v>
          </cell>
          <cell r="G457" t="str">
            <v>Converter</v>
          </cell>
          <cell r="H457">
            <v>0</v>
          </cell>
          <cell r="K457">
            <v>0</v>
          </cell>
          <cell r="L457">
            <v>0</v>
          </cell>
          <cell r="M457">
            <v>0</v>
          </cell>
          <cell r="N457">
            <v>0</v>
          </cell>
          <cell r="O457">
            <v>0</v>
          </cell>
          <cell r="P457">
            <v>0</v>
          </cell>
          <cell r="Q457">
            <v>0</v>
          </cell>
          <cell r="R457">
            <v>0</v>
          </cell>
          <cell r="S457">
            <v>0</v>
          </cell>
          <cell r="T457">
            <v>0</v>
          </cell>
          <cell r="U457">
            <v>0</v>
          </cell>
          <cell r="V457">
            <v>-1765.98</v>
          </cell>
          <cell r="W457">
            <v>0</v>
          </cell>
          <cell r="X457">
            <v>0</v>
          </cell>
          <cell r="Y457">
            <v>0</v>
          </cell>
          <cell r="Z457">
            <v>0</v>
          </cell>
          <cell r="AA457">
            <v>0</v>
          </cell>
          <cell r="AB457">
            <v>12801</v>
          </cell>
          <cell r="AC457">
            <v>0</v>
          </cell>
          <cell r="AD457">
            <v>0</v>
          </cell>
          <cell r="AE457">
            <v>0</v>
          </cell>
          <cell r="AF457">
            <v>0</v>
          </cell>
        </row>
        <row r="458">
          <cell r="A458">
            <v>1700045</v>
          </cell>
          <cell r="H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12801</v>
          </cell>
          <cell r="AC458">
            <v>0</v>
          </cell>
          <cell r="AD458">
            <v>0</v>
          </cell>
          <cell r="AE458">
            <v>0</v>
          </cell>
          <cell r="AF458">
            <v>0</v>
          </cell>
        </row>
        <row r="459">
          <cell r="A459">
            <v>1700046</v>
          </cell>
          <cell r="B459" t="str">
            <v>1700046</v>
          </cell>
          <cell r="C459" t="str">
            <v>0</v>
          </cell>
          <cell r="D459" t="str">
            <v>17000</v>
          </cell>
          <cell r="E459" t="str">
            <v>G3PREMAL</v>
          </cell>
          <cell r="F459">
            <v>0</v>
          </cell>
          <cell r="G459" t="str">
            <v>OFC  Cable</v>
          </cell>
          <cell r="H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row>
        <row r="460">
          <cell r="A460">
            <v>1700047</v>
          </cell>
          <cell r="B460" t="str">
            <v>1700047</v>
          </cell>
          <cell r="C460" t="str">
            <v>0</v>
          </cell>
          <cell r="D460" t="str">
            <v>17000</v>
          </cell>
          <cell r="E460" t="str">
            <v>G3PREMAL</v>
          </cell>
          <cell r="F460">
            <v>0</v>
          </cell>
          <cell r="G460" t="str">
            <v>Porable Power Generator</v>
          </cell>
          <cell r="H460">
            <v>0</v>
          </cell>
          <cell r="K460">
            <v>0</v>
          </cell>
          <cell r="L460">
            <v>0</v>
          </cell>
          <cell r="M460">
            <v>0</v>
          </cell>
          <cell r="N460">
            <v>0</v>
          </cell>
          <cell r="O460">
            <v>0</v>
          </cell>
          <cell r="P460">
            <v>0</v>
          </cell>
          <cell r="Q460">
            <v>0</v>
          </cell>
          <cell r="R460">
            <v>0</v>
          </cell>
          <cell r="S460">
            <v>0</v>
          </cell>
          <cell r="T460">
            <v>0</v>
          </cell>
          <cell r="U460">
            <v>0</v>
          </cell>
          <cell r="V460">
            <v>-4645.8100000000004</v>
          </cell>
          <cell r="W460">
            <v>0</v>
          </cell>
          <cell r="X460">
            <v>0</v>
          </cell>
          <cell r="Y460">
            <v>0</v>
          </cell>
          <cell r="Z460">
            <v>0</v>
          </cell>
          <cell r="AA460">
            <v>0</v>
          </cell>
          <cell r="AB460">
            <v>38578</v>
          </cell>
          <cell r="AC460">
            <v>0</v>
          </cell>
          <cell r="AD460">
            <v>0</v>
          </cell>
          <cell r="AE460">
            <v>0</v>
          </cell>
          <cell r="AF460">
            <v>0</v>
          </cell>
        </row>
        <row r="461">
          <cell r="A461">
            <v>1700047</v>
          </cell>
          <cell r="H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38578</v>
          </cell>
          <cell r="AC461">
            <v>0</v>
          </cell>
          <cell r="AD461">
            <v>0</v>
          </cell>
          <cell r="AE461">
            <v>0</v>
          </cell>
          <cell r="AF461">
            <v>0</v>
          </cell>
        </row>
        <row r="462">
          <cell r="A462">
            <v>1700048</v>
          </cell>
          <cell r="B462" t="str">
            <v>1700048</v>
          </cell>
          <cell r="C462" t="str">
            <v>0</v>
          </cell>
          <cell r="D462" t="str">
            <v>17000</v>
          </cell>
          <cell r="E462" t="str">
            <v>G3PREMAL</v>
          </cell>
          <cell r="F462" t="str">
            <v>G3PREMAL</v>
          </cell>
          <cell r="G462" t="str">
            <v>MOdem Radio Make ASMI -52</v>
          </cell>
          <cell r="H462">
            <v>0</v>
          </cell>
          <cell r="K462">
            <v>0</v>
          </cell>
          <cell r="L462">
            <v>0</v>
          </cell>
          <cell r="M462">
            <v>0</v>
          </cell>
          <cell r="N462">
            <v>0</v>
          </cell>
          <cell r="O462">
            <v>0</v>
          </cell>
          <cell r="P462">
            <v>0</v>
          </cell>
          <cell r="Q462">
            <v>0</v>
          </cell>
          <cell r="R462">
            <v>0</v>
          </cell>
          <cell r="S462">
            <v>0</v>
          </cell>
          <cell r="T462">
            <v>0</v>
          </cell>
          <cell r="U462">
            <v>0</v>
          </cell>
          <cell r="V462">
            <v>-7586.86</v>
          </cell>
          <cell r="W462">
            <v>0</v>
          </cell>
          <cell r="X462">
            <v>0</v>
          </cell>
          <cell r="Y462">
            <v>0</v>
          </cell>
          <cell r="Z462">
            <v>0</v>
          </cell>
          <cell r="AA462">
            <v>0</v>
          </cell>
          <cell r="AB462">
            <v>63000</v>
          </cell>
          <cell r="AC462">
            <v>0</v>
          </cell>
          <cell r="AD462">
            <v>0</v>
          </cell>
          <cell r="AE462">
            <v>0</v>
          </cell>
          <cell r="AF462">
            <v>0</v>
          </cell>
        </row>
        <row r="463">
          <cell r="A463">
            <v>1700048</v>
          </cell>
          <cell r="H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63000</v>
          </cell>
          <cell r="AC463">
            <v>0</v>
          </cell>
          <cell r="AD463">
            <v>0</v>
          </cell>
          <cell r="AE463">
            <v>0</v>
          </cell>
          <cell r="AF463">
            <v>0</v>
          </cell>
        </row>
        <row r="464">
          <cell r="A464">
            <v>1700049</v>
          </cell>
          <cell r="B464" t="str">
            <v>1700049</v>
          </cell>
          <cell r="C464" t="str">
            <v>0</v>
          </cell>
          <cell r="D464" t="str">
            <v>17000</v>
          </cell>
          <cell r="E464" t="str">
            <v>G3PREMAL</v>
          </cell>
          <cell r="F464">
            <v>0</v>
          </cell>
          <cell r="G464" t="str">
            <v>RADIO(BARODA)</v>
          </cell>
          <cell r="H464">
            <v>0</v>
          </cell>
          <cell r="K464">
            <v>0</v>
          </cell>
          <cell r="L464">
            <v>0</v>
          </cell>
          <cell r="M464">
            <v>0</v>
          </cell>
          <cell r="N464">
            <v>0</v>
          </cell>
          <cell r="O464">
            <v>0</v>
          </cell>
          <cell r="P464">
            <v>0</v>
          </cell>
          <cell r="Q464">
            <v>0</v>
          </cell>
          <cell r="R464">
            <v>0</v>
          </cell>
          <cell r="S464">
            <v>0</v>
          </cell>
          <cell r="T464">
            <v>0</v>
          </cell>
          <cell r="U464">
            <v>0</v>
          </cell>
          <cell r="V464">
            <v>-20796.400000000001</v>
          </cell>
          <cell r="W464">
            <v>0</v>
          </cell>
          <cell r="X464">
            <v>0</v>
          </cell>
          <cell r="Y464">
            <v>0</v>
          </cell>
          <cell r="Z464">
            <v>0</v>
          </cell>
          <cell r="AA464">
            <v>0</v>
          </cell>
          <cell r="AB464">
            <v>170000</v>
          </cell>
          <cell r="AC464">
            <v>0</v>
          </cell>
          <cell r="AD464">
            <v>0</v>
          </cell>
          <cell r="AE464">
            <v>0</v>
          </cell>
          <cell r="AF464">
            <v>0</v>
          </cell>
        </row>
        <row r="465">
          <cell r="A465">
            <v>1700049</v>
          </cell>
          <cell r="H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170000</v>
          </cell>
          <cell r="AC465">
            <v>0</v>
          </cell>
          <cell r="AD465">
            <v>0</v>
          </cell>
          <cell r="AE465">
            <v>0</v>
          </cell>
          <cell r="AF465">
            <v>0</v>
          </cell>
        </row>
        <row r="466">
          <cell r="A466">
            <v>1700050</v>
          </cell>
          <cell r="B466" t="str">
            <v>1700050</v>
          </cell>
          <cell r="C466" t="str">
            <v>0</v>
          </cell>
          <cell r="D466" t="str">
            <v>17000</v>
          </cell>
          <cell r="E466" t="str">
            <v>G3PREMAL</v>
          </cell>
          <cell r="F466">
            <v>0</v>
          </cell>
          <cell r="G466" t="str">
            <v>OPTIMUX</v>
          </cell>
          <cell r="H466">
            <v>0</v>
          </cell>
          <cell r="K466">
            <v>0</v>
          </cell>
          <cell r="L466">
            <v>0</v>
          </cell>
          <cell r="M466">
            <v>0</v>
          </cell>
          <cell r="N466">
            <v>0</v>
          </cell>
          <cell r="O466">
            <v>0</v>
          </cell>
          <cell r="P466">
            <v>0</v>
          </cell>
          <cell r="Q466">
            <v>0</v>
          </cell>
          <cell r="R466">
            <v>0</v>
          </cell>
          <cell r="S466">
            <v>0</v>
          </cell>
          <cell r="T466">
            <v>0</v>
          </cell>
          <cell r="U466">
            <v>0</v>
          </cell>
          <cell r="V466">
            <v>-9105.4</v>
          </cell>
          <cell r="W466">
            <v>0</v>
          </cell>
          <cell r="X466">
            <v>0</v>
          </cell>
          <cell r="Y466">
            <v>0</v>
          </cell>
          <cell r="Z466">
            <v>0</v>
          </cell>
          <cell r="AA466">
            <v>0</v>
          </cell>
          <cell r="AB466">
            <v>69053.98</v>
          </cell>
          <cell r="AC466">
            <v>0</v>
          </cell>
          <cell r="AD466">
            <v>0</v>
          </cell>
          <cell r="AE466">
            <v>0</v>
          </cell>
          <cell r="AF466">
            <v>0</v>
          </cell>
        </row>
        <row r="467">
          <cell r="A467">
            <v>1700050</v>
          </cell>
          <cell r="H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69053.98</v>
          </cell>
          <cell r="AC467">
            <v>0</v>
          </cell>
          <cell r="AD467">
            <v>0</v>
          </cell>
          <cell r="AE467">
            <v>0</v>
          </cell>
          <cell r="AF467">
            <v>0</v>
          </cell>
        </row>
        <row r="468">
          <cell r="A468">
            <v>1700051</v>
          </cell>
          <cell r="B468" t="str">
            <v>1700051</v>
          </cell>
          <cell r="C468" t="str">
            <v>0</v>
          </cell>
          <cell r="D468" t="str">
            <v>17000</v>
          </cell>
          <cell r="E468" t="str">
            <v>G3PREMAL</v>
          </cell>
          <cell r="F468">
            <v>0</v>
          </cell>
          <cell r="G468" t="str">
            <v>RECK</v>
          </cell>
          <cell r="H468">
            <v>0</v>
          </cell>
          <cell r="K468">
            <v>0</v>
          </cell>
          <cell r="L468">
            <v>0</v>
          </cell>
          <cell r="M468">
            <v>0</v>
          </cell>
          <cell r="N468">
            <v>0</v>
          </cell>
          <cell r="O468">
            <v>0</v>
          </cell>
          <cell r="P468">
            <v>0</v>
          </cell>
          <cell r="Q468">
            <v>0</v>
          </cell>
          <cell r="R468">
            <v>0</v>
          </cell>
          <cell r="S468">
            <v>0</v>
          </cell>
          <cell r="T468">
            <v>0</v>
          </cell>
          <cell r="U468">
            <v>0</v>
          </cell>
          <cell r="V468">
            <v>-1569.51</v>
          </cell>
          <cell r="W468">
            <v>0</v>
          </cell>
          <cell r="X468">
            <v>0</v>
          </cell>
          <cell r="Y468">
            <v>0</v>
          </cell>
          <cell r="Z468">
            <v>0</v>
          </cell>
          <cell r="AA468">
            <v>0</v>
          </cell>
          <cell r="AB468">
            <v>13200</v>
          </cell>
          <cell r="AC468">
            <v>0</v>
          </cell>
          <cell r="AD468">
            <v>0</v>
          </cell>
          <cell r="AE468">
            <v>0</v>
          </cell>
          <cell r="AF468">
            <v>0</v>
          </cell>
        </row>
        <row r="469">
          <cell r="A469">
            <v>1700051</v>
          </cell>
          <cell r="H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13200</v>
          </cell>
          <cell r="AC469">
            <v>0</v>
          </cell>
          <cell r="AD469">
            <v>0</v>
          </cell>
          <cell r="AE469">
            <v>0</v>
          </cell>
          <cell r="AF469">
            <v>0</v>
          </cell>
        </row>
        <row r="470">
          <cell r="A470">
            <v>1700052</v>
          </cell>
          <cell r="B470" t="str">
            <v>1700052</v>
          </cell>
          <cell r="C470" t="str">
            <v>0</v>
          </cell>
          <cell r="D470" t="str">
            <v>17000</v>
          </cell>
          <cell r="E470" t="str">
            <v>G3PREMAL</v>
          </cell>
          <cell r="F470">
            <v>0</v>
          </cell>
          <cell r="G470" t="str">
            <v>Converter-Ip6440</v>
          </cell>
          <cell r="H470">
            <v>0</v>
          </cell>
          <cell r="K470">
            <v>0</v>
          </cell>
          <cell r="L470">
            <v>0</v>
          </cell>
          <cell r="M470">
            <v>0</v>
          </cell>
          <cell r="N470">
            <v>0</v>
          </cell>
          <cell r="O470">
            <v>0</v>
          </cell>
          <cell r="P470">
            <v>0</v>
          </cell>
          <cell r="Q470">
            <v>0</v>
          </cell>
          <cell r="R470">
            <v>0</v>
          </cell>
          <cell r="S470">
            <v>0</v>
          </cell>
          <cell r="T470">
            <v>0</v>
          </cell>
          <cell r="U470">
            <v>0</v>
          </cell>
          <cell r="V470">
            <v>-18102.439999999999</v>
          </cell>
          <cell r="W470">
            <v>0</v>
          </cell>
          <cell r="X470">
            <v>0</v>
          </cell>
          <cell r="Y470">
            <v>0</v>
          </cell>
          <cell r="Z470">
            <v>0</v>
          </cell>
          <cell r="AA470">
            <v>0</v>
          </cell>
          <cell r="AB470">
            <v>254016</v>
          </cell>
          <cell r="AC470">
            <v>0</v>
          </cell>
          <cell r="AD470">
            <v>0</v>
          </cell>
          <cell r="AE470">
            <v>0</v>
          </cell>
          <cell r="AF470">
            <v>0</v>
          </cell>
        </row>
        <row r="471">
          <cell r="A471">
            <v>1700052</v>
          </cell>
          <cell r="H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254016</v>
          </cell>
          <cell r="AC471">
            <v>0</v>
          </cell>
          <cell r="AD471">
            <v>0</v>
          </cell>
          <cell r="AE471">
            <v>0</v>
          </cell>
          <cell r="AF471">
            <v>0</v>
          </cell>
        </row>
        <row r="472">
          <cell r="A472">
            <v>1700052</v>
          </cell>
          <cell r="H472">
            <v>254016</v>
          </cell>
          <cell r="K472">
            <v>0</v>
          </cell>
          <cell r="L472">
            <v>0</v>
          </cell>
          <cell r="M472">
            <v>-18102.439999999999</v>
          </cell>
          <cell r="N472">
            <v>0</v>
          </cell>
          <cell r="O472">
            <v>0</v>
          </cell>
          <cell r="P472">
            <v>0</v>
          </cell>
          <cell r="Q472">
            <v>0</v>
          </cell>
          <cell r="R472">
            <v>0</v>
          </cell>
          <cell r="S472">
            <v>0</v>
          </cell>
          <cell r="T472">
            <v>0</v>
          </cell>
          <cell r="U472">
            <v>0</v>
          </cell>
          <cell r="V472">
            <v>-32815.58</v>
          </cell>
          <cell r="W472">
            <v>0</v>
          </cell>
          <cell r="X472">
            <v>0</v>
          </cell>
          <cell r="Y472">
            <v>0</v>
          </cell>
          <cell r="Z472">
            <v>0</v>
          </cell>
          <cell r="AA472">
            <v>0</v>
          </cell>
          <cell r="AB472">
            <v>0</v>
          </cell>
          <cell r="AC472">
            <v>0</v>
          </cell>
          <cell r="AD472">
            <v>0</v>
          </cell>
          <cell r="AE472">
            <v>0</v>
          </cell>
          <cell r="AF472">
            <v>0</v>
          </cell>
        </row>
        <row r="473">
          <cell r="A473">
            <v>1700052</v>
          </cell>
          <cell r="H473">
            <v>254016</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row>
        <row r="474">
          <cell r="A474">
            <v>1700053</v>
          </cell>
          <cell r="B474" t="str">
            <v>1700053</v>
          </cell>
          <cell r="C474" t="str">
            <v>0</v>
          </cell>
          <cell r="D474" t="str">
            <v>17000</v>
          </cell>
          <cell r="E474" t="str">
            <v>G3PREMAL</v>
          </cell>
          <cell r="F474">
            <v>0</v>
          </cell>
          <cell r="G474" t="str">
            <v>Data Modem 02</v>
          </cell>
          <cell r="H474">
            <v>0</v>
          </cell>
          <cell r="K474">
            <v>0</v>
          </cell>
          <cell r="L474">
            <v>0</v>
          </cell>
          <cell r="M474">
            <v>0</v>
          </cell>
          <cell r="N474">
            <v>0</v>
          </cell>
          <cell r="O474">
            <v>0</v>
          </cell>
          <cell r="P474">
            <v>0</v>
          </cell>
          <cell r="Q474">
            <v>0</v>
          </cell>
          <cell r="R474">
            <v>0</v>
          </cell>
          <cell r="S474">
            <v>0</v>
          </cell>
          <cell r="T474">
            <v>0</v>
          </cell>
          <cell r="U474">
            <v>0</v>
          </cell>
          <cell r="V474">
            <v>-3649.37</v>
          </cell>
          <cell r="W474">
            <v>0</v>
          </cell>
          <cell r="X474">
            <v>0</v>
          </cell>
          <cell r="Y474">
            <v>0</v>
          </cell>
          <cell r="Z474">
            <v>0</v>
          </cell>
          <cell r="AA474">
            <v>0</v>
          </cell>
          <cell r="AB474">
            <v>57000</v>
          </cell>
          <cell r="AC474">
            <v>0</v>
          </cell>
          <cell r="AD474">
            <v>0</v>
          </cell>
          <cell r="AE474">
            <v>0</v>
          </cell>
          <cell r="AF474">
            <v>0</v>
          </cell>
        </row>
        <row r="475">
          <cell r="A475">
            <v>1700053</v>
          </cell>
          <cell r="H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57000</v>
          </cell>
          <cell r="AC475">
            <v>0</v>
          </cell>
          <cell r="AD475">
            <v>0</v>
          </cell>
          <cell r="AE475">
            <v>0</v>
          </cell>
          <cell r="AF475">
            <v>0</v>
          </cell>
        </row>
        <row r="476">
          <cell r="A476">
            <v>1700053</v>
          </cell>
          <cell r="H476">
            <v>57000</v>
          </cell>
          <cell r="K476">
            <v>0</v>
          </cell>
          <cell r="L476">
            <v>0</v>
          </cell>
          <cell r="M476">
            <v>-3649.37</v>
          </cell>
          <cell r="N476">
            <v>0</v>
          </cell>
          <cell r="O476">
            <v>0</v>
          </cell>
          <cell r="P476">
            <v>0</v>
          </cell>
          <cell r="Q476">
            <v>0</v>
          </cell>
          <cell r="R476">
            <v>0</v>
          </cell>
          <cell r="S476">
            <v>0</v>
          </cell>
          <cell r="T476">
            <v>0</v>
          </cell>
          <cell r="U476">
            <v>0</v>
          </cell>
          <cell r="V476">
            <v>-7421.07</v>
          </cell>
          <cell r="W476">
            <v>0</v>
          </cell>
          <cell r="X476">
            <v>0</v>
          </cell>
          <cell r="Y476">
            <v>0</v>
          </cell>
          <cell r="Z476">
            <v>0</v>
          </cell>
          <cell r="AA476">
            <v>0</v>
          </cell>
          <cell r="AB476">
            <v>0</v>
          </cell>
          <cell r="AC476">
            <v>0</v>
          </cell>
          <cell r="AD476">
            <v>0</v>
          </cell>
          <cell r="AE476">
            <v>0</v>
          </cell>
          <cell r="AF476">
            <v>0</v>
          </cell>
        </row>
        <row r="477">
          <cell r="A477">
            <v>1700053</v>
          </cell>
          <cell r="H477">
            <v>57000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row>
        <row r="478">
          <cell r="A478">
            <v>1700054</v>
          </cell>
          <cell r="B478" t="str">
            <v>1700054</v>
          </cell>
          <cell r="C478" t="str">
            <v>0</v>
          </cell>
          <cell r="D478" t="str">
            <v>17000</v>
          </cell>
          <cell r="E478" t="str">
            <v>G3PREMAL</v>
          </cell>
          <cell r="F478">
            <v>0</v>
          </cell>
          <cell r="G478" t="str">
            <v>Radio Modem</v>
          </cell>
          <cell r="H478">
            <v>0</v>
          </cell>
          <cell r="K478">
            <v>0</v>
          </cell>
          <cell r="L478">
            <v>0</v>
          </cell>
          <cell r="M478">
            <v>0</v>
          </cell>
          <cell r="N478">
            <v>0</v>
          </cell>
          <cell r="O478">
            <v>0</v>
          </cell>
          <cell r="P478">
            <v>0</v>
          </cell>
          <cell r="Q478">
            <v>0</v>
          </cell>
          <cell r="R478">
            <v>0</v>
          </cell>
          <cell r="S478">
            <v>0</v>
          </cell>
          <cell r="T478">
            <v>0</v>
          </cell>
          <cell r="U478">
            <v>0</v>
          </cell>
          <cell r="V478">
            <v>-3186.57</v>
          </cell>
          <cell r="W478">
            <v>0</v>
          </cell>
          <cell r="X478">
            <v>0</v>
          </cell>
          <cell r="Y478">
            <v>0</v>
          </cell>
          <cell r="Z478">
            <v>0</v>
          </cell>
          <cell r="AA478">
            <v>0</v>
          </cell>
          <cell r="AB478">
            <v>41600</v>
          </cell>
          <cell r="AC478">
            <v>0</v>
          </cell>
          <cell r="AD478">
            <v>0</v>
          </cell>
          <cell r="AE478">
            <v>0</v>
          </cell>
          <cell r="AF478">
            <v>0</v>
          </cell>
        </row>
        <row r="479">
          <cell r="A479">
            <v>1700054</v>
          </cell>
          <cell r="H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41600</v>
          </cell>
          <cell r="AC479">
            <v>0</v>
          </cell>
          <cell r="AD479">
            <v>0</v>
          </cell>
          <cell r="AE479">
            <v>0</v>
          </cell>
          <cell r="AF479">
            <v>0</v>
          </cell>
        </row>
        <row r="480">
          <cell r="A480">
            <v>1700054</v>
          </cell>
          <cell r="H480">
            <v>41600</v>
          </cell>
          <cell r="K480">
            <v>0</v>
          </cell>
          <cell r="L480">
            <v>0</v>
          </cell>
          <cell r="M480">
            <v>-3186.57</v>
          </cell>
          <cell r="N480">
            <v>0</v>
          </cell>
          <cell r="O480">
            <v>0</v>
          </cell>
          <cell r="P480">
            <v>0</v>
          </cell>
          <cell r="Q480">
            <v>0</v>
          </cell>
          <cell r="R480">
            <v>0</v>
          </cell>
          <cell r="S480">
            <v>0</v>
          </cell>
          <cell r="T480">
            <v>0</v>
          </cell>
          <cell r="U480">
            <v>0</v>
          </cell>
          <cell r="V480">
            <v>-5343.31</v>
          </cell>
          <cell r="W480">
            <v>0</v>
          </cell>
          <cell r="X480">
            <v>0</v>
          </cell>
          <cell r="Y480">
            <v>0</v>
          </cell>
          <cell r="Z480">
            <v>0</v>
          </cell>
          <cell r="AA480">
            <v>0</v>
          </cell>
          <cell r="AB480">
            <v>0</v>
          </cell>
          <cell r="AC480">
            <v>0</v>
          </cell>
          <cell r="AD480">
            <v>0</v>
          </cell>
          <cell r="AE480">
            <v>0</v>
          </cell>
          <cell r="AF480">
            <v>0</v>
          </cell>
        </row>
        <row r="481">
          <cell r="A481">
            <v>1700054</v>
          </cell>
          <cell r="H481">
            <v>41600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row>
        <row r="482">
          <cell r="A482">
            <v>1700055</v>
          </cell>
          <cell r="B482" t="str">
            <v>1700055</v>
          </cell>
          <cell r="C482" t="str">
            <v>0</v>
          </cell>
          <cell r="D482" t="str">
            <v>17000</v>
          </cell>
          <cell r="E482" t="str">
            <v>G3PREMAL</v>
          </cell>
          <cell r="F482">
            <v>0</v>
          </cell>
          <cell r="G482" t="str">
            <v>Rack- AHB</v>
          </cell>
          <cell r="H482">
            <v>0</v>
          </cell>
          <cell r="K482">
            <v>0</v>
          </cell>
          <cell r="L482">
            <v>0</v>
          </cell>
          <cell r="M482">
            <v>0</v>
          </cell>
          <cell r="N482">
            <v>0</v>
          </cell>
          <cell r="O482">
            <v>0</v>
          </cell>
          <cell r="P482">
            <v>0</v>
          </cell>
          <cell r="Q482">
            <v>0</v>
          </cell>
          <cell r="R482">
            <v>0</v>
          </cell>
          <cell r="S482">
            <v>0</v>
          </cell>
          <cell r="T482">
            <v>0</v>
          </cell>
          <cell r="U482">
            <v>0</v>
          </cell>
          <cell r="V482">
            <v>-2582.06</v>
          </cell>
          <cell r="W482">
            <v>0</v>
          </cell>
          <cell r="X482">
            <v>0</v>
          </cell>
          <cell r="Y482">
            <v>0</v>
          </cell>
          <cell r="Z482">
            <v>0</v>
          </cell>
          <cell r="AA482">
            <v>0</v>
          </cell>
          <cell r="AB482">
            <v>26780</v>
          </cell>
          <cell r="AC482">
            <v>0</v>
          </cell>
          <cell r="AD482">
            <v>0</v>
          </cell>
          <cell r="AE482">
            <v>0</v>
          </cell>
          <cell r="AF482">
            <v>0</v>
          </cell>
        </row>
        <row r="483">
          <cell r="A483">
            <v>1700055</v>
          </cell>
          <cell r="H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26780</v>
          </cell>
          <cell r="AC483">
            <v>0</v>
          </cell>
          <cell r="AD483">
            <v>0</v>
          </cell>
          <cell r="AE483">
            <v>0</v>
          </cell>
          <cell r="AF483">
            <v>0</v>
          </cell>
        </row>
        <row r="484">
          <cell r="A484">
            <v>1700055</v>
          </cell>
          <cell r="H484">
            <v>26780</v>
          </cell>
          <cell r="K484">
            <v>0</v>
          </cell>
          <cell r="L484">
            <v>0</v>
          </cell>
          <cell r="M484">
            <v>-2582.06</v>
          </cell>
          <cell r="N484">
            <v>0</v>
          </cell>
          <cell r="O484">
            <v>0</v>
          </cell>
          <cell r="P484">
            <v>0</v>
          </cell>
          <cell r="Q484">
            <v>0</v>
          </cell>
          <cell r="R484">
            <v>0</v>
          </cell>
          <cell r="S484">
            <v>0</v>
          </cell>
          <cell r="T484">
            <v>0</v>
          </cell>
          <cell r="U484">
            <v>0</v>
          </cell>
          <cell r="V484">
            <v>-3365.93</v>
          </cell>
          <cell r="W484">
            <v>0</v>
          </cell>
          <cell r="X484">
            <v>0</v>
          </cell>
          <cell r="Y484">
            <v>0</v>
          </cell>
          <cell r="Z484">
            <v>0</v>
          </cell>
          <cell r="AA484">
            <v>0</v>
          </cell>
          <cell r="AB484">
            <v>0</v>
          </cell>
          <cell r="AC484">
            <v>0</v>
          </cell>
          <cell r="AD484">
            <v>0</v>
          </cell>
          <cell r="AE484">
            <v>0</v>
          </cell>
          <cell r="AF484">
            <v>0</v>
          </cell>
        </row>
        <row r="485">
          <cell r="A485">
            <v>1700055</v>
          </cell>
          <cell r="H485">
            <v>26780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row>
        <row r="486">
          <cell r="A486">
            <v>1700056</v>
          </cell>
          <cell r="B486" t="str">
            <v>1700056</v>
          </cell>
          <cell r="C486" t="str">
            <v>0</v>
          </cell>
          <cell r="D486" t="str">
            <v>17000</v>
          </cell>
          <cell r="E486" t="str">
            <v>G3PREMAL</v>
          </cell>
          <cell r="F486">
            <v>0</v>
          </cell>
          <cell r="G486" t="str">
            <v>GENERATOR</v>
          </cell>
        </row>
        <row r="487">
          <cell r="A487">
            <v>1700057</v>
          </cell>
          <cell r="B487" t="str">
            <v>1700057</v>
          </cell>
          <cell r="C487" t="str">
            <v>0</v>
          </cell>
          <cell r="D487" t="str">
            <v>17000</v>
          </cell>
          <cell r="E487" t="str">
            <v>G3PREMAL</v>
          </cell>
          <cell r="F487">
            <v>0</v>
          </cell>
          <cell r="G487" t="str">
            <v>Jelly Filled Cable</v>
          </cell>
          <cell r="H487">
            <v>0</v>
          </cell>
          <cell r="K487">
            <v>0</v>
          </cell>
          <cell r="L487">
            <v>0</v>
          </cell>
          <cell r="M487">
            <v>0</v>
          </cell>
          <cell r="N487">
            <v>0</v>
          </cell>
          <cell r="O487">
            <v>0</v>
          </cell>
          <cell r="P487">
            <v>0</v>
          </cell>
          <cell r="Q487">
            <v>0</v>
          </cell>
          <cell r="R487">
            <v>0</v>
          </cell>
          <cell r="S487">
            <v>0</v>
          </cell>
          <cell r="T487">
            <v>0</v>
          </cell>
          <cell r="U487">
            <v>0</v>
          </cell>
          <cell r="V487">
            <v>-1640.86</v>
          </cell>
          <cell r="W487">
            <v>0</v>
          </cell>
          <cell r="X487">
            <v>0</v>
          </cell>
          <cell r="Y487">
            <v>0</v>
          </cell>
          <cell r="Z487">
            <v>0</v>
          </cell>
          <cell r="AA487">
            <v>0</v>
          </cell>
          <cell r="AB487">
            <v>15600</v>
          </cell>
          <cell r="AC487">
            <v>0</v>
          </cell>
          <cell r="AD487">
            <v>0</v>
          </cell>
          <cell r="AE487">
            <v>0</v>
          </cell>
          <cell r="AF487">
            <v>0</v>
          </cell>
        </row>
        <row r="488">
          <cell r="A488">
            <v>1700057</v>
          </cell>
          <cell r="H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15600</v>
          </cell>
          <cell r="AC488">
            <v>0</v>
          </cell>
          <cell r="AD488">
            <v>0</v>
          </cell>
          <cell r="AE488">
            <v>0</v>
          </cell>
          <cell r="AF488">
            <v>0</v>
          </cell>
        </row>
        <row r="489">
          <cell r="A489">
            <v>1700058</v>
          </cell>
          <cell r="B489" t="str">
            <v>1700058</v>
          </cell>
          <cell r="C489" t="str">
            <v>0</v>
          </cell>
          <cell r="D489" t="str">
            <v>17000</v>
          </cell>
          <cell r="E489" t="str">
            <v>G3PREMAL</v>
          </cell>
          <cell r="F489" t="str">
            <v>G3PREMAL</v>
          </cell>
          <cell r="G489" t="str">
            <v>RADIO MODAM</v>
          </cell>
          <cell r="H489">
            <v>0</v>
          </cell>
          <cell r="K489">
            <v>0</v>
          </cell>
          <cell r="L489">
            <v>0</v>
          </cell>
          <cell r="M489">
            <v>0</v>
          </cell>
          <cell r="N489">
            <v>0</v>
          </cell>
          <cell r="O489">
            <v>0</v>
          </cell>
          <cell r="P489">
            <v>0</v>
          </cell>
          <cell r="Q489">
            <v>0</v>
          </cell>
          <cell r="R489">
            <v>0</v>
          </cell>
          <cell r="S489">
            <v>0</v>
          </cell>
          <cell r="T489">
            <v>0</v>
          </cell>
          <cell r="U489">
            <v>0</v>
          </cell>
          <cell r="V489">
            <v>-1617.52</v>
          </cell>
          <cell r="W489">
            <v>0</v>
          </cell>
          <cell r="X489">
            <v>0</v>
          </cell>
          <cell r="Y489">
            <v>0</v>
          </cell>
          <cell r="Z489">
            <v>0</v>
          </cell>
          <cell r="AA489">
            <v>0</v>
          </cell>
          <cell r="AB489">
            <v>16200</v>
          </cell>
          <cell r="AC489">
            <v>0</v>
          </cell>
          <cell r="AD489">
            <v>0</v>
          </cell>
          <cell r="AE489">
            <v>0</v>
          </cell>
          <cell r="AF489">
            <v>0</v>
          </cell>
        </row>
        <row r="490">
          <cell r="A490">
            <v>1700058</v>
          </cell>
          <cell r="H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16200</v>
          </cell>
          <cell r="AC490">
            <v>0</v>
          </cell>
          <cell r="AD490">
            <v>0</v>
          </cell>
          <cell r="AE490">
            <v>0</v>
          </cell>
          <cell r="AF490">
            <v>0</v>
          </cell>
        </row>
        <row r="491">
          <cell r="A491">
            <v>1700059</v>
          </cell>
          <cell r="B491" t="str">
            <v>1700059</v>
          </cell>
          <cell r="C491" t="str">
            <v>0</v>
          </cell>
          <cell r="D491" t="str">
            <v>17000</v>
          </cell>
          <cell r="E491" t="str">
            <v>G3PREMAL</v>
          </cell>
          <cell r="F491">
            <v>0</v>
          </cell>
          <cell r="G491" t="str">
            <v>CONVERTER</v>
          </cell>
          <cell r="H491">
            <v>0</v>
          </cell>
          <cell r="K491">
            <v>0</v>
          </cell>
          <cell r="L491">
            <v>0</v>
          </cell>
          <cell r="M491">
            <v>0</v>
          </cell>
          <cell r="N491">
            <v>0</v>
          </cell>
          <cell r="O491">
            <v>0</v>
          </cell>
          <cell r="P491">
            <v>0</v>
          </cell>
          <cell r="Q491">
            <v>0</v>
          </cell>
          <cell r="R491">
            <v>0</v>
          </cell>
          <cell r="S491">
            <v>0</v>
          </cell>
          <cell r="T491">
            <v>0</v>
          </cell>
          <cell r="U491">
            <v>0</v>
          </cell>
          <cell r="V491">
            <v>-5202.91</v>
          </cell>
          <cell r="W491">
            <v>0</v>
          </cell>
          <cell r="X491">
            <v>0</v>
          </cell>
          <cell r="Y491">
            <v>0</v>
          </cell>
          <cell r="Z491">
            <v>0</v>
          </cell>
          <cell r="AA491">
            <v>0</v>
          </cell>
          <cell r="AB491">
            <v>62056.800000000003</v>
          </cell>
          <cell r="AC491">
            <v>0</v>
          </cell>
          <cell r="AD491">
            <v>0</v>
          </cell>
          <cell r="AE491">
            <v>0</v>
          </cell>
          <cell r="AF491">
            <v>0</v>
          </cell>
        </row>
        <row r="492">
          <cell r="A492">
            <v>1700059</v>
          </cell>
          <cell r="H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62056.800000000003</v>
          </cell>
          <cell r="AC492">
            <v>0</v>
          </cell>
          <cell r="AD492">
            <v>0</v>
          </cell>
          <cell r="AE492">
            <v>0</v>
          </cell>
          <cell r="AF492">
            <v>0</v>
          </cell>
        </row>
        <row r="493">
          <cell r="A493">
            <v>1700060</v>
          </cell>
          <cell r="B493" t="str">
            <v>1700060</v>
          </cell>
          <cell r="C493" t="str">
            <v>0</v>
          </cell>
          <cell r="D493" t="str">
            <v>17000</v>
          </cell>
          <cell r="E493" t="str">
            <v>G3PREMAL</v>
          </cell>
          <cell r="F493">
            <v>0</v>
          </cell>
          <cell r="G493" t="str">
            <v>CONVERTER</v>
          </cell>
          <cell r="H493">
            <v>0</v>
          </cell>
          <cell r="K493">
            <v>0</v>
          </cell>
          <cell r="L493">
            <v>0</v>
          </cell>
          <cell r="M493">
            <v>0</v>
          </cell>
          <cell r="N493">
            <v>0</v>
          </cell>
          <cell r="O493">
            <v>0</v>
          </cell>
          <cell r="P493">
            <v>0</v>
          </cell>
          <cell r="Q493">
            <v>0</v>
          </cell>
          <cell r="R493">
            <v>0</v>
          </cell>
          <cell r="S493">
            <v>0</v>
          </cell>
          <cell r="T493">
            <v>0</v>
          </cell>
          <cell r="U493">
            <v>0</v>
          </cell>
          <cell r="V493">
            <v>-5202.91</v>
          </cell>
          <cell r="W493">
            <v>0</v>
          </cell>
          <cell r="X493">
            <v>0</v>
          </cell>
          <cell r="Y493">
            <v>0</v>
          </cell>
          <cell r="Z493">
            <v>0</v>
          </cell>
          <cell r="AA493">
            <v>0</v>
          </cell>
          <cell r="AB493">
            <v>62056.800000000003</v>
          </cell>
          <cell r="AC493">
            <v>0</v>
          </cell>
          <cell r="AD493">
            <v>0</v>
          </cell>
          <cell r="AE493">
            <v>0</v>
          </cell>
          <cell r="AF493">
            <v>0</v>
          </cell>
        </row>
        <row r="494">
          <cell r="A494">
            <v>1700060</v>
          </cell>
          <cell r="H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62056.800000000003</v>
          </cell>
          <cell r="AC494">
            <v>0</v>
          </cell>
          <cell r="AD494">
            <v>0</v>
          </cell>
          <cell r="AE494">
            <v>0</v>
          </cell>
          <cell r="AF494">
            <v>0</v>
          </cell>
        </row>
        <row r="495">
          <cell r="A495">
            <v>1700061</v>
          </cell>
          <cell r="B495" t="str">
            <v>1700061</v>
          </cell>
          <cell r="C495" t="str">
            <v>LAN EXTENDER</v>
          </cell>
          <cell r="G495" t="str">
            <v>LAN EXTENDER</v>
          </cell>
          <cell r="H495">
            <v>0</v>
          </cell>
          <cell r="K495">
            <v>0</v>
          </cell>
          <cell r="L495">
            <v>0</v>
          </cell>
          <cell r="M495">
            <v>0</v>
          </cell>
          <cell r="N495">
            <v>0</v>
          </cell>
          <cell r="O495">
            <v>0</v>
          </cell>
          <cell r="P495">
            <v>0</v>
          </cell>
          <cell r="Q495">
            <v>0</v>
          </cell>
          <cell r="R495">
            <v>0</v>
          </cell>
          <cell r="S495">
            <v>0</v>
          </cell>
          <cell r="T495">
            <v>0</v>
          </cell>
          <cell r="U495">
            <v>0</v>
          </cell>
          <cell r="V495">
            <v>-1093.9000000000001</v>
          </cell>
          <cell r="W495">
            <v>0</v>
          </cell>
          <cell r="X495">
            <v>0</v>
          </cell>
          <cell r="Y495">
            <v>0</v>
          </cell>
          <cell r="Z495">
            <v>0</v>
          </cell>
          <cell r="AA495">
            <v>0</v>
          </cell>
          <cell r="AB495">
            <v>10400</v>
          </cell>
          <cell r="AC495">
            <v>0</v>
          </cell>
          <cell r="AD495">
            <v>0</v>
          </cell>
          <cell r="AE495">
            <v>0</v>
          </cell>
          <cell r="AF495">
            <v>0</v>
          </cell>
        </row>
        <row r="496">
          <cell r="A496">
            <v>1700061</v>
          </cell>
          <cell r="H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10400</v>
          </cell>
          <cell r="AC496">
            <v>0</v>
          </cell>
          <cell r="AD496">
            <v>0</v>
          </cell>
          <cell r="AE496">
            <v>0</v>
          </cell>
          <cell r="AF496">
            <v>0</v>
          </cell>
        </row>
        <row r="497">
          <cell r="A497">
            <v>1700062</v>
          </cell>
          <cell r="B497" t="str">
            <v>1700062</v>
          </cell>
          <cell r="C497" t="str">
            <v>RADIO MODEM</v>
          </cell>
          <cell r="G497" t="str">
            <v>RADIO MODEM</v>
          </cell>
          <cell r="H497">
            <v>0</v>
          </cell>
          <cell r="K497">
            <v>0</v>
          </cell>
          <cell r="L497">
            <v>0</v>
          </cell>
          <cell r="M497">
            <v>0</v>
          </cell>
          <cell r="N497">
            <v>0</v>
          </cell>
          <cell r="O497">
            <v>0</v>
          </cell>
          <cell r="P497">
            <v>0</v>
          </cell>
          <cell r="Q497">
            <v>0</v>
          </cell>
          <cell r="R497">
            <v>0</v>
          </cell>
          <cell r="S497">
            <v>0</v>
          </cell>
          <cell r="T497">
            <v>0</v>
          </cell>
          <cell r="U497">
            <v>0</v>
          </cell>
          <cell r="V497">
            <v>-3262.58</v>
          </cell>
          <cell r="W497">
            <v>0</v>
          </cell>
          <cell r="X497">
            <v>0</v>
          </cell>
          <cell r="Y497">
            <v>0</v>
          </cell>
          <cell r="Z497">
            <v>0</v>
          </cell>
          <cell r="AA497">
            <v>0</v>
          </cell>
          <cell r="AB497">
            <v>34801</v>
          </cell>
          <cell r="AC497">
            <v>0</v>
          </cell>
          <cell r="AD497">
            <v>0</v>
          </cell>
          <cell r="AE497">
            <v>0</v>
          </cell>
          <cell r="AF497">
            <v>0</v>
          </cell>
        </row>
        <row r="498">
          <cell r="A498">
            <v>1700062</v>
          </cell>
          <cell r="H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34801</v>
          </cell>
          <cell r="AC498">
            <v>0</v>
          </cell>
          <cell r="AD498">
            <v>0</v>
          </cell>
          <cell r="AE498">
            <v>0</v>
          </cell>
          <cell r="AF498">
            <v>0</v>
          </cell>
        </row>
        <row r="499">
          <cell r="A499">
            <v>1700063</v>
          </cell>
          <cell r="B499" t="str">
            <v>1700063</v>
          </cell>
          <cell r="C499" t="str">
            <v>FIBER OPTIC TRANCEIVER</v>
          </cell>
          <cell r="G499" t="str">
            <v>FIBER OPTIC TRANCEIVER</v>
          </cell>
          <cell r="H499">
            <v>0</v>
          </cell>
          <cell r="K499">
            <v>0</v>
          </cell>
          <cell r="L499">
            <v>0</v>
          </cell>
          <cell r="M499">
            <v>0</v>
          </cell>
          <cell r="N499">
            <v>0</v>
          </cell>
          <cell r="O499">
            <v>0</v>
          </cell>
          <cell r="P499">
            <v>0</v>
          </cell>
          <cell r="Q499">
            <v>0</v>
          </cell>
          <cell r="R499">
            <v>0</v>
          </cell>
          <cell r="S499">
            <v>0</v>
          </cell>
          <cell r="T499">
            <v>0</v>
          </cell>
          <cell r="U499">
            <v>0</v>
          </cell>
          <cell r="V499">
            <v>-478.28</v>
          </cell>
          <cell r="W499">
            <v>0</v>
          </cell>
          <cell r="X499">
            <v>0</v>
          </cell>
          <cell r="Y499">
            <v>0</v>
          </cell>
          <cell r="Z499">
            <v>0</v>
          </cell>
          <cell r="AA499">
            <v>0</v>
          </cell>
          <cell r="AB499">
            <v>5000</v>
          </cell>
          <cell r="AC499">
            <v>0</v>
          </cell>
          <cell r="AD499">
            <v>0</v>
          </cell>
          <cell r="AE499">
            <v>0</v>
          </cell>
          <cell r="AF499">
            <v>0</v>
          </cell>
        </row>
        <row r="500">
          <cell r="A500">
            <v>1700063</v>
          </cell>
          <cell r="H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5000</v>
          </cell>
          <cell r="AC500">
            <v>0</v>
          </cell>
          <cell r="AD500">
            <v>0</v>
          </cell>
          <cell r="AE500">
            <v>0</v>
          </cell>
          <cell r="AF500">
            <v>0</v>
          </cell>
        </row>
        <row r="501">
          <cell r="A501">
            <v>1700064</v>
          </cell>
          <cell r="B501" t="str">
            <v>1700064</v>
          </cell>
          <cell r="C501" t="str">
            <v>1700064</v>
          </cell>
          <cell r="G501" t="str">
            <v>Switch</v>
          </cell>
        </row>
        <row r="502">
          <cell r="A502">
            <v>1700065</v>
          </cell>
          <cell r="B502" t="str">
            <v>1700065</v>
          </cell>
          <cell r="G502" t="str">
            <v>CISCO ROUTER</v>
          </cell>
          <cell r="H502">
            <v>0</v>
          </cell>
          <cell r="K502">
            <v>0</v>
          </cell>
          <cell r="L502">
            <v>0</v>
          </cell>
          <cell r="M502">
            <v>0</v>
          </cell>
          <cell r="N502">
            <v>0</v>
          </cell>
          <cell r="O502">
            <v>0</v>
          </cell>
          <cell r="P502">
            <v>0</v>
          </cell>
          <cell r="Q502">
            <v>0</v>
          </cell>
          <cell r="R502">
            <v>0</v>
          </cell>
          <cell r="S502">
            <v>0</v>
          </cell>
          <cell r="T502">
            <v>0</v>
          </cell>
          <cell r="U502">
            <v>0</v>
          </cell>
          <cell r="V502">
            <v>-8504.35</v>
          </cell>
          <cell r="W502">
            <v>0</v>
          </cell>
          <cell r="X502">
            <v>0</v>
          </cell>
          <cell r="Y502">
            <v>0</v>
          </cell>
          <cell r="Z502">
            <v>0</v>
          </cell>
          <cell r="AA502">
            <v>0</v>
          </cell>
          <cell r="AB502">
            <v>85500</v>
          </cell>
          <cell r="AC502">
            <v>0</v>
          </cell>
          <cell r="AD502">
            <v>0</v>
          </cell>
          <cell r="AE502">
            <v>0</v>
          </cell>
          <cell r="AF502">
            <v>0</v>
          </cell>
        </row>
        <row r="503">
          <cell r="A503">
            <v>1700065</v>
          </cell>
          <cell r="H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85500</v>
          </cell>
          <cell r="AC503">
            <v>0</v>
          </cell>
          <cell r="AD503">
            <v>0</v>
          </cell>
          <cell r="AE503">
            <v>0</v>
          </cell>
          <cell r="AF503">
            <v>0</v>
          </cell>
        </row>
        <row r="504">
          <cell r="A504">
            <v>1700066</v>
          </cell>
          <cell r="B504" t="str">
            <v>1700066</v>
          </cell>
          <cell r="G504" t="str">
            <v>OPTIMUX</v>
          </cell>
          <cell r="H504">
            <v>0</v>
          </cell>
          <cell r="K504">
            <v>0</v>
          </cell>
          <cell r="L504">
            <v>0</v>
          </cell>
          <cell r="M504">
            <v>0</v>
          </cell>
          <cell r="N504">
            <v>0</v>
          </cell>
          <cell r="O504">
            <v>0</v>
          </cell>
          <cell r="P504">
            <v>0</v>
          </cell>
          <cell r="Q504">
            <v>0</v>
          </cell>
          <cell r="R504">
            <v>0</v>
          </cell>
          <cell r="S504">
            <v>0</v>
          </cell>
          <cell r="T504">
            <v>0</v>
          </cell>
          <cell r="U504">
            <v>0</v>
          </cell>
          <cell r="V504">
            <v>-4169</v>
          </cell>
          <cell r="W504">
            <v>0</v>
          </cell>
          <cell r="X504">
            <v>0</v>
          </cell>
          <cell r="Y504">
            <v>0</v>
          </cell>
          <cell r="Z504">
            <v>0</v>
          </cell>
          <cell r="AA504">
            <v>0</v>
          </cell>
          <cell r="AB504">
            <v>49500</v>
          </cell>
          <cell r="AC504">
            <v>0</v>
          </cell>
          <cell r="AD504">
            <v>0</v>
          </cell>
          <cell r="AE504">
            <v>0</v>
          </cell>
          <cell r="AF504">
            <v>0</v>
          </cell>
        </row>
        <row r="505">
          <cell r="A505">
            <v>1700066</v>
          </cell>
          <cell r="H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49500</v>
          </cell>
          <cell r="AC505">
            <v>0</v>
          </cell>
          <cell r="AD505">
            <v>0</v>
          </cell>
          <cell r="AE505">
            <v>0</v>
          </cell>
          <cell r="AF505">
            <v>0</v>
          </cell>
        </row>
        <row r="506">
          <cell r="A506">
            <v>1700067</v>
          </cell>
          <cell r="B506" t="str">
            <v>1700067</v>
          </cell>
          <cell r="G506" t="str">
            <v>OFC JOINT CLOSURE</v>
          </cell>
          <cell r="H506">
            <v>0</v>
          </cell>
          <cell r="K506">
            <v>0</v>
          </cell>
          <cell r="L506">
            <v>0</v>
          </cell>
          <cell r="M506">
            <v>0</v>
          </cell>
          <cell r="N506">
            <v>0</v>
          </cell>
          <cell r="O506">
            <v>0</v>
          </cell>
          <cell r="P506">
            <v>0</v>
          </cell>
          <cell r="Q506">
            <v>0</v>
          </cell>
          <cell r="R506">
            <v>0</v>
          </cell>
          <cell r="S506">
            <v>0</v>
          </cell>
          <cell r="T506">
            <v>0</v>
          </cell>
          <cell r="U506">
            <v>0</v>
          </cell>
          <cell r="V506">
            <v>-344.36</v>
          </cell>
          <cell r="W506">
            <v>0</v>
          </cell>
          <cell r="X506">
            <v>0</v>
          </cell>
          <cell r="Y506">
            <v>0</v>
          </cell>
          <cell r="Z506">
            <v>0</v>
          </cell>
          <cell r="AA506">
            <v>0</v>
          </cell>
          <cell r="AB506">
            <v>3600</v>
          </cell>
          <cell r="AC506">
            <v>0</v>
          </cell>
          <cell r="AD506">
            <v>0</v>
          </cell>
          <cell r="AE506">
            <v>0</v>
          </cell>
          <cell r="AF506">
            <v>0</v>
          </cell>
        </row>
        <row r="507">
          <cell r="A507">
            <v>1700067</v>
          </cell>
          <cell r="H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3600</v>
          </cell>
          <cell r="AC507">
            <v>0</v>
          </cell>
          <cell r="AD507">
            <v>0</v>
          </cell>
          <cell r="AE507">
            <v>0</v>
          </cell>
          <cell r="AF507">
            <v>0</v>
          </cell>
        </row>
        <row r="508">
          <cell r="A508">
            <v>1700068</v>
          </cell>
          <cell r="B508" t="str">
            <v>1700068</v>
          </cell>
          <cell r="G508" t="str">
            <v>TERMINATION BOX(LIU)</v>
          </cell>
          <cell r="H508">
            <v>0</v>
          </cell>
          <cell r="K508">
            <v>0</v>
          </cell>
          <cell r="L508">
            <v>0</v>
          </cell>
          <cell r="M508">
            <v>0</v>
          </cell>
          <cell r="N508">
            <v>0</v>
          </cell>
          <cell r="O508">
            <v>0</v>
          </cell>
          <cell r="P508">
            <v>0</v>
          </cell>
          <cell r="Q508">
            <v>0</v>
          </cell>
          <cell r="R508">
            <v>0</v>
          </cell>
          <cell r="S508">
            <v>0</v>
          </cell>
          <cell r="T508">
            <v>0</v>
          </cell>
          <cell r="U508">
            <v>0</v>
          </cell>
          <cell r="V508">
            <v>-172.18</v>
          </cell>
          <cell r="W508">
            <v>0</v>
          </cell>
          <cell r="X508">
            <v>0</v>
          </cell>
          <cell r="Y508">
            <v>0</v>
          </cell>
          <cell r="Z508">
            <v>0</v>
          </cell>
          <cell r="AA508">
            <v>0</v>
          </cell>
          <cell r="AB508">
            <v>1800</v>
          </cell>
          <cell r="AC508">
            <v>0</v>
          </cell>
          <cell r="AD508">
            <v>0</v>
          </cell>
          <cell r="AE508">
            <v>0</v>
          </cell>
          <cell r="AF508">
            <v>0</v>
          </cell>
        </row>
        <row r="509">
          <cell r="A509">
            <v>1700068</v>
          </cell>
          <cell r="H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1800</v>
          </cell>
          <cell r="AC509">
            <v>0</v>
          </cell>
          <cell r="AD509">
            <v>0</v>
          </cell>
          <cell r="AE509">
            <v>0</v>
          </cell>
          <cell r="AF509">
            <v>0</v>
          </cell>
        </row>
        <row r="510">
          <cell r="A510">
            <v>1700069</v>
          </cell>
          <cell r="B510" t="str">
            <v>1700069</v>
          </cell>
          <cell r="G510" t="str">
            <v>SC-SC PATCH CORD</v>
          </cell>
          <cell r="H510">
            <v>0</v>
          </cell>
          <cell r="K510">
            <v>0</v>
          </cell>
          <cell r="L510">
            <v>0</v>
          </cell>
          <cell r="M510">
            <v>0</v>
          </cell>
          <cell r="N510">
            <v>0</v>
          </cell>
          <cell r="O510">
            <v>0</v>
          </cell>
          <cell r="P510">
            <v>0</v>
          </cell>
          <cell r="Q510">
            <v>0</v>
          </cell>
          <cell r="R510">
            <v>0</v>
          </cell>
          <cell r="S510">
            <v>0</v>
          </cell>
          <cell r="T510">
            <v>0</v>
          </cell>
          <cell r="U510">
            <v>0</v>
          </cell>
          <cell r="V510">
            <v>-473.5</v>
          </cell>
          <cell r="W510">
            <v>0</v>
          </cell>
          <cell r="X510">
            <v>0</v>
          </cell>
          <cell r="Y510">
            <v>0</v>
          </cell>
          <cell r="Z510">
            <v>0</v>
          </cell>
          <cell r="AA510">
            <v>0</v>
          </cell>
          <cell r="AB510">
            <v>4950</v>
          </cell>
          <cell r="AC510">
            <v>0</v>
          </cell>
          <cell r="AD510">
            <v>0</v>
          </cell>
          <cell r="AE510">
            <v>0</v>
          </cell>
          <cell r="AF510">
            <v>0</v>
          </cell>
        </row>
        <row r="511">
          <cell r="A511">
            <v>1700069</v>
          </cell>
          <cell r="H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4950</v>
          </cell>
          <cell r="AC511">
            <v>0</v>
          </cell>
          <cell r="AD511">
            <v>0</v>
          </cell>
          <cell r="AE511">
            <v>0</v>
          </cell>
          <cell r="AF511">
            <v>0</v>
          </cell>
        </row>
        <row r="512">
          <cell r="A512">
            <v>1700070</v>
          </cell>
          <cell r="B512" t="str">
            <v>1700070</v>
          </cell>
          <cell r="G512" t="str">
            <v>FIBER SPILICING</v>
          </cell>
          <cell r="H512">
            <v>0</v>
          </cell>
          <cell r="K512">
            <v>0</v>
          </cell>
          <cell r="L512">
            <v>0</v>
          </cell>
          <cell r="M512">
            <v>0</v>
          </cell>
          <cell r="N512">
            <v>0</v>
          </cell>
          <cell r="O512">
            <v>0</v>
          </cell>
          <cell r="P512">
            <v>0</v>
          </cell>
          <cell r="Q512">
            <v>0</v>
          </cell>
          <cell r="R512">
            <v>0</v>
          </cell>
          <cell r="S512">
            <v>0</v>
          </cell>
          <cell r="T512">
            <v>0</v>
          </cell>
          <cell r="U512">
            <v>0</v>
          </cell>
          <cell r="V512">
            <v>-568.20000000000005</v>
          </cell>
          <cell r="W512">
            <v>0</v>
          </cell>
          <cell r="X512">
            <v>0</v>
          </cell>
          <cell r="Y512">
            <v>0</v>
          </cell>
          <cell r="Z512">
            <v>0</v>
          </cell>
          <cell r="AA512">
            <v>0</v>
          </cell>
          <cell r="AB512">
            <v>5940</v>
          </cell>
          <cell r="AC512">
            <v>0</v>
          </cell>
          <cell r="AD512">
            <v>0</v>
          </cell>
          <cell r="AE512">
            <v>0</v>
          </cell>
          <cell r="AF512">
            <v>0</v>
          </cell>
        </row>
        <row r="513">
          <cell r="A513">
            <v>1700070</v>
          </cell>
          <cell r="H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5940</v>
          </cell>
          <cell r="AC513">
            <v>0</v>
          </cell>
          <cell r="AD513">
            <v>0</v>
          </cell>
          <cell r="AE513">
            <v>0</v>
          </cell>
          <cell r="AF513">
            <v>0</v>
          </cell>
        </row>
        <row r="514">
          <cell r="A514">
            <v>1700071</v>
          </cell>
          <cell r="B514" t="str">
            <v>1700071</v>
          </cell>
          <cell r="G514" t="str">
            <v>CONVERTER</v>
          </cell>
          <cell r="H514">
            <v>0</v>
          </cell>
          <cell r="K514">
            <v>0</v>
          </cell>
          <cell r="L514">
            <v>0</v>
          </cell>
          <cell r="M514">
            <v>0</v>
          </cell>
          <cell r="N514">
            <v>0</v>
          </cell>
          <cell r="O514">
            <v>0</v>
          </cell>
          <cell r="P514">
            <v>0</v>
          </cell>
          <cell r="Q514">
            <v>0</v>
          </cell>
          <cell r="R514">
            <v>0</v>
          </cell>
          <cell r="S514">
            <v>0</v>
          </cell>
          <cell r="T514">
            <v>0</v>
          </cell>
          <cell r="U514">
            <v>0</v>
          </cell>
          <cell r="V514">
            <v>-3205.12</v>
          </cell>
          <cell r="W514">
            <v>0</v>
          </cell>
          <cell r="X514">
            <v>0</v>
          </cell>
          <cell r="Y514">
            <v>0</v>
          </cell>
          <cell r="Z514">
            <v>0</v>
          </cell>
          <cell r="AA514">
            <v>0</v>
          </cell>
          <cell r="AB514">
            <v>38403</v>
          </cell>
          <cell r="AC514">
            <v>0</v>
          </cell>
          <cell r="AD514">
            <v>0</v>
          </cell>
          <cell r="AE514">
            <v>0</v>
          </cell>
          <cell r="AF514">
            <v>0</v>
          </cell>
        </row>
        <row r="515">
          <cell r="A515">
            <v>1700071</v>
          </cell>
          <cell r="H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38403</v>
          </cell>
          <cell r="AC515">
            <v>0</v>
          </cell>
          <cell r="AD515">
            <v>0</v>
          </cell>
          <cell r="AE515">
            <v>0</v>
          </cell>
          <cell r="AF515">
            <v>0</v>
          </cell>
        </row>
        <row r="516">
          <cell r="A516">
            <v>1700072</v>
          </cell>
          <cell r="B516" t="str">
            <v>1700072</v>
          </cell>
          <cell r="G516" t="str">
            <v>VPN ROUTER</v>
          </cell>
          <cell r="H516">
            <v>0</v>
          </cell>
          <cell r="K516">
            <v>0</v>
          </cell>
          <cell r="L516">
            <v>0</v>
          </cell>
          <cell r="M516">
            <v>0</v>
          </cell>
          <cell r="N516">
            <v>0</v>
          </cell>
          <cell r="O516">
            <v>0</v>
          </cell>
          <cell r="P516">
            <v>0</v>
          </cell>
          <cell r="Q516">
            <v>0</v>
          </cell>
          <cell r="R516">
            <v>0</v>
          </cell>
          <cell r="S516">
            <v>0</v>
          </cell>
          <cell r="T516">
            <v>0</v>
          </cell>
          <cell r="U516">
            <v>0</v>
          </cell>
          <cell r="V516">
            <v>-498.55</v>
          </cell>
          <cell r="W516">
            <v>0</v>
          </cell>
          <cell r="X516">
            <v>0</v>
          </cell>
          <cell r="Y516">
            <v>0</v>
          </cell>
          <cell r="Z516">
            <v>0</v>
          </cell>
          <cell r="AA516">
            <v>0</v>
          </cell>
          <cell r="AB516">
            <v>6289.43</v>
          </cell>
          <cell r="AC516">
            <v>0</v>
          </cell>
          <cell r="AD516">
            <v>0</v>
          </cell>
          <cell r="AE516">
            <v>0</v>
          </cell>
          <cell r="AF516">
            <v>0</v>
          </cell>
        </row>
        <row r="517">
          <cell r="A517">
            <v>1700072</v>
          </cell>
          <cell r="H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6289.43</v>
          </cell>
          <cell r="AC517">
            <v>0</v>
          </cell>
          <cell r="AD517">
            <v>0</v>
          </cell>
          <cell r="AE517">
            <v>0</v>
          </cell>
          <cell r="AF517">
            <v>0</v>
          </cell>
        </row>
        <row r="518">
          <cell r="A518">
            <v>1700073</v>
          </cell>
          <cell r="B518" t="str">
            <v>1700073</v>
          </cell>
          <cell r="G518" t="str">
            <v>Optimux</v>
          </cell>
          <cell r="H518">
            <v>0</v>
          </cell>
          <cell r="K518">
            <v>0</v>
          </cell>
          <cell r="L518">
            <v>0</v>
          </cell>
          <cell r="M518">
            <v>0</v>
          </cell>
          <cell r="N518">
            <v>0</v>
          </cell>
          <cell r="O518">
            <v>0</v>
          </cell>
          <cell r="P518">
            <v>0</v>
          </cell>
          <cell r="Q518">
            <v>0</v>
          </cell>
          <cell r="R518">
            <v>0</v>
          </cell>
          <cell r="S518">
            <v>0</v>
          </cell>
          <cell r="T518">
            <v>0</v>
          </cell>
          <cell r="U518">
            <v>0</v>
          </cell>
          <cell r="V518">
            <v>-9015.14</v>
          </cell>
          <cell r="W518">
            <v>0</v>
          </cell>
          <cell r="X518">
            <v>0</v>
          </cell>
          <cell r="Y518">
            <v>0</v>
          </cell>
          <cell r="Z518">
            <v>0</v>
          </cell>
          <cell r="AA518">
            <v>0</v>
          </cell>
          <cell r="AB518">
            <v>113729.98</v>
          </cell>
          <cell r="AC518">
            <v>0</v>
          </cell>
          <cell r="AD518">
            <v>0</v>
          </cell>
          <cell r="AE518">
            <v>0</v>
          </cell>
          <cell r="AF518">
            <v>0</v>
          </cell>
        </row>
        <row r="519">
          <cell r="A519">
            <v>1700073</v>
          </cell>
          <cell r="H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113729.98</v>
          </cell>
          <cell r="AC519">
            <v>0</v>
          </cell>
          <cell r="AD519">
            <v>0</v>
          </cell>
          <cell r="AE519">
            <v>0</v>
          </cell>
          <cell r="AF519">
            <v>0</v>
          </cell>
        </row>
        <row r="520">
          <cell r="A520">
            <v>1700074</v>
          </cell>
          <cell r="B520" t="str">
            <v>1700074</v>
          </cell>
          <cell r="G520" t="str">
            <v>CONVERTER</v>
          </cell>
        </row>
        <row r="521">
          <cell r="A521">
            <v>1700075</v>
          </cell>
          <cell r="B521" t="str">
            <v>1700075</v>
          </cell>
          <cell r="G521" t="str">
            <v>CONVERTER</v>
          </cell>
          <cell r="H521">
            <v>0</v>
          </cell>
          <cell r="K521">
            <v>0</v>
          </cell>
          <cell r="L521">
            <v>0</v>
          </cell>
          <cell r="M521">
            <v>0</v>
          </cell>
          <cell r="N521">
            <v>0</v>
          </cell>
          <cell r="O521">
            <v>0</v>
          </cell>
          <cell r="P521">
            <v>0</v>
          </cell>
          <cell r="Q521">
            <v>0</v>
          </cell>
          <cell r="R521">
            <v>0</v>
          </cell>
          <cell r="S521">
            <v>0</v>
          </cell>
          <cell r="T521">
            <v>0</v>
          </cell>
          <cell r="U521">
            <v>0</v>
          </cell>
          <cell r="V521">
            <v>-2522.62</v>
          </cell>
          <cell r="W521">
            <v>0</v>
          </cell>
          <cell r="X521">
            <v>0</v>
          </cell>
          <cell r="Y521">
            <v>0</v>
          </cell>
          <cell r="Z521">
            <v>0</v>
          </cell>
          <cell r="AA521">
            <v>0</v>
          </cell>
          <cell r="AB521">
            <v>31823.99</v>
          </cell>
          <cell r="AC521">
            <v>0</v>
          </cell>
          <cell r="AD521">
            <v>0</v>
          </cell>
          <cell r="AE521">
            <v>0</v>
          </cell>
          <cell r="AF521">
            <v>0</v>
          </cell>
        </row>
        <row r="522">
          <cell r="A522">
            <v>1700075</v>
          </cell>
          <cell r="H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31823.99</v>
          </cell>
          <cell r="AC522">
            <v>0</v>
          </cell>
          <cell r="AD522">
            <v>0</v>
          </cell>
          <cell r="AE522">
            <v>0</v>
          </cell>
          <cell r="AF522">
            <v>0</v>
          </cell>
        </row>
        <row r="523">
          <cell r="A523">
            <v>1700076</v>
          </cell>
          <cell r="B523" t="str">
            <v>1700076</v>
          </cell>
          <cell r="G523" t="str">
            <v>CONVERTER</v>
          </cell>
          <cell r="H523">
            <v>0</v>
          </cell>
          <cell r="K523">
            <v>0</v>
          </cell>
          <cell r="L523">
            <v>0</v>
          </cell>
          <cell r="M523">
            <v>0</v>
          </cell>
          <cell r="N523">
            <v>0</v>
          </cell>
          <cell r="O523">
            <v>0</v>
          </cell>
          <cell r="P523">
            <v>0</v>
          </cell>
          <cell r="Q523">
            <v>0</v>
          </cell>
          <cell r="R523">
            <v>0</v>
          </cell>
          <cell r="S523">
            <v>0</v>
          </cell>
          <cell r="T523">
            <v>0</v>
          </cell>
          <cell r="U523">
            <v>0</v>
          </cell>
          <cell r="V523">
            <v>-2522.62</v>
          </cell>
          <cell r="W523">
            <v>0</v>
          </cell>
          <cell r="X523">
            <v>0</v>
          </cell>
          <cell r="Y523">
            <v>0</v>
          </cell>
          <cell r="Z523">
            <v>0</v>
          </cell>
          <cell r="AA523">
            <v>0</v>
          </cell>
          <cell r="AB523">
            <v>31823.99</v>
          </cell>
          <cell r="AC523">
            <v>0</v>
          </cell>
          <cell r="AD523">
            <v>0</v>
          </cell>
          <cell r="AE523">
            <v>0</v>
          </cell>
          <cell r="AF523">
            <v>0</v>
          </cell>
        </row>
        <row r="524">
          <cell r="A524">
            <v>1700076</v>
          </cell>
          <cell r="H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31823.99</v>
          </cell>
          <cell r="AC524">
            <v>0</v>
          </cell>
          <cell r="AD524">
            <v>0</v>
          </cell>
          <cell r="AE524">
            <v>0</v>
          </cell>
          <cell r="AF524">
            <v>0</v>
          </cell>
        </row>
        <row r="525">
          <cell r="A525">
            <v>1700077</v>
          </cell>
          <cell r="B525" t="str">
            <v>1700077</v>
          </cell>
          <cell r="G525" t="str">
            <v>CISCO ROUTER</v>
          </cell>
          <cell r="H525">
            <v>0</v>
          </cell>
          <cell r="K525">
            <v>0</v>
          </cell>
          <cell r="L525">
            <v>0</v>
          </cell>
          <cell r="M525">
            <v>0</v>
          </cell>
          <cell r="N525">
            <v>0</v>
          </cell>
          <cell r="O525">
            <v>0</v>
          </cell>
          <cell r="P525">
            <v>0</v>
          </cell>
          <cell r="Q525">
            <v>0</v>
          </cell>
          <cell r="R525">
            <v>0</v>
          </cell>
          <cell r="S525">
            <v>0</v>
          </cell>
          <cell r="T525">
            <v>0</v>
          </cell>
          <cell r="U525">
            <v>0</v>
          </cell>
          <cell r="V525">
            <v>-3826.43</v>
          </cell>
          <cell r="W525">
            <v>0</v>
          </cell>
          <cell r="X525">
            <v>0</v>
          </cell>
          <cell r="Y525">
            <v>0</v>
          </cell>
          <cell r="Z525">
            <v>0</v>
          </cell>
          <cell r="AA525">
            <v>0</v>
          </cell>
          <cell r="AB525">
            <v>47139</v>
          </cell>
          <cell r="AC525">
            <v>0</v>
          </cell>
          <cell r="AD525">
            <v>0</v>
          </cell>
          <cell r="AE525">
            <v>0</v>
          </cell>
          <cell r="AF525">
            <v>0</v>
          </cell>
        </row>
        <row r="526">
          <cell r="A526">
            <v>1700077</v>
          </cell>
          <cell r="H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47139</v>
          </cell>
          <cell r="AC526">
            <v>0</v>
          </cell>
          <cell r="AD526">
            <v>0</v>
          </cell>
          <cell r="AE526">
            <v>0</v>
          </cell>
          <cell r="AF526">
            <v>0</v>
          </cell>
        </row>
        <row r="527">
          <cell r="A527">
            <v>1700078</v>
          </cell>
          <cell r="B527" t="str">
            <v>1700078</v>
          </cell>
          <cell r="G527" t="str">
            <v>WAN INTERFACE CARD</v>
          </cell>
          <cell r="H527">
            <v>0</v>
          </cell>
          <cell r="K527">
            <v>0</v>
          </cell>
          <cell r="L527">
            <v>0</v>
          </cell>
          <cell r="M527">
            <v>0</v>
          </cell>
          <cell r="N527">
            <v>0</v>
          </cell>
          <cell r="O527">
            <v>0</v>
          </cell>
          <cell r="P527">
            <v>0</v>
          </cell>
          <cell r="Q527">
            <v>0</v>
          </cell>
          <cell r="R527">
            <v>0</v>
          </cell>
          <cell r="S527">
            <v>0</v>
          </cell>
          <cell r="T527">
            <v>0</v>
          </cell>
          <cell r="U527">
            <v>0</v>
          </cell>
          <cell r="V527">
            <v>-3859.8</v>
          </cell>
          <cell r="W527">
            <v>0</v>
          </cell>
          <cell r="X527">
            <v>0</v>
          </cell>
          <cell r="Y527">
            <v>0</v>
          </cell>
          <cell r="Z527">
            <v>0</v>
          </cell>
          <cell r="AA527">
            <v>0</v>
          </cell>
          <cell r="AB527">
            <v>47550</v>
          </cell>
          <cell r="AC527">
            <v>0</v>
          </cell>
          <cell r="AD527">
            <v>0</v>
          </cell>
          <cell r="AE527">
            <v>0</v>
          </cell>
          <cell r="AF527">
            <v>0</v>
          </cell>
        </row>
        <row r="528">
          <cell r="A528">
            <v>1700078</v>
          </cell>
          <cell r="H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47550</v>
          </cell>
          <cell r="AC528">
            <v>0</v>
          </cell>
          <cell r="AD528">
            <v>0</v>
          </cell>
          <cell r="AE528">
            <v>0</v>
          </cell>
          <cell r="AF528">
            <v>0</v>
          </cell>
        </row>
        <row r="529">
          <cell r="A529">
            <v>1700079</v>
          </cell>
          <cell r="B529" t="str">
            <v>1700079</v>
          </cell>
          <cell r="G529" t="str">
            <v>CISCO 24 PORT SWITCH2960-24TTL</v>
          </cell>
          <cell r="H529">
            <v>0</v>
          </cell>
          <cell r="K529">
            <v>0</v>
          </cell>
          <cell r="L529">
            <v>0</v>
          </cell>
          <cell r="M529">
            <v>0</v>
          </cell>
          <cell r="N529">
            <v>0</v>
          </cell>
          <cell r="O529">
            <v>0</v>
          </cell>
          <cell r="P529">
            <v>0</v>
          </cell>
          <cell r="Q529">
            <v>0</v>
          </cell>
          <cell r="R529">
            <v>0</v>
          </cell>
          <cell r="S529">
            <v>0</v>
          </cell>
          <cell r="T529">
            <v>0</v>
          </cell>
          <cell r="U529">
            <v>0</v>
          </cell>
          <cell r="V529">
            <v>-3515.7</v>
          </cell>
          <cell r="W529">
            <v>0</v>
          </cell>
          <cell r="X529">
            <v>0</v>
          </cell>
          <cell r="Y529">
            <v>0</v>
          </cell>
          <cell r="Z529">
            <v>0</v>
          </cell>
          <cell r="AA529">
            <v>0</v>
          </cell>
          <cell r="AB529">
            <v>43311</v>
          </cell>
          <cell r="AC529">
            <v>0</v>
          </cell>
          <cell r="AD529">
            <v>0</v>
          </cell>
          <cell r="AE529">
            <v>0</v>
          </cell>
          <cell r="AF529">
            <v>0</v>
          </cell>
        </row>
        <row r="530">
          <cell r="A530">
            <v>1700079</v>
          </cell>
          <cell r="H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43311</v>
          </cell>
          <cell r="AC530">
            <v>0</v>
          </cell>
          <cell r="AD530">
            <v>0</v>
          </cell>
          <cell r="AE530">
            <v>0</v>
          </cell>
          <cell r="AF530">
            <v>0</v>
          </cell>
        </row>
        <row r="531">
          <cell r="A531">
            <v>1700080</v>
          </cell>
          <cell r="B531" t="str">
            <v>1700080</v>
          </cell>
          <cell r="G531" t="str">
            <v>RADIO MODAM</v>
          </cell>
          <cell r="H531">
            <v>0</v>
          </cell>
          <cell r="K531">
            <v>0</v>
          </cell>
          <cell r="L531">
            <v>0</v>
          </cell>
          <cell r="M531">
            <v>0</v>
          </cell>
          <cell r="N531">
            <v>0</v>
          </cell>
          <cell r="O531">
            <v>0</v>
          </cell>
          <cell r="P531">
            <v>0</v>
          </cell>
          <cell r="Q531">
            <v>0</v>
          </cell>
          <cell r="R531">
            <v>0</v>
          </cell>
          <cell r="S531">
            <v>0</v>
          </cell>
          <cell r="T531">
            <v>0</v>
          </cell>
          <cell r="U531">
            <v>0</v>
          </cell>
          <cell r="V531">
            <v>-731.7</v>
          </cell>
          <cell r="W531">
            <v>0</v>
          </cell>
          <cell r="X531">
            <v>0</v>
          </cell>
          <cell r="Y531">
            <v>0</v>
          </cell>
          <cell r="Z531">
            <v>0</v>
          </cell>
          <cell r="AA531">
            <v>0</v>
          </cell>
          <cell r="AB531">
            <v>15000</v>
          </cell>
          <cell r="AC531">
            <v>0</v>
          </cell>
          <cell r="AD531">
            <v>0</v>
          </cell>
          <cell r="AE531">
            <v>0</v>
          </cell>
          <cell r="AF531">
            <v>0</v>
          </cell>
        </row>
        <row r="532">
          <cell r="A532">
            <v>1700080</v>
          </cell>
          <cell r="H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15000</v>
          </cell>
          <cell r="AC532">
            <v>0</v>
          </cell>
          <cell r="AD532">
            <v>0</v>
          </cell>
          <cell r="AE532">
            <v>0</v>
          </cell>
          <cell r="AF532">
            <v>0</v>
          </cell>
        </row>
        <row r="533">
          <cell r="A533">
            <v>1700081</v>
          </cell>
          <cell r="B533" t="str">
            <v>1700081</v>
          </cell>
          <cell r="G533" t="str">
            <v>POWER AMPLIFIRE</v>
          </cell>
          <cell r="H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15600</v>
          </cell>
          <cell r="AC533">
            <v>0</v>
          </cell>
          <cell r="AD533">
            <v>0</v>
          </cell>
          <cell r="AE533">
            <v>0</v>
          </cell>
          <cell r="AF533">
            <v>0</v>
          </cell>
        </row>
        <row r="534">
          <cell r="A534">
            <v>1700081</v>
          </cell>
          <cell r="H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15600</v>
          </cell>
          <cell r="AC534">
            <v>0</v>
          </cell>
          <cell r="AD534">
            <v>0</v>
          </cell>
          <cell r="AE534">
            <v>0</v>
          </cell>
          <cell r="AF534">
            <v>0</v>
          </cell>
        </row>
        <row r="535">
          <cell r="A535">
            <v>1700082</v>
          </cell>
          <cell r="B535" t="str">
            <v>1700082</v>
          </cell>
          <cell r="G535" t="str">
            <v>Ethernet Converter</v>
          </cell>
          <cell r="H535">
            <v>0</v>
          </cell>
          <cell r="K535">
            <v>0</v>
          </cell>
          <cell r="L535">
            <v>0</v>
          </cell>
          <cell r="M535">
            <v>0</v>
          </cell>
          <cell r="N535">
            <v>0</v>
          </cell>
          <cell r="O535">
            <v>0</v>
          </cell>
          <cell r="P535">
            <v>0</v>
          </cell>
          <cell r="Q535">
            <v>0</v>
          </cell>
          <cell r="R535">
            <v>0</v>
          </cell>
          <cell r="S535">
            <v>0</v>
          </cell>
          <cell r="T535">
            <v>0</v>
          </cell>
          <cell r="U535">
            <v>0</v>
          </cell>
          <cell r="V535">
            <v>-3018.28</v>
          </cell>
          <cell r="W535">
            <v>0</v>
          </cell>
          <cell r="X535">
            <v>0</v>
          </cell>
          <cell r="Y535">
            <v>0</v>
          </cell>
          <cell r="Z535">
            <v>0</v>
          </cell>
          <cell r="AA535">
            <v>0</v>
          </cell>
          <cell r="AB535">
            <v>60000</v>
          </cell>
          <cell r="AC535">
            <v>0</v>
          </cell>
          <cell r="AD535">
            <v>0</v>
          </cell>
          <cell r="AE535">
            <v>0</v>
          </cell>
          <cell r="AF535">
            <v>0</v>
          </cell>
        </row>
        <row r="536">
          <cell r="A536">
            <v>1700082</v>
          </cell>
          <cell r="H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60000</v>
          </cell>
          <cell r="AC536">
            <v>0</v>
          </cell>
          <cell r="AD536">
            <v>0</v>
          </cell>
          <cell r="AE536">
            <v>0</v>
          </cell>
          <cell r="AF536">
            <v>0</v>
          </cell>
        </row>
        <row r="537">
          <cell r="A537">
            <v>1700083</v>
          </cell>
          <cell r="B537" t="str">
            <v>1700083</v>
          </cell>
          <cell r="G537" t="str">
            <v>UPS - 2KVA  Gandhidham Pop</v>
          </cell>
          <cell r="H537">
            <v>0</v>
          </cell>
          <cell r="K537">
            <v>0</v>
          </cell>
          <cell r="L537">
            <v>0</v>
          </cell>
          <cell r="M537">
            <v>0</v>
          </cell>
          <cell r="N537">
            <v>0</v>
          </cell>
          <cell r="O537">
            <v>0</v>
          </cell>
          <cell r="P537">
            <v>0</v>
          </cell>
          <cell r="Q537">
            <v>0</v>
          </cell>
          <cell r="R537">
            <v>0</v>
          </cell>
          <cell r="S537">
            <v>0</v>
          </cell>
          <cell r="T537">
            <v>0</v>
          </cell>
          <cell r="U537">
            <v>0</v>
          </cell>
          <cell r="V537">
            <v>-3591.48</v>
          </cell>
          <cell r="W537">
            <v>0</v>
          </cell>
          <cell r="X537">
            <v>0</v>
          </cell>
          <cell r="Y537">
            <v>0</v>
          </cell>
          <cell r="Z537">
            <v>0</v>
          </cell>
          <cell r="AA537">
            <v>0</v>
          </cell>
          <cell r="AB537">
            <v>77885</v>
          </cell>
          <cell r="AC537">
            <v>0</v>
          </cell>
          <cell r="AD537">
            <v>0</v>
          </cell>
          <cell r="AE537">
            <v>0</v>
          </cell>
          <cell r="AF537">
            <v>0</v>
          </cell>
        </row>
        <row r="538">
          <cell r="A538">
            <v>1700083</v>
          </cell>
          <cell r="H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77885</v>
          </cell>
          <cell r="AC538">
            <v>0</v>
          </cell>
          <cell r="AD538">
            <v>0</v>
          </cell>
          <cell r="AE538">
            <v>0</v>
          </cell>
          <cell r="AF538">
            <v>0</v>
          </cell>
        </row>
        <row r="539">
          <cell r="A539">
            <v>1700084</v>
          </cell>
          <cell r="B539" t="str">
            <v>1700084</v>
          </cell>
          <cell r="G539" t="str">
            <v>Ethernet Converter</v>
          </cell>
          <cell r="H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121160</v>
          </cell>
          <cell r="AC539">
            <v>0</v>
          </cell>
          <cell r="AD539">
            <v>0</v>
          </cell>
          <cell r="AE539">
            <v>0</v>
          </cell>
          <cell r="AF539">
            <v>0</v>
          </cell>
        </row>
        <row r="540">
          <cell r="A540">
            <v>1700084</v>
          </cell>
          <cell r="H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121160</v>
          </cell>
          <cell r="AC540">
            <v>0</v>
          </cell>
          <cell r="AD540">
            <v>0</v>
          </cell>
          <cell r="AE540">
            <v>0</v>
          </cell>
          <cell r="AF540">
            <v>0</v>
          </cell>
        </row>
        <row r="541">
          <cell r="A541">
            <v>1700085</v>
          </cell>
          <cell r="B541" t="str">
            <v>1700085</v>
          </cell>
          <cell r="G541" t="str">
            <v>Cisco Router - 2801</v>
          </cell>
          <cell r="H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75920</v>
          </cell>
          <cell r="AC541">
            <v>0</v>
          </cell>
          <cell r="AD541">
            <v>0</v>
          </cell>
          <cell r="AE541">
            <v>0</v>
          </cell>
          <cell r="AF541">
            <v>0</v>
          </cell>
        </row>
        <row r="542">
          <cell r="A542">
            <v>1700085</v>
          </cell>
          <cell r="H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75920</v>
          </cell>
          <cell r="AC542">
            <v>0</v>
          </cell>
          <cell r="AD542">
            <v>0</v>
          </cell>
          <cell r="AE542">
            <v>0</v>
          </cell>
          <cell r="AF542">
            <v>0</v>
          </cell>
        </row>
        <row r="543">
          <cell r="A543">
            <v>1700086</v>
          </cell>
          <cell r="B543" t="str">
            <v>1700086</v>
          </cell>
          <cell r="G543" t="str">
            <v>WIC 2 T Card</v>
          </cell>
          <cell r="H543">
            <v>0</v>
          </cell>
          <cell r="K543">
            <v>0</v>
          </cell>
          <cell r="L543">
            <v>0</v>
          </cell>
          <cell r="M543">
            <v>0</v>
          </cell>
          <cell r="N543">
            <v>0</v>
          </cell>
          <cell r="O543">
            <v>0</v>
          </cell>
          <cell r="P543">
            <v>0</v>
          </cell>
          <cell r="Q543">
            <v>0</v>
          </cell>
          <cell r="R543">
            <v>0</v>
          </cell>
          <cell r="S543">
            <v>0</v>
          </cell>
          <cell r="T543">
            <v>0</v>
          </cell>
          <cell r="U543">
            <v>0</v>
          </cell>
          <cell r="V543">
            <v>-222.78</v>
          </cell>
          <cell r="W543">
            <v>0</v>
          </cell>
          <cell r="X543">
            <v>0</v>
          </cell>
          <cell r="Y543">
            <v>0</v>
          </cell>
          <cell r="Z543">
            <v>0</v>
          </cell>
          <cell r="AA543">
            <v>0</v>
          </cell>
          <cell r="AB543">
            <v>26572</v>
          </cell>
          <cell r="AC543">
            <v>0</v>
          </cell>
          <cell r="AD543">
            <v>0</v>
          </cell>
          <cell r="AE543">
            <v>0</v>
          </cell>
          <cell r="AF543">
            <v>0</v>
          </cell>
        </row>
        <row r="544">
          <cell r="A544">
            <v>1700086</v>
          </cell>
          <cell r="H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26572</v>
          </cell>
          <cell r="AC544">
            <v>0</v>
          </cell>
          <cell r="AD544">
            <v>0</v>
          </cell>
          <cell r="AE544">
            <v>0</v>
          </cell>
          <cell r="AF544">
            <v>0</v>
          </cell>
        </row>
        <row r="545">
          <cell r="A545">
            <v>1700087</v>
          </cell>
          <cell r="B545" t="str">
            <v>1700087</v>
          </cell>
          <cell r="G545" t="str">
            <v>Rack -42U</v>
          </cell>
          <cell r="H545">
            <v>0</v>
          </cell>
          <cell r="K545">
            <v>0</v>
          </cell>
          <cell r="L545">
            <v>0</v>
          </cell>
          <cell r="M545">
            <v>0</v>
          </cell>
          <cell r="N545">
            <v>0</v>
          </cell>
          <cell r="O545">
            <v>0</v>
          </cell>
          <cell r="P545">
            <v>0</v>
          </cell>
          <cell r="Q545">
            <v>0</v>
          </cell>
          <cell r="R545">
            <v>0</v>
          </cell>
          <cell r="S545">
            <v>0</v>
          </cell>
          <cell r="T545">
            <v>0</v>
          </cell>
          <cell r="U545">
            <v>0</v>
          </cell>
          <cell r="V545">
            <v>-222.78</v>
          </cell>
          <cell r="W545">
            <v>0</v>
          </cell>
          <cell r="X545">
            <v>0</v>
          </cell>
          <cell r="Y545">
            <v>0</v>
          </cell>
          <cell r="Z545">
            <v>0</v>
          </cell>
          <cell r="AA545">
            <v>0</v>
          </cell>
          <cell r="AB545">
            <v>26572</v>
          </cell>
          <cell r="AC545">
            <v>0</v>
          </cell>
          <cell r="AD545">
            <v>0</v>
          </cell>
          <cell r="AE545">
            <v>0</v>
          </cell>
          <cell r="AF545">
            <v>0</v>
          </cell>
        </row>
        <row r="546">
          <cell r="A546">
            <v>1700087</v>
          </cell>
          <cell r="H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26572</v>
          </cell>
          <cell r="AC546">
            <v>0</v>
          </cell>
          <cell r="AD546">
            <v>0</v>
          </cell>
          <cell r="AE546">
            <v>0</v>
          </cell>
          <cell r="AF546">
            <v>0</v>
          </cell>
        </row>
        <row r="547">
          <cell r="A547">
            <v>1700088</v>
          </cell>
          <cell r="B547" t="str">
            <v>1700088</v>
          </cell>
          <cell r="G547" t="str">
            <v>Radio Modem -Senao</v>
          </cell>
        </row>
        <row r="548">
          <cell r="A548">
            <v>1700089</v>
          </cell>
          <cell r="B548" t="str">
            <v>1700089</v>
          </cell>
          <cell r="G548" t="str">
            <v>Radio Modem -Senao</v>
          </cell>
        </row>
        <row r="549">
          <cell r="A549">
            <v>1700090</v>
          </cell>
          <cell r="B549" t="str">
            <v>1700090</v>
          </cell>
          <cell r="G549" t="str">
            <v>Radio Modem - NDC 6110</v>
          </cell>
          <cell r="H549">
            <v>0</v>
          </cell>
          <cell r="K549">
            <v>0</v>
          </cell>
          <cell r="L549">
            <v>0</v>
          </cell>
          <cell r="M549">
            <v>0</v>
          </cell>
          <cell r="N549">
            <v>0</v>
          </cell>
          <cell r="O549">
            <v>0</v>
          </cell>
          <cell r="P549">
            <v>0</v>
          </cell>
          <cell r="Q549">
            <v>0</v>
          </cell>
          <cell r="R549">
            <v>0</v>
          </cell>
          <cell r="S549">
            <v>0</v>
          </cell>
          <cell r="T549">
            <v>0</v>
          </cell>
          <cell r="U549">
            <v>0</v>
          </cell>
          <cell r="V549">
            <v>-2510.81</v>
          </cell>
          <cell r="W549">
            <v>0</v>
          </cell>
          <cell r="X549">
            <v>0</v>
          </cell>
          <cell r="Y549">
            <v>0</v>
          </cell>
          <cell r="Z549">
            <v>0</v>
          </cell>
          <cell r="AA549">
            <v>0</v>
          </cell>
          <cell r="AB549">
            <v>18200</v>
          </cell>
          <cell r="AC549">
            <v>0</v>
          </cell>
          <cell r="AD549">
            <v>0</v>
          </cell>
          <cell r="AE549">
            <v>0</v>
          </cell>
          <cell r="AF549">
            <v>0</v>
          </cell>
        </row>
        <row r="550">
          <cell r="A550">
            <v>1700090</v>
          </cell>
          <cell r="H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18200</v>
          </cell>
          <cell r="AC550">
            <v>0</v>
          </cell>
          <cell r="AD550">
            <v>0</v>
          </cell>
          <cell r="AE550">
            <v>0</v>
          </cell>
          <cell r="AF550">
            <v>0</v>
          </cell>
        </row>
        <row r="551">
          <cell r="A551">
            <v>1700091</v>
          </cell>
          <cell r="B551" t="str">
            <v>1700091</v>
          </cell>
          <cell r="G551" t="str">
            <v>Radio Modem - NDC 6110</v>
          </cell>
          <cell r="H551">
            <v>0</v>
          </cell>
          <cell r="K551">
            <v>0</v>
          </cell>
          <cell r="L551">
            <v>0</v>
          </cell>
          <cell r="M551">
            <v>0</v>
          </cell>
          <cell r="N551">
            <v>0</v>
          </cell>
          <cell r="O551">
            <v>0</v>
          </cell>
          <cell r="P551">
            <v>0</v>
          </cell>
          <cell r="Q551">
            <v>0</v>
          </cell>
          <cell r="R551">
            <v>0</v>
          </cell>
          <cell r="S551">
            <v>0</v>
          </cell>
          <cell r="T551">
            <v>0</v>
          </cell>
          <cell r="U551">
            <v>0</v>
          </cell>
          <cell r="V551">
            <v>-2510.81</v>
          </cell>
          <cell r="W551">
            <v>0</v>
          </cell>
          <cell r="X551">
            <v>0</v>
          </cell>
          <cell r="Y551">
            <v>0</v>
          </cell>
          <cell r="Z551">
            <v>0</v>
          </cell>
          <cell r="AA551">
            <v>0</v>
          </cell>
          <cell r="AB551">
            <v>18200</v>
          </cell>
          <cell r="AC551">
            <v>0</v>
          </cell>
          <cell r="AD551">
            <v>0</v>
          </cell>
          <cell r="AE551">
            <v>0</v>
          </cell>
          <cell r="AF551">
            <v>0</v>
          </cell>
        </row>
        <row r="552">
          <cell r="A552">
            <v>1700091</v>
          </cell>
          <cell r="H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18200</v>
          </cell>
          <cell r="AC552">
            <v>0</v>
          </cell>
          <cell r="AD552">
            <v>0</v>
          </cell>
          <cell r="AE552">
            <v>0</v>
          </cell>
          <cell r="AF552">
            <v>0</v>
          </cell>
        </row>
        <row r="553">
          <cell r="A553">
            <v>1800000</v>
          </cell>
          <cell r="B553" t="str">
            <v>1800000</v>
          </cell>
          <cell r="G553" t="str">
            <v>DVD WRITER</v>
          </cell>
          <cell r="H553">
            <v>10850</v>
          </cell>
          <cell r="K553">
            <v>0</v>
          </cell>
          <cell r="L553">
            <v>0</v>
          </cell>
          <cell r="M553">
            <v>-3162.85</v>
          </cell>
          <cell r="N553">
            <v>0</v>
          </cell>
          <cell r="O553">
            <v>0</v>
          </cell>
          <cell r="P553">
            <v>0</v>
          </cell>
          <cell r="Q553">
            <v>0</v>
          </cell>
          <cell r="R553">
            <v>0</v>
          </cell>
          <cell r="S553">
            <v>0</v>
          </cell>
          <cell r="T553">
            <v>0</v>
          </cell>
          <cell r="U553">
            <v>0</v>
          </cell>
          <cell r="V553">
            <v>-3074.86</v>
          </cell>
          <cell r="W553">
            <v>0</v>
          </cell>
          <cell r="X553">
            <v>0</v>
          </cell>
          <cell r="Y553">
            <v>0</v>
          </cell>
          <cell r="Z553">
            <v>0</v>
          </cell>
          <cell r="AA553">
            <v>0</v>
          </cell>
          <cell r="AB553">
            <v>0</v>
          </cell>
          <cell r="AC553">
            <v>0</v>
          </cell>
          <cell r="AD553">
            <v>0</v>
          </cell>
          <cell r="AE553">
            <v>0</v>
          </cell>
          <cell r="AF553">
            <v>0</v>
          </cell>
        </row>
        <row r="554">
          <cell r="A554">
            <v>1800000</v>
          </cell>
          <cell r="H554">
            <v>10850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row>
        <row r="555">
          <cell r="A555">
            <v>1800000</v>
          </cell>
          <cell r="H555">
            <v>10850</v>
          </cell>
          <cell r="K555">
            <v>0</v>
          </cell>
          <cell r="L555">
            <v>0</v>
          </cell>
          <cell r="M555">
            <v>-6237.71</v>
          </cell>
          <cell r="N555">
            <v>0</v>
          </cell>
          <cell r="O555">
            <v>0</v>
          </cell>
          <cell r="P555">
            <v>0</v>
          </cell>
          <cell r="Q555">
            <v>0</v>
          </cell>
          <cell r="R555">
            <v>0</v>
          </cell>
          <cell r="S555">
            <v>0</v>
          </cell>
          <cell r="T555">
            <v>0</v>
          </cell>
          <cell r="U555">
            <v>0</v>
          </cell>
          <cell r="V555">
            <v>-1844.92</v>
          </cell>
          <cell r="W555">
            <v>0</v>
          </cell>
          <cell r="X555">
            <v>0</v>
          </cell>
          <cell r="Y555">
            <v>0</v>
          </cell>
          <cell r="Z555">
            <v>0</v>
          </cell>
          <cell r="AA555">
            <v>0</v>
          </cell>
          <cell r="AB555">
            <v>0</v>
          </cell>
          <cell r="AC555">
            <v>0</v>
          </cell>
          <cell r="AD555">
            <v>0</v>
          </cell>
          <cell r="AE555">
            <v>0</v>
          </cell>
          <cell r="AF555">
            <v>0</v>
          </cell>
        </row>
        <row r="556">
          <cell r="A556">
            <v>1800000</v>
          </cell>
          <cell r="H556">
            <v>10850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row>
        <row r="557">
          <cell r="A557">
            <v>1800001</v>
          </cell>
          <cell r="B557" t="str">
            <v>1800001</v>
          </cell>
          <cell r="G557" t="str">
            <v>PRINTER</v>
          </cell>
          <cell r="H557">
            <v>9700</v>
          </cell>
          <cell r="K557">
            <v>0</v>
          </cell>
          <cell r="L557">
            <v>0</v>
          </cell>
          <cell r="M557">
            <v>-2763.84</v>
          </cell>
          <cell r="N557">
            <v>0</v>
          </cell>
          <cell r="O557">
            <v>0</v>
          </cell>
          <cell r="P557">
            <v>0</v>
          </cell>
          <cell r="Q557">
            <v>0</v>
          </cell>
          <cell r="R557">
            <v>0</v>
          </cell>
          <cell r="S557">
            <v>0</v>
          </cell>
          <cell r="T557">
            <v>0</v>
          </cell>
          <cell r="U557">
            <v>0</v>
          </cell>
          <cell r="V557">
            <v>-2774.46</v>
          </cell>
          <cell r="W557">
            <v>0</v>
          </cell>
          <cell r="X557">
            <v>0</v>
          </cell>
          <cell r="Y557">
            <v>0</v>
          </cell>
          <cell r="Z557">
            <v>0</v>
          </cell>
          <cell r="AA557">
            <v>0</v>
          </cell>
          <cell r="AB557">
            <v>0</v>
          </cell>
          <cell r="AC557">
            <v>0</v>
          </cell>
          <cell r="AD557">
            <v>0</v>
          </cell>
          <cell r="AE557">
            <v>0</v>
          </cell>
          <cell r="AF557">
            <v>0</v>
          </cell>
        </row>
        <row r="558">
          <cell r="A558">
            <v>1800001</v>
          </cell>
          <cell r="H558">
            <v>9700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row>
        <row r="559">
          <cell r="A559">
            <v>1800001</v>
          </cell>
          <cell r="H559">
            <v>9700</v>
          </cell>
          <cell r="K559">
            <v>0</v>
          </cell>
          <cell r="L559">
            <v>0</v>
          </cell>
          <cell r="M559">
            <v>-5538.3</v>
          </cell>
          <cell r="N559">
            <v>0</v>
          </cell>
          <cell r="O559">
            <v>0</v>
          </cell>
          <cell r="P559">
            <v>0</v>
          </cell>
          <cell r="Q559">
            <v>0</v>
          </cell>
          <cell r="R559">
            <v>0</v>
          </cell>
          <cell r="S559">
            <v>0</v>
          </cell>
          <cell r="T559">
            <v>0</v>
          </cell>
          <cell r="U559">
            <v>0</v>
          </cell>
          <cell r="V559">
            <v>-1664.68</v>
          </cell>
          <cell r="W559">
            <v>0</v>
          </cell>
          <cell r="X559">
            <v>0</v>
          </cell>
          <cell r="Y559">
            <v>0</v>
          </cell>
          <cell r="Z559">
            <v>0</v>
          </cell>
          <cell r="AA559">
            <v>0</v>
          </cell>
          <cell r="AB559">
            <v>0</v>
          </cell>
          <cell r="AC559">
            <v>0</v>
          </cell>
          <cell r="AD559">
            <v>0</v>
          </cell>
          <cell r="AE559">
            <v>0</v>
          </cell>
          <cell r="AF559">
            <v>0</v>
          </cell>
        </row>
        <row r="560">
          <cell r="A560">
            <v>1800001</v>
          </cell>
          <cell r="H560">
            <v>9700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row>
        <row r="561">
          <cell r="A561">
            <v>1800002</v>
          </cell>
          <cell r="B561" t="str">
            <v>1800002</v>
          </cell>
          <cell r="G561" t="str">
            <v>SD RAM</v>
          </cell>
          <cell r="H561">
            <v>7900</v>
          </cell>
          <cell r="K561">
            <v>0</v>
          </cell>
          <cell r="L561">
            <v>0</v>
          </cell>
          <cell r="M561">
            <v>-2173.04</v>
          </cell>
          <cell r="N561">
            <v>0</v>
          </cell>
          <cell r="O561">
            <v>0</v>
          </cell>
          <cell r="P561">
            <v>0</v>
          </cell>
          <cell r="Q561">
            <v>0</v>
          </cell>
          <cell r="R561">
            <v>0</v>
          </cell>
          <cell r="S561">
            <v>0</v>
          </cell>
          <cell r="T561">
            <v>0</v>
          </cell>
          <cell r="U561">
            <v>0</v>
          </cell>
          <cell r="V561">
            <v>-2290.7800000000002</v>
          </cell>
          <cell r="W561">
            <v>0</v>
          </cell>
          <cell r="X561">
            <v>0</v>
          </cell>
          <cell r="Y561">
            <v>0</v>
          </cell>
          <cell r="Z561">
            <v>0</v>
          </cell>
          <cell r="AA561">
            <v>0</v>
          </cell>
          <cell r="AB561">
            <v>0</v>
          </cell>
          <cell r="AC561">
            <v>0</v>
          </cell>
          <cell r="AD561">
            <v>0</v>
          </cell>
          <cell r="AE561">
            <v>0</v>
          </cell>
          <cell r="AF561">
            <v>0</v>
          </cell>
        </row>
        <row r="562">
          <cell r="A562">
            <v>1800002</v>
          </cell>
          <cell r="H562">
            <v>7900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row>
        <row r="563">
          <cell r="A563">
            <v>1800002</v>
          </cell>
          <cell r="H563">
            <v>7900</v>
          </cell>
          <cell r="K563">
            <v>0</v>
          </cell>
          <cell r="L563">
            <v>0</v>
          </cell>
          <cell r="M563">
            <v>-4463.82</v>
          </cell>
          <cell r="N563">
            <v>0</v>
          </cell>
          <cell r="O563">
            <v>0</v>
          </cell>
          <cell r="P563">
            <v>0</v>
          </cell>
          <cell r="Q563">
            <v>0</v>
          </cell>
          <cell r="R563">
            <v>0</v>
          </cell>
          <cell r="S563">
            <v>0</v>
          </cell>
          <cell r="T563">
            <v>0</v>
          </cell>
          <cell r="U563">
            <v>0</v>
          </cell>
          <cell r="V563">
            <v>-1374.47</v>
          </cell>
          <cell r="W563">
            <v>0</v>
          </cell>
          <cell r="X563">
            <v>0</v>
          </cell>
          <cell r="Y563">
            <v>0</v>
          </cell>
          <cell r="Z563">
            <v>0</v>
          </cell>
          <cell r="AA563">
            <v>0</v>
          </cell>
          <cell r="AB563">
            <v>0</v>
          </cell>
          <cell r="AC563">
            <v>0</v>
          </cell>
          <cell r="AD563">
            <v>0</v>
          </cell>
          <cell r="AE563">
            <v>0</v>
          </cell>
          <cell r="AF563">
            <v>0</v>
          </cell>
        </row>
        <row r="564">
          <cell r="A564">
            <v>1800002</v>
          </cell>
          <cell r="H564">
            <v>7900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row>
        <row r="565">
          <cell r="A565">
            <v>1800003</v>
          </cell>
          <cell r="B565" t="str">
            <v>1800003</v>
          </cell>
          <cell r="G565" t="str">
            <v>SCSI HDD</v>
          </cell>
          <cell r="H565">
            <v>19950</v>
          </cell>
          <cell r="K565">
            <v>0</v>
          </cell>
          <cell r="L565">
            <v>0</v>
          </cell>
          <cell r="M565">
            <v>-5487.62</v>
          </cell>
          <cell r="N565">
            <v>0</v>
          </cell>
          <cell r="O565">
            <v>0</v>
          </cell>
          <cell r="P565">
            <v>0</v>
          </cell>
          <cell r="Q565">
            <v>0</v>
          </cell>
          <cell r="R565">
            <v>0</v>
          </cell>
          <cell r="S565">
            <v>0</v>
          </cell>
          <cell r="T565">
            <v>0</v>
          </cell>
          <cell r="U565">
            <v>0</v>
          </cell>
          <cell r="V565">
            <v>-5784.95</v>
          </cell>
          <cell r="W565">
            <v>0</v>
          </cell>
          <cell r="X565">
            <v>0</v>
          </cell>
          <cell r="Y565">
            <v>0</v>
          </cell>
          <cell r="Z565">
            <v>0</v>
          </cell>
          <cell r="AA565">
            <v>0</v>
          </cell>
          <cell r="AB565">
            <v>0</v>
          </cell>
          <cell r="AC565">
            <v>0</v>
          </cell>
          <cell r="AD565">
            <v>0</v>
          </cell>
          <cell r="AE565">
            <v>0</v>
          </cell>
          <cell r="AF565">
            <v>0</v>
          </cell>
        </row>
        <row r="566">
          <cell r="A566">
            <v>1800003</v>
          </cell>
          <cell r="H566">
            <v>19950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row>
        <row r="567">
          <cell r="A567">
            <v>1800003</v>
          </cell>
          <cell r="H567">
            <v>19950</v>
          </cell>
          <cell r="K567">
            <v>0</v>
          </cell>
          <cell r="L567">
            <v>0</v>
          </cell>
          <cell r="M567">
            <v>-11272.57</v>
          </cell>
          <cell r="N567">
            <v>0</v>
          </cell>
          <cell r="O567">
            <v>0</v>
          </cell>
          <cell r="P567">
            <v>0</v>
          </cell>
          <cell r="Q567">
            <v>0</v>
          </cell>
          <cell r="R567">
            <v>0</v>
          </cell>
          <cell r="S567">
            <v>0</v>
          </cell>
          <cell r="T567">
            <v>0</v>
          </cell>
          <cell r="U567">
            <v>0</v>
          </cell>
          <cell r="V567">
            <v>-3470.97</v>
          </cell>
          <cell r="W567">
            <v>0</v>
          </cell>
          <cell r="X567">
            <v>0</v>
          </cell>
          <cell r="Y567">
            <v>0</v>
          </cell>
          <cell r="Z567">
            <v>0</v>
          </cell>
          <cell r="AA567">
            <v>0</v>
          </cell>
          <cell r="AB567">
            <v>0</v>
          </cell>
          <cell r="AC567">
            <v>0</v>
          </cell>
          <cell r="AD567">
            <v>0</v>
          </cell>
          <cell r="AE567">
            <v>0</v>
          </cell>
          <cell r="AF567">
            <v>0</v>
          </cell>
        </row>
        <row r="568">
          <cell r="A568">
            <v>1800003</v>
          </cell>
          <cell r="H568">
            <v>19950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row>
        <row r="569">
          <cell r="A569">
            <v>1800004</v>
          </cell>
          <cell r="B569" t="str">
            <v>1800004</v>
          </cell>
          <cell r="G569" t="str">
            <v>SEGATE HDD</v>
          </cell>
          <cell r="H569">
            <v>7450</v>
          </cell>
          <cell r="K569">
            <v>0</v>
          </cell>
          <cell r="L569">
            <v>0</v>
          </cell>
          <cell r="M569">
            <v>-1273.6400000000001</v>
          </cell>
          <cell r="N569">
            <v>0</v>
          </cell>
          <cell r="O569">
            <v>0</v>
          </cell>
          <cell r="P569">
            <v>0</v>
          </cell>
          <cell r="Q569">
            <v>0</v>
          </cell>
          <cell r="R569">
            <v>0</v>
          </cell>
          <cell r="S569">
            <v>0</v>
          </cell>
          <cell r="T569">
            <v>0</v>
          </cell>
          <cell r="U569">
            <v>0</v>
          </cell>
          <cell r="V569">
            <v>-2470.54</v>
          </cell>
          <cell r="W569">
            <v>0</v>
          </cell>
          <cell r="X569">
            <v>0</v>
          </cell>
          <cell r="Y569">
            <v>0</v>
          </cell>
          <cell r="Z569">
            <v>0</v>
          </cell>
          <cell r="AA569">
            <v>0</v>
          </cell>
          <cell r="AB569">
            <v>0</v>
          </cell>
          <cell r="AC569">
            <v>0</v>
          </cell>
          <cell r="AD569">
            <v>0</v>
          </cell>
          <cell r="AE569">
            <v>0</v>
          </cell>
          <cell r="AF569">
            <v>0</v>
          </cell>
        </row>
        <row r="570">
          <cell r="A570">
            <v>1800004</v>
          </cell>
          <cell r="H570">
            <v>7450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row>
        <row r="571">
          <cell r="A571">
            <v>1800004</v>
          </cell>
          <cell r="H571">
            <v>7450</v>
          </cell>
          <cell r="K571">
            <v>0</v>
          </cell>
          <cell r="L571">
            <v>0</v>
          </cell>
          <cell r="M571">
            <v>-3744.18</v>
          </cell>
          <cell r="N571">
            <v>0</v>
          </cell>
          <cell r="O571">
            <v>0</v>
          </cell>
          <cell r="P571">
            <v>0</v>
          </cell>
          <cell r="Q571">
            <v>0</v>
          </cell>
          <cell r="R571">
            <v>0</v>
          </cell>
          <cell r="S571">
            <v>0</v>
          </cell>
          <cell r="T571">
            <v>0</v>
          </cell>
          <cell r="U571">
            <v>0</v>
          </cell>
          <cell r="V571">
            <v>-1482.33</v>
          </cell>
          <cell r="W571">
            <v>0</v>
          </cell>
          <cell r="X571">
            <v>0</v>
          </cell>
          <cell r="Y571">
            <v>0</v>
          </cell>
          <cell r="Z571">
            <v>0</v>
          </cell>
          <cell r="AA571">
            <v>0</v>
          </cell>
          <cell r="AB571">
            <v>0</v>
          </cell>
          <cell r="AC571">
            <v>0</v>
          </cell>
          <cell r="AD571">
            <v>0</v>
          </cell>
          <cell r="AE571">
            <v>0</v>
          </cell>
          <cell r="AF571">
            <v>0</v>
          </cell>
        </row>
        <row r="572">
          <cell r="A572">
            <v>1800004</v>
          </cell>
          <cell r="H572">
            <v>7450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row>
        <row r="573">
          <cell r="A573">
            <v>1800005</v>
          </cell>
          <cell r="B573" t="str">
            <v>1800005</v>
          </cell>
          <cell r="G573" t="str">
            <v>SD RAM</v>
          </cell>
          <cell r="H573">
            <v>12200</v>
          </cell>
          <cell r="K573">
            <v>0</v>
          </cell>
          <cell r="L573">
            <v>0</v>
          </cell>
          <cell r="M573">
            <v>-2005.48</v>
          </cell>
          <cell r="N573">
            <v>0</v>
          </cell>
          <cell r="O573">
            <v>0</v>
          </cell>
          <cell r="P573">
            <v>0</v>
          </cell>
          <cell r="Q573">
            <v>0</v>
          </cell>
          <cell r="R573">
            <v>0</v>
          </cell>
          <cell r="S573">
            <v>0</v>
          </cell>
          <cell r="T573">
            <v>0</v>
          </cell>
          <cell r="U573">
            <v>0</v>
          </cell>
          <cell r="V573">
            <v>-4077.81</v>
          </cell>
          <cell r="W573">
            <v>0</v>
          </cell>
          <cell r="X573">
            <v>0</v>
          </cell>
          <cell r="Y573">
            <v>0</v>
          </cell>
          <cell r="Z573">
            <v>0</v>
          </cell>
          <cell r="AA573">
            <v>0</v>
          </cell>
          <cell r="AB573">
            <v>0</v>
          </cell>
          <cell r="AC573">
            <v>0</v>
          </cell>
          <cell r="AD573">
            <v>0</v>
          </cell>
          <cell r="AE573">
            <v>0</v>
          </cell>
          <cell r="AF573">
            <v>0</v>
          </cell>
        </row>
        <row r="574">
          <cell r="A574">
            <v>1800005</v>
          </cell>
          <cell r="H574">
            <v>12200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row>
        <row r="575">
          <cell r="A575">
            <v>1800005</v>
          </cell>
          <cell r="H575">
            <v>12200</v>
          </cell>
          <cell r="K575">
            <v>0</v>
          </cell>
          <cell r="L575">
            <v>0</v>
          </cell>
          <cell r="M575">
            <v>-6083.29</v>
          </cell>
          <cell r="N575">
            <v>0</v>
          </cell>
          <cell r="O575">
            <v>0</v>
          </cell>
          <cell r="P575">
            <v>0</v>
          </cell>
          <cell r="Q575">
            <v>0</v>
          </cell>
          <cell r="R575">
            <v>0</v>
          </cell>
          <cell r="S575">
            <v>0</v>
          </cell>
          <cell r="T575">
            <v>0</v>
          </cell>
          <cell r="U575">
            <v>0</v>
          </cell>
          <cell r="V575">
            <v>-2446.6799999999998</v>
          </cell>
          <cell r="W575">
            <v>0</v>
          </cell>
          <cell r="X575">
            <v>0</v>
          </cell>
          <cell r="Y575">
            <v>0</v>
          </cell>
          <cell r="Z575">
            <v>0</v>
          </cell>
          <cell r="AA575">
            <v>0</v>
          </cell>
          <cell r="AB575">
            <v>0</v>
          </cell>
          <cell r="AC575">
            <v>0</v>
          </cell>
          <cell r="AD575">
            <v>0</v>
          </cell>
          <cell r="AE575">
            <v>0</v>
          </cell>
          <cell r="AF575">
            <v>0</v>
          </cell>
        </row>
        <row r="576">
          <cell r="A576">
            <v>1800005</v>
          </cell>
          <cell r="H576">
            <v>12200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row>
        <row r="577">
          <cell r="A577">
            <v>1800006</v>
          </cell>
          <cell r="B577" t="str">
            <v>1800006</v>
          </cell>
          <cell r="G577" t="str">
            <v>SEGATE HDD</v>
          </cell>
          <cell r="H577">
            <v>5750</v>
          </cell>
          <cell r="K577">
            <v>0</v>
          </cell>
          <cell r="L577">
            <v>0</v>
          </cell>
          <cell r="M577">
            <v>-938.9</v>
          </cell>
          <cell r="N577">
            <v>0</v>
          </cell>
          <cell r="O577">
            <v>0</v>
          </cell>
          <cell r="P577">
            <v>0</v>
          </cell>
          <cell r="Q577">
            <v>0</v>
          </cell>
          <cell r="R577">
            <v>0</v>
          </cell>
          <cell r="S577">
            <v>0</v>
          </cell>
          <cell r="T577">
            <v>0</v>
          </cell>
          <cell r="U577">
            <v>0</v>
          </cell>
          <cell r="V577">
            <v>-1924.44</v>
          </cell>
          <cell r="W577">
            <v>0</v>
          </cell>
          <cell r="X577">
            <v>0</v>
          </cell>
          <cell r="Y577">
            <v>0</v>
          </cell>
          <cell r="Z577">
            <v>0</v>
          </cell>
          <cell r="AA577">
            <v>0</v>
          </cell>
          <cell r="AB577">
            <v>0</v>
          </cell>
          <cell r="AC577">
            <v>0</v>
          </cell>
          <cell r="AD577">
            <v>0</v>
          </cell>
          <cell r="AE577">
            <v>0</v>
          </cell>
          <cell r="AF577">
            <v>0</v>
          </cell>
        </row>
        <row r="578">
          <cell r="A578">
            <v>1800006</v>
          </cell>
          <cell r="H578">
            <v>5750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row>
        <row r="579">
          <cell r="A579">
            <v>1800006</v>
          </cell>
          <cell r="H579">
            <v>5750</v>
          </cell>
          <cell r="K579">
            <v>0</v>
          </cell>
          <cell r="L579">
            <v>0</v>
          </cell>
          <cell r="M579">
            <v>-2863.34</v>
          </cell>
          <cell r="N579">
            <v>0</v>
          </cell>
          <cell r="O579">
            <v>0</v>
          </cell>
          <cell r="P579">
            <v>0</v>
          </cell>
          <cell r="Q579">
            <v>0</v>
          </cell>
          <cell r="R579">
            <v>0</v>
          </cell>
          <cell r="S579">
            <v>0</v>
          </cell>
          <cell r="T579">
            <v>0</v>
          </cell>
          <cell r="U579">
            <v>0</v>
          </cell>
          <cell r="V579">
            <v>-1154.6600000000001</v>
          </cell>
          <cell r="W579">
            <v>0</v>
          </cell>
          <cell r="X579">
            <v>0</v>
          </cell>
          <cell r="Y579">
            <v>0</v>
          </cell>
          <cell r="Z579">
            <v>0</v>
          </cell>
          <cell r="AA579">
            <v>0</v>
          </cell>
          <cell r="AB579">
            <v>0</v>
          </cell>
          <cell r="AC579">
            <v>0</v>
          </cell>
          <cell r="AD579">
            <v>0</v>
          </cell>
          <cell r="AE579">
            <v>0</v>
          </cell>
          <cell r="AF579">
            <v>0</v>
          </cell>
        </row>
        <row r="580">
          <cell r="A580">
            <v>1800006</v>
          </cell>
          <cell r="H580">
            <v>5750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row>
        <row r="581">
          <cell r="A581">
            <v>1800007</v>
          </cell>
          <cell r="B581" t="str">
            <v>1800007</v>
          </cell>
          <cell r="G581" t="str">
            <v>USB STORAGE DEVISE</v>
          </cell>
          <cell r="H581">
            <v>7000</v>
          </cell>
          <cell r="K581">
            <v>0</v>
          </cell>
          <cell r="L581">
            <v>0</v>
          </cell>
          <cell r="M581">
            <v>-1020.27</v>
          </cell>
          <cell r="N581">
            <v>0</v>
          </cell>
          <cell r="O581">
            <v>0</v>
          </cell>
          <cell r="P581">
            <v>0</v>
          </cell>
          <cell r="Q581">
            <v>0</v>
          </cell>
          <cell r="R581">
            <v>0</v>
          </cell>
          <cell r="S581">
            <v>0</v>
          </cell>
          <cell r="T581">
            <v>0</v>
          </cell>
          <cell r="U581">
            <v>0</v>
          </cell>
          <cell r="V581">
            <v>-2391.89</v>
          </cell>
          <cell r="W581">
            <v>0</v>
          </cell>
          <cell r="X581">
            <v>0</v>
          </cell>
          <cell r="Y581">
            <v>0</v>
          </cell>
          <cell r="Z581">
            <v>0</v>
          </cell>
          <cell r="AA581">
            <v>0</v>
          </cell>
          <cell r="AB581">
            <v>0</v>
          </cell>
          <cell r="AC581">
            <v>0</v>
          </cell>
          <cell r="AD581">
            <v>0</v>
          </cell>
          <cell r="AE581">
            <v>0</v>
          </cell>
          <cell r="AF581">
            <v>0</v>
          </cell>
        </row>
        <row r="582">
          <cell r="A582">
            <v>1800007</v>
          </cell>
          <cell r="H582">
            <v>7000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row>
        <row r="583">
          <cell r="A583">
            <v>1800007</v>
          </cell>
          <cell r="H583">
            <v>7000</v>
          </cell>
          <cell r="K583">
            <v>0</v>
          </cell>
          <cell r="L583">
            <v>0</v>
          </cell>
          <cell r="M583">
            <v>-3412.16</v>
          </cell>
          <cell r="N583">
            <v>0</v>
          </cell>
          <cell r="O583">
            <v>0</v>
          </cell>
          <cell r="P583">
            <v>0</v>
          </cell>
          <cell r="Q583">
            <v>0</v>
          </cell>
          <cell r="R583">
            <v>0</v>
          </cell>
          <cell r="S583">
            <v>0</v>
          </cell>
          <cell r="T583">
            <v>0</v>
          </cell>
          <cell r="U583">
            <v>0</v>
          </cell>
          <cell r="V583">
            <v>-1435.14</v>
          </cell>
          <cell r="W583">
            <v>0</v>
          </cell>
          <cell r="X583">
            <v>0</v>
          </cell>
          <cell r="Y583">
            <v>0</v>
          </cell>
          <cell r="Z583">
            <v>0</v>
          </cell>
          <cell r="AA583">
            <v>0</v>
          </cell>
          <cell r="AB583">
            <v>0</v>
          </cell>
          <cell r="AC583">
            <v>0</v>
          </cell>
          <cell r="AD583">
            <v>0</v>
          </cell>
          <cell r="AE583">
            <v>0</v>
          </cell>
          <cell r="AF583">
            <v>0</v>
          </cell>
        </row>
        <row r="584">
          <cell r="A584">
            <v>1800007</v>
          </cell>
          <cell r="H584">
            <v>7000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row>
        <row r="585">
          <cell r="A585">
            <v>1800008</v>
          </cell>
          <cell r="B585" t="str">
            <v>1800008</v>
          </cell>
          <cell r="G585" t="str">
            <v>HARD DISK</v>
          </cell>
          <cell r="H585">
            <v>5900</v>
          </cell>
          <cell r="K585">
            <v>0</v>
          </cell>
          <cell r="L585">
            <v>0</v>
          </cell>
          <cell r="M585">
            <v>-407.34</v>
          </cell>
          <cell r="N585">
            <v>0</v>
          </cell>
          <cell r="O585">
            <v>0</v>
          </cell>
          <cell r="P585">
            <v>0</v>
          </cell>
          <cell r="Q585">
            <v>0</v>
          </cell>
          <cell r="R585">
            <v>0</v>
          </cell>
          <cell r="S585">
            <v>0</v>
          </cell>
          <cell r="T585">
            <v>0</v>
          </cell>
          <cell r="U585">
            <v>0</v>
          </cell>
          <cell r="V585">
            <v>-2197.06</v>
          </cell>
          <cell r="W585">
            <v>0</v>
          </cell>
          <cell r="X585">
            <v>0</v>
          </cell>
          <cell r="Y585">
            <v>0</v>
          </cell>
          <cell r="Z585">
            <v>0</v>
          </cell>
          <cell r="AA585">
            <v>0</v>
          </cell>
          <cell r="AB585">
            <v>0</v>
          </cell>
          <cell r="AC585">
            <v>0</v>
          </cell>
          <cell r="AD585">
            <v>0</v>
          </cell>
          <cell r="AE585">
            <v>0</v>
          </cell>
          <cell r="AF585">
            <v>0</v>
          </cell>
        </row>
        <row r="586">
          <cell r="A586">
            <v>1800008</v>
          </cell>
          <cell r="H586">
            <v>5900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row>
        <row r="587">
          <cell r="A587">
            <v>1800008</v>
          </cell>
          <cell r="H587">
            <v>5900</v>
          </cell>
          <cell r="K587">
            <v>0</v>
          </cell>
          <cell r="L587">
            <v>0</v>
          </cell>
          <cell r="M587">
            <v>-2604.4</v>
          </cell>
          <cell r="N587">
            <v>0</v>
          </cell>
          <cell r="O587">
            <v>0</v>
          </cell>
          <cell r="P587">
            <v>0</v>
          </cell>
          <cell r="Q587">
            <v>0</v>
          </cell>
          <cell r="R587">
            <v>0</v>
          </cell>
          <cell r="S587">
            <v>0</v>
          </cell>
          <cell r="T587">
            <v>0</v>
          </cell>
          <cell r="U587">
            <v>0</v>
          </cell>
          <cell r="V587">
            <v>-1318.24</v>
          </cell>
          <cell r="W587">
            <v>0</v>
          </cell>
          <cell r="X587">
            <v>0</v>
          </cell>
          <cell r="Y587">
            <v>0</v>
          </cell>
          <cell r="Z587">
            <v>0</v>
          </cell>
          <cell r="AA587">
            <v>0</v>
          </cell>
          <cell r="AB587">
            <v>0</v>
          </cell>
          <cell r="AC587">
            <v>0</v>
          </cell>
          <cell r="AD587">
            <v>0</v>
          </cell>
          <cell r="AE587">
            <v>0</v>
          </cell>
          <cell r="AF587">
            <v>0</v>
          </cell>
        </row>
        <row r="588">
          <cell r="A588">
            <v>1800008</v>
          </cell>
          <cell r="H588">
            <v>5900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row>
        <row r="589">
          <cell r="A589">
            <v>1800009</v>
          </cell>
          <cell r="B589" t="str">
            <v>1800009</v>
          </cell>
          <cell r="G589" t="str">
            <v>PRINTER -SURAT</v>
          </cell>
          <cell r="H589">
            <v>9600</v>
          </cell>
          <cell r="K589">
            <v>0</v>
          </cell>
          <cell r="L589">
            <v>0</v>
          </cell>
          <cell r="M589">
            <v>-757.48</v>
          </cell>
          <cell r="N589">
            <v>0</v>
          </cell>
          <cell r="O589">
            <v>0</v>
          </cell>
          <cell r="P589">
            <v>0</v>
          </cell>
          <cell r="Q589">
            <v>0</v>
          </cell>
          <cell r="R589">
            <v>0</v>
          </cell>
          <cell r="S589">
            <v>0</v>
          </cell>
          <cell r="T589">
            <v>0</v>
          </cell>
          <cell r="U589">
            <v>0</v>
          </cell>
          <cell r="V589">
            <v>-3537.01</v>
          </cell>
          <cell r="W589">
            <v>0</v>
          </cell>
          <cell r="X589">
            <v>0</v>
          </cell>
          <cell r="Y589">
            <v>0</v>
          </cell>
          <cell r="Z589">
            <v>0</v>
          </cell>
          <cell r="AA589">
            <v>0</v>
          </cell>
          <cell r="AB589">
            <v>0</v>
          </cell>
          <cell r="AC589">
            <v>0</v>
          </cell>
          <cell r="AD589">
            <v>0</v>
          </cell>
          <cell r="AE589">
            <v>0</v>
          </cell>
          <cell r="AF589">
            <v>0</v>
          </cell>
        </row>
        <row r="590">
          <cell r="A590">
            <v>1800009</v>
          </cell>
          <cell r="H590">
            <v>9600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row>
        <row r="591">
          <cell r="A591">
            <v>1800009</v>
          </cell>
          <cell r="H591">
            <v>9600</v>
          </cell>
          <cell r="K591">
            <v>0</v>
          </cell>
          <cell r="L591">
            <v>0</v>
          </cell>
          <cell r="M591">
            <v>-4294.49</v>
          </cell>
          <cell r="N591">
            <v>0</v>
          </cell>
          <cell r="O591">
            <v>0</v>
          </cell>
          <cell r="P591">
            <v>0</v>
          </cell>
          <cell r="Q591">
            <v>0</v>
          </cell>
          <cell r="R591">
            <v>0</v>
          </cell>
          <cell r="S591">
            <v>0</v>
          </cell>
          <cell r="T591">
            <v>0</v>
          </cell>
          <cell r="U591">
            <v>0</v>
          </cell>
          <cell r="V591">
            <v>-2122.1999999999998</v>
          </cell>
          <cell r="W591">
            <v>0</v>
          </cell>
          <cell r="X591">
            <v>0</v>
          </cell>
          <cell r="Y591">
            <v>0</v>
          </cell>
          <cell r="Z591">
            <v>0</v>
          </cell>
          <cell r="AA591">
            <v>0</v>
          </cell>
          <cell r="AB591">
            <v>0</v>
          </cell>
          <cell r="AC591">
            <v>0</v>
          </cell>
          <cell r="AD591">
            <v>0</v>
          </cell>
          <cell r="AE591">
            <v>0</v>
          </cell>
          <cell r="AF591">
            <v>0</v>
          </cell>
        </row>
        <row r="592">
          <cell r="A592">
            <v>1800009</v>
          </cell>
          <cell r="H592">
            <v>9600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row>
        <row r="593">
          <cell r="A593">
            <v>1800010</v>
          </cell>
          <cell r="B593" t="str">
            <v>1800010</v>
          </cell>
          <cell r="G593" t="str">
            <v>HARD DISK -BARODA</v>
          </cell>
          <cell r="H593">
            <v>8100</v>
          </cell>
          <cell r="K593">
            <v>0</v>
          </cell>
          <cell r="L593">
            <v>0</v>
          </cell>
          <cell r="M593">
            <v>-8100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row>
        <row r="594">
          <cell r="A594">
            <v>1800010</v>
          </cell>
          <cell r="H594">
            <v>8100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row>
        <row r="595">
          <cell r="A595">
            <v>1800010</v>
          </cell>
          <cell r="H595">
            <v>8100</v>
          </cell>
          <cell r="K595">
            <v>0</v>
          </cell>
          <cell r="L595">
            <v>0</v>
          </cell>
          <cell r="M595">
            <v>-8100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row>
        <row r="596">
          <cell r="A596">
            <v>1800010</v>
          </cell>
          <cell r="H596">
            <v>8100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row>
        <row r="597">
          <cell r="A597">
            <v>1800011</v>
          </cell>
          <cell r="B597" t="str">
            <v>1800011</v>
          </cell>
          <cell r="G597" t="str">
            <v>PRINTER</v>
          </cell>
          <cell r="H597">
            <v>15000</v>
          </cell>
          <cell r="K597">
            <v>0</v>
          </cell>
          <cell r="L597">
            <v>0</v>
          </cell>
          <cell r="M597">
            <v>-10712</v>
          </cell>
          <cell r="N597">
            <v>0</v>
          </cell>
          <cell r="O597">
            <v>0</v>
          </cell>
          <cell r="P597">
            <v>0</v>
          </cell>
          <cell r="Q597">
            <v>0</v>
          </cell>
          <cell r="R597">
            <v>0</v>
          </cell>
          <cell r="S597">
            <v>0</v>
          </cell>
          <cell r="T597">
            <v>0</v>
          </cell>
          <cell r="U597">
            <v>0</v>
          </cell>
          <cell r="V597">
            <v>-1715.2</v>
          </cell>
          <cell r="W597">
            <v>0</v>
          </cell>
          <cell r="X597">
            <v>0</v>
          </cell>
          <cell r="Y597">
            <v>0</v>
          </cell>
          <cell r="Z597">
            <v>0</v>
          </cell>
          <cell r="AA597">
            <v>0</v>
          </cell>
          <cell r="AB597">
            <v>0</v>
          </cell>
          <cell r="AC597">
            <v>0</v>
          </cell>
          <cell r="AD597">
            <v>0</v>
          </cell>
          <cell r="AE597">
            <v>0</v>
          </cell>
          <cell r="AF597">
            <v>0</v>
          </cell>
        </row>
        <row r="598">
          <cell r="A598">
            <v>1800011</v>
          </cell>
          <cell r="H598">
            <v>15000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row>
        <row r="599">
          <cell r="A599">
            <v>1800011</v>
          </cell>
          <cell r="H599">
            <v>15000</v>
          </cell>
          <cell r="K599">
            <v>0</v>
          </cell>
          <cell r="L599">
            <v>0</v>
          </cell>
          <cell r="M599">
            <v>-12427.2</v>
          </cell>
          <cell r="N599">
            <v>0</v>
          </cell>
          <cell r="O599">
            <v>0</v>
          </cell>
          <cell r="P599">
            <v>0</v>
          </cell>
          <cell r="Q599">
            <v>0</v>
          </cell>
          <cell r="R599">
            <v>0</v>
          </cell>
          <cell r="S599">
            <v>0</v>
          </cell>
          <cell r="T599">
            <v>0</v>
          </cell>
          <cell r="U599">
            <v>0</v>
          </cell>
          <cell r="V599">
            <v>-1029.1199999999999</v>
          </cell>
          <cell r="W599">
            <v>0</v>
          </cell>
          <cell r="X599">
            <v>0</v>
          </cell>
          <cell r="Y599">
            <v>0</v>
          </cell>
          <cell r="Z599">
            <v>0</v>
          </cell>
          <cell r="AA599">
            <v>0</v>
          </cell>
          <cell r="AB599">
            <v>0</v>
          </cell>
          <cell r="AC599">
            <v>0</v>
          </cell>
          <cell r="AD599">
            <v>0</v>
          </cell>
          <cell r="AE599">
            <v>0</v>
          </cell>
          <cell r="AF599">
            <v>0</v>
          </cell>
        </row>
        <row r="600">
          <cell r="A600">
            <v>1800011</v>
          </cell>
          <cell r="H600">
            <v>15000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row>
        <row r="601">
          <cell r="A601">
            <v>1800012</v>
          </cell>
          <cell r="B601" t="str">
            <v>1800012</v>
          </cell>
          <cell r="G601" t="str">
            <v>COMPUTERS</v>
          </cell>
          <cell r="H601">
            <v>495000</v>
          </cell>
          <cell r="K601">
            <v>0</v>
          </cell>
          <cell r="L601">
            <v>0</v>
          </cell>
          <cell r="M601">
            <v>-333985.32</v>
          </cell>
          <cell r="N601">
            <v>0</v>
          </cell>
          <cell r="O601">
            <v>0</v>
          </cell>
          <cell r="P601">
            <v>0</v>
          </cell>
          <cell r="Q601">
            <v>0</v>
          </cell>
          <cell r="R601">
            <v>0</v>
          </cell>
          <cell r="S601">
            <v>0</v>
          </cell>
          <cell r="T601">
            <v>0</v>
          </cell>
          <cell r="U601">
            <v>0</v>
          </cell>
          <cell r="V601">
            <v>-64405.87</v>
          </cell>
          <cell r="W601">
            <v>0</v>
          </cell>
          <cell r="X601">
            <v>0</v>
          </cell>
          <cell r="Y601">
            <v>0</v>
          </cell>
          <cell r="Z601">
            <v>0</v>
          </cell>
          <cell r="AA601">
            <v>0</v>
          </cell>
          <cell r="AB601">
            <v>0</v>
          </cell>
          <cell r="AC601">
            <v>0</v>
          </cell>
          <cell r="AD601">
            <v>0</v>
          </cell>
          <cell r="AE601">
            <v>0</v>
          </cell>
          <cell r="AF601">
            <v>0</v>
          </cell>
        </row>
        <row r="602">
          <cell r="A602">
            <v>1800012</v>
          </cell>
          <cell r="H602">
            <v>495000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row>
        <row r="603">
          <cell r="A603">
            <v>1800012</v>
          </cell>
          <cell r="H603">
            <v>495000</v>
          </cell>
          <cell r="K603">
            <v>0</v>
          </cell>
          <cell r="L603">
            <v>0</v>
          </cell>
          <cell r="M603">
            <v>-398391.19</v>
          </cell>
          <cell r="N603">
            <v>0</v>
          </cell>
          <cell r="O603">
            <v>0</v>
          </cell>
          <cell r="P603">
            <v>0</v>
          </cell>
          <cell r="Q603">
            <v>0</v>
          </cell>
          <cell r="R603">
            <v>0</v>
          </cell>
          <cell r="S603">
            <v>0</v>
          </cell>
          <cell r="T603">
            <v>0</v>
          </cell>
          <cell r="U603">
            <v>0</v>
          </cell>
          <cell r="V603">
            <v>-38643.519999999997</v>
          </cell>
          <cell r="W603">
            <v>0</v>
          </cell>
          <cell r="X603">
            <v>0</v>
          </cell>
          <cell r="Y603">
            <v>0</v>
          </cell>
          <cell r="Z603">
            <v>0</v>
          </cell>
          <cell r="AA603">
            <v>0</v>
          </cell>
          <cell r="AB603">
            <v>0</v>
          </cell>
          <cell r="AC603">
            <v>0</v>
          </cell>
          <cell r="AD603">
            <v>0</v>
          </cell>
          <cell r="AE603">
            <v>0</v>
          </cell>
          <cell r="AF603">
            <v>0</v>
          </cell>
        </row>
        <row r="604">
          <cell r="A604">
            <v>1800012</v>
          </cell>
          <cell r="H604">
            <v>495000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row>
        <row r="605">
          <cell r="A605">
            <v>1800013</v>
          </cell>
          <cell r="B605" t="str">
            <v>1800013</v>
          </cell>
          <cell r="G605" t="str">
            <v>MODEM ( FCD-2L)</v>
          </cell>
          <cell r="H605">
            <v>43000</v>
          </cell>
          <cell r="K605">
            <v>0</v>
          </cell>
          <cell r="L605">
            <v>0</v>
          </cell>
          <cell r="M605">
            <v>-26473.86</v>
          </cell>
          <cell r="N605">
            <v>0</v>
          </cell>
          <cell r="O605">
            <v>0</v>
          </cell>
          <cell r="P605">
            <v>0</v>
          </cell>
          <cell r="Q605">
            <v>0</v>
          </cell>
          <cell r="R605">
            <v>0</v>
          </cell>
          <cell r="S605">
            <v>0</v>
          </cell>
          <cell r="T605">
            <v>0</v>
          </cell>
          <cell r="U605">
            <v>0</v>
          </cell>
          <cell r="V605">
            <v>-6610.46</v>
          </cell>
          <cell r="W605">
            <v>0</v>
          </cell>
          <cell r="X605">
            <v>0</v>
          </cell>
          <cell r="Y605">
            <v>0</v>
          </cell>
          <cell r="Z605">
            <v>0</v>
          </cell>
          <cell r="AA605">
            <v>0</v>
          </cell>
          <cell r="AB605">
            <v>0</v>
          </cell>
          <cell r="AC605">
            <v>0</v>
          </cell>
          <cell r="AD605">
            <v>0</v>
          </cell>
          <cell r="AE605">
            <v>0</v>
          </cell>
          <cell r="AF605">
            <v>0</v>
          </cell>
        </row>
        <row r="606">
          <cell r="A606">
            <v>1800013</v>
          </cell>
          <cell r="H606">
            <v>43000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row>
        <row r="607">
          <cell r="A607">
            <v>1800013</v>
          </cell>
          <cell r="H607">
            <v>43000</v>
          </cell>
          <cell r="K607">
            <v>0</v>
          </cell>
          <cell r="L607">
            <v>0</v>
          </cell>
          <cell r="M607">
            <v>-33084.32</v>
          </cell>
          <cell r="N607">
            <v>0</v>
          </cell>
          <cell r="O607">
            <v>0</v>
          </cell>
          <cell r="P607">
            <v>0</v>
          </cell>
          <cell r="Q607">
            <v>0</v>
          </cell>
          <cell r="R607">
            <v>0</v>
          </cell>
          <cell r="S607">
            <v>0</v>
          </cell>
          <cell r="T607">
            <v>0</v>
          </cell>
          <cell r="U607">
            <v>0</v>
          </cell>
          <cell r="V607">
            <v>-3966.27</v>
          </cell>
          <cell r="W607">
            <v>0</v>
          </cell>
          <cell r="X607">
            <v>0</v>
          </cell>
          <cell r="Y607">
            <v>0</v>
          </cell>
          <cell r="Z607">
            <v>0</v>
          </cell>
          <cell r="AA607">
            <v>0</v>
          </cell>
          <cell r="AB607">
            <v>0</v>
          </cell>
          <cell r="AC607">
            <v>0</v>
          </cell>
          <cell r="AD607">
            <v>0</v>
          </cell>
          <cell r="AE607">
            <v>0</v>
          </cell>
          <cell r="AF607">
            <v>0</v>
          </cell>
        </row>
        <row r="608">
          <cell r="A608">
            <v>1800013</v>
          </cell>
          <cell r="H608">
            <v>43000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row>
        <row r="609">
          <cell r="A609">
            <v>1800014</v>
          </cell>
          <cell r="B609" t="str">
            <v>1800014</v>
          </cell>
          <cell r="G609" t="str">
            <v>COMPUTER</v>
          </cell>
          <cell r="H609">
            <v>120500</v>
          </cell>
          <cell r="K609">
            <v>0</v>
          </cell>
          <cell r="L609">
            <v>0</v>
          </cell>
          <cell r="M609">
            <v>-75535.34</v>
          </cell>
          <cell r="N609">
            <v>0</v>
          </cell>
          <cell r="O609">
            <v>0</v>
          </cell>
          <cell r="P609">
            <v>0</v>
          </cell>
          <cell r="Q609">
            <v>0</v>
          </cell>
          <cell r="R609">
            <v>0</v>
          </cell>
          <cell r="S609">
            <v>0</v>
          </cell>
          <cell r="T609">
            <v>0</v>
          </cell>
          <cell r="U609">
            <v>0</v>
          </cell>
          <cell r="V609">
            <v>-17985.86</v>
          </cell>
          <cell r="W609">
            <v>0</v>
          </cell>
          <cell r="X609">
            <v>0</v>
          </cell>
          <cell r="Y609">
            <v>0</v>
          </cell>
          <cell r="Z609">
            <v>0</v>
          </cell>
          <cell r="AA609">
            <v>0</v>
          </cell>
          <cell r="AB609">
            <v>0</v>
          </cell>
          <cell r="AC609">
            <v>0</v>
          </cell>
          <cell r="AD609">
            <v>0</v>
          </cell>
          <cell r="AE609">
            <v>0</v>
          </cell>
          <cell r="AF609">
            <v>0</v>
          </cell>
        </row>
        <row r="610">
          <cell r="A610">
            <v>1800014</v>
          </cell>
          <cell r="H610">
            <v>120500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row>
        <row r="611">
          <cell r="A611">
            <v>1800014</v>
          </cell>
          <cell r="H611">
            <v>120500</v>
          </cell>
          <cell r="K611">
            <v>0</v>
          </cell>
          <cell r="L611">
            <v>0</v>
          </cell>
          <cell r="M611">
            <v>-93521.2</v>
          </cell>
          <cell r="N611">
            <v>0</v>
          </cell>
          <cell r="O611">
            <v>0</v>
          </cell>
          <cell r="P611">
            <v>0</v>
          </cell>
          <cell r="Q611">
            <v>0</v>
          </cell>
          <cell r="R611">
            <v>0</v>
          </cell>
          <cell r="S611">
            <v>0</v>
          </cell>
          <cell r="T611">
            <v>0</v>
          </cell>
          <cell r="U611">
            <v>0</v>
          </cell>
          <cell r="V611">
            <v>-10791.52</v>
          </cell>
          <cell r="W611">
            <v>0</v>
          </cell>
          <cell r="X611">
            <v>0</v>
          </cell>
          <cell r="Y611">
            <v>0</v>
          </cell>
          <cell r="Z611">
            <v>0</v>
          </cell>
          <cell r="AA611">
            <v>0</v>
          </cell>
          <cell r="AB611">
            <v>0</v>
          </cell>
          <cell r="AC611">
            <v>0</v>
          </cell>
          <cell r="AD611">
            <v>0</v>
          </cell>
          <cell r="AE611">
            <v>0</v>
          </cell>
          <cell r="AF611">
            <v>0</v>
          </cell>
        </row>
        <row r="612">
          <cell r="A612">
            <v>1800014</v>
          </cell>
          <cell r="H612">
            <v>120500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row>
        <row r="613">
          <cell r="A613">
            <v>1800015</v>
          </cell>
          <cell r="B613" t="str">
            <v>1800015</v>
          </cell>
          <cell r="G613" t="str">
            <v>COMPUTER</v>
          </cell>
          <cell r="H613">
            <v>22900</v>
          </cell>
          <cell r="K613">
            <v>0</v>
          </cell>
          <cell r="L613">
            <v>0</v>
          </cell>
          <cell r="M613">
            <v>-13662.2</v>
          </cell>
          <cell r="N613">
            <v>0</v>
          </cell>
          <cell r="O613">
            <v>0</v>
          </cell>
          <cell r="P613">
            <v>0</v>
          </cell>
          <cell r="Q613">
            <v>0</v>
          </cell>
          <cell r="R613">
            <v>0</v>
          </cell>
          <cell r="S613">
            <v>0</v>
          </cell>
          <cell r="T613">
            <v>0</v>
          </cell>
          <cell r="U613">
            <v>0</v>
          </cell>
          <cell r="V613">
            <v>-3695.12</v>
          </cell>
          <cell r="W613">
            <v>0</v>
          </cell>
          <cell r="X613">
            <v>0</v>
          </cell>
          <cell r="Y613">
            <v>0</v>
          </cell>
          <cell r="Z613">
            <v>0</v>
          </cell>
          <cell r="AA613">
            <v>0</v>
          </cell>
          <cell r="AB613">
            <v>0</v>
          </cell>
          <cell r="AC613">
            <v>0</v>
          </cell>
          <cell r="AD613">
            <v>0</v>
          </cell>
          <cell r="AE613">
            <v>0</v>
          </cell>
          <cell r="AF613">
            <v>0</v>
          </cell>
        </row>
        <row r="614">
          <cell r="A614">
            <v>1800015</v>
          </cell>
          <cell r="H614">
            <v>22900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row>
        <row r="615">
          <cell r="A615">
            <v>1800015</v>
          </cell>
          <cell r="H615">
            <v>22900</v>
          </cell>
          <cell r="K615">
            <v>0</v>
          </cell>
          <cell r="L615">
            <v>0</v>
          </cell>
          <cell r="M615">
            <v>-17357.32</v>
          </cell>
          <cell r="N615">
            <v>0</v>
          </cell>
          <cell r="O615">
            <v>0</v>
          </cell>
          <cell r="P615">
            <v>0</v>
          </cell>
          <cell r="Q615">
            <v>0</v>
          </cell>
          <cell r="R615">
            <v>0</v>
          </cell>
          <cell r="S615">
            <v>0</v>
          </cell>
          <cell r="T615">
            <v>0</v>
          </cell>
          <cell r="U615">
            <v>0</v>
          </cell>
          <cell r="V615">
            <v>-2217.0700000000002</v>
          </cell>
          <cell r="W615">
            <v>0</v>
          </cell>
          <cell r="X615">
            <v>0</v>
          </cell>
          <cell r="Y615">
            <v>0</v>
          </cell>
          <cell r="Z615">
            <v>0</v>
          </cell>
          <cell r="AA615">
            <v>0</v>
          </cell>
          <cell r="AB615">
            <v>0</v>
          </cell>
          <cell r="AC615">
            <v>0</v>
          </cell>
          <cell r="AD615">
            <v>0</v>
          </cell>
          <cell r="AE615">
            <v>0</v>
          </cell>
          <cell r="AF615">
            <v>0</v>
          </cell>
        </row>
        <row r="616">
          <cell r="A616">
            <v>1800015</v>
          </cell>
          <cell r="H616">
            <v>22900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row>
        <row r="617">
          <cell r="A617">
            <v>1800016</v>
          </cell>
          <cell r="B617" t="str">
            <v>1800016</v>
          </cell>
          <cell r="G617" t="str">
            <v>COMPUTER</v>
          </cell>
          <cell r="H617">
            <v>44250</v>
          </cell>
          <cell r="K617">
            <v>0</v>
          </cell>
          <cell r="L617">
            <v>0</v>
          </cell>
          <cell r="M617">
            <v>-24275</v>
          </cell>
          <cell r="N617">
            <v>0</v>
          </cell>
          <cell r="O617">
            <v>0</v>
          </cell>
          <cell r="P617">
            <v>0</v>
          </cell>
          <cell r="Q617">
            <v>0</v>
          </cell>
          <cell r="R617">
            <v>0</v>
          </cell>
          <cell r="S617">
            <v>0</v>
          </cell>
          <cell r="T617">
            <v>0</v>
          </cell>
          <cell r="U617">
            <v>0</v>
          </cell>
          <cell r="V617">
            <v>-7990</v>
          </cell>
          <cell r="W617">
            <v>0</v>
          </cell>
          <cell r="X617">
            <v>0</v>
          </cell>
          <cell r="Y617">
            <v>0</v>
          </cell>
          <cell r="Z617">
            <v>0</v>
          </cell>
          <cell r="AA617">
            <v>0</v>
          </cell>
          <cell r="AB617">
            <v>0</v>
          </cell>
          <cell r="AC617">
            <v>0</v>
          </cell>
          <cell r="AD617">
            <v>0</v>
          </cell>
          <cell r="AE617">
            <v>0</v>
          </cell>
          <cell r="AF617">
            <v>0</v>
          </cell>
        </row>
        <row r="618">
          <cell r="A618">
            <v>1800016</v>
          </cell>
          <cell r="H618">
            <v>44250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row>
        <row r="619">
          <cell r="A619">
            <v>1800016</v>
          </cell>
          <cell r="H619">
            <v>44250</v>
          </cell>
          <cell r="K619">
            <v>0</v>
          </cell>
          <cell r="L619">
            <v>0</v>
          </cell>
          <cell r="M619">
            <v>-32265</v>
          </cell>
          <cell r="N619">
            <v>0</v>
          </cell>
          <cell r="O619">
            <v>0</v>
          </cell>
          <cell r="P619">
            <v>0</v>
          </cell>
          <cell r="Q619">
            <v>0</v>
          </cell>
          <cell r="R619">
            <v>0</v>
          </cell>
          <cell r="S619">
            <v>0</v>
          </cell>
          <cell r="T619">
            <v>0</v>
          </cell>
          <cell r="U619">
            <v>0</v>
          </cell>
          <cell r="V619">
            <v>-4794</v>
          </cell>
          <cell r="W619">
            <v>0</v>
          </cell>
          <cell r="X619">
            <v>0</v>
          </cell>
          <cell r="Y619">
            <v>0</v>
          </cell>
          <cell r="Z619">
            <v>0</v>
          </cell>
          <cell r="AA619">
            <v>0</v>
          </cell>
          <cell r="AB619">
            <v>0</v>
          </cell>
          <cell r="AC619">
            <v>0</v>
          </cell>
          <cell r="AD619">
            <v>0</v>
          </cell>
          <cell r="AE619">
            <v>0</v>
          </cell>
          <cell r="AF619">
            <v>0</v>
          </cell>
        </row>
        <row r="620">
          <cell r="A620">
            <v>1800016</v>
          </cell>
          <cell r="H620">
            <v>44250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row>
        <row r="621">
          <cell r="A621">
            <v>1800017</v>
          </cell>
          <cell r="B621" t="str">
            <v>1800017</v>
          </cell>
          <cell r="G621" t="str">
            <v>COMPUTER</v>
          </cell>
          <cell r="H621">
            <v>30350</v>
          </cell>
          <cell r="K621">
            <v>0</v>
          </cell>
          <cell r="L621">
            <v>0</v>
          </cell>
          <cell r="M621">
            <v>-12519</v>
          </cell>
          <cell r="N621">
            <v>0</v>
          </cell>
          <cell r="O621">
            <v>0</v>
          </cell>
          <cell r="P621">
            <v>0</v>
          </cell>
          <cell r="Q621">
            <v>0</v>
          </cell>
          <cell r="R621">
            <v>0</v>
          </cell>
          <cell r="S621">
            <v>0</v>
          </cell>
          <cell r="T621">
            <v>0</v>
          </cell>
          <cell r="U621">
            <v>0</v>
          </cell>
          <cell r="V621">
            <v>-7132.4</v>
          </cell>
          <cell r="W621">
            <v>0</v>
          </cell>
          <cell r="X621">
            <v>0</v>
          </cell>
          <cell r="Y621">
            <v>0</v>
          </cell>
          <cell r="Z621">
            <v>0</v>
          </cell>
          <cell r="AA621">
            <v>0</v>
          </cell>
          <cell r="AB621">
            <v>0</v>
          </cell>
          <cell r="AC621">
            <v>0</v>
          </cell>
          <cell r="AD621">
            <v>0</v>
          </cell>
          <cell r="AE621">
            <v>0</v>
          </cell>
          <cell r="AF621">
            <v>0</v>
          </cell>
        </row>
        <row r="622">
          <cell r="A622">
            <v>1800017</v>
          </cell>
          <cell r="H622">
            <v>30350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row>
        <row r="623">
          <cell r="A623">
            <v>1800017</v>
          </cell>
          <cell r="H623">
            <v>30350</v>
          </cell>
          <cell r="K623">
            <v>0</v>
          </cell>
          <cell r="L623">
            <v>0</v>
          </cell>
          <cell r="M623">
            <v>-19651.400000000001</v>
          </cell>
          <cell r="N623">
            <v>0</v>
          </cell>
          <cell r="O623">
            <v>0</v>
          </cell>
          <cell r="P623">
            <v>0</v>
          </cell>
          <cell r="Q623">
            <v>0</v>
          </cell>
          <cell r="R623">
            <v>0</v>
          </cell>
          <cell r="S623">
            <v>0</v>
          </cell>
          <cell r="T623">
            <v>0</v>
          </cell>
          <cell r="U623">
            <v>0</v>
          </cell>
          <cell r="V623">
            <v>-4279.4399999999996</v>
          </cell>
          <cell r="W623">
            <v>0</v>
          </cell>
          <cell r="X623">
            <v>0</v>
          </cell>
          <cell r="Y623">
            <v>0</v>
          </cell>
          <cell r="Z623">
            <v>0</v>
          </cell>
          <cell r="AA623">
            <v>0</v>
          </cell>
          <cell r="AB623">
            <v>0</v>
          </cell>
          <cell r="AC623">
            <v>0</v>
          </cell>
          <cell r="AD623">
            <v>0</v>
          </cell>
          <cell r="AE623">
            <v>0</v>
          </cell>
          <cell r="AF623">
            <v>0</v>
          </cell>
        </row>
        <row r="624">
          <cell r="A624">
            <v>1800017</v>
          </cell>
          <cell r="H624">
            <v>30350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row>
        <row r="625">
          <cell r="A625">
            <v>1800018</v>
          </cell>
          <cell r="B625" t="str">
            <v>1800018</v>
          </cell>
          <cell r="G625" t="str">
            <v>WEB CAMERA</v>
          </cell>
          <cell r="H625">
            <v>5500</v>
          </cell>
          <cell r="K625">
            <v>0</v>
          </cell>
          <cell r="L625">
            <v>0</v>
          </cell>
          <cell r="M625">
            <v>-2782.25</v>
          </cell>
          <cell r="N625">
            <v>0</v>
          </cell>
          <cell r="O625">
            <v>0</v>
          </cell>
          <cell r="P625">
            <v>0</v>
          </cell>
          <cell r="Q625">
            <v>0</v>
          </cell>
          <cell r="R625">
            <v>0</v>
          </cell>
          <cell r="S625">
            <v>0</v>
          </cell>
          <cell r="T625">
            <v>0</v>
          </cell>
          <cell r="U625">
            <v>0</v>
          </cell>
          <cell r="V625">
            <v>-1087.0999999999999</v>
          </cell>
          <cell r="W625">
            <v>0</v>
          </cell>
          <cell r="X625">
            <v>0</v>
          </cell>
          <cell r="Y625">
            <v>0</v>
          </cell>
          <cell r="Z625">
            <v>0</v>
          </cell>
          <cell r="AA625">
            <v>0</v>
          </cell>
          <cell r="AB625">
            <v>0</v>
          </cell>
          <cell r="AC625">
            <v>0</v>
          </cell>
          <cell r="AD625">
            <v>0</v>
          </cell>
          <cell r="AE625">
            <v>0</v>
          </cell>
          <cell r="AF625">
            <v>0</v>
          </cell>
        </row>
        <row r="626">
          <cell r="A626">
            <v>1800018</v>
          </cell>
          <cell r="H626">
            <v>5500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row>
        <row r="627">
          <cell r="A627">
            <v>1800018</v>
          </cell>
          <cell r="H627">
            <v>5500</v>
          </cell>
          <cell r="K627">
            <v>0</v>
          </cell>
          <cell r="L627">
            <v>0</v>
          </cell>
          <cell r="M627">
            <v>-3869.35</v>
          </cell>
          <cell r="N627">
            <v>0</v>
          </cell>
          <cell r="O627">
            <v>0</v>
          </cell>
          <cell r="P627">
            <v>0</v>
          </cell>
          <cell r="Q627">
            <v>0</v>
          </cell>
          <cell r="R627">
            <v>0</v>
          </cell>
          <cell r="S627">
            <v>0</v>
          </cell>
          <cell r="T627">
            <v>0</v>
          </cell>
          <cell r="U627">
            <v>0</v>
          </cell>
          <cell r="V627">
            <v>-652.26</v>
          </cell>
          <cell r="W627">
            <v>0</v>
          </cell>
          <cell r="X627">
            <v>0</v>
          </cell>
          <cell r="Y627">
            <v>0</v>
          </cell>
          <cell r="Z627">
            <v>0</v>
          </cell>
          <cell r="AA627">
            <v>0</v>
          </cell>
          <cell r="AB627">
            <v>0</v>
          </cell>
          <cell r="AC627">
            <v>0</v>
          </cell>
          <cell r="AD627">
            <v>0</v>
          </cell>
          <cell r="AE627">
            <v>0</v>
          </cell>
          <cell r="AF627">
            <v>0</v>
          </cell>
        </row>
        <row r="628">
          <cell r="A628">
            <v>1800018</v>
          </cell>
          <cell r="H628">
            <v>5500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row>
        <row r="629">
          <cell r="A629">
            <v>1800019</v>
          </cell>
          <cell r="B629" t="str">
            <v>1800019</v>
          </cell>
          <cell r="G629" t="str">
            <v>SERVER SHARER SWITCH</v>
          </cell>
          <cell r="H629">
            <v>9500</v>
          </cell>
          <cell r="K629">
            <v>0</v>
          </cell>
          <cell r="L629">
            <v>0</v>
          </cell>
          <cell r="M629">
            <v>-5486.58</v>
          </cell>
          <cell r="N629">
            <v>0</v>
          </cell>
          <cell r="O629">
            <v>0</v>
          </cell>
          <cell r="P629">
            <v>0</v>
          </cell>
          <cell r="Q629">
            <v>0</v>
          </cell>
          <cell r="R629">
            <v>0</v>
          </cell>
          <cell r="S629">
            <v>0</v>
          </cell>
          <cell r="T629">
            <v>0</v>
          </cell>
          <cell r="U629">
            <v>0</v>
          </cell>
          <cell r="V629">
            <v>-1605.37</v>
          </cell>
          <cell r="W629">
            <v>0</v>
          </cell>
          <cell r="X629">
            <v>0</v>
          </cell>
          <cell r="Y629">
            <v>0</v>
          </cell>
          <cell r="Z629">
            <v>0</v>
          </cell>
          <cell r="AA629">
            <v>0</v>
          </cell>
          <cell r="AB629">
            <v>0</v>
          </cell>
          <cell r="AC629">
            <v>0</v>
          </cell>
          <cell r="AD629">
            <v>0</v>
          </cell>
          <cell r="AE629">
            <v>0</v>
          </cell>
          <cell r="AF629">
            <v>0</v>
          </cell>
        </row>
        <row r="630">
          <cell r="A630">
            <v>1800019</v>
          </cell>
          <cell r="H630">
            <v>9500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row>
        <row r="631">
          <cell r="A631">
            <v>1800019</v>
          </cell>
          <cell r="H631">
            <v>9500</v>
          </cell>
          <cell r="K631">
            <v>0</v>
          </cell>
          <cell r="L631">
            <v>0</v>
          </cell>
          <cell r="M631">
            <v>-7091.95</v>
          </cell>
          <cell r="N631">
            <v>0</v>
          </cell>
          <cell r="O631">
            <v>0</v>
          </cell>
          <cell r="P631">
            <v>0</v>
          </cell>
          <cell r="Q631">
            <v>0</v>
          </cell>
          <cell r="R631">
            <v>0</v>
          </cell>
          <cell r="S631">
            <v>0</v>
          </cell>
          <cell r="T631">
            <v>0</v>
          </cell>
          <cell r="U631">
            <v>0</v>
          </cell>
          <cell r="V631">
            <v>-963.22</v>
          </cell>
          <cell r="W631">
            <v>0</v>
          </cell>
          <cell r="X631">
            <v>0</v>
          </cell>
          <cell r="Y631">
            <v>0</v>
          </cell>
          <cell r="Z631">
            <v>0</v>
          </cell>
          <cell r="AA631">
            <v>0</v>
          </cell>
          <cell r="AB631">
            <v>0</v>
          </cell>
          <cell r="AC631">
            <v>0</v>
          </cell>
          <cell r="AD631">
            <v>0</v>
          </cell>
          <cell r="AE631">
            <v>0</v>
          </cell>
          <cell r="AF631">
            <v>0</v>
          </cell>
        </row>
        <row r="632">
          <cell r="A632">
            <v>1800019</v>
          </cell>
          <cell r="H632">
            <v>9500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row>
        <row r="633">
          <cell r="A633">
            <v>1800020</v>
          </cell>
          <cell r="B633" t="str">
            <v>1800020</v>
          </cell>
          <cell r="G633" t="str">
            <v>HARD DISK</v>
          </cell>
          <cell r="H633">
            <v>10500</v>
          </cell>
          <cell r="K633">
            <v>0</v>
          </cell>
          <cell r="L633">
            <v>0</v>
          </cell>
          <cell r="M633">
            <v>-5870.79</v>
          </cell>
          <cell r="N633">
            <v>0</v>
          </cell>
          <cell r="O633">
            <v>0</v>
          </cell>
          <cell r="P633">
            <v>0</v>
          </cell>
          <cell r="Q633">
            <v>0</v>
          </cell>
          <cell r="R633">
            <v>0</v>
          </cell>
          <cell r="S633">
            <v>0</v>
          </cell>
          <cell r="T633">
            <v>0</v>
          </cell>
          <cell r="U633">
            <v>0</v>
          </cell>
          <cell r="V633">
            <v>-1851.68</v>
          </cell>
          <cell r="W633">
            <v>0</v>
          </cell>
          <cell r="X633">
            <v>0</v>
          </cell>
          <cell r="Y633">
            <v>0</v>
          </cell>
          <cell r="Z633">
            <v>0</v>
          </cell>
          <cell r="AA633">
            <v>0</v>
          </cell>
          <cell r="AB633">
            <v>0</v>
          </cell>
          <cell r="AC633">
            <v>0</v>
          </cell>
          <cell r="AD633">
            <v>0</v>
          </cell>
          <cell r="AE633">
            <v>0</v>
          </cell>
          <cell r="AF633">
            <v>0</v>
          </cell>
        </row>
        <row r="634">
          <cell r="A634">
            <v>1800020</v>
          </cell>
          <cell r="H634">
            <v>10500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row>
        <row r="635">
          <cell r="A635">
            <v>1800020</v>
          </cell>
          <cell r="H635">
            <v>10500</v>
          </cell>
          <cell r="K635">
            <v>0</v>
          </cell>
          <cell r="L635">
            <v>0</v>
          </cell>
          <cell r="M635">
            <v>-7722.47</v>
          </cell>
          <cell r="N635">
            <v>0</v>
          </cell>
          <cell r="O635">
            <v>0</v>
          </cell>
          <cell r="P635">
            <v>0</v>
          </cell>
          <cell r="Q635">
            <v>0</v>
          </cell>
          <cell r="R635">
            <v>0</v>
          </cell>
          <cell r="S635">
            <v>0</v>
          </cell>
          <cell r="T635">
            <v>0</v>
          </cell>
          <cell r="U635">
            <v>0</v>
          </cell>
          <cell r="V635">
            <v>-1111.01</v>
          </cell>
          <cell r="W635">
            <v>0</v>
          </cell>
          <cell r="X635">
            <v>0</v>
          </cell>
          <cell r="Y635">
            <v>0</v>
          </cell>
          <cell r="Z635">
            <v>0</v>
          </cell>
          <cell r="AA635">
            <v>0</v>
          </cell>
          <cell r="AB635">
            <v>0</v>
          </cell>
          <cell r="AC635">
            <v>0</v>
          </cell>
          <cell r="AD635">
            <v>0</v>
          </cell>
          <cell r="AE635">
            <v>0</v>
          </cell>
          <cell r="AF635">
            <v>0</v>
          </cell>
        </row>
        <row r="636">
          <cell r="A636">
            <v>1800020</v>
          </cell>
          <cell r="H636">
            <v>10500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row>
        <row r="637">
          <cell r="A637">
            <v>1800021</v>
          </cell>
          <cell r="B637" t="str">
            <v>1800021</v>
          </cell>
          <cell r="G637" t="str">
            <v>HARD DISK</v>
          </cell>
          <cell r="H637">
            <v>7500</v>
          </cell>
          <cell r="K637">
            <v>0</v>
          </cell>
          <cell r="L637">
            <v>0</v>
          </cell>
          <cell r="M637">
            <v>-4099.7299999999996</v>
          </cell>
          <cell r="N637">
            <v>0</v>
          </cell>
          <cell r="O637">
            <v>0</v>
          </cell>
          <cell r="P637">
            <v>0</v>
          </cell>
          <cell r="Q637">
            <v>0</v>
          </cell>
          <cell r="R637">
            <v>0</v>
          </cell>
          <cell r="S637">
            <v>0</v>
          </cell>
          <cell r="T637">
            <v>0</v>
          </cell>
          <cell r="U637">
            <v>0</v>
          </cell>
          <cell r="V637">
            <v>-1360.11</v>
          </cell>
          <cell r="W637">
            <v>0</v>
          </cell>
          <cell r="X637">
            <v>0</v>
          </cell>
          <cell r="Y637">
            <v>0</v>
          </cell>
          <cell r="Z637">
            <v>0</v>
          </cell>
          <cell r="AA637">
            <v>0</v>
          </cell>
          <cell r="AB637">
            <v>0</v>
          </cell>
          <cell r="AC637">
            <v>0</v>
          </cell>
          <cell r="AD637">
            <v>0</v>
          </cell>
          <cell r="AE637">
            <v>0</v>
          </cell>
          <cell r="AF637">
            <v>0</v>
          </cell>
        </row>
        <row r="638">
          <cell r="A638">
            <v>1800021</v>
          </cell>
          <cell r="H638">
            <v>7500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row>
        <row r="639">
          <cell r="A639">
            <v>1800021</v>
          </cell>
          <cell r="H639">
            <v>7500</v>
          </cell>
          <cell r="K639">
            <v>0</v>
          </cell>
          <cell r="L639">
            <v>0</v>
          </cell>
          <cell r="M639">
            <v>-5459.84</v>
          </cell>
          <cell r="N639">
            <v>0</v>
          </cell>
          <cell r="O639">
            <v>0</v>
          </cell>
          <cell r="P639">
            <v>0</v>
          </cell>
          <cell r="Q639">
            <v>0</v>
          </cell>
          <cell r="R639">
            <v>0</v>
          </cell>
          <cell r="S639">
            <v>0</v>
          </cell>
          <cell r="T639">
            <v>0</v>
          </cell>
          <cell r="U639">
            <v>0</v>
          </cell>
          <cell r="V639">
            <v>-816.06</v>
          </cell>
          <cell r="W639">
            <v>0</v>
          </cell>
          <cell r="X639">
            <v>0</v>
          </cell>
          <cell r="Y639">
            <v>0</v>
          </cell>
          <cell r="Z639">
            <v>0</v>
          </cell>
          <cell r="AA639">
            <v>0</v>
          </cell>
          <cell r="AB639">
            <v>0</v>
          </cell>
          <cell r="AC639">
            <v>0</v>
          </cell>
          <cell r="AD639">
            <v>0</v>
          </cell>
          <cell r="AE639">
            <v>0</v>
          </cell>
          <cell r="AF639">
            <v>0</v>
          </cell>
        </row>
        <row r="640">
          <cell r="A640">
            <v>1800021</v>
          </cell>
          <cell r="H640">
            <v>7500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row>
        <row r="641">
          <cell r="A641">
            <v>1800022</v>
          </cell>
          <cell r="B641" t="str">
            <v>1800022</v>
          </cell>
          <cell r="G641" t="str">
            <v>HARD DISK</v>
          </cell>
          <cell r="H641">
            <v>9800</v>
          </cell>
          <cell r="K641">
            <v>0</v>
          </cell>
          <cell r="L641">
            <v>0</v>
          </cell>
          <cell r="M641">
            <v>-5190</v>
          </cell>
          <cell r="N641">
            <v>0</v>
          </cell>
          <cell r="O641">
            <v>0</v>
          </cell>
          <cell r="P641">
            <v>0</v>
          </cell>
          <cell r="Q641">
            <v>0</v>
          </cell>
          <cell r="R641">
            <v>0</v>
          </cell>
          <cell r="S641">
            <v>0</v>
          </cell>
          <cell r="T641">
            <v>0</v>
          </cell>
          <cell r="U641">
            <v>0</v>
          </cell>
          <cell r="V641">
            <v>-1844</v>
          </cell>
          <cell r="W641">
            <v>0</v>
          </cell>
          <cell r="X641">
            <v>0</v>
          </cell>
          <cell r="Y641">
            <v>0</v>
          </cell>
          <cell r="Z641">
            <v>0</v>
          </cell>
          <cell r="AA641">
            <v>0</v>
          </cell>
          <cell r="AB641">
            <v>0</v>
          </cell>
          <cell r="AC641">
            <v>0</v>
          </cell>
          <cell r="AD641">
            <v>0</v>
          </cell>
          <cell r="AE641">
            <v>0</v>
          </cell>
          <cell r="AF641">
            <v>0</v>
          </cell>
        </row>
        <row r="642">
          <cell r="A642">
            <v>1800022</v>
          </cell>
          <cell r="H642">
            <v>9800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row>
        <row r="643">
          <cell r="A643">
            <v>1800022</v>
          </cell>
          <cell r="H643">
            <v>9800</v>
          </cell>
          <cell r="K643">
            <v>0</v>
          </cell>
          <cell r="L643">
            <v>0</v>
          </cell>
          <cell r="M643">
            <v>-7034</v>
          </cell>
          <cell r="N643">
            <v>0</v>
          </cell>
          <cell r="O643">
            <v>0</v>
          </cell>
          <cell r="P643">
            <v>0</v>
          </cell>
          <cell r="Q643">
            <v>0</v>
          </cell>
          <cell r="R643">
            <v>0</v>
          </cell>
          <cell r="S643">
            <v>0</v>
          </cell>
          <cell r="T643">
            <v>0</v>
          </cell>
          <cell r="U643">
            <v>0</v>
          </cell>
          <cell r="V643">
            <v>-1106.4000000000001</v>
          </cell>
          <cell r="W643">
            <v>0</v>
          </cell>
          <cell r="X643">
            <v>0</v>
          </cell>
          <cell r="Y643">
            <v>0</v>
          </cell>
          <cell r="Z643">
            <v>0</v>
          </cell>
          <cell r="AA643">
            <v>0</v>
          </cell>
          <cell r="AB643">
            <v>0</v>
          </cell>
          <cell r="AC643">
            <v>0</v>
          </cell>
          <cell r="AD643">
            <v>0</v>
          </cell>
          <cell r="AE643">
            <v>0</v>
          </cell>
          <cell r="AF643">
            <v>0</v>
          </cell>
        </row>
        <row r="644">
          <cell r="A644">
            <v>1800022</v>
          </cell>
          <cell r="H644">
            <v>9800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row>
        <row r="645">
          <cell r="A645">
            <v>1800023</v>
          </cell>
          <cell r="B645" t="str">
            <v>1800023</v>
          </cell>
          <cell r="G645" t="str">
            <v>COMPUTER RAM &amp; CABINET</v>
          </cell>
          <cell r="H645">
            <v>11470</v>
          </cell>
          <cell r="K645">
            <v>0</v>
          </cell>
          <cell r="L645">
            <v>0</v>
          </cell>
          <cell r="M645">
            <v>-7272.92</v>
          </cell>
          <cell r="N645">
            <v>0</v>
          </cell>
          <cell r="O645">
            <v>0</v>
          </cell>
          <cell r="P645">
            <v>0</v>
          </cell>
          <cell r="Q645">
            <v>0</v>
          </cell>
          <cell r="R645">
            <v>0</v>
          </cell>
          <cell r="S645">
            <v>0</v>
          </cell>
          <cell r="T645">
            <v>0</v>
          </cell>
          <cell r="U645">
            <v>0</v>
          </cell>
          <cell r="V645">
            <v>-1678.83</v>
          </cell>
          <cell r="W645">
            <v>0</v>
          </cell>
          <cell r="X645">
            <v>0</v>
          </cell>
          <cell r="Y645">
            <v>0</v>
          </cell>
          <cell r="Z645">
            <v>0</v>
          </cell>
          <cell r="AA645">
            <v>0</v>
          </cell>
          <cell r="AB645">
            <v>0</v>
          </cell>
          <cell r="AC645">
            <v>0</v>
          </cell>
          <cell r="AD645">
            <v>0</v>
          </cell>
          <cell r="AE645">
            <v>0</v>
          </cell>
          <cell r="AF645">
            <v>0</v>
          </cell>
        </row>
        <row r="646">
          <cell r="A646">
            <v>1800023</v>
          </cell>
          <cell r="H646">
            <v>11470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row>
        <row r="647">
          <cell r="A647">
            <v>1800023</v>
          </cell>
          <cell r="H647">
            <v>11470</v>
          </cell>
          <cell r="K647">
            <v>0</v>
          </cell>
          <cell r="L647">
            <v>0</v>
          </cell>
          <cell r="M647">
            <v>-8951.75</v>
          </cell>
          <cell r="N647">
            <v>0</v>
          </cell>
          <cell r="O647">
            <v>0</v>
          </cell>
          <cell r="P647">
            <v>0</v>
          </cell>
          <cell r="Q647">
            <v>0</v>
          </cell>
          <cell r="R647">
            <v>0</v>
          </cell>
          <cell r="S647">
            <v>0</v>
          </cell>
          <cell r="T647">
            <v>0</v>
          </cell>
          <cell r="U647">
            <v>0</v>
          </cell>
          <cell r="V647">
            <v>-1007.3</v>
          </cell>
          <cell r="W647">
            <v>0</v>
          </cell>
          <cell r="X647">
            <v>0</v>
          </cell>
          <cell r="Y647">
            <v>0</v>
          </cell>
          <cell r="Z647">
            <v>0</v>
          </cell>
          <cell r="AA647">
            <v>0</v>
          </cell>
          <cell r="AB647">
            <v>0</v>
          </cell>
          <cell r="AC647">
            <v>0</v>
          </cell>
          <cell r="AD647">
            <v>0</v>
          </cell>
          <cell r="AE647">
            <v>0</v>
          </cell>
          <cell r="AF647">
            <v>0</v>
          </cell>
        </row>
        <row r="648">
          <cell r="A648">
            <v>1800023</v>
          </cell>
          <cell r="H648">
            <v>11470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row>
        <row r="649">
          <cell r="A649">
            <v>1800024</v>
          </cell>
          <cell r="B649" t="str">
            <v>1800024</v>
          </cell>
          <cell r="G649" t="str">
            <v>USB STORAGE DEVISE</v>
          </cell>
          <cell r="H649">
            <v>11500</v>
          </cell>
          <cell r="K649">
            <v>0</v>
          </cell>
          <cell r="L649">
            <v>0</v>
          </cell>
          <cell r="M649">
            <v>-4683.18</v>
          </cell>
          <cell r="N649">
            <v>0</v>
          </cell>
          <cell r="O649">
            <v>0</v>
          </cell>
          <cell r="P649">
            <v>0</v>
          </cell>
          <cell r="Q649">
            <v>0</v>
          </cell>
          <cell r="R649">
            <v>0</v>
          </cell>
          <cell r="S649">
            <v>0</v>
          </cell>
          <cell r="T649">
            <v>0</v>
          </cell>
          <cell r="U649">
            <v>0</v>
          </cell>
          <cell r="V649">
            <v>-2726.73</v>
          </cell>
          <cell r="W649">
            <v>0</v>
          </cell>
          <cell r="X649">
            <v>0</v>
          </cell>
          <cell r="Y649">
            <v>0</v>
          </cell>
          <cell r="Z649">
            <v>0</v>
          </cell>
          <cell r="AA649">
            <v>0</v>
          </cell>
          <cell r="AB649">
            <v>0</v>
          </cell>
          <cell r="AC649">
            <v>0</v>
          </cell>
          <cell r="AD649">
            <v>0</v>
          </cell>
          <cell r="AE649">
            <v>0</v>
          </cell>
          <cell r="AF649">
            <v>0</v>
          </cell>
        </row>
        <row r="650">
          <cell r="A650">
            <v>1800024</v>
          </cell>
          <cell r="H650">
            <v>11500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row>
        <row r="651">
          <cell r="A651">
            <v>1800024</v>
          </cell>
          <cell r="H651">
            <v>11500</v>
          </cell>
          <cell r="K651">
            <v>0</v>
          </cell>
          <cell r="L651">
            <v>0</v>
          </cell>
          <cell r="M651">
            <v>-7409.91</v>
          </cell>
          <cell r="N651">
            <v>0</v>
          </cell>
          <cell r="O651">
            <v>0</v>
          </cell>
          <cell r="P651">
            <v>0</v>
          </cell>
          <cell r="Q651">
            <v>0</v>
          </cell>
          <cell r="R651">
            <v>0</v>
          </cell>
          <cell r="S651">
            <v>0</v>
          </cell>
          <cell r="T651">
            <v>0</v>
          </cell>
          <cell r="U651">
            <v>0</v>
          </cell>
          <cell r="V651">
            <v>-1636.04</v>
          </cell>
          <cell r="W651">
            <v>0</v>
          </cell>
          <cell r="X651">
            <v>0</v>
          </cell>
          <cell r="Y651">
            <v>0</v>
          </cell>
          <cell r="Z651">
            <v>0</v>
          </cell>
          <cell r="AA651">
            <v>0</v>
          </cell>
          <cell r="AB651">
            <v>0</v>
          </cell>
          <cell r="AC651">
            <v>0</v>
          </cell>
          <cell r="AD651">
            <v>0</v>
          </cell>
          <cell r="AE651">
            <v>0</v>
          </cell>
          <cell r="AF651">
            <v>0</v>
          </cell>
        </row>
        <row r="652">
          <cell r="A652">
            <v>1800024</v>
          </cell>
          <cell r="H652">
            <v>11500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row>
        <row r="653">
          <cell r="A653">
            <v>1800025</v>
          </cell>
          <cell r="B653" t="str">
            <v>1800025</v>
          </cell>
          <cell r="G653" t="str">
            <v>RAM</v>
          </cell>
          <cell r="H653">
            <v>8600</v>
          </cell>
          <cell r="K653">
            <v>0</v>
          </cell>
          <cell r="L653">
            <v>0</v>
          </cell>
          <cell r="M653">
            <v>-3440</v>
          </cell>
          <cell r="N653">
            <v>0</v>
          </cell>
          <cell r="O653">
            <v>0</v>
          </cell>
          <cell r="P653">
            <v>0</v>
          </cell>
          <cell r="Q653">
            <v>0</v>
          </cell>
          <cell r="R653">
            <v>0</v>
          </cell>
          <cell r="S653">
            <v>0</v>
          </cell>
          <cell r="T653">
            <v>0</v>
          </cell>
          <cell r="U653">
            <v>0</v>
          </cell>
          <cell r="V653">
            <v>-2064</v>
          </cell>
          <cell r="W653">
            <v>0</v>
          </cell>
          <cell r="X653">
            <v>0</v>
          </cell>
          <cell r="Y653">
            <v>0</v>
          </cell>
          <cell r="Z653">
            <v>0</v>
          </cell>
          <cell r="AA653">
            <v>0</v>
          </cell>
          <cell r="AB653">
            <v>0</v>
          </cell>
          <cell r="AC653">
            <v>0</v>
          </cell>
          <cell r="AD653">
            <v>0</v>
          </cell>
          <cell r="AE653">
            <v>0</v>
          </cell>
          <cell r="AF653">
            <v>0</v>
          </cell>
        </row>
        <row r="654">
          <cell r="A654">
            <v>1800025</v>
          </cell>
          <cell r="H654">
            <v>8600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row>
        <row r="655">
          <cell r="A655">
            <v>1800025</v>
          </cell>
          <cell r="H655">
            <v>8600</v>
          </cell>
          <cell r="K655">
            <v>0</v>
          </cell>
          <cell r="L655">
            <v>0</v>
          </cell>
          <cell r="M655">
            <v>-5504</v>
          </cell>
          <cell r="N655">
            <v>0</v>
          </cell>
          <cell r="O655">
            <v>0</v>
          </cell>
          <cell r="P655">
            <v>0</v>
          </cell>
          <cell r="Q655">
            <v>0</v>
          </cell>
          <cell r="R655">
            <v>0</v>
          </cell>
          <cell r="S655">
            <v>0</v>
          </cell>
          <cell r="T655">
            <v>0</v>
          </cell>
          <cell r="U655">
            <v>0</v>
          </cell>
          <cell r="V655">
            <v>-1238.4000000000001</v>
          </cell>
          <cell r="W655">
            <v>0</v>
          </cell>
          <cell r="X655">
            <v>0</v>
          </cell>
          <cell r="Y655">
            <v>0</v>
          </cell>
          <cell r="Z655">
            <v>0</v>
          </cell>
          <cell r="AA655">
            <v>0</v>
          </cell>
          <cell r="AB655">
            <v>0</v>
          </cell>
          <cell r="AC655">
            <v>0</v>
          </cell>
          <cell r="AD655">
            <v>0</v>
          </cell>
          <cell r="AE655">
            <v>0</v>
          </cell>
          <cell r="AF655">
            <v>0</v>
          </cell>
        </row>
        <row r="656">
          <cell r="A656">
            <v>1800025</v>
          </cell>
          <cell r="H656">
            <v>8600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row>
        <row r="657">
          <cell r="A657">
            <v>1800026</v>
          </cell>
          <cell r="B657" t="str">
            <v>1800026</v>
          </cell>
          <cell r="G657" t="str">
            <v>USB STORAGE DEVISE</v>
          </cell>
          <cell r="H657">
            <v>9000</v>
          </cell>
          <cell r="K657">
            <v>0</v>
          </cell>
          <cell r="L657">
            <v>0</v>
          </cell>
          <cell r="M657">
            <v>-3244.93</v>
          </cell>
          <cell r="N657">
            <v>0</v>
          </cell>
          <cell r="O657">
            <v>0</v>
          </cell>
          <cell r="P657">
            <v>0</v>
          </cell>
          <cell r="Q657">
            <v>0</v>
          </cell>
          <cell r="R657">
            <v>0</v>
          </cell>
          <cell r="S657">
            <v>0</v>
          </cell>
          <cell r="T657">
            <v>0</v>
          </cell>
          <cell r="U657">
            <v>0</v>
          </cell>
          <cell r="V657">
            <v>-2302.0300000000002</v>
          </cell>
          <cell r="W657">
            <v>0</v>
          </cell>
          <cell r="X657">
            <v>0</v>
          </cell>
          <cell r="Y657">
            <v>0</v>
          </cell>
          <cell r="Z657">
            <v>0</v>
          </cell>
          <cell r="AA657">
            <v>0</v>
          </cell>
          <cell r="AB657">
            <v>0</v>
          </cell>
          <cell r="AC657">
            <v>0</v>
          </cell>
          <cell r="AD657">
            <v>0</v>
          </cell>
          <cell r="AE657">
            <v>0</v>
          </cell>
          <cell r="AF657">
            <v>0</v>
          </cell>
        </row>
        <row r="658">
          <cell r="A658">
            <v>1800026</v>
          </cell>
          <cell r="H658">
            <v>9000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row>
        <row r="659">
          <cell r="A659">
            <v>1800026</v>
          </cell>
          <cell r="H659">
            <v>9000</v>
          </cell>
          <cell r="K659">
            <v>0</v>
          </cell>
          <cell r="L659">
            <v>0</v>
          </cell>
          <cell r="M659">
            <v>-5546.96</v>
          </cell>
          <cell r="N659">
            <v>0</v>
          </cell>
          <cell r="O659">
            <v>0</v>
          </cell>
          <cell r="P659">
            <v>0</v>
          </cell>
          <cell r="Q659">
            <v>0</v>
          </cell>
          <cell r="R659">
            <v>0</v>
          </cell>
          <cell r="S659">
            <v>0</v>
          </cell>
          <cell r="T659">
            <v>0</v>
          </cell>
          <cell r="U659">
            <v>0</v>
          </cell>
          <cell r="V659">
            <v>-1381.22</v>
          </cell>
          <cell r="W659">
            <v>0</v>
          </cell>
          <cell r="X659">
            <v>0</v>
          </cell>
          <cell r="Y659">
            <v>0</v>
          </cell>
          <cell r="Z659">
            <v>0</v>
          </cell>
          <cell r="AA659">
            <v>0</v>
          </cell>
          <cell r="AB659">
            <v>0</v>
          </cell>
          <cell r="AC659">
            <v>0</v>
          </cell>
          <cell r="AD659">
            <v>0</v>
          </cell>
          <cell r="AE659">
            <v>0</v>
          </cell>
          <cell r="AF659">
            <v>0</v>
          </cell>
        </row>
        <row r="660">
          <cell r="A660">
            <v>1800026</v>
          </cell>
          <cell r="H660">
            <v>9000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row>
        <row r="661">
          <cell r="A661">
            <v>1800027</v>
          </cell>
          <cell r="B661" t="str">
            <v>1800027</v>
          </cell>
          <cell r="G661" t="str">
            <v>RAM</v>
          </cell>
          <cell r="H661">
            <v>9600</v>
          </cell>
          <cell r="K661">
            <v>0</v>
          </cell>
          <cell r="L661">
            <v>0</v>
          </cell>
          <cell r="M661">
            <v>-9600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row>
        <row r="662">
          <cell r="A662">
            <v>1800027</v>
          </cell>
          <cell r="H662">
            <v>9600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row>
        <row r="663">
          <cell r="A663">
            <v>1800027</v>
          </cell>
          <cell r="H663">
            <v>9600</v>
          </cell>
          <cell r="K663">
            <v>0</v>
          </cell>
          <cell r="L663">
            <v>0</v>
          </cell>
          <cell r="M663">
            <v>-9600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row>
        <row r="664">
          <cell r="A664">
            <v>1800027</v>
          </cell>
          <cell r="H664">
            <v>9600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row>
        <row r="665">
          <cell r="A665">
            <v>1800028</v>
          </cell>
          <cell r="B665" t="str">
            <v>1800028</v>
          </cell>
          <cell r="G665" t="str">
            <v>RAM</v>
          </cell>
          <cell r="H665">
            <v>21300</v>
          </cell>
          <cell r="K665">
            <v>0</v>
          </cell>
          <cell r="L665">
            <v>0</v>
          </cell>
          <cell r="M665">
            <v>-6932.71</v>
          </cell>
          <cell r="N665">
            <v>0</v>
          </cell>
          <cell r="O665">
            <v>0</v>
          </cell>
          <cell r="P665">
            <v>0</v>
          </cell>
          <cell r="Q665">
            <v>0</v>
          </cell>
          <cell r="R665">
            <v>0</v>
          </cell>
          <cell r="S665">
            <v>0</v>
          </cell>
          <cell r="T665">
            <v>0</v>
          </cell>
          <cell r="U665">
            <v>0</v>
          </cell>
          <cell r="V665">
            <v>-5746.92</v>
          </cell>
          <cell r="W665">
            <v>0</v>
          </cell>
          <cell r="X665">
            <v>0</v>
          </cell>
          <cell r="Y665">
            <v>0</v>
          </cell>
          <cell r="Z665">
            <v>0</v>
          </cell>
          <cell r="AA665">
            <v>0</v>
          </cell>
          <cell r="AB665">
            <v>0</v>
          </cell>
          <cell r="AC665">
            <v>0</v>
          </cell>
          <cell r="AD665">
            <v>0</v>
          </cell>
          <cell r="AE665">
            <v>0</v>
          </cell>
          <cell r="AF665">
            <v>0</v>
          </cell>
        </row>
        <row r="666">
          <cell r="A666">
            <v>1800028</v>
          </cell>
          <cell r="H666">
            <v>21300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row>
        <row r="667">
          <cell r="A667">
            <v>1800028</v>
          </cell>
          <cell r="H667">
            <v>21300</v>
          </cell>
          <cell r="K667">
            <v>0</v>
          </cell>
          <cell r="L667">
            <v>0</v>
          </cell>
          <cell r="M667">
            <v>-12679.63</v>
          </cell>
          <cell r="N667">
            <v>0</v>
          </cell>
          <cell r="O667">
            <v>0</v>
          </cell>
          <cell r="P667">
            <v>0</v>
          </cell>
          <cell r="Q667">
            <v>0</v>
          </cell>
          <cell r="R667">
            <v>0</v>
          </cell>
          <cell r="S667">
            <v>0</v>
          </cell>
          <cell r="T667">
            <v>0</v>
          </cell>
          <cell r="U667">
            <v>0</v>
          </cell>
          <cell r="V667">
            <v>-3448.15</v>
          </cell>
          <cell r="W667">
            <v>0</v>
          </cell>
          <cell r="X667">
            <v>0</v>
          </cell>
          <cell r="Y667">
            <v>0</v>
          </cell>
          <cell r="Z667">
            <v>0</v>
          </cell>
          <cell r="AA667">
            <v>0</v>
          </cell>
          <cell r="AB667">
            <v>0</v>
          </cell>
          <cell r="AC667">
            <v>0</v>
          </cell>
          <cell r="AD667">
            <v>0</v>
          </cell>
          <cell r="AE667">
            <v>0</v>
          </cell>
          <cell r="AF667">
            <v>0</v>
          </cell>
        </row>
        <row r="668">
          <cell r="A668">
            <v>1800028</v>
          </cell>
          <cell r="H668">
            <v>21300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row>
        <row r="669">
          <cell r="A669">
            <v>1800029</v>
          </cell>
          <cell r="B669" t="str">
            <v>1800029</v>
          </cell>
          <cell r="G669" t="str">
            <v>UPS - Ahmedabad</v>
          </cell>
          <cell r="H669">
            <v>19000</v>
          </cell>
          <cell r="K669">
            <v>0</v>
          </cell>
          <cell r="L669">
            <v>0</v>
          </cell>
          <cell r="M669">
            <v>-14896</v>
          </cell>
          <cell r="N669">
            <v>0</v>
          </cell>
          <cell r="O669">
            <v>0</v>
          </cell>
          <cell r="P669">
            <v>0</v>
          </cell>
          <cell r="Q669">
            <v>0</v>
          </cell>
          <cell r="R669">
            <v>0</v>
          </cell>
          <cell r="S669">
            <v>0</v>
          </cell>
          <cell r="T669">
            <v>0</v>
          </cell>
          <cell r="U669">
            <v>0</v>
          </cell>
          <cell r="V669">
            <v>-4607.5200000000004</v>
          </cell>
          <cell r="W669">
            <v>0</v>
          </cell>
          <cell r="X669">
            <v>0</v>
          </cell>
          <cell r="Y669">
            <v>0</v>
          </cell>
          <cell r="Z669">
            <v>0</v>
          </cell>
          <cell r="AA669">
            <v>0</v>
          </cell>
          <cell r="AB669">
            <v>13600</v>
          </cell>
          <cell r="AC669">
            <v>0</v>
          </cell>
          <cell r="AD669">
            <v>0</v>
          </cell>
          <cell r="AE669">
            <v>0</v>
          </cell>
          <cell r="AF669">
            <v>0</v>
          </cell>
        </row>
        <row r="670">
          <cell r="A670">
            <v>1800029</v>
          </cell>
          <cell r="H670">
            <v>19000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13600</v>
          </cell>
          <cell r="AC670">
            <v>0</v>
          </cell>
          <cell r="AD670">
            <v>0</v>
          </cell>
          <cell r="AE670">
            <v>0</v>
          </cell>
          <cell r="AF670">
            <v>0</v>
          </cell>
        </row>
        <row r="671">
          <cell r="A671">
            <v>1800029</v>
          </cell>
          <cell r="H671">
            <v>32600</v>
          </cell>
          <cell r="K671">
            <v>0</v>
          </cell>
          <cell r="L671">
            <v>0</v>
          </cell>
          <cell r="M671">
            <v>-19503.52</v>
          </cell>
          <cell r="N671">
            <v>0</v>
          </cell>
          <cell r="O671">
            <v>0</v>
          </cell>
          <cell r="P671">
            <v>0</v>
          </cell>
          <cell r="Q671">
            <v>0</v>
          </cell>
          <cell r="R671">
            <v>0</v>
          </cell>
          <cell r="S671">
            <v>0</v>
          </cell>
          <cell r="T671">
            <v>0</v>
          </cell>
          <cell r="U671">
            <v>0</v>
          </cell>
          <cell r="V671">
            <v>-5238.59</v>
          </cell>
          <cell r="W671">
            <v>0</v>
          </cell>
          <cell r="X671">
            <v>0</v>
          </cell>
          <cell r="Y671">
            <v>0</v>
          </cell>
          <cell r="Z671">
            <v>0</v>
          </cell>
          <cell r="AA671">
            <v>0</v>
          </cell>
          <cell r="AB671">
            <v>0</v>
          </cell>
          <cell r="AC671">
            <v>0</v>
          </cell>
          <cell r="AD671">
            <v>0</v>
          </cell>
          <cell r="AE671">
            <v>0</v>
          </cell>
          <cell r="AF671">
            <v>0</v>
          </cell>
        </row>
        <row r="672">
          <cell r="A672">
            <v>1800029</v>
          </cell>
          <cell r="H672">
            <v>32600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row>
        <row r="673">
          <cell r="A673">
            <v>1800030</v>
          </cell>
          <cell r="B673" t="str">
            <v>1800030</v>
          </cell>
          <cell r="G673" t="str">
            <v>UPS - Ahmedabad</v>
          </cell>
          <cell r="H673">
            <v>3500</v>
          </cell>
          <cell r="K673">
            <v>0</v>
          </cell>
          <cell r="L673">
            <v>0</v>
          </cell>
          <cell r="M673">
            <v>-3500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row>
        <row r="674">
          <cell r="A674">
            <v>1800030</v>
          </cell>
          <cell r="H674">
            <v>3500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row>
        <row r="675">
          <cell r="A675">
            <v>1800030</v>
          </cell>
          <cell r="H675">
            <v>3500</v>
          </cell>
          <cell r="K675">
            <v>0</v>
          </cell>
          <cell r="L675">
            <v>0</v>
          </cell>
          <cell r="M675">
            <v>-3500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row>
        <row r="676">
          <cell r="A676">
            <v>1800030</v>
          </cell>
          <cell r="H676">
            <v>3500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row>
        <row r="677">
          <cell r="A677">
            <v>1800031</v>
          </cell>
          <cell r="B677" t="str">
            <v>1800031</v>
          </cell>
          <cell r="G677" t="str">
            <v>BATTERY - BARODA</v>
          </cell>
          <cell r="H677">
            <v>46000</v>
          </cell>
          <cell r="K677">
            <v>0</v>
          </cell>
          <cell r="L677">
            <v>0</v>
          </cell>
          <cell r="M677">
            <v>-27443.73</v>
          </cell>
          <cell r="N677">
            <v>0</v>
          </cell>
          <cell r="O677">
            <v>0</v>
          </cell>
          <cell r="P677">
            <v>0</v>
          </cell>
          <cell r="Q677">
            <v>0</v>
          </cell>
          <cell r="R677">
            <v>0</v>
          </cell>
          <cell r="S677">
            <v>0</v>
          </cell>
          <cell r="T677">
            <v>0</v>
          </cell>
          <cell r="U677">
            <v>0</v>
          </cell>
          <cell r="V677">
            <v>-7422.51</v>
          </cell>
          <cell r="W677">
            <v>0</v>
          </cell>
          <cell r="X677">
            <v>0</v>
          </cell>
          <cell r="Y677">
            <v>0</v>
          </cell>
          <cell r="Z677">
            <v>0</v>
          </cell>
          <cell r="AA677">
            <v>0</v>
          </cell>
          <cell r="AB677">
            <v>0</v>
          </cell>
          <cell r="AC677">
            <v>0</v>
          </cell>
          <cell r="AD677">
            <v>0</v>
          </cell>
          <cell r="AE677">
            <v>0</v>
          </cell>
          <cell r="AF677">
            <v>0</v>
          </cell>
        </row>
        <row r="678">
          <cell r="A678">
            <v>1800031</v>
          </cell>
          <cell r="H678">
            <v>46000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row>
        <row r="679">
          <cell r="A679">
            <v>1800031</v>
          </cell>
          <cell r="H679">
            <v>46000</v>
          </cell>
          <cell r="K679">
            <v>0</v>
          </cell>
          <cell r="L679">
            <v>0</v>
          </cell>
          <cell r="M679">
            <v>-34866.239999999998</v>
          </cell>
          <cell r="N679">
            <v>0</v>
          </cell>
          <cell r="O679">
            <v>0</v>
          </cell>
          <cell r="P679">
            <v>0</v>
          </cell>
          <cell r="Q679">
            <v>0</v>
          </cell>
          <cell r="R679">
            <v>0</v>
          </cell>
          <cell r="S679">
            <v>0</v>
          </cell>
          <cell r="T679">
            <v>0</v>
          </cell>
          <cell r="U679">
            <v>0</v>
          </cell>
          <cell r="V679">
            <v>-4453.5</v>
          </cell>
          <cell r="W679">
            <v>0</v>
          </cell>
          <cell r="X679">
            <v>0</v>
          </cell>
          <cell r="Y679">
            <v>0</v>
          </cell>
          <cell r="Z679">
            <v>0</v>
          </cell>
          <cell r="AA679">
            <v>0</v>
          </cell>
          <cell r="AB679">
            <v>0</v>
          </cell>
          <cell r="AC679">
            <v>0</v>
          </cell>
          <cell r="AD679">
            <v>0</v>
          </cell>
          <cell r="AE679">
            <v>0</v>
          </cell>
          <cell r="AF679">
            <v>0</v>
          </cell>
        </row>
        <row r="680">
          <cell r="A680">
            <v>1800031</v>
          </cell>
          <cell r="H680">
            <v>46000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row>
        <row r="681">
          <cell r="A681">
            <v>1800032</v>
          </cell>
          <cell r="B681" t="str">
            <v>1800032</v>
          </cell>
          <cell r="G681" t="str">
            <v>UPS - AHMEDABAD</v>
          </cell>
          <cell r="H681">
            <v>8650</v>
          </cell>
          <cell r="K681">
            <v>0</v>
          </cell>
          <cell r="L681">
            <v>0</v>
          </cell>
          <cell r="M681">
            <v>-3801.26</v>
          </cell>
          <cell r="N681">
            <v>0</v>
          </cell>
          <cell r="O681">
            <v>0</v>
          </cell>
          <cell r="P681">
            <v>0</v>
          </cell>
          <cell r="Q681">
            <v>0</v>
          </cell>
          <cell r="R681">
            <v>0</v>
          </cell>
          <cell r="S681">
            <v>0</v>
          </cell>
          <cell r="T681">
            <v>0</v>
          </cell>
          <cell r="U681">
            <v>0</v>
          </cell>
          <cell r="V681">
            <v>-1939.5</v>
          </cell>
          <cell r="W681">
            <v>0</v>
          </cell>
          <cell r="X681">
            <v>0</v>
          </cell>
          <cell r="Y681">
            <v>0</v>
          </cell>
          <cell r="Z681">
            <v>0</v>
          </cell>
          <cell r="AA681">
            <v>0</v>
          </cell>
          <cell r="AB681">
            <v>0</v>
          </cell>
          <cell r="AC681">
            <v>0</v>
          </cell>
          <cell r="AD681">
            <v>0</v>
          </cell>
          <cell r="AE681">
            <v>0</v>
          </cell>
          <cell r="AF681">
            <v>0</v>
          </cell>
        </row>
        <row r="682">
          <cell r="A682">
            <v>1800032</v>
          </cell>
          <cell r="H682">
            <v>8650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row>
        <row r="683">
          <cell r="A683">
            <v>1800032</v>
          </cell>
          <cell r="H683">
            <v>8650</v>
          </cell>
          <cell r="K683">
            <v>0</v>
          </cell>
          <cell r="L683">
            <v>0</v>
          </cell>
          <cell r="M683">
            <v>-5740.76</v>
          </cell>
          <cell r="N683">
            <v>0</v>
          </cell>
          <cell r="O683">
            <v>0</v>
          </cell>
          <cell r="P683">
            <v>0</v>
          </cell>
          <cell r="Q683">
            <v>0</v>
          </cell>
          <cell r="R683">
            <v>0</v>
          </cell>
          <cell r="S683">
            <v>0</v>
          </cell>
          <cell r="T683">
            <v>0</v>
          </cell>
          <cell r="U683">
            <v>0</v>
          </cell>
          <cell r="V683">
            <v>-1163.7</v>
          </cell>
          <cell r="W683">
            <v>0</v>
          </cell>
          <cell r="X683">
            <v>0</v>
          </cell>
          <cell r="Y683">
            <v>0</v>
          </cell>
          <cell r="Z683">
            <v>0</v>
          </cell>
          <cell r="AA683">
            <v>0</v>
          </cell>
          <cell r="AB683">
            <v>0</v>
          </cell>
          <cell r="AC683">
            <v>0</v>
          </cell>
          <cell r="AD683">
            <v>0</v>
          </cell>
          <cell r="AE683">
            <v>0</v>
          </cell>
          <cell r="AF683">
            <v>0</v>
          </cell>
        </row>
        <row r="684">
          <cell r="A684">
            <v>1800032</v>
          </cell>
          <cell r="H684">
            <v>8650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row>
        <row r="685">
          <cell r="A685">
            <v>1800033</v>
          </cell>
          <cell r="B685" t="str">
            <v>1800033</v>
          </cell>
          <cell r="G685" t="str">
            <v>USB STORAGE DEVISE</v>
          </cell>
          <cell r="H685">
            <v>9500</v>
          </cell>
          <cell r="K685">
            <v>0</v>
          </cell>
          <cell r="L685">
            <v>0</v>
          </cell>
          <cell r="M685">
            <v>-9500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row>
        <row r="686">
          <cell r="A686">
            <v>1800033</v>
          </cell>
          <cell r="H686">
            <v>9500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row>
        <row r="687">
          <cell r="A687">
            <v>1800033</v>
          </cell>
          <cell r="H687">
            <v>9500</v>
          </cell>
          <cell r="K687">
            <v>0</v>
          </cell>
          <cell r="L687">
            <v>0</v>
          </cell>
          <cell r="M687">
            <v>-9500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row>
        <row r="688">
          <cell r="A688">
            <v>1800033</v>
          </cell>
          <cell r="H688">
            <v>9500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row>
        <row r="689">
          <cell r="A689">
            <v>1800034</v>
          </cell>
          <cell r="B689" t="str">
            <v>1800034</v>
          </cell>
          <cell r="G689" t="str">
            <v>PRINTER -AHMEDABD</v>
          </cell>
          <cell r="H689">
            <v>9500</v>
          </cell>
          <cell r="K689">
            <v>0</v>
          </cell>
          <cell r="L689">
            <v>0</v>
          </cell>
          <cell r="M689">
            <v>-374.79</v>
          </cell>
          <cell r="N689">
            <v>0</v>
          </cell>
          <cell r="O689">
            <v>0</v>
          </cell>
          <cell r="P689">
            <v>0</v>
          </cell>
          <cell r="Q689">
            <v>0</v>
          </cell>
          <cell r="R689">
            <v>0</v>
          </cell>
          <cell r="S689">
            <v>0</v>
          </cell>
          <cell r="T689">
            <v>0</v>
          </cell>
          <cell r="U689">
            <v>0</v>
          </cell>
          <cell r="V689">
            <v>-3650.08</v>
          </cell>
          <cell r="W689">
            <v>0</v>
          </cell>
          <cell r="X689">
            <v>0</v>
          </cell>
          <cell r="Y689">
            <v>0</v>
          </cell>
          <cell r="Z689">
            <v>0</v>
          </cell>
          <cell r="AA689">
            <v>0</v>
          </cell>
          <cell r="AB689">
            <v>0</v>
          </cell>
          <cell r="AC689">
            <v>0</v>
          </cell>
          <cell r="AD689">
            <v>0</v>
          </cell>
          <cell r="AE689">
            <v>0</v>
          </cell>
          <cell r="AF689">
            <v>0</v>
          </cell>
        </row>
        <row r="690">
          <cell r="A690">
            <v>1800034</v>
          </cell>
          <cell r="H690">
            <v>9500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row>
        <row r="691">
          <cell r="A691">
            <v>1800034</v>
          </cell>
          <cell r="H691">
            <v>9500</v>
          </cell>
          <cell r="K691">
            <v>0</v>
          </cell>
          <cell r="L691">
            <v>0</v>
          </cell>
          <cell r="M691">
            <v>-4024.87</v>
          </cell>
          <cell r="N691">
            <v>0</v>
          </cell>
          <cell r="O691">
            <v>0</v>
          </cell>
          <cell r="P691">
            <v>0</v>
          </cell>
          <cell r="Q691">
            <v>0</v>
          </cell>
          <cell r="R691">
            <v>0</v>
          </cell>
          <cell r="S691">
            <v>0</v>
          </cell>
          <cell r="T691">
            <v>0</v>
          </cell>
          <cell r="U691">
            <v>0</v>
          </cell>
          <cell r="V691">
            <v>-2190.0500000000002</v>
          </cell>
          <cell r="W691">
            <v>0</v>
          </cell>
          <cell r="X691">
            <v>0</v>
          </cell>
          <cell r="Y691">
            <v>0</v>
          </cell>
          <cell r="Z691">
            <v>0</v>
          </cell>
          <cell r="AA691">
            <v>0</v>
          </cell>
          <cell r="AB691">
            <v>0</v>
          </cell>
          <cell r="AC691">
            <v>0</v>
          </cell>
          <cell r="AD691">
            <v>0</v>
          </cell>
          <cell r="AE691">
            <v>0</v>
          </cell>
          <cell r="AF691">
            <v>0</v>
          </cell>
        </row>
        <row r="692">
          <cell r="A692">
            <v>1800034</v>
          </cell>
          <cell r="H692">
            <v>9500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row>
        <row r="693">
          <cell r="A693">
            <v>1800035</v>
          </cell>
          <cell r="B693" t="str">
            <v>1800035</v>
          </cell>
          <cell r="G693" t="str">
            <v>LAPTOP -VAPI</v>
          </cell>
          <cell r="H693">
            <v>35880</v>
          </cell>
          <cell r="K693">
            <v>0</v>
          </cell>
          <cell r="L693">
            <v>0</v>
          </cell>
          <cell r="M693">
            <v>-1651.46</v>
          </cell>
          <cell r="N693">
            <v>0</v>
          </cell>
          <cell r="O693">
            <v>0</v>
          </cell>
          <cell r="P693">
            <v>0</v>
          </cell>
          <cell r="Q693">
            <v>0</v>
          </cell>
          <cell r="R693">
            <v>0</v>
          </cell>
          <cell r="S693">
            <v>0</v>
          </cell>
          <cell r="T693">
            <v>0</v>
          </cell>
          <cell r="U693">
            <v>0</v>
          </cell>
          <cell r="V693">
            <v>-13691.42</v>
          </cell>
          <cell r="W693">
            <v>0</v>
          </cell>
          <cell r="X693">
            <v>0</v>
          </cell>
          <cell r="Y693">
            <v>0</v>
          </cell>
          <cell r="Z693">
            <v>0</v>
          </cell>
          <cell r="AA693">
            <v>0</v>
          </cell>
          <cell r="AB693">
            <v>0</v>
          </cell>
          <cell r="AC693">
            <v>0</v>
          </cell>
          <cell r="AD693">
            <v>0</v>
          </cell>
          <cell r="AE693">
            <v>0</v>
          </cell>
          <cell r="AF693">
            <v>0</v>
          </cell>
        </row>
        <row r="694">
          <cell r="A694">
            <v>1800035</v>
          </cell>
          <cell r="H694">
            <v>35880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row>
        <row r="695">
          <cell r="A695">
            <v>1800035</v>
          </cell>
          <cell r="H695">
            <v>35880</v>
          </cell>
          <cell r="K695">
            <v>0</v>
          </cell>
          <cell r="L695">
            <v>0</v>
          </cell>
          <cell r="M695">
            <v>-15342.88</v>
          </cell>
          <cell r="N695">
            <v>0</v>
          </cell>
          <cell r="O695">
            <v>0</v>
          </cell>
          <cell r="P695">
            <v>0</v>
          </cell>
          <cell r="Q695">
            <v>0</v>
          </cell>
          <cell r="R695">
            <v>0</v>
          </cell>
          <cell r="S695">
            <v>0</v>
          </cell>
          <cell r="T695">
            <v>0</v>
          </cell>
          <cell r="U695">
            <v>0</v>
          </cell>
          <cell r="V695">
            <v>-8214.85</v>
          </cell>
          <cell r="W695">
            <v>0</v>
          </cell>
          <cell r="X695">
            <v>0</v>
          </cell>
          <cell r="Y695">
            <v>0</v>
          </cell>
          <cell r="Z695">
            <v>0</v>
          </cell>
          <cell r="AA695">
            <v>0</v>
          </cell>
          <cell r="AB695">
            <v>0</v>
          </cell>
          <cell r="AC695">
            <v>0</v>
          </cell>
          <cell r="AD695">
            <v>0</v>
          </cell>
          <cell r="AE695">
            <v>0</v>
          </cell>
          <cell r="AF695">
            <v>0</v>
          </cell>
        </row>
        <row r="696">
          <cell r="A696">
            <v>1800035</v>
          </cell>
          <cell r="H696">
            <v>35880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row>
        <row r="697">
          <cell r="A697">
            <v>1800036</v>
          </cell>
          <cell r="B697" t="str">
            <v>1800036</v>
          </cell>
          <cell r="G697" t="str">
            <v>COMPUTER -SERVER</v>
          </cell>
          <cell r="H697">
            <v>18100</v>
          </cell>
          <cell r="K697">
            <v>0</v>
          </cell>
          <cell r="L697">
            <v>0</v>
          </cell>
          <cell r="M697">
            <v>-416.55</v>
          </cell>
          <cell r="N697">
            <v>0</v>
          </cell>
          <cell r="O697">
            <v>0</v>
          </cell>
          <cell r="P697">
            <v>0</v>
          </cell>
          <cell r="Q697">
            <v>0</v>
          </cell>
          <cell r="R697">
            <v>0</v>
          </cell>
          <cell r="S697">
            <v>0</v>
          </cell>
          <cell r="T697">
            <v>0</v>
          </cell>
          <cell r="U697">
            <v>0</v>
          </cell>
          <cell r="V697">
            <v>-7073.38</v>
          </cell>
          <cell r="W697">
            <v>0</v>
          </cell>
          <cell r="X697">
            <v>0</v>
          </cell>
          <cell r="Y697">
            <v>0</v>
          </cell>
          <cell r="Z697">
            <v>0</v>
          </cell>
          <cell r="AA697">
            <v>0</v>
          </cell>
          <cell r="AB697">
            <v>0</v>
          </cell>
          <cell r="AC697">
            <v>0</v>
          </cell>
          <cell r="AD697">
            <v>0</v>
          </cell>
          <cell r="AE697">
            <v>0</v>
          </cell>
          <cell r="AF697">
            <v>0</v>
          </cell>
        </row>
        <row r="698">
          <cell r="A698">
            <v>1800036</v>
          </cell>
          <cell r="H698">
            <v>18100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row>
        <row r="699">
          <cell r="A699">
            <v>1800036</v>
          </cell>
          <cell r="H699">
            <v>18100</v>
          </cell>
          <cell r="K699">
            <v>0</v>
          </cell>
          <cell r="L699">
            <v>0</v>
          </cell>
          <cell r="M699">
            <v>-7489.93</v>
          </cell>
          <cell r="N699">
            <v>0</v>
          </cell>
          <cell r="O699">
            <v>0</v>
          </cell>
          <cell r="P699">
            <v>0</v>
          </cell>
          <cell r="Q699">
            <v>0</v>
          </cell>
          <cell r="R699">
            <v>0</v>
          </cell>
          <cell r="S699">
            <v>0</v>
          </cell>
          <cell r="T699">
            <v>0</v>
          </cell>
          <cell r="U699">
            <v>0</v>
          </cell>
          <cell r="V699">
            <v>-4244.03</v>
          </cell>
          <cell r="W699">
            <v>0</v>
          </cell>
          <cell r="X699">
            <v>0</v>
          </cell>
          <cell r="Y699">
            <v>0</v>
          </cell>
          <cell r="Z699">
            <v>0</v>
          </cell>
          <cell r="AA699">
            <v>0</v>
          </cell>
          <cell r="AB699">
            <v>0</v>
          </cell>
          <cell r="AC699">
            <v>0</v>
          </cell>
          <cell r="AD699">
            <v>0</v>
          </cell>
          <cell r="AE699">
            <v>0</v>
          </cell>
          <cell r="AF699">
            <v>0</v>
          </cell>
        </row>
        <row r="700">
          <cell r="A700">
            <v>1800036</v>
          </cell>
          <cell r="H700">
            <v>18100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row>
        <row r="701">
          <cell r="A701">
            <v>1800037</v>
          </cell>
          <cell r="B701" t="str">
            <v>1800037</v>
          </cell>
          <cell r="G701" t="str">
            <v>COMPUTER - BARODA</v>
          </cell>
          <cell r="H701">
            <v>12575</v>
          </cell>
          <cell r="K701">
            <v>0</v>
          </cell>
          <cell r="L701">
            <v>0</v>
          </cell>
          <cell r="M701">
            <v>-551.23</v>
          </cell>
          <cell r="N701">
            <v>0</v>
          </cell>
          <cell r="O701">
            <v>0</v>
          </cell>
          <cell r="P701">
            <v>0</v>
          </cell>
          <cell r="Q701">
            <v>0</v>
          </cell>
          <cell r="R701">
            <v>0</v>
          </cell>
          <cell r="S701">
            <v>0</v>
          </cell>
          <cell r="T701">
            <v>0</v>
          </cell>
          <cell r="U701">
            <v>0</v>
          </cell>
          <cell r="V701">
            <v>-4809.51</v>
          </cell>
          <cell r="W701">
            <v>0</v>
          </cell>
          <cell r="X701">
            <v>0</v>
          </cell>
          <cell r="Y701">
            <v>0</v>
          </cell>
          <cell r="Z701">
            <v>0</v>
          </cell>
          <cell r="AA701">
            <v>0</v>
          </cell>
          <cell r="AB701">
            <v>0</v>
          </cell>
          <cell r="AC701">
            <v>0</v>
          </cell>
          <cell r="AD701">
            <v>0</v>
          </cell>
          <cell r="AE701">
            <v>0</v>
          </cell>
          <cell r="AF701">
            <v>0</v>
          </cell>
        </row>
        <row r="702">
          <cell r="A702">
            <v>1800037</v>
          </cell>
          <cell r="H702">
            <v>12575</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row>
        <row r="703">
          <cell r="A703">
            <v>1800037</v>
          </cell>
          <cell r="H703">
            <v>12575</v>
          </cell>
          <cell r="K703">
            <v>0</v>
          </cell>
          <cell r="L703">
            <v>0</v>
          </cell>
          <cell r="M703">
            <v>-5360.74</v>
          </cell>
          <cell r="N703">
            <v>0</v>
          </cell>
          <cell r="O703">
            <v>0</v>
          </cell>
          <cell r="P703">
            <v>0</v>
          </cell>
          <cell r="Q703">
            <v>0</v>
          </cell>
          <cell r="R703">
            <v>0</v>
          </cell>
          <cell r="S703">
            <v>0</v>
          </cell>
          <cell r="T703">
            <v>0</v>
          </cell>
          <cell r="U703">
            <v>0</v>
          </cell>
          <cell r="V703">
            <v>-2885.7</v>
          </cell>
          <cell r="W703">
            <v>0</v>
          </cell>
          <cell r="X703">
            <v>0</v>
          </cell>
          <cell r="Y703">
            <v>0</v>
          </cell>
          <cell r="Z703">
            <v>0</v>
          </cell>
          <cell r="AA703">
            <v>0</v>
          </cell>
          <cell r="AB703">
            <v>0</v>
          </cell>
          <cell r="AC703">
            <v>0</v>
          </cell>
          <cell r="AD703">
            <v>0</v>
          </cell>
          <cell r="AE703">
            <v>0</v>
          </cell>
          <cell r="AF703">
            <v>0</v>
          </cell>
        </row>
        <row r="704">
          <cell r="A704">
            <v>1800037</v>
          </cell>
          <cell r="H704">
            <v>12575</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row>
        <row r="705">
          <cell r="A705">
            <v>1800038</v>
          </cell>
          <cell r="B705" t="str">
            <v>1800038</v>
          </cell>
          <cell r="G705" t="str">
            <v>PEN - DRIVE</v>
          </cell>
          <cell r="H705">
            <v>6400</v>
          </cell>
          <cell r="K705">
            <v>0</v>
          </cell>
          <cell r="L705">
            <v>0</v>
          </cell>
          <cell r="M705">
            <v>-133</v>
          </cell>
          <cell r="N705">
            <v>0</v>
          </cell>
          <cell r="O705">
            <v>0</v>
          </cell>
          <cell r="P705">
            <v>0</v>
          </cell>
          <cell r="Q705">
            <v>0</v>
          </cell>
          <cell r="R705">
            <v>0</v>
          </cell>
          <cell r="S705">
            <v>0</v>
          </cell>
          <cell r="T705">
            <v>0</v>
          </cell>
          <cell r="U705">
            <v>0</v>
          </cell>
          <cell r="V705">
            <v>-2506.8000000000002</v>
          </cell>
          <cell r="W705">
            <v>0</v>
          </cell>
          <cell r="X705">
            <v>0</v>
          </cell>
          <cell r="Y705">
            <v>0</v>
          </cell>
          <cell r="Z705">
            <v>0</v>
          </cell>
          <cell r="AA705">
            <v>0</v>
          </cell>
          <cell r="AB705">
            <v>0</v>
          </cell>
          <cell r="AC705">
            <v>0</v>
          </cell>
          <cell r="AD705">
            <v>0</v>
          </cell>
          <cell r="AE705">
            <v>0</v>
          </cell>
          <cell r="AF705">
            <v>0</v>
          </cell>
        </row>
        <row r="706">
          <cell r="A706">
            <v>1800038</v>
          </cell>
          <cell r="H706">
            <v>6400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row>
        <row r="707">
          <cell r="A707">
            <v>1800038</v>
          </cell>
          <cell r="H707">
            <v>6400</v>
          </cell>
          <cell r="K707">
            <v>0</v>
          </cell>
          <cell r="L707">
            <v>0</v>
          </cell>
          <cell r="M707">
            <v>-2639.8</v>
          </cell>
          <cell r="N707">
            <v>0</v>
          </cell>
          <cell r="O707">
            <v>0</v>
          </cell>
          <cell r="P707">
            <v>0</v>
          </cell>
          <cell r="Q707">
            <v>0</v>
          </cell>
          <cell r="R707">
            <v>0</v>
          </cell>
          <cell r="S707">
            <v>0</v>
          </cell>
          <cell r="T707">
            <v>0</v>
          </cell>
          <cell r="U707">
            <v>0</v>
          </cell>
          <cell r="V707">
            <v>-1504.08</v>
          </cell>
          <cell r="W707">
            <v>0</v>
          </cell>
          <cell r="X707">
            <v>0</v>
          </cell>
          <cell r="Y707">
            <v>0</v>
          </cell>
          <cell r="Z707">
            <v>0</v>
          </cell>
          <cell r="AA707">
            <v>0</v>
          </cell>
          <cell r="AB707">
            <v>0</v>
          </cell>
          <cell r="AC707">
            <v>0</v>
          </cell>
          <cell r="AD707">
            <v>0</v>
          </cell>
          <cell r="AE707">
            <v>0</v>
          </cell>
          <cell r="AF707">
            <v>0</v>
          </cell>
        </row>
        <row r="708">
          <cell r="A708">
            <v>1800038</v>
          </cell>
          <cell r="H708">
            <v>6400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row>
        <row r="709">
          <cell r="A709">
            <v>1800039</v>
          </cell>
          <cell r="B709" t="str">
            <v>1800039</v>
          </cell>
          <cell r="G709" t="str">
            <v>SEGATE HDD -BARODA</v>
          </cell>
          <cell r="H709">
            <v>11250</v>
          </cell>
          <cell r="K709">
            <v>0</v>
          </cell>
          <cell r="L709">
            <v>0</v>
          </cell>
          <cell r="M709">
            <v>-147.94999999999999</v>
          </cell>
          <cell r="N709">
            <v>0</v>
          </cell>
          <cell r="O709">
            <v>0</v>
          </cell>
          <cell r="P709">
            <v>0</v>
          </cell>
          <cell r="Q709">
            <v>0</v>
          </cell>
          <cell r="R709">
            <v>0</v>
          </cell>
          <cell r="S709">
            <v>0</v>
          </cell>
          <cell r="T709">
            <v>0</v>
          </cell>
          <cell r="U709">
            <v>0</v>
          </cell>
          <cell r="V709">
            <v>-4440.82</v>
          </cell>
          <cell r="W709">
            <v>0</v>
          </cell>
          <cell r="X709">
            <v>0</v>
          </cell>
          <cell r="Y709">
            <v>0</v>
          </cell>
          <cell r="Z709">
            <v>0</v>
          </cell>
          <cell r="AA709">
            <v>0</v>
          </cell>
          <cell r="AB709">
            <v>0</v>
          </cell>
          <cell r="AC709">
            <v>0</v>
          </cell>
          <cell r="AD709">
            <v>0</v>
          </cell>
          <cell r="AE709">
            <v>0</v>
          </cell>
          <cell r="AF709">
            <v>0</v>
          </cell>
        </row>
        <row r="710">
          <cell r="A710">
            <v>1800039</v>
          </cell>
          <cell r="H710">
            <v>11250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row>
        <row r="711">
          <cell r="A711">
            <v>1800039</v>
          </cell>
          <cell r="H711">
            <v>11250</v>
          </cell>
          <cell r="K711">
            <v>0</v>
          </cell>
          <cell r="L711">
            <v>0</v>
          </cell>
          <cell r="M711">
            <v>-4588.7700000000004</v>
          </cell>
          <cell r="N711">
            <v>0</v>
          </cell>
          <cell r="O711">
            <v>0</v>
          </cell>
          <cell r="P711">
            <v>0</v>
          </cell>
          <cell r="Q711">
            <v>0</v>
          </cell>
          <cell r="R711">
            <v>0</v>
          </cell>
          <cell r="S711">
            <v>0</v>
          </cell>
          <cell r="T711">
            <v>0</v>
          </cell>
          <cell r="U711">
            <v>0</v>
          </cell>
          <cell r="V711">
            <v>-2664.49</v>
          </cell>
          <cell r="W711">
            <v>0</v>
          </cell>
          <cell r="X711">
            <v>0</v>
          </cell>
          <cell r="Y711">
            <v>0</v>
          </cell>
          <cell r="Z711">
            <v>0</v>
          </cell>
          <cell r="AA711">
            <v>0</v>
          </cell>
          <cell r="AB711">
            <v>0</v>
          </cell>
          <cell r="AC711">
            <v>0</v>
          </cell>
          <cell r="AD711">
            <v>0</v>
          </cell>
          <cell r="AE711">
            <v>0</v>
          </cell>
          <cell r="AF711">
            <v>0</v>
          </cell>
        </row>
        <row r="712">
          <cell r="A712">
            <v>1800039</v>
          </cell>
          <cell r="H712">
            <v>11250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row>
        <row r="713">
          <cell r="A713">
            <v>1800040</v>
          </cell>
          <cell r="B713" t="str">
            <v>1800040</v>
          </cell>
          <cell r="G713" t="str">
            <v>MONITOR - LCD SILVER</v>
          </cell>
          <cell r="H713">
            <v>12700</v>
          </cell>
          <cell r="K713">
            <v>0</v>
          </cell>
          <cell r="L713">
            <v>0</v>
          </cell>
          <cell r="M713">
            <v>-389.7</v>
          </cell>
          <cell r="N713">
            <v>0</v>
          </cell>
          <cell r="O713">
            <v>0</v>
          </cell>
          <cell r="P713">
            <v>0</v>
          </cell>
          <cell r="Q713">
            <v>0</v>
          </cell>
          <cell r="R713">
            <v>0</v>
          </cell>
          <cell r="S713">
            <v>0</v>
          </cell>
          <cell r="T713">
            <v>0</v>
          </cell>
          <cell r="U713">
            <v>0</v>
          </cell>
          <cell r="V713">
            <v>-4924.12</v>
          </cell>
          <cell r="W713">
            <v>0</v>
          </cell>
          <cell r="X713">
            <v>0</v>
          </cell>
          <cell r="Y713">
            <v>0</v>
          </cell>
          <cell r="Z713">
            <v>0</v>
          </cell>
          <cell r="AA713">
            <v>0</v>
          </cell>
          <cell r="AB713">
            <v>0</v>
          </cell>
          <cell r="AC713">
            <v>0</v>
          </cell>
          <cell r="AD713">
            <v>0</v>
          </cell>
          <cell r="AE713">
            <v>0</v>
          </cell>
          <cell r="AF713">
            <v>0</v>
          </cell>
        </row>
        <row r="714">
          <cell r="A714">
            <v>1800040</v>
          </cell>
          <cell r="H714">
            <v>12700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row>
        <row r="715">
          <cell r="A715">
            <v>1800040</v>
          </cell>
          <cell r="H715">
            <v>12700</v>
          </cell>
          <cell r="K715">
            <v>0</v>
          </cell>
          <cell r="L715">
            <v>0</v>
          </cell>
          <cell r="M715">
            <v>-5313.82</v>
          </cell>
          <cell r="N715">
            <v>0</v>
          </cell>
          <cell r="O715">
            <v>0</v>
          </cell>
          <cell r="P715">
            <v>0</v>
          </cell>
          <cell r="Q715">
            <v>0</v>
          </cell>
          <cell r="R715">
            <v>0</v>
          </cell>
          <cell r="S715">
            <v>0</v>
          </cell>
          <cell r="T715">
            <v>0</v>
          </cell>
          <cell r="U715">
            <v>0</v>
          </cell>
          <cell r="V715">
            <v>-2954.47</v>
          </cell>
          <cell r="W715">
            <v>0</v>
          </cell>
          <cell r="X715">
            <v>0</v>
          </cell>
          <cell r="Y715">
            <v>0</v>
          </cell>
          <cell r="Z715">
            <v>0</v>
          </cell>
          <cell r="AA715">
            <v>0</v>
          </cell>
          <cell r="AB715">
            <v>0</v>
          </cell>
          <cell r="AC715">
            <v>0</v>
          </cell>
          <cell r="AD715">
            <v>0</v>
          </cell>
          <cell r="AE715">
            <v>0</v>
          </cell>
          <cell r="AF715">
            <v>0</v>
          </cell>
        </row>
        <row r="716">
          <cell r="A716">
            <v>1800040</v>
          </cell>
          <cell r="H716">
            <v>12700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row>
        <row r="717">
          <cell r="A717">
            <v>1800041</v>
          </cell>
          <cell r="B717" t="str">
            <v>1800041</v>
          </cell>
          <cell r="G717" t="str">
            <v>PHOTOSMART PRINTER</v>
          </cell>
          <cell r="H717">
            <v>6950</v>
          </cell>
          <cell r="K717">
            <v>0</v>
          </cell>
          <cell r="L717">
            <v>0</v>
          </cell>
          <cell r="M717">
            <v>-15</v>
          </cell>
          <cell r="N717">
            <v>0</v>
          </cell>
          <cell r="O717">
            <v>0</v>
          </cell>
          <cell r="P717">
            <v>0</v>
          </cell>
          <cell r="Q717">
            <v>0</v>
          </cell>
          <cell r="R717">
            <v>0</v>
          </cell>
          <cell r="S717">
            <v>0</v>
          </cell>
          <cell r="T717">
            <v>0</v>
          </cell>
          <cell r="U717">
            <v>0</v>
          </cell>
          <cell r="V717">
            <v>-2774</v>
          </cell>
          <cell r="W717">
            <v>0</v>
          </cell>
          <cell r="X717">
            <v>0</v>
          </cell>
          <cell r="Y717">
            <v>0</v>
          </cell>
          <cell r="Z717">
            <v>0</v>
          </cell>
          <cell r="AA717">
            <v>0</v>
          </cell>
          <cell r="AB717">
            <v>0</v>
          </cell>
          <cell r="AC717">
            <v>0</v>
          </cell>
          <cell r="AD717">
            <v>0</v>
          </cell>
          <cell r="AE717">
            <v>0</v>
          </cell>
          <cell r="AF717">
            <v>0</v>
          </cell>
        </row>
        <row r="718">
          <cell r="A718">
            <v>1800041</v>
          </cell>
          <cell r="H718">
            <v>6950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row>
        <row r="719">
          <cell r="A719">
            <v>1800041</v>
          </cell>
          <cell r="H719">
            <v>6950</v>
          </cell>
          <cell r="K719">
            <v>0</v>
          </cell>
          <cell r="L719">
            <v>0</v>
          </cell>
          <cell r="M719">
            <v>-2789</v>
          </cell>
          <cell r="N719">
            <v>0</v>
          </cell>
          <cell r="O719">
            <v>0</v>
          </cell>
          <cell r="P719">
            <v>0</v>
          </cell>
          <cell r="Q719">
            <v>0</v>
          </cell>
          <cell r="R719">
            <v>0</v>
          </cell>
          <cell r="S719">
            <v>0</v>
          </cell>
          <cell r="T719">
            <v>0</v>
          </cell>
          <cell r="U719">
            <v>0</v>
          </cell>
          <cell r="V719">
            <v>-1664.4</v>
          </cell>
          <cell r="W719">
            <v>0</v>
          </cell>
          <cell r="X719">
            <v>0</v>
          </cell>
          <cell r="Y719">
            <v>0</v>
          </cell>
          <cell r="Z719">
            <v>0</v>
          </cell>
          <cell r="AA719">
            <v>0</v>
          </cell>
          <cell r="AB719">
            <v>0</v>
          </cell>
          <cell r="AC719">
            <v>0</v>
          </cell>
          <cell r="AD719">
            <v>0</v>
          </cell>
          <cell r="AE719">
            <v>0</v>
          </cell>
          <cell r="AF719">
            <v>0</v>
          </cell>
        </row>
        <row r="720">
          <cell r="A720">
            <v>1800041</v>
          </cell>
          <cell r="H720">
            <v>6950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row>
        <row r="721">
          <cell r="A721">
            <v>1800042</v>
          </cell>
          <cell r="B721" t="str">
            <v>1800042</v>
          </cell>
          <cell r="G721" t="str">
            <v>LINUX VER. 7.3</v>
          </cell>
          <cell r="H721">
            <v>8300</v>
          </cell>
          <cell r="K721">
            <v>0</v>
          </cell>
          <cell r="L721">
            <v>0</v>
          </cell>
          <cell r="M721">
            <v>-5662.37</v>
          </cell>
          <cell r="N721">
            <v>0</v>
          </cell>
          <cell r="O721">
            <v>0</v>
          </cell>
          <cell r="P721">
            <v>0</v>
          </cell>
          <cell r="Q721">
            <v>0</v>
          </cell>
          <cell r="R721">
            <v>0</v>
          </cell>
          <cell r="S721">
            <v>0</v>
          </cell>
          <cell r="T721">
            <v>0</v>
          </cell>
          <cell r="U721">
            <v>0</v>
          </cell>
          <cell r="V721">
            <v>-1055.05</v>
          </cell>
          <cell r="W721">
            <v>0</v>
          </cell>
          <cell r="X721">
            <v>0</v>
          </cell>
          <cell r="Y721">
            <v>0</v>
          </cell>
          <cell r="Z721">
            <v>0</v>
          </cell>
          <cell r="AA721">
            <v>0</v>
          </cell>
          <cell r="AB721">
            <v>0</v>
          </cell>
          <cell r="AC721">
            <v>0</v>
          </cell>
          <cell r="AD721">
            <v>0</v>
          </cell>
          <cell r="AE721">
            <v>0</v>
          </cell>
          <cell r="AF721">
            <v>0</v>
          </cell>
        </row>
        <row r="722">
          <cell r="A722">
            <v>1800042</v>
          </cell>
          <cell r="H722">
            <v>8300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row>
        <row r="723">
          <cell r="A723">
            <v>1800042</v>
          </cell>
          <cell r="H723">
            <v>8300</v>
          </cell>
          <cell r="K723">
            <v>0</v>
          </cell>
          <cell r="L723">
            <v>0</v>
          </cell>
          <cell r="M723">
            <v>-6717.42</v>
          </cell>
          <cell r="N723">
            <v>0</v>
          </cell>
          <cell r="O723">
            <v>0</v>
          </cell>
          <cell r="P723">
            <v>0</v>
          </cell>
          <cell r="Q723">
            <v>0</v>
          </cell>
          <cell r="R723">
            <v>0</v>
          </cell>
          <cell r="S723">
            <v>0</v>
          </cell>
          <cell r="T723">
            <v>0</v>
          </cell>
          <cell r="U723">
            <v>0</v>
          </cell>
          <cell r="V723">
            <v>-633.03</v>
          </cell>
          <cell r="W723">
            <v>0</v>
          </cell>
          <cell r="X723">
            <v>0</v>
          </cell>
          <cell r="Y723">
            <v>0</v>
          </cell>
          <cell r="Z723">
            <v>0</v>
          </cell>
          <cell r="AA723">
            <v>0</v>
          </cell>
          <cell r="AB723">
            <v>0</v>
          </cell>
          <cell r="AC723">
            <v>0</v>
          </cell>
          <cell r="AD723">
            <v>0</v>
          </cell>
          <cell r="AE723">
            <v>0</v>
          </cell>
          <cell r="AF723">
            <v>0</v>
          </cell>
        </row>
        <row r="724">
          <cell r="A724">
            <v>1800042</v>
          </cell>
          <cell r="H724">
            <v>8300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row>
        <row r="725">
          <cell r="A725">
            <v>1800043</v>
          </cell>
          <cell r="B725" t="str">
            <v>1800043</v>
          </cell>
          <cell r="G725" t="str">
            <v>INTERSCAN VIRUS</v>
          </cell>
          <cell r="H725">
            <v>350700</v>
          </cell>
          <cell r="K725">
            <v>0</v>
          </cell>
          <cell r="L725">
            <v>0</v>
          </cell>
          <cell r="M725">
            <v>-235378.31</v>
          </cell>
          <cell r="N725">
            <v>0</v>
          </cell>
          <cell r="O725">
            <v>0</v>
          </cell>
          <cell r="P725">
            <v>0</v>
          </cell>
          <cell r="Q725">
            <v>0</v>
          </cell>
          <cell r="R725">
            <v>0</v>
          </cell>
          <cell r="S725">
            <v>0</v>
          </cell>
          <cell r="T725">
            <v>0</v>
          </cell>
          <cell r="U725">
            <v>0</v>
          </cell>
          <cell r="V725">
            <v>-46128.68</v>
          </cell>
          <cell r="W725">
            <v>0</v>
          </cell>
          <cell r="X725">
            <v>0</v>
          </cell>
          <cell r="Y725">
            <v>0</v>
          </cell>
          <cell r="Z725">
            <v>0</v>
          </cell>
          <cell r="AA725">
            <v>0</v>
          </cell>
          <cell r="AB725">
            <v>0</v>
          </cell>
          <cell r="AC725">
            <v>0</v>
          </cell>
          <cell r="AD725">
            <v>0</v>
          </cell>
          <cell r="AE725">
            <v>0</v>
          </cell>
          <cell r="AF725">
            <v>0</v>
          </cell>
        </row>
        <row r="726">
          <cell r="A726">
            <v>1800043</v>
          </cell>
          <cell r="H726">
            <v>350700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row>
        <row r="727">
          <cell r="A727">
            <v>1800043</v>
          </cell>
          <cell r="H727">
            <v>350700</v>
          </cell>
          <cell r="K727">
            <v>0</v>
          </cell>
          <cell r="L727">
            <v>0</v>
          </cell>
          <cell r="M727">
            <v>-281506.99</v>
          </cell>
          <cell r="N727">
            <v>0</v>
          </cell>
          <cell r="O727">
            <v>0</v>
          </cell>
          <cell r="P727">
            <v>0</v>
          </cell>
          <cell r="Q727">
            <v>0</v>
          </cell>
          <cell r="R727">
            <v>0</v>
          </cell>
          <cell r="S727">
            <v>0</v>
          </cell>
          <cell r="T727">
            <v>0</v>
          </cell>
          <cell r="U727">
            <v>0</v>
          </cell>
          <cell r="V727">
            <v>-27677.200000000001</v>
          </cell>
          <cell r="W727">
            <v>0</v>
          </cell>
          <cell r="X727">
            <v>0</v>
          </cell>
          <cell r="Y727">
            <v>0</v>
          </cell>
          <cell r="Z727">
            <v>0</v>
          </cell>
          <cell r="AA727">
            <v>0</v>
          </cell>
          <cell r="AB727">
            <v>0</v>
          </cell>
          <cell r="AC727">
            <v>0</v>
          </cell>
          <cell r="AD727">
            <v>0</v>
          </cell>
          <cell r="AE727">
            <v>0</v>
          </cell>
          <cell r="AF727">
            <v>0</v>
          </cell>
        </row>
        <row r="728">
          <cell r="A728">
            <v>1800043</v>
          </cell>
          <cell r="H728">
            <v>350700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row>
        <row r="729">
          <cell r="A729">
            <v>1800044</v>
          </cell>
          <cell r="B729" t="str">
            <v>1800044</v>
          </cell>
          <cell r="G729" t="str">
            <v>TALLY (TDS SOFTWARE)</v>
          </cell>
          <cell r="H729">
            <v>5940</v>
          </cell>
          <cell r="K729">
            <v>0</v>
          </cell>
          <cell r="L729">
            <v>0</v>
          </cell>
          <cell r="M729">
            <v>-3963.3</v>
          </cell>
          <cell r="N729">
            <v>0</v>
          </cell>
          <cell r="O729">
            <v>0</v>
          </cell>
          <cell r="P729">
            <v>0</v>
          </cell>
          <cell r="Q729">
            <v>0</v>
          </cell>
          <cell r="R729">
            <v>0</v>
          </cell>
          <cell r="S729">
            <v>0</v>
          </cell>
          <cell r="T729">
            <v>0</v>
          </cell>
          <cell r="U729">
            <v>0</v>
          </cell>
          <cell r="V729">
            <v>-790.68</v>
          </cell>
          <cell r="W729">
            <v>0</v>
          </cell>
          <cell r="X729">
            <v>0</v>
          </cell>
          <cell r="Y729">
            <v>0</v>
          </cell>
          <cell r="Z729">
            <v>0</v>
          </cell>
          <cell r="AA729">
            <v>0</v>
          </cell>
          <cell r="AB729">
            <v>0</v>
          </cell>
          <cell r="AC729">
            <v>0</v>
          </cell>
          <cell r="AD729">
            <v>0</v>
          </cell>
          <cell r="AE729">
            <v>0</v>
          </cell>
          <cell r="AF729">
            <v>0</v>
          </cell>
        </row>
        <row r="730">
          <cell r="A730">
            <v>1800044</v>
          </cell>
          <cell r="H730">
            <v>5940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row>
        <row r="731">
          <cell r="A731">
            <v>1800044</v>
          </cell>
          <cell r="H731">
            <v>5940</v>
          </cell>
          <cell r="K731">
            <v>0</v>
          </cell>
          <cell r="L731">
            <v>0</v>
          </cell>
          <cell r="M731">
            <v>-4753.9799999999996</v>
          </cell>
          <cell r="N731">
            <v>0</v>
          </cell>
          <cell r="O731">
            <v>0</v>
          </cell>
          <cell r="P731">
            <v>0</v>
          </cell>
          <cell r="Q731">
            <v>0</v>
          </cell>
          <cell r="R731">
            <v>0</v>
          </cell>
          <cell r="S731">
            <v>0</v>
          </cell>
          <cell r="T731">
            <v>0</v>
          </cell>
          <cell r="U731">
            <v>0</v>
          </cell>
          <cell r="V731">
            <v>-474.41</v>
          </cell>
          <cell r="W731">
            <v>0</v>
          </cell>
          <cell r="X731">
            <v>0</v>
          </cell>
          <cell r="Y731">
            <v>0</v>
          </cell>
          <cell r="Z731">
            <v>0</v>
          </cell>
          <cell r="AA731">
            <v>0</v>
          </cell>
          <cell r="AB731">
            <v>0</v>
          </cell>
          <cell r="AC731">
            <v>0</v>
          </cell>
          <cell r="AD731">
            <v>0</v>
          </cell>
          <cell r="AE731">
            <v>0</v>
          </cell>
          <cell r="AF731">
            <v>0</v>
          </cell>
        </row>
        <row r="732">
          <cell r="A732">
            <v>1800044</v>
          </cell>
          <cell r="H732">
            <v>5940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row>
        <row r="733">
          <cell r="A733">
            <v>1800045</v>
          </cell>
          <cell r="B733" t="str">
            <v>1800045</v>
          </cell>
          <cell r="G733" t="str">
            <v>TALLY</v>
          </cell>
          <cell r="H733">
            <v>19250</v>
          </cell>
          <cell r="K733">
            <v>0</v>
          </cell>
          <cell r="L733">
            <v>0</v>
          </cell>
          <cell r="M733">
            <v>-13914.85</v>
          </cell>
          <cell r="N733">
            <v>0</v>
          </cell>
          <cell r="O733">
            <v>0</v>
          </cell>
          <cell r="P733">
            <v>0</v>
          </cell>
          <cell r="Q733">
            <v>0</v>
          </cell>
          <cell r="R733">
            <v>0</v>
          </cell>
          <cell r="S733">
            <v>0</v>
          </cell>
          <cell r="T733">
            <v>0</v>
          </cell>
          <cell r="U733">
            <v>0</v>
          </cell>
          <cell r="V733">
            <v>-2134.06</v>
          </cell>
          <cell r="W733">
            <v>0</v>
          </cell>
          <cell r="X733">
            <v>0</v>
          </cell>
          <cell r="Y733">
            <v>0</v>
          </cell>
          <cell r="Z733">
            <v>0</v>
          </cell>
          <cell r="AA733">
            <v>0</v>
          </cell>
          <cell r="AB733">
            <v>0</v>
          </cell>
          <cell r="AC733">
            <v>0</v>
          </cell>
          <cell r="AD733">
            <v>0</v>
          </cell>
          <cell r="AE733">
            <v>0</v>
          </cell>
          <cell r="AF733">
            <v>0</v>
          </cell>
        </row>
        <row r="734">
          <cell r="A734">
            <v>1800045</v>
          </cell>
          <cell r="H734">
            <v>19250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row>
        <row r="735">
          <cell r="A735">
            <v>1800045</v>
          </cell>
          <cell r="H735">
            <v>19250</v>
          </cell>
          <cell r="K735">
            <v>0</v>
          </cell>
          <cell r="L735">
            <v>0</v>
          </cell>
          <cell r="M735">
            <v>-16048.91</v>
          </cell>
          <cell r="N735">
            <v>0</v>
          </cell>
          <cell r="O735">
            <v>0</v>
          </cell>
          <cell r="P735">
            <v>0</v>
          </cell>
          <cell r="Q735">
            <v>0</v>
          </cell>
          <cell r="R735">
            <v>0</v>
          </cell>
          <cell r="S735">
            <v>0</v>
          </cell>
          <cell r="T735">
            <v>0</v>
          </cell>
          <cell r="U735">
            <v>0</v>
          </cell>
          <cell r="V735">
            <v>-1280.44</v>
          </cell>
          <cell r="W735">
            <v>0</v>
          </cell>
          <cell r="X735">
            <v>0</v>
          </cell>
          <cell r="Y735">
            <v>0</v>
          </cell>
          <cell r="Z735">
            <v>0</v>
          </cell>
          <cell r="AA735">
            <v>0</v>
          </cell>
          <cell r="AB735">
            <v>0</v>
          </cell>
          <cell r="AC735">
            <v>0</v>
          </cell>
          <cell r="AD735">
            <v>0</v>
          </cell>
          <cell r="AE735">
            <v>0</v>
          </cell>
          <cell r="AF735">
            <v>0</v>
          </cell>
        </row>
        <row r="736">
          <cell r="A736">
            <v>1800045</v>
          </cell>
          <cell r="H736">
            <v>19250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row>
        <row r="737">
          <cell r="A737">
            <v>1800046</v>
          </cell>
          <cell r="B737" t="str">
            <v>1800046</v>
          </cell>
          <cell r="G737" t="str">
            <v>TALLY MULTIUSER</v>
          </cell>
          <cell r="H737">
            <v>30500</v>
          </cell>
          <cell r="K737">
            <v>0</v>
          </cell>
          <cell r="L737">
            <v>0</v>
          </cell>
          <cell r="M737">
            <v>-18898.3</v>
          </cell>
          <cell r="N737">
            <v>0</v>
          </cell>
          <cell r="O737">
            <v>0</v>
          </cell>
          <cell r="P737">
            <v>0</v>
          </cell>
          <cell r="Q737">
            <v>0</v>
          </cell>
          <cell r="R737">
            <v>0</v>
          </cell>
          <cell r="S737">
            <v>0</v>
          </cell>
          <cell r="T737">
            <v>0</v>
          </cell>
          <cell r="U737">
            <v>0</v>
          </cell>
          <cell r="V737">
            <v>-4640.68</v>
          </cell>
          <cell r="W737">
            <v>0</v>
          </cell>
          <cell r="X737">
            <v>0</v>
          </cell>
          <cell r="Y737">
            <v>0</v>
          </cell>
          <cell r="Z737">
            <v>0</v>
          </cell>
          <cell r="AA737">
            <v>0</v>
          </cell>
          <cell r="AB737">
            <v>0</v>
          </cell>
          <cell r="AC737">
            <v>0</v>
          </cell>
          <cell r="AD737">
            <v>0</v>
          </cell>
          <cell r="AE737">
            <v>0</v>
          </cell>
          <cell r="AF737">
            <v>0</v>
          </cell>
        </row>
        <row r="738">
          <cell r="A738">
            <v>1800046</v>
          </cell>
          <cell r="H738">
            <v>30500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row>
        <row r="739">
          <cell r="A739">
            <v>1800046</v>
          </cell>
          <cell r="H739">
            <v>30500</v>
          </cell>
          <cell r="K739">
            <v>0</v>
          </cell>
          <cell r="L739">
            <v>0</v>
          </cell>
          <cell r="M739">
            <v>-23538.98</v>
          </cell>
          <cell r="N739">
            <v>0</v>
          </cell>
          <cell r="O739">
            <v>0</v>
          </cell>
          <cell r="P739">
            <v>0</v>
          </cell>
          <cell r="Q739">
            <v>0</v>
          </cell>
          <cell r="R739">
            <v>0</v>
          </cell>
          <cell r="S739">
            <v>0</v>
          </cell>
          <cell r="T739">
            <v>0</v>
          </cell>
          <cell r="U739">
            <v>0</v>
          </cell>
          <cell r="V739">
            <v>-2784.41</v>
          </cell>
          <cell r="W739">
            <v>0</v>
          </cell>
          <cell r="X739">
            <v>0</v>
          </cell>
          <cell r="Y739">
            <v>0</v>
          </cell>
          <cell r="Z739">
            <v>0</v>
          </cell>
          <cell r="AA739">
            <v>0</v>
          </cell>
          <cell r="AB739">
            <v>0</v>
          </cell>
          <cell r="AC739">
            <v>0</v>
          </cell>
          <cell r="AD739">
            <v>0</v>
          </cell>
          <cell r="AE739">
            <v>0</v>
          </cell>
          <cell r="AF739">
            <v>0</v>
          </cell>
        </row>
        <row r="740">
          <cell r="A740">
            <v>1800046</v>
          </cell>
          <cell r="H740">
            <v>30500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row>
        <row r="741">
          <cell r="A741">
            <v>1800047</v>
          </cell>
          <cell r="B741" t="str">
            <v>1800047</v>
          </cell>
          <cell r="G741" t="str">
            <v>UPS - Surat</v>
          </cell>
          <cell r="H741">
            <v>22400</v>
          </cell>
          <cell r="K741">
            <v>0</v>
          </cell>
          <cell r="L741">
            <v>0</v>
          </cell>
          <cell r="M741">
            <v>-17562</v>
          </cell>
          <cell r="N741">
            <v>0</v>
          </cell>
          <cell r="O741">
            <v>0</v>
          </cell>
          <cell r="P741">
            <v>0</v>
          </cell>
          <cell r="Q741">
            <v>0</v>
          </cell>
          <cell r="R741">
            <v>0</v>
          </cell>
          <cell r="S741">
            <v>0</v>
          </cell>
          <cell r="T741">
            <v>0</v>
          </cell>
          <cell r="U741">
            <v>0</v>
          </cell>
          <cell r="V741">
            <v>-1935.2</v>
          </cell>
          <cell r="W741">
            <v>0</v>
          </cell>
          <cell r="X741">
            <v>0</v>
          </cell>
          <cell r="Y741">
            <v>0</v>
          </cell>
          <cell r="Z741">
            <v>0</v>
          </cell>
          <cell r="AA741">
            <v>0</v>
          </cell>
          <cell r="AB741">
            <v>0</v>
          </cell>
          <cell r="AC741">
            <v>0</v>
          </cell>
          <cell r="AD741">
            <v>0</v>
          </cell>
          <cell r="AE741">
            <v>0</v>
          </cell>
          <cell r="AF741">
            <v>0</v>
          </cell>
        </row>
        <row r="742">
          <cell r="A742">
            <v>1800047</v>
          </cell>
          <cell r="H742">
            <v>22400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row>
        <row r="743">
          <cell r="A743">
            <v>1800047</v>
          </cell>
          <cell r="H743">
            <v>22400</v>
          </cell>
          <cell r="K743">
            <v>0</v>
          </cell>
          <cell r="L743">
            <v>0</v>
          </cell>
          <cell r="M743">
            <v>-19497.2</v>
          </cell>
          <cell r="N743">
            <v>0</v>
          </cell>
          <cell r="O743">
            <v>0</v>
          </cell>
          <cell r="P743">
            <v>0</v>
          </cell>
          <cell r="Q743">
            <v>0</v>
          </cell>
          <cell r="R743">
            <v>0</v>
          </cell>
          <cell r="S743">
            <v>0</v>
          </cell>
          <cell r="T743">
            <v>0</v>
          </cell>
          <cell r="U743">
            <v>0</v>
          </cell>
          <cell r="V743">
            <v>-1161.1199999999999</v>
          </cell>
          <cell r="W743">
            <v>0</v>
          </cell>
          <cell r="X743">
            <v>0</v>
          </cell>
          <cell r="Y743">
            <v>0</v>
          </cell>
          <cell r="Z743">
            <v>0</v>
          </cell>
          <cell r="AA743">
            <v>0</v>
          </cell>
          <cell r="AB743">
            <v>0</v>
          </cell>
          <cell r="AC743">
            <v>0</v>
          </cell>
          <cell r="AD743">
            <v>0</v>
          </cell>
          <cell r="AE743">
            <v>0</v>
          </cell>
          <cell r="AF743">
            <v>0</v>
          </cell>
        </row>
        <row r="744">
          <cell r="A744">
            <v>1800047</v>
          </cell>
          <cell r="H744">
            <v>22400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row>
        <row r="745">
          <cell r="A745">
            <v>1800048</v>
          </cell>
          <cell r="B745" t="str">
            <v>1800048</v>
          </cell>
          <cell r="G745" t="str">
            <v>PRINTER</v>
          </cell>
          <cell r="H745">
            <v>14950</v>
          </cell>
          <cell r="K745">
            <v>0</v>
          </cell>
          <cell r="L745">
            <v>0</v>
          </cell>
          <cell r="M745">
            <v>-10724.02</v>
          </cell>
          <cell r="N745">
            <v>0</v>
          </cell>
          <cell r="O745">
            <v>0</v>
          </cell>
          <cell r="P745">
            <v>0</v>
          </cell>
          <cell r="Q745">
            <v>0</v>
          </cell>
          <cell r="R745">
            <v>0</v>
          </cell>
          <cell r="S745">
            <v>0</v>
          </cell>
          <cell r="T745">
            <v>0</v>
          </cell>
          <cell r="U745">
            <v>0</v>
          </cell>
          <cell r="V745">
            <v>-1690.39</v>
          </cell>
          <cell r="W745">
            <v>0</v>
          </cell>
          <cell r="X745">
            <v>0</v>
          </cell>
          <cell r="Y745">
            <v>0</v>
          </cell>
          <cell r="Z745">
            <v>0</v>
          </cell>
          <cell r="AA745">
            <v>0</v>
          </cell>
          <cell r="AB745">
            <v>0</v>
          </cell>
          <cell r="AC745">
            <v>0</v>
          </cell>
          <cell r="AD745">
            <v>0</v>
          </cell>
          <cell r="AE745">
            <v>0</v>
          </cell>
          <cell r="AF745">
            <v>0</v>
          </cell>
        </row>
        <row r="746">
          <cell r="A746">
            <v>1800048</v>
          </cell>
          <cell r="H746">
            <v>14950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row>
        <row r="747">
          <cell r="A747">
            <v>1800048</v>
          </cell>
          <cell r="H747">
            <v>14950</v>
          </cell>
          <cell r="K747">
            <v>0</v>
          </cell>
          <cell r="L747">
            <v>0</v>
          </cell>
          <cell r="M747">
            <v>-12414.41</v>
          </cell>
          <cell r="N747">
            <v>0</v>
          </cell>
          <cell r="O747">
            <v>0</v>
          </cell>
          <cell r="P747">
            <v>0</v>
          </cell>
          <cell r="Q747">
            <v>0</v>
          </cell>
          <cell r="R747">
            <v>0</v>
          </cell>
          <cell r="S747">
            <v>0</v>
          </cell>
          <cell r="T747">
            <v>0</v>
          </cell>
          <cell r="U747">
            <v>0</v>
          </cell>
          <cell r="V747">
            <v>-1014.24</v>
          </cell>
          <cell r="W747">
            <v>0</v>
          </cell>
          <cell r="X747">
            <v>0</v>
          </cell>
          <cell r="Y747">
            <v>0</v>
          </cell>
          <cell r="Z747">
            <v>0</v>
          </cell>
          <cell r="AA747">
            <v>0</v>
          </cell>
          <cell r="AB747">
            <v>0</v>
          </cell>
          <cell r="AC747">
            <v>0</v>
          </cell>
          <cell r="AD747">
            <v>0</v>
          </cell>
          <cell r="AE747">
            <v>0</v>
          </cell>
          <cell r="AF747">
            <v>0</v>
          </cell>
        </row>
        <row r="748">
          <cell r="A748">
            <v>1800048</v>
          </cell>
          <cell r="H748">
            <v>14950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row>
        <row r="749">
          <cell r="A749">
            <v>1800049</v>
          </cell>
          <cell r="B749" t="str">
            <v>1800049</v>
          </cell>
          <cell r="G749" t="str">
            <v>SCANNER &amp; CD WRITERS</v>
          </cell>
          <cell r="H749">
            <v>9102</v>
          </cell>
          <cell r="K749">
            <v>0</v>
          </cell>
          <cell r="L749">
            <v>0</v>
          </cell>
          <cell r="M749">
            <v>-6640.42</v>
          </cell>
          <cell r="N749">
            <v>0</v>
          </cell>
          <cell r="O749">
            <v>0</v>
          </cell>
          <cell r="P749">
            <v>0</v>
          </cell>
          <cell r="Q749">
            <v>0</v>
          </cell>
          <cell r="R749">
            <v>0</v>
          </cell>
          <cell r="S749">
            <v>0</v>
          </cell>
          <cell r="T749">
            <v>0</v>
          </cell>
          <cell r="U749">
            <v>0</v>
          </cell>
          <cell r="V749">
            <v>-984.63</v>
          </cell>
          <cell r="W749">
            <v>0</v>
          </cell>
          <cell r="X749">
            <v>0</v>
          </cell>
          <cell r="Y749">
            <v>0</v>
          </cell>
          <cell r="Z749">
            <v>0</v>
          </cell>
          <cell r="AA749">
            <v>0</v>
          </cell>
          <cell r="AB749">
            <v>0</v>
          </cell>
          <cell r="AC749">
            <v>0</v>
          </cell>
          <cell r="AD749">
            <v>0</v>
          </cell>
          <cell r="AE749">
            <v>0</v>
          </cell>
          <cell r="AF749">
            <v>0</v>
          </cell>
        </row>
        <row r="750">
          <cell r="A750">
            <v>1800049</v>
          </cell>
          <cell r="H750">
            <v>9102</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row>
        <row r="751">
          <cell r="A751">
            <v>1800049</v>
          </cell>
          <cell r="H751">
            <v>9102</v>
          </cell>
          <cell r="K751">
            <v>0</v>
          </cell>
          <cell r="L751">
            <v>0</v>
          </cell>
          <cell r="M751">
            <v>-7625.05</v>
          </cell>
          <cell r="N751">
            <v>0</v>
          </cell>
          <cell r="O751">
            <v>0</v>
          </cell>
          <cell r="P751">
            <v>0</v>
          </cell>
          <cell r="Q751">
            <v>0</v>
          </cell>
          <cell r="R751">
            <v>0</v>
          </cell>
          <cell r="S751">
            <v>0</v>
          </cell>
          <cell r="T751">
            <v>0</v>
          </cell>
          <cell r="U751">
            <v>0</v>
          </cell>
          <cell r="V751">
            <v>-590.78</v>
          </cell>
          <cell r="W751">
            <v>0</v>
          </cell>
          <cell r="X751">
            <v>0</v>
          </cell>
          <cell r="Y751">
            <v>0</v>
          </cell>
          <cell r="Z751">
            <v>0</v>
          </cell>
          <cell r="AA751">
            <v>0</v>
          </cell>
          <cell r="AB751">
            <v>0</v>
          </cell>
          <cell r="AC751">
            <v>0</v>
          </cell>
          <cell r="AD751">
            <v>0</v>
          </cell>
          <cell r="AE751">
            <v>0</v>
          </cell>
          <cell r="AF751">
            <v>0</v>
          </cell>
        </row>
        <row r="752">
          <cell r="A752">
            <v>1800049</v>
          </cell>
          <cell r="H752">
            <v>9102</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row>
        <row r="753">
          <cell r="A753">
            <v>1800050</v>
          </cell>
          <cell r="B753" t="str">
            <v>1800050</v>
          </cell>
          <cell r="G753" t="str">
            <v>Acer Laptop -  2304</v>
          </cell>
          <cell r="H753">
            <v>0</v>
          </cell>
          <cell r="K753">
            <v>0</v>
          </cell>
          <cell r="L753">
            <v>0</v>
          </cell>
          <cell r="M753">
            <v>0</v>
          </cell>
          <cell r="N753">
            <v>0</v>
          </cell>
          <cell r="O753">
            <v>0</v>
          </cell>
          <cell r="P753">
            <v>0</v>
          </cell>
          <cell r="Q753">
            <v>0</v>
          </cell>
          <cell r="R753">
            <v>0</v>
          </cell>
          <cell r="S753">
            <v>0</v>
          </cell>
          <cell r="T753">
            <v>0</v>
          </cell>
          <cell r="U753">
            <v>0</v>
          </cell>
          <cell r="V753">
            <v>-12810.96</v>
          </cell>
          <cell r="W753">
            <v>0</v>
          </cell>
          <cell r="X753">
            <v>0</v>
          </cell>
          <cell r="Y753">
            <v>0</v>
          </cell>
          <cell r="Z753">
            <v>0</v>
          </cell>
          <cell r="AA753">
            <v>0</v>
          </cell>
          <cell r="AB753">
            <v>35000</v>
          </cell>
          <cell r="AC753">
            <v>0</v>
          </cell>
          <cell r="AD753">
            <v>0</v>
          </cell>
          <cell r="AE753">
            <v>0</v>
          </cell>
          <cell r="AF753">
            <v>0</v>
          </cell>
        </row>
        <row r="754">
          <cell r="A754">
            <v>1800050</v>
          </cell>
          <cell r="H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35000</v>
          </cell>
          <cell r="AC754">
            <v>0</v>
          </cell>
          <cell r="AD754">
            <v>0</v>
          </cell>
          <cell r="AE754">
            <v>0</v>
          </cell>
          <cell r="AF754">
            <v>0</v>
          </cell>
        </row>
        <row r="755">
          <cell r="A755">
            <v>1800050</v>
          </cell>
          <cell r="H755">
            <v>35000</v>
          </cell>
          <cell r="K755">
            <v>0</v>
          </cell>
          <cell r="L755">
            <v>0</v>
          </cell>
          <cell r="M755">
            <v>-12810.96</v>
          </cell>
          <cell r="N755">
            <v>0</v>
          </cell>
          <cell r="O755">
            <v>0</v>
          </cell>
          <cell r="P755">
            <v>0</v>
          </cell>
          <cell r="Q755">
            <v>0</v>
          </cell>
          <cell r="R755">
            <v>0</v>
          </cell>
          <cell r="S755">
            <v>0</v>
          </cell>
          <cell r="T755">
            <v>0</v>
          </cell>
          <cell r="U755">
            <v>0</v>
          </cell>
          <cell r="V755">
            <v>-8875.6200000000008</v>
          </cell>
          <cell r="W755">
            <v>0</v>
          </cell>
          <cell r="X755">
            <v>0</v>
          </cell>
          <cell r="Y755">
            <v>0</v>
          </cell>
          <cell r="Z755">
            <v>0</v>
          </cell>
          <cell r="AA755">
            <v>0</v>
          </cell>
          <cell r="AB755">
            <v>0</v>
          </cell>
          <cell r="AC755">
            <v>0</v>
          </cell>
          <cell r="AD755">
            <v>0</v>
          </cell>
          <cell r="AE755">
            <v>0</v>
          </cell>
          <cell r="AF755">
            <v>0</v>
          </cell>
        </row>
        <row r="756">
          <cell r="A756">
            <v>1800050</v>
          </cell>
          <cell r="H756">
            <v>35000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row>
        <row r="757">
          <cell r="A757">
            <v>1800051</v>
          </cell>
          <cell r="B757" t="str">
            <v>1800051</v>
          </cell>
          <cell r="G757" t="str">
            <v>Hp OfficeJet Printer No. 5510</v>
          </cell>
          <cell r="H757">
            <v>0</v>
          </cell>
          <cell r="K757">
            <v>0</v>
          </cell>
          <cell r="L757">
            <v>0</v>
          </cell>
          <cell r="M757">
            <v>0</v>
          </cell>
          <cell r="N757">
            <v>0</v>
          </cell>
          <cell r="O757">
            <v>0</v>
          </cell>
          <cell r="P757">
            <v>0</v>
          </cell>
          <cell r="Q757">
            <v>0</v>
          </cell>
          <cell r="R757">
            <v>0</v>
          </cell>
          <cell r="S757">
            <v>0</v>
          </cell>
          <cell r="T757">
            <v>0</v>
          </cell>
          <cell r="U757">
            <v>0</v>
          </cell>
          <cell r="V757">
            <v>-2679.23</v>
          </cell>
          <cell r="W757">
            <v>0</v>
          </cell>
          <cell r="X757">
            <v>0</v>
          </cell>
          <cell r="Y757">
            <v>0</v>
          </cell>
          <cell r="Z757">
            <v>0</v>
          </cell>
          <cell r="AA757">
            <v>0</v>
          </cell>
          <cell r="AB757">
            <v>9550</v>
          </cell>
          <cell r="AC757">
            <v>0</v>
          </cell>
          <cell r="AD757">
            <v>0</v>
          </cell>
          <cell r="AE757">
            <v>0</v>
          </cell>
          <cell r="AF757">
            <v>0</v>
          </cell>
        </row>
        <row r="758">
          <cell r="A758">
            <v>1800051</v>
          </cell>
          <cell r="H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9550</v>
          </cell>
          <cell r="AC758">
            <v>0</v>
          </cell>
          <cell r="AD758">
            <v>0</v>
          </cell>
          <cell r="AE758">
            <v>0</v>
          </cell>
          <cell r="AF758">
            <v>0</v>
          </cell>
        </row>
        <row r="759">
          <cell r="A759">
            <v>1800051</v>
          </cell>
          <cell r="H759">
            <v>9550</v>
          </cell>
          <cell r="K759">
            <v>0</v>
          </cell>
          <cell r="L759">
            <v>0</v>
          </cell>
          <cell r="M759">
            <v>-2679.23</v>
          </cell>
          <cell r="N759">
            <v>0</v>
          </cell>
          <cell r="O759">
            <v>0</v>
          </cell>
          <cell r="P759">
            <v>0</v>
          </cell>
          <cell r="Q759">
            <v>0</v>
          </cell>
          <cell r="R759">
            <v>0</v>
          </cell>
          <cell r="S759">
            <v>0</v>
          </cell>
          <cell r="T759">
            <v>0</v>
          </cell>
          <cell r="U759">
            <v>0</v>
          </cell>
          <cell r="V759">
            <v>-2748.31</v>
          </cell>
          <cell r="W759">
            <v>0</v>
          </cell>
          <cell r="X759">
            <v>0</v>
          </cell>
          <cell r="Y759">
            <v>0</v>
          </cell>
          <cell r="Z759">
            <v>0</v>
          </cell>
          <cell r="AA759">
            <v>0</v>
          </cell>
          <cell r="AB759">
            <v>0</v>
          </cell>
          <cell r="AC759">
            <v>0</v>
          </cell>
          <cell r="AD759">
            <v>0</v>
          </cell>
          <cell r="AE759">
            <v>0</v>
          </cell>
          <cell r="AF759">
            <v>0</v>
          </cell>
        </row>
        <row r="760">
          <cell r="A760">
            <v>1800051</v>
          </cell>
          <cell r="H760">
            <v>9550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row>
        <row r="761">
          <cell r="A761">
            <v>1800052</v>
          </cell>
          <cell r="B761" t="str">
            <v>1800052</v>
          </cell>
          <cell r="G761" t="str">
            <v>Hp OfficeJet Printer No. 5510</v>
          </cell>
          <cell r="H761">
            <v>0</v>
          </cell>
          <cell r="K761">
            <v>0</v>
          </cell>
          <cell r="L761">
            <v>0</v>
          </cell>
          <cell r="M761">
            <v>0</v>
          </cell>
          <cell r="N761">
            <v>0</v>
          </cell>
          <cell r="O761">
            <v>0</v>
          </cell>
          <cell r="P761">
            <v>0</v>
          </cell>
          <cell r="Q761">
            <v>0</v>
          </cell>
          <cell r="R761">
            <v>0</v>
          </cell>
          <cell r="S761">
            <v>0</v>
          </cell>
          <cell r="T761">
            <v>0</v>
          </cell>
          <cell r="U761">
            <v>0</v>
          </cell>
          <cell r="V761">
            <v>-2679.23</v>
          </cell>
          <cell r="W761">
            <v>0</v>
          </cell>
          <cell r="X761">
            <v>0</v>
          </cell>
          <cell r="Y761">
            <v>0</v>
          </cell>
          <cell r="Z761">
            <v>0</v>
          </cell>
          <cell r="AA761">
            <v>0</v>
          </cell>
          <cell r="AB761">
            <v>9550</v>
          </cell>
          <cell r="AC761">
            <v>0</v>
          </cell>
          <cell r="AD761">
            <v>0</v>
          </cell>
          <cell r="AE761">
            <v>0</v>
          </cell>
          <cell r="AF761">
            <v>0</v>
          </cell>
        </row>
        <row r="762">
          <cell r="A762">
            <v>1800052</v>
          </cell>
          <cell r="H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9550</v>
          </cell>
          <cell r="AC762">
            <v>0</v>
          </cell>
          <cell r="AD762">
            <v>0</v>
          </cell>
          <cell r="AE762">
            <v>0</v>
          </cell>
          <cell r="AF762">
            <v>0</v>
          </cell>
        </row>
        <row r="763">
          <cell r="A763">
            <v>1800052</v>
          </cell>
          <cell r="H763">
            <v>9550</v>
          </cell>
          <cell r="K763">
            <v>0</v>
          </cell>
          <cell r="L763">
            <v>0</v>
          </cell>
          <cell r="M763">
            <v>-2679.23</v>
          </cell>
          <cell r="N763">
            <v>0</v>
          </cell>
          <cell r="O763">
            <v>0</v>
          </cell>
          <cell r="P763">
            <v>0</v>
          </cell>
          <cell r="Q763">
            <v>0</v>
          </cell>
          <cell r="R763">
            <v>0</v>
          </cell>
          <cell r="S763">
            <v>0</v>
          </cell>
          <cell r="T763">
            <v>0</v>
          </cell>
          <cell r="U763">
            <v>0</v>
          </cell>
          <cell r="V763">
            <v>-2748.31</v>
          </cell>
          <cell r="W763">
            <v>0</v>
          </cell>
          <cell r="X763">
            <v>0</v>
          </cell>
          <cell r="Y763">
            <v>0</v>
          </cell>
          <cell r="Z763">
            <v>0</v>
          </cell>
          <cell r="AA763">
            <v>0</v>
          </cell>
          <cell r="AB763">
            <v>0</v>
          </cell>
          <cell r="AC763">
            <v>0</v>
          </cell>
          <cell r="AD763">
            <v>0</v>
          </cell>
          <cell r="AE763">
            <v>0</v>
          </cell>
          <cell r="AF763">
            <v>0</v>
          </cell>
        </row>
        <row r="764">
          <cell r="A764">
            <v>1800052</v>
          </cell>
          <cell r="H764">
            <v>9550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row>
        <row r="765">
          <cell r="A765">
            <v>1800053</v>
          </cell>
          <cell r="B765" t="str">
            <v>1800053</v>
          </cell>
          <cell r="G765" t="str">
            <v>COMPUTER TFT</v>
          </cell>
        </row>
        <row r="766">
          <cell r="A766">
            <v>1800054</v>
          </cell>
          <cell r="B766" t="str">
            <v>1800054</v>
          </cell>
          <cell r="G766" t="str">
            <v>Computer TFT</v>
          </cell>
          <cell r="H766">
            <v>0</v>
          </cell>
          <cell r="K766">
            <v>0</v>
          </cell>
          <cell r="L766">
            <v>0</v>
          </cell>
          <cell r="M766">
            <v>0</v>
          </cell>
          <cell r="N766">
            <v>0</v>
          </cell>
          <cell r="O766">
            <v>0</v>
          </cell>
          <cell r="P766">
            <v>0</v>
          </cell>
          <cell r="Q766">
            <v>0</v>
          </cell>
          <cell r="R766">
            <v>0</v>
          </cell>
          <cell r="S766">
            <v>0</v>
          </cell>
          <cell r="T766">
            <v>0</v>
          </cell>
          <cell r="U766">
            <v>0</v>
          </cell>
          <cell r="V766">
            <v>-13847.67</v>
          </cell>
          <cell r="W766">
            <v>0</v>
          </cell>
          <cell r="X766">
            <v>0</v>
          </cell>
          <cell r="Y766">
            <v>0</v>
          </cell>
          <cell r="Z766">
            <v>0</v>
          </cell>
          <cell r="AA766">
            <v>0</v>
          </cell>
          <cell r="AB766">
            <v>48600</v>
          </cell>
          <cell r="AC766">
            <v>0</v>
          </cell>
          <cell r="AD766">
            <v>0</v>
          </cell>
          <cell r="AE766">
            <v>0</v>
          </cell>
          <cell r="AF766">
            <v>0</v>
          </cell>
        </row>
        <row r="767">
          <cell r="A767">
            <v>1800054</v>
          </cell>
          <cell r="H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48600</v>
          </cell>
          <cell r="AC767">
            <v>0</v>
          </cell>
          <cell r="AD767">
            <v>0</v>
          </cell>
          <cell r="AE767">
            <v>0</v>
          </cell>
          <cell r="AF767">
            <v>0</v>
          </cell>
        </row>
        <row r="768">
          <cell r="A768">
            <v>1800054</v>
          </cell>
          <cell r="H768">
            <v>48600</v>
          </cell>
          <cell r="K768">
            <v>0</v>
          </cell>
          <cell r="L768">
            <v>0</v>
          </cell>
          <cell r="M768">
            <v>-13847.67</v>
          </cell>
          <cell r="N768">
            <v>0</v>
          </cell>
          <cell r="O768">
            <v>0</v>
          </cell>
          <cell r="P768">
            <v>0</v>
          </cell>
          <cell r="Q768">
            <v>0</v>
          </cell>
          <cell r="R768">
            <v>0</v>
          </cell>
          <cell r="S768">
            <v>0</v>
          </cell>
          <cell r="T768">
            <v>0</v>
          </cell>
          <cell r="U768">
            <v>0</v>
          </cell>
          <cell r="V768">
            <v>-13900.93</v>
          </cell>
          <cell r="W768">
            <v>0</v>
          </cell>
          <cell r="X768">
            <v>0</v>
          </cell>
          <cell r="Y768">
            <v>0</v>
          </cell>
          <cell r="Z768">
            <v>0</v>
          </cell>
          <cell r="AA768">
            <v>0</v>
          </cell>
          <cell r="AB768">
            <v>0</v>
          </cell>
          <cell r="AC768">
            <v>0</v>
          </cell>
          <cell r="AD768">
            <v>0</v>
          </cell>
          <cell r="AE768">
            <v>0</v>
          </cell>
          <cell r="AF768">
            <v>0</v>
          </cell>
        </row>
        <row r="769">
          <cell r="A769">
            <v>1800054</v>
          </cell>
          <cell r="H769">
            <v>48600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row>
        <row r="770">
          <cell r="A770">
            <v>1800055</v>
          </cell>
          <cell r="B770" t="str">
            <v>1800055</v>
          </cell>
          <cell r="G770" t="str">
            <v>Computer TFT</v>
          </cell>
          <cell r="H770">
            <v>0</v>
          </cell>
          <cell r="K770">
            <v>0</v>
          </cell>
          <cell r="L770">
            <v>0</v>
          </cell>
          <cell r="M770">
            <v>0</v>
          </cell>
          <cell r="N770">
            <v>0</v>
          </cell>
          <cell r="O770">
            <v>0</v>
          </cell>
          <cell r="P770">
            <v>0</v>
          </cell>
          <cell r="Q770">
            <v>0</v>
          </cell>
          <cell r="R770">
            <v>0</v>
          </cell>
          <cell r="S770">
            <v>0</v>
          </cell>
          <cell r="T770">
            <v>0</v>
          </cell>
          <cell r="U770">
            <v>0</v>
          </cell>
          <cell r="V770">
            <v>-13997.26</v>
          </cell>
          <cell r="W770">
            <v>0</v>
          </cell>
          <cell r="X770">
            <v>0</v>
          </cell>
          <cell r="Y770">
            <v>0</v>
          </cell>
          <cell r="Z770">
            <v>0</v>
          </cell>
          <cell r="AA770">
            <v>0</v>
          </cell>
          <cell r="AB770">
            <v>49125</v>
          </cell>
          <cell r="AC770">
            <v>0</v>
          </cell>
          <cell r="AD770">
            <v>0</v>
          </cell>
          <cell r="AE770">
            <v>0</v>
          </cell>
          <cell r="AF770">
            <v>0</v>
          </cell>
        </row>
        <row r="771">
          <cell r="A771">
            <v>1800055</v>
          </cell>
          <cell r="H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49125</v>
          </cell>
          <cell r="AC771">
            <v>0</v>
          </cell>
          <cell r="AD771">
            <v>0</v>
          </cell>
          <cell r="AE771">
            <v>0</v>
          </cell>
          <cell r="AF771">
            <v>0</v>
          </cell>
        </row>
        <row r="772">
          <cell r="A772">
            <v>1800055</v>
          </cell>
          <cell r="H772">
            <v>49125</v>
          </cell>
          <cell r="K772">
            <v>0</v>
          </cell>
          <cell r="L772">
            <v>0</v>
          </cell>
          <cell r="M772">
            <v>-13997.26</v>
          </cell>
          <cell r="N772">
            <v>0</v>
          </cell>
          <cell r="O772">
            <v>0</v>
          </cell>
          <cell r="P772">
            <v>0</v>
          </cell>
          <cell r="Q772">
            <v>0</v>
          </cell>
          <cell r="R772">
            <v>0</v>
          </cell>
          <cell r="S772">
            <v>0</v>
          </cell>
          <cell r="T772">
            <v>0</v>
          </cell>
          <cell r="U772">
            <v>0</v>
          </cell>
          <cell r="V772">
            <v>-14051.1</v>
          </cell>
          <cell r="W772">
            <v>0</v>
          </cell>
          <cell r="X772">
            <v>0</v>
          </cell>
          <cell r="Y772">
            <v>0</v>
          </cell>
          <cell r="Z772">
            <v>0</v>
          </cell>
          <cell r="AA772">
            <v>0</v>
          </cell>
          <cell r="AB772">
            <v>0</v>
          </cell>
          <cell r="AC772">
            <v>0</v>
          </cell>
          <cell r="AD772">
            <v>0</v>
          </cell>
          <cell r="AE772">
            <v>0</v>
          </cell>
          <cell r="AF772">
            <v>0</v>
          </cell>
        </row>
        <row r="773">
          <cell r="A773">
            <v>1800055</v>
          </cell>
          <cell r="H773">
            <v>49125</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row>
        <row r="774">
          <cell r="A774">
            <v>1800056</v>
          </cell>
          <cell r="B774" t="str">
            <v>1800056</v>
          </cell>
          <cell r="G774" t="str">
            <v>Computer TFT</v>
          </cell>
          <cell r="H774">
            <v>0</v>
          </cell>
          <cell r="K774">
            <v>0</v>
          </cell>
          <cell r="L774">
            <v>0</v>
          </cell>
          <cell r="M774">
            <v>0</v>
          </cell>
          <cell r="N774">
            <v>0</v>
          </cell>
          <cell r="O774">
            <v>0</v>
          </cell>
          <cell r="P774">
            <v>0</v>
          </cell>
          <cell r="Q774">
            <v>0</v>
          </cell>
          <cell r="R774">
            <v>0</v>
          </cell>
          <cell r="S774">
            <v>0</v>
          </cell>
          <cell r="T774">
            <v>0</v>
          </cell>
          <cell r="U774">
            <v>0</v>
          </cell>
          <cell r="V774">
            <v>-13847.67</v>
          </cell>
          <cell r="W774">
            <v>0</v>
          </cell>
          <cell r="X774">
            <v>0</v>
          </cell>
          <cell r="Y774">
            <v>0</v>
          </cell>
          <cell r="Z774">
            <v>0</v>
          </cell>
          <cell r="AA774">
            <v>0</v>
          </cell>
          <cell r="AB774">
            <v>48600</v>
          </cell>
          <cell r="AC774">
            <v>0</v>
          </cell>
          <cell r="AD774">
            <v>0</v>
          </cell>
          <cell r="AE774">
            <v>0</v>
          </cell>
          <cell r="AF774">
            <v>0</v>
          </cell>
        </row>
        <row r="775">
          <cell r="A775">
            <v>1800056</v>
          </cell>
          <cell r="H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48600</v>
          </cell>
          <cell r="AC775">
            <v>0</v>
          </cell>
          <cell r="AD775">
            <v>0</v>
          </cell>
          <cell r="AE775">
            <v>0</v>
          </cell>
          <cell r="AF775">
            <v>0</v>
          </cell>
        </row>
        <row r="776">
          <cell r="A776">
            <v>1800056</v>
          </cell>
          <cell r="H776">
            <v>48600</v>
          </cell>
          <cell r="K776">
            <v>0</v>
          </cell>
          <cell r="L776">
            <v>0</v>
          </cell>
          <cell r="M776">
            <v>-13847.67</v>
          </cell>
          <cell r="N776">
            <v>0</v>
          </cell>
          <cell r="O776">
            <v>0</v>
          </cell>
          <cell r="P776">
            <v>0</v>
          </cell>
          <cell r="Q776">
            <v>0</v>
          </cell>
          <cell r="R776">
            <v>0</v>
          </cell>
          <cell r="S776">
            <v>0</v>
          </cell>
          <cell r="T776">
            <v>0</v>
          </cell>
          <cell r="U776">
            <v>0</v>
          </cell>
          <cell r="V776">
            <v>-13900.93</v>
          </cell>
          <cell r="W776">
            <v>0</v>
          </cell>
          <cell r="X776">
            <v>0</v>
          </cell>
          <cell r="Y776">
            <v>0</v>
          </cell>
          <cell r="Z776">
            <v>0</v>
          </cell>
          <cell r="AA776">
            <v>0</v>
          </cell>
          <cell r="AB776">
            <v>0</v>
          </cell>
          <cell r="AC776">
            <v>0</v>
          </cell>
          <cell r="AD776">
            <v>0</v>
          </cell>
          <cell r="AE776">
            <v>0</v>
          </cell>
          <cell r="AF776">
            <v>0</v>
          </cell>
        </row>
        <row r="777">
          <cell r="A777">
            <v>1800056</v>
          </cell>
          <cell r="H777">
            <v>48600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row>
        <row r="778">
          <cell r="A778">
            <v>1800057</v>
          </cell>
          <cell r="B778" t="str">
            <v>1800057</v>
          </cell>
          <cell r="G778" t="str">
            <v>Computer TFT</v>
          </cell>
          <cell r="H778">
            <v>0</v>
          </cell>
          <cell r="K778">
            <v>0</v>
          </cell>
          <cell r="L778">
            <v>0</v>
          </cell>
          <cell r="M778">
            <v>0</v>
          </cell>
          <cell r="N778">
            <v>0</v>
          </cell>
          <cell r="O778">
            <v>0</v>
          </cell>
          <cell r="P778">
            <v>0</v>
          </cell>
          <cell r="Q778">
            <v>0</v>
          </cell>
          <cell r="R778">
            <v>0</v>
          </cell>
          <cell r="S778">
            <v>0</v>
          </cell>
          <cell r="T778">
            <v>0</v>
          </cell>
          <cell r="U778">
            <v>0</v>
          </cell>
          <cell r="V778">
            <v>-13997.26</v>
          </cell>
          <cell r="W778">
            <v>0</v>
          </cell>
          <cell r="X778">
            <v>0</v>
          </cell>
          <cell r="Y778">
            <v>0</v>
          </cell>
          <cell r="Z778">
            <v>0</v>
          </cell>
          <cell r="AA778">
            <v>0</v>
          </cell>
          <cell r="AB778">
            <v>49125</v>
          </cell>
          <cell r="AC778">
            <v>0</v>
          </cell>
          <cell r="AD778">
            <v>0</v>
          </cell>
          <cell r="AE778">
            <v>0</v>
          </cell>
          <cell r="AF778">
            <v>0</v>
          </cell>
        </row>
        <row r="779">
          <cell r="A779">
            <v>1800057</v>
          </cell>
          <cell r="H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49125</v>
          </cell>
          <cell r="AC779">
            <v>0</v>
          </cell>
          <cell r="AD779">
            <v>0</v>
          </cell>
          <cell r="AE779">
            <v>0</v>
          </cell>
          <cell r="AF779">
            <v>0</v>
          </cell>
        </row>
        <row r="780">
          <cell r="A780">
            <v>1800057</v>
          </cell>
          <cell r="H780">
            <v>49125</v>
          </cell>
          <cell r="K780">
            <v>0</v>
          </cell>
          <cell r="L780">
            <v>0</v>
          </cell>
          <cell r="M780">
            <v>-13997.26</v>
          </cell>
          <cell r="N780">
            <v>0</v>
          </cell>
          <cell r="O780">
            <v>0</v>
          </cell>
          <cell r="P780">
            <v>0</v>
          </cell>
          <cell r="Q780">
            <v>0</v>
          </cell>
          <cell r="R780">
            <v>0</v>
          </cell>
          <cell r="S780">
            <v>0</v>
          </cell>
          <cell r="T780">
            <v>0</v>
          </cell>
          <cell r="U780">
            <v>0</v>
          </cell>
          <cell r="V780">
            <v>-14051.1</v>
          </cell>
          <cell r="W780">
            <v>0</v>
          </cell>
          <cell r="X780">
            <v>0</v>
          </cell>
          <cell r="Y780">
            <v>0</v>
          </cell>
          <cell r="Z780">
            <v>0</v>
          </cell>
          <cell r="AA780">
            <v>0</v>
          </cell>
          <cell r="AB780">
            <v>0</v>
          </cell>
          <cell r="AC780">
            <v>0</v>
          </cell>
          <cell r="AD780">
            <v>0</v>
          </cell>
          <cell r="AE780">
            <v>0</v>
          </cell>
          <cell r="AF780">
            <v>0</v>
          </cell>
        </row>
        <row r="781">
          <cell r="A781">
            <v>1800057</v>
          </cell>
          <cell r="H781">
            <v>49125</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row>
        <row r="782">
          <cell r="A782">
            <v>1800058</v>
          </cell>
          <cell r="B782" t="str">
            <v>1800058</v>
          </cell>
          <cell r="G782" t="str">
            <v>Computer TFT</v>
          </cell>
          <cell r="H782">
            <v>0</v>
          </cell>
          <cell r="K782">
            <v>0</v>
          </cell>
          <cell r="L782">
            <v>0</v>
          </cell>
          <cell r="M782">
            <v>0</v>
          </cell>
          <cell r="N782">
            <v>0</v>
          </cell>
          <cell r="O782">
            <v>0</v>
          </cell>
          <cell r="P782">
            <v>0</v>
          </cell>
          <cell r="Q782">
            <v>0</v>
          </cell>
          <cell r="R782">
            <v>0</v>
          </cell>
          <cell r="S782">
            <v>0</v>
          </cell>
          <cell r="T782">
            <v>0</v>
          </cell>
          <cell r="U782">
            <v>0</v>
          </cell>
          <cell r="V782">
            <v>-14567.12</v>
          </cell>
          <cell r="W782">
            <v>0</v>
          </cell>
          <cell r="X782">
            <v>0</v>
          </cell>
          <cell r="Y782">
            <v>0</v>
          </cell>
          <cell r="Z782">
            <v>0</v>
          </cell>
          <cell r="AA782">
            <v>0</v>
          </cell>
          <cell r="AB782">
            <v>51125</v>
          </cell>
          <cell r="AC782">
            <v>0</v>
          </cell>
          <cell r="AD782">
            <v>0</v>
          </cell>
          <cell r="AE782">
            <v>0</v>
          </cell>
          <cell r="AF782">
            <v>0</v>
          </cell>
        </row>
        <row r="783">
          <cell r="A783">
            <v>1800058</v>
          </cell>
          <cell r="H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51125</v>
          </cell>
          <cell r="AC783">
            <v>0</v>
          </cell>
          <cell r="AD783">
            <v>0</v>
          </cell>
          <cell r="AE783">
            <v>0</v>
          </cell>
          <cell r="AF783">
            <v>0</v>
          </cell>
        </row>
        <row r="784">
          <cell r="A784">
            <v>1800058</v>
          </cell>
          <cell r="H784">
            <v>51125</v>
          </cell>
          <cell r="K784">
            <v>0</v>
          </cell>
          <cell r="L784">
            <v>0</v>
          </cell>
          <cell r="M784">
            <v>-14567.12</v>
          </cell>
          <cell r="N784">
            <v>0</v>
          </cell>
          <cell r="O784">
            <v>0</v>
          </cell>
          <cell r="P784">
            <v>0</v>
          </cell>
          <cell r="Q784">
            <v>0</v>
          </cell>
          <cell r="R784">
            <v>0</v>
          </cell>
          <cell r="S784">
            <v>0</v>
          </cell>
          <cell r="T784">
            <v>0</v>
          </cell>
          <cell r="U784">
            <v>0</v>
          </cell>
          <cell r="V784">
            <v>-14623.15</v>
          </cell>
          <cell r="W784">
            <v>0</v>
          </cell>
          <cell r="X784">
            <v>0</v>
          </cell>
          <cell r="Y784">
            <v>0</v>
          </cell>
          <cell r="Z784">
            <v>0</v>
          </cell>
          <cell r="AA784">
            <v>0</v>
          </cell>
          <cell r="AB784">
            <v>0</v>
          </cell>
          <cell r="AC784">
            <v>0</v>
          </cell>
          <cell r="AD784">
            <v>0</v>
          </cell>
          <cell r="AE784">
            <v>0</v>
          </cell>
          <cell r="AF784">
            <v>0</v>
          </cell>
        </row>
        <row r="785">
          <cell r="A785">
            <v>1800058</v>
          </cell>
          <cell r="H785">
            <v>51125</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row>
        <row r="786">
          <cell r="A786">
            <v>1800059</v>
          </cell>
          <cell r="B786" t="str">
            <v>1800059</v>
          </cell>
          <cell r="G786" t="str">
            <v>Computer TFT</v>
          </cell>
          <cell r="H786">
            <v>0</v>
          </cell>
          <cell r="K786">
            <v>0</v>
          </cell>
          <cell r="L786">
            <v>0</v>
          </cell>
          <cell r="M786">
            <v>0</v>
          </cell>
          <cell r="N786">
            <v>0</v>
          </cell>
          <cell r="O786">
            <v>0</v>
          </cell>
          <cell r="P786">
            <v>0</v>
          </cell>
          <cell r="Q786">
            <v>0</v>
          </cell>
          <cell r="R786">
            <v>0</v>
          </cell>
          <cell r="S786">
            <v>0</v>
          </cell>
          <cell r="T786">
            <v>0</v>
          </cell>
          <cell r="U786">
            <v>0</v>
          </cell>
          <cell r="V786">
            <v>-13847.67</v>
          </cell>
          <cell r="W786">
            <v>0</v>
          </cell>
          <cell r="X786">
            <v>0</v>
          </cell>
          <cell r="Y786">
            <v>0</v>
          </cell>
          <cell r="Z786">
            <v>0</v>
          </cell>
          <cell r="AA786">
            <v>0</v>
          </cell>
          <cell r="AB786">
            <v>48600</v>
          </cell>
          <cell r="AC786">
            <v>0</v>
          </cell>
          <cell r="AD786">
            <v>0</v>
          </cell>
          <cell r="AE786">
            <v>0</v>
          </cell>
          <cell r="AF786">
            <v>0</v>
          </cell>
        </row>
        <row r="787">
          <cell r="A787">
            <v>1800059</v>
          </cell>
          <cell r="H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48600</v>
          </cell>
          <cell r="AC787">
            <v>0</v>
          </cell>
          <cell r="AD787">
            <v>0</v>
          </cell>
          <cell r="AE787">
            <v>0</v>
          </cell>
          <cell r="AF787">
            <v>0</v>
          </cell>
        </row>
        <row r="788">
          <cell r="A788">
            <v>1800059</v>
          </cell>
          <cell r="H788">
            <v>48600</v>
          </cell>
          <cell r="K788">
            <v>0</v>
          </cell>
          <cell r="L788">
            <v>0</v>
          </cell>
          <cell r="M788">
            <v>-13847.67</v>
          </cell>
          <cell r="N788">
            <v>0</v>
          </cell>
          <cell r="O788">
            <v>0</v>
          </cell>
          <cell r="P788">
            <v>0</v>
          </cell>
          <cell r="Q788">
            <v>0</v>
          </cell>
          <cell r="R788">
            <v>0</v>
          </cell>
          <cell r="S788">
            <v>0</v>
          </cell>
          <cell r="T788">
            <v>0</v>
          </cell>
          <cell r="U788">
            <v>0</v>
          </cell>
          <cell r="V788">
            <v>-13900.93</v>
          </cell>
          <cell r="W788">
            <v>0</v>
          </cell>
          <cell r="X788">
            <v>0</v>
          </cell>
          <cell r="Y788">
            <v>0</v>
          </cell>
          <cell r="Z788">
            <v>0</v>
          </cell>
          <cell r="AA788">
            <v>0</v>
          </cell>
          <cell r="AB788">
            <v>0</v>
          </cell>
          <cell r="AC788">
            <v>0</v>
          </cell>
          <cell r="AD788">
            <v>0</v>
          </cell>
          <cell r="AE788">
            <v>0</v>
          </cell>
          <cell r="AF788">
            <v>0</v>
          </cell>
        </row>
        <row r="789">
          <cell r="A789">
            <v>1800059</v>
          </cell>
          <cell r="H789">
            <v>48600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row>
        <row r="790">
          <cell r="A790">
            <v>1800060</v>
          </cell>
          <cell r="B790" t="str">
            <v>1800060</v>
          </cell>
          <cell r="G790" t="str">
            <v>Computer TFT</v>
          </cell>
          <cell r="H790">
            <v>0</v>
          </cell>
          <cell r="K790">
            <v>0</v>
          </cell>
          <cell r="L790">
            <v>0</v>
          </cell>
          <cell r="M790">
            <v>0</v>
          </cell>
          <cell r="N790">
            <v>0</v>
          </cell>
          <cell r="O790">
            <v>0</v>
          </cell>
          <cell r="P790">
            <v>0</v>
          </cell>
          <cell r="Q790">
            <v>0</v>
          </cell>
          <cell r="R790">
            <v>0</v>
          </cell>
          <cell r="S790">
            <v>0</v>
          </cell>
          <cell r="T790">
            <v>0</v>
          </cell>
          <cell r="U790">
            <v>0</v>
          </cell>
          <cell r="V790">
            <v>-13847.67</v>
          </cell>
          <cell r="W790">
            <v>0</v>
          </cell>
          <cell r="X790">
            <v>0</v>
          </cell>
          <cell r="Y790">
            <v>0</v>
          </cell>
          <cell r="Z790">
            <v>0</v>
          </cell>
          <cell r="AA790">
            <v>0</v>
          </cell>
          <cell r="AB790">
            <v>48600</v>
          </cell>
          <cell r="AC790">
            <v>0</v>
          </cell>
          <cell r="AD790">
            <v>0</v>
          </cell>
          <cell r="AE790">
            <v>0</v>
          </cell>
          <cell r="AF790">
            <v>0</v>
          </cell>
        </row>
        <row r="791">
          <cell r="A791">
            <v>1800060</v>
          </cell>
          <cell r="H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48600</v>
          </cell>
          <cell r="AC791">
            <v>0</v>
          </cell>
          <cell r="AD791">
            <v>0</v>
          </cell>
          <cell r="AE791">
            <v>0</v>
          </cell>
          <cell r="AF791">
            <v>0</v>
          </cell>
        </row>
        <row r="792">
          <cell r="A792">
            <v>1800060</v>
          </cell>
          <cell r="H792">
            <v>48600</v>
          </cell>
          <cell r="K792">
            <v>0</v>
          </cell>
          <cell r="L792">
            <v>0</v>
          </cell>
          <cell r="M792">
            <v>-13847.67</v>
          </cell>
          <cell r="N792">
            <v>0</v>
          </cell>
          <cell r="O792">
            <v>0</v>
          </cell>
          <cell r="P792">
            <v>0</v>
          </cell>
          <cell r="Q792">
            <v>0</v>
          </cell>
          <cell r="R792">
            <v>0</v>
          </cell>
          <cell r="S792">
            <v>0</v>
          </cell>
          <cell r="T792">
            <v>0</v>
          </cell>
          <cell r="U792">
            <v>0</v>
          </cell>
          <cell r="V792">
            <v>-13900.93</v>
          </cell>
          <cell r="W792">
            <v>0</v>
          </cell>
          <cell r="X792">
            <v>0</v>
          </cell>
          <cell r="Y792">
            <v>0</v>
          </cell>
          <cell r="Z792">
            <v>0</v>
          </cell>
          <cell r="AA792">
            <v>0</v>
          </cell>
          <cell r="AB792">
            <v>0</v>
          </cell>
          <cell r="AC792">
            <v>0</v>
          </cell>
          <cell r="AD792">
            <v>0</v>
          </cell>
          <cell r="AE792">
            <v>0</v>
          </cell>
          <cell r="AF792">
            <v>0</v>
          </cell>
        </row>
        <row r="793">
          <cell r="A793">
            <v>1800060</v>
          </cell>
          <cell r="H793">
            <v>48600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row>
        <row r="794">
          <cell r="A794">
            <v>1800061</v>
          </cell>
          <cell r="B794" t="str">
            <v>1800061</v>
          </cell>
          <cell r="G794" t="str">
            <v>Computer TFT</v>
          </cell>
          <cell r="H794">
            <v>0</v>
          </cell>
          <cell r="K794">
            <v>0</v>
          </cell>
          <cell r="L794">
            <v>0</v>
          </cell>
          <cell r="M794">
            <v>0</v>
          </cell>
          <cell r="N794">
            <v>0</v>
          </cell>
          <cell r="O794">
            <v>0</v>
          </cell>
          <cell r="P794">
            <v>0</v>
          </cell>
          <cell r="Q794">
            <v>0</v>
          </cell>
          <cell r="R794">
            <v>0</v>
          </cell>
          <cell r="S794">
            <v>0</v>
          </cell>
          <cell r="T794">
            <v>0</v>
          </cell>
          <cell r="U794">
            <v>0</v>
          </cell>
          <cell r="V794">
            <v>-14567.12</v>
          </cell>
          <cell r="W794">
            <v>0</v>
          </cell>
          <cell r="X794">
            <v>0</v>
          </cell>
          <cell r="Y794">
            <v>0</v>
          </cell>
          <cell r="Z794">
            <v>0</v>
          </cell>
          <cell r="AA794">
            <v>0</v>
          </cell>
          <cell r="AB794">
            <v>51125</v>
          </cell>
          <cell r="AC794">
            <v>0</v>
          </cell>
          <cell r="AD794">
            <v>0</v>
          </cell>
          <cell r="AE794">
            <v>0</v>
          </cell>
          <cell r="AF794">
            <v>0</v>
          </cell>
        </row>
        <row r="795">
          <cell r="A795">
            <v>1800061</v>
          </cell>
          <cell r="H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51125</v>
          </cell>
          <cell r="AC795">
            <v>0</v>
          </cell>
          <cell r="AD795">
            <v>0</v>
          </cell>
          <cell r="AE795">
            <v>0</v>
          </cell>
          <cell r="AF795">
            <v>0</v>
          </cell>
        </row>
        <row r="796">
          <cell r="A796">
            <v>1800061</v>
          </cell>
          <cell r="H796">
            <v>51125</v>
          </cell>
          <cell r="K796">
            <v>0</v>
          </cell>
          <cell r="L796">
            <v>0</v>
          </cell>
          <cell r="M796">
            <v>-14567.12</v>
          </cell>
          <cell r="N796">
            <v>0</v>
          </cell>
          <cell r="O796">
            <v>0</v>
          </cell>
          <cell r="P796">
            <v>0</v>
          </cell>
          <cell r="Q796">
            <v>0</v>
          </cell>
          <cell r="R796">
            <v>0</v>
          </cell>
          <cell r="S796">
            <v>0</v>
          </cell>
          <cell r="T796">
            <v>0</v>
          </cell>
          <cell r="U796">
            <v>0</v>
          </cell>
          <cell r="V796">
            <v>-14623.15</v>
          </cell>
          <cell r="W796">
            <v>0</v>
          </cell>
          <cell r="X796">
            <v>0</v>
          </cell>
          <cell r="Y796">
            <v>0</v>
          </cell>
          <cell r="Z796">
            <v>0</v>
          </cell>
          <cell r="AA796">
            <v>0</v>
          </cell>
          <cell r="AB796">
            <v>0</v>
          </cell>
          <cell r="AC796">
            <v>0</v>
          </cell>
          <cell r="AD796">
            <v>0</v>
          </cell>
          <cell r="AE796">
            <v>0</v>
          </cell>
          <cell r="AF796">
            <v>0</v>
          </cell>
        </row>
        <row r="797">
          <cell r="A797">
            <v>1800061</v>
          </cell>
          <cell r="H797">
            <v>51125</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row>
        <row r="798">
          <cell r="A798">
            <v>1800062</v>
          </cell>
          <cell r="B798" t="str">
            <v>1800062</v>
          </cell>
          <cell r="G798" t="str">
            <v>Computer TFT</v>
          </cell>
          <cell r="H798">
            <v>0</v>
          </cell>
          <cell r="K798">
            <v>0</v>
          </cell>
          <cell r="L798">
            <v>0</v>
          </cell>
          <cell r="M798">
            <v>0</v>
          </cell>
          <cell r="N798">
            <v>0</v>
          </cell>
          <cell r="O798">
            <v>0</v>
          </cell>
          <cell r="P798">
            <v>0</v>
          </cell>
          <cell r="Q798">
            <v>0</v>
          </cell>
          <cell r="R798">
            <v>0</v>
          </cell>
          <cell r="S798">
            <v>0</v>
          </cell>
          <cell r="T798">
            <v>0</v>
          </cell>
          <cell r="U798">
            <v>0</v>
          </cell>
          <cell r="V798">
            <v>-13847.67</v>
          </cell>
          <cell r="W798">
            <v>0</v>
          </cell>
          <cell r="X798">
            <v>0</v>
          </cell>
          <cell r="Y798">
            <v>0</v>
          </cell>
          <cell r="Z798">
            <v>0</v>
          </cell>
          <cell r="AA798">
            <v>0</v>
          </cell>
          <cell r="AB798">
            <v>48600</v>
          </cell>
          <cell r="AC798">
            <v>0</v>
          </cell>
          <cell r="AD798">
            <v>0</v>
          </cell>
          <cell r="AE798">
            <v>0</v>
          </cell>
          <cell r="AF798">
            <v>0</v>
          </cell>
        </row>
        <row r="799">
          <cell r="A799">
            <v>1800062</v>
          </cell>
          <cell r="H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48600</v>
          </cell>
          <cell r="AC799">
            <v>0</v>
          </cell>
          <cell r="AD799">
            <v>0</v>
          </cell>
          <cell r="AE799">
            <v>0</v>
          </cell>
          <cell r="AF799">
            <v>0</v>
          </cell>
        </row>
        <row r="800">
          <cell r="A800">
            <v>1800062</v>
          </cell>
          <cell r="H800">
            <v>48600</v>
          </cell>
          <cell r="K800">
            <v>0</v>
          </cell>
          <cell r="L800">
            <v>0</v>
          </cell>
          <cell r="M800">
            <v>-13847.67</v>
          </cell>
          <cell r="N800">
            <v>0</v>
          </cell>
          <cell r="O800">
            <v>0</v>
          </cell>
          <cell r="P800">
            <v>0</v>
          </cell>
          <cell r="Q800">
            <v>0</v>
          </cell>
          <cell r="R800">
            <v>0</v>
          </cell>
          <cell r="S800">
            <v>0</v>
          </cell>
          <cell r="T800">
            <v>0</v>
          </cell>
          <cell r="U800">
            <v>0</v>
          </cell>
          <cell r="V800">
            <v>-13900.93</v>
          </cell>
          <cell r="W800">
            <v>0</v>
          </cell>
          <cell r="X800">
            <v>0</v>
          </cell>
          <cell r="Y800">
            <v>0</v>
          </cell>
          <cell r="Z800">
            <v>0</v>
          </cell>
          <cell r="AA800">
            <v>0</v>
          </cell>
          <cell r="AB800">
            <v>0</v>
          </cell>
          <cell r="AC800">
            <v>0</v>
          </cell>
          <cell r="AD800">
            <v>0</v>
          </cell>
          <cell r="AE800">
            <v>0</v>
          </cell>
          <cell r="AF800">
            <v>0</v>
          </cell>
        </row>
        <row r="801">
          <cell r="A801">
            <v>1800062</v>
          </cell>
          <cell r="H801">
            <v>48600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row>
        <row r="802">
          <cell r="A802">
            <v>1800063</v>
          </cell>
          <cell r="B802" t="str">
            <v>1800063</v>
          </cell>
          <cell r="G802" t="str">
            <v>Computer TFT</v>
          </cell>
          <cell r="H802">
            <v>0</v>
          </cell>
          <cell r="K802">
            <v>0</v>
          </cell>
          <cell r="L802">
            <v>0</v>
          </cell>
          <cell r="M802">
            <v>0</v>
          </cell>
          <cell r="N802">
            <v>0</v>
          </cell>
          <cell r="O802">
            <v>0</v>
          </cell>
          <cell r="P802">
            <v>0</v>
          </cell>
          <cell r="Q802">
            <v>0</v>
          </cell>
          <cell r="R802">
            <v>0</v>
          </cell>
          <cell r="S802">
            <v>0</v>
          </cell>
          <cell r="T802">
            <v>0</v>
          </cell>
          <cell r="U802">
            <v>0</v>
          </cell>
          <cell r="V802">
            <v>-13847.67</v>
          </cell>
          <cell r="W802">
            <v>0</v>
          </cell>
          <cell r="X802">
            <v>0</v>
          </cell>
          <cell r="Y802">
            <v>0</v>
          </cell>
          <cell r="Z802">
            <v>0</v>
          </cell>
          <cell r="AA802">
            <v>0</v>
          </cell>
          <cell r="AB802">
            <v>48600</v>
          </cell>
          <cell r="AC802">
            <v>0</v>
          </cell>
          <cell r="AD802">
            <v>0</v>
          </cell>
          <cell r="AE802">
            <v>0</v>
          </cell>
          <cell r="AF802">
            <v>0</v>
          </cell>
        </row>
        <row r="803">
          <cell r="A803">
            <v>1800063</v>
          </cell>
          <cell r="H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48600</v>
          </cell>
          <cell r="AC803">
            <v>0</v>
          </cell>
          <cell r="AD803">
            <v>0</v>
          </cell>
          <cell r="AE803">
            <v>0</v>
          </cell>
          <cell r="AF803">
            <v>0</v>
          </cell>
        </row>
        <row r="804">
          <cell r="A804">
            <v>1800063</v>
          </cell>
          <cell r="H804">
            <v>48600</v>
          </cell>
          <cell r="K804">
            <v>0</v>
          </cell>
          <cell r="L804">
            <v>0</v>
          </cell>
          <cell r="M804">
            <v>-13847.67</v>
          </cell>
          <cell r="N804">
            <v>0</v>
          </cell>
          <cell r="O804">
            <v>0</v>
          </cell>
          <cell r="P804">
            <v>0</v>
          </cell>
          <cell r="Q804">
            <v>0</v>
          </cell>
          <cell r="R804">
            <v>0</v>
          </cell>
          <cell r="S804">
            <v>0</v>
          </cell>
          <cell r="T804">
            <v>0</v>
          </cell>
          <cell r="U804">
            <v>0</v>
          </cell>
          <cell r="V804">
            <v>-13900.93</v>
          </cell>
          <cell r="W804">
            <v>0</v>
          </cell>
          <cell r="X804">
            <v>0</v>
          </cell>
          <cell r="Y804">
            <v>0</v>
          </cell>
          <cell r="Z804">
            <v>0</v>
          </cell>
          <cell r="AA804">
            <v>0</v>
          </cell>
          <cell r="AB804">
            <v>0</v>
          </cell>
          <cell r="AC804">
            <v>0</v>
          </cell>
          <cell r="AD804">
            <v>0</v>
          </cell>
          <cell r="AE804">
            <v>0</v>
          </cell>
          <cell r="AF804">
            <v>0</v>
          </cell>
        </row>
        <row r="805">
          <cell r="A805">
            <v>1800063</v>
          </cell>
          <cell r="H805">
            <v>48600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row>
        <row r="806">
          <cell r="A806">
            <v>1800064</v>
          </cell>
          <cell r="B806" t="str">
            <v>1800064</v>
          </cell>
          <cell r="G806" t="str">
            <v>Computer TFT</v>
          </cell>
          <cell r="H806">
            <v>0</v>
          </cell>
          <cell r="K806">
            <v>0</v>
          </cell>
          <cell r="L806">
            <v>0</v>
          </cell>
          <cell r="M806">
            <v>0</v>
          </cell>
          <cell r="N806">
            <v>0</v>
          </cell>
          <cell r="O806">
            <v>0</v>
          </cell>
          <cell r="P806">
            <v>0</v>
          </cell>
          <cell r="Q806">
            <v>0</v>
          </cell>
          <cell r="R806">
            <v>0</v>
          </cell>
          <cell r="S806">
            <v>0</v>
          </cell>
          <cell r="T806">
            <v>0</v>
          </cell>
          <cell r="U806">
            <v>0</v>
          </cell>
          <cell r="V806">
            <v>-14567.12</v>
          </cell>
          <cell r="W806">
            <v>0</v>
          </cell>
          <cell r="X806">
            <v>0</v>
          </cell>
          <cell r="Y806">
            <v>0</v>
          </cell>
          <cell r="Z806">
            <v>0</v>
          </cell>
          <cell r="AA806">
            <v>0</v>
          </cell>
          <cell r="AB806">
            <v>51125</v>
          </cell>
          <cell r="AC806">
            <v>0</v>
          </cell>
          <cell r="AD806">
            <v>0</v>
          </cell>
          <cell r="AE806">
            <v>0</v>
          </cell>
          <cell r="AF806">
            <v>0</v>
          </cell>
        </row>
        <row r="807">
          <cell r="A807">
            <v>1800064</v>
          </cell>
          <cell r="H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51125</v>
          </cell>
          <cell r="AC807">
            <v>0</v>
          </cell>
          <cell r="AD807">
            <v>0</v>
          </cell>
          <cell r="AE807">
            <v>0</v>
          </cell>
          <cell r="AF807">
            <v>0</v>
          </cell>
        </row>
        <row r="808">
          <cell r="A808">
            <v>1800064</v>
          </cell>
          <cell r="H808">
            <v>51125</v>
          </cell>
          <cell r="K808">
            <v>0</v>
          </cell>
          <cell r="L808">
            <v>0</v>
          </cell>
          <cell r="M808">
            <v>-14567.12</v>
          </cell>
          <cell r="N808">
            <v>0</v>
          </cell>
          <cell r="O808">
            <v>0</v>
          </cell>
          <cell r="P808">
            <v>0</v>
          </cell>
          <cell r="Q808">
            <v>0</v>
          </cell>
          <cell r="R808">
            <v>0</v>
          </cell>
          <cell r="S808">
            <v>0</v>
          </cell>
          <cell r="T808">
            <v>0</v>
          </cell>
          <cell r="U808">
            <v>0</v>
          </cell>
          <cell r="V808">
            <v>-14623.15</v>
          </cell>
          <cell r="W808">
            <v>0</v>
          </cell>
          <cell r="X808">
            <v>0</v>
          </cell>
          <cell r="Y808">
            <v>0</v>
          </cell>
          <cell r="Z808">
            <v>0</v>
          </cell>
          <cell r="AA808">
            <v>0</v>
          </cell>
          <cell r="AB808">
            <v>0</v>
          </cell>
          <cell r="AC808">
            <v>0</v>
          </cell>
          <cell r="AD808">
            <v>0</v>
          </cell>
          <cell r="AE808">
            <v>0</v>
          </cell>
          <cell r="AF808">
            <v>0</v>
          </cell>
        </row>
        <row r="809">
          <cell r="A809">
            <v>1800064</v>
          </cell>
          <cell r="H809">
            <v>51125</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row>
        <row r="810">
          <cell r="A810">
            <v>1800065</v>
          </cell>
          <cell r="B810" t="str">
            <v>1800065</v>
          </cell>
          <cell r="G810" t="str">
            <v>Computer TFT</v>
          </cell>
          <cell r="H810">
            <v>0</v>
          </cell>
          <cell r="K810">
            <v>0</v>
          </cell>
          <cell r="L810">
            <v>0</v>
          </cell>
          <cell r="M810">
            <v>0</v>
          </cell>
          <cell r="N810">
            <v>0</v>
          </cell>
          <cell r="O810">
            <v>0</v>
          </cell>
          <cell r="P810">
            <v>0</v>
          </cell>
          <cell r="Q810">
            <v>0</v>
          </cell>
          <cell r="R810">
            <v>0</v>
          </cell>
          <cell r="S810">
            <v>0</v>
          </cell>
          <cell r="T810">
            <v>0</v>
          </cell>
          <cell r="U810">
            <v>0</v>
          </cell>
          <cell r="V810">
            <v>-13847.67</v>
          </cell>
          <cell r="W810">
            <v>0</v>
          </cell>
          <cell r="X810">
            <v>0</v>
          </cell>
          <cell r="Y810">
            <v>0</v>
          </cell>
          <cell r="Z810">
            <v>0</v>
          </cell>
          <cell r="AA810">
            <v>0</v>
          </cell>
          <cell r="AB810">
            <v>48600</v>
          </cell>
          <cell r="AC810">
            <v>0</v>
          </cell>
          <cell r="AD810">
            <v>0</v>
          </cell>
          <cell r="AE810">
            <v>0</v>
          </cell>
          <cell r="AF810">
            <v>0</v>
          </cell>
        </row>
        <row r="811">
          <cell r="A811">
            <v>1800065</v>
          </cell>
          <cell r="H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48600</v>
          </cell>
          <cell r="AC811">
            <v>0</v>
          </cell>
          <cell r="AD811">
            <v>0</v>
          </cell>
          <cell r="AE811">
            <v>0</v>
          </cell>
          <cell r="AF811">
            <v>0</v>
          </cell>
        </row>
        <row r="812">
          <cell r="A812">
            <v>1800065</v>
          </cell>
          <cell r="H812">
            <v>48600</v>
          </cell>
          <cell r="K812">
            <v>0</v>
          </cell>
          <cell r="L812">
            <v>0</v>
          </cell>
          <cell r="M812">
            <v>-13847.67</v>
          </cell>
          <cell r="N812">
            <v>0</v>
          </cell>
          <cell r="O812">
            <v>0</v>
          </cell>
          <cell r="P812">
            <v>0</v>
          </cell>
          <cell r="Q812">
            <v>0</v>
          </cell>
          <cell r="R812">
            <v>0</v>
          </cell>
          <cell r="S812">
            <v>0</v>
          </cell>
          <cell r="T812">
            <v>0</v>
          </cell>
          <cell r="U812">
            <v>0</v>
          </cell>
          <cell r="V812">
            <v>-13900.93</v>
          </cell>
          <cell r="W812">
            <v>0</v>
          </cell>
          <cell r="X812">
            <v>0</v>
          </cell>
          <cell r="Y812">
            <v>0</v>
          </cell>
          <cell r="Z812">
            <v>0</v>
          </cell>
          <cell r="AA812">
            <v>0</v>
          </cell>
          <cell r="AB812">
            <v>0</v>
          </cell>
          <cell r="AC812">
            <v>0</v>
          </cell>
          <cell r="AD812">
            <v>0</v>
          </cell>
          <cell r="AE812">
            <v>0</v>
          </cell>
          <cell r="AF812">
            <v>0</v>
          </cell>
        </row>
        <row r="813">
          <cell r="A813">
            <v>1800065</v>
          </cell>
          <cell r="H813">
            <v>48600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row>
        <row r="814">
          <cell r="A814">
            <v>1800066</v>
          </cell>
          <cell r="B814" t="str">
            <v>1800066</v>
          </cell>
          <cell r="G814" t="str">
            <v>Computer TFT</v>
          </cell>
          <cell r="H814">
            <v>0</v>
          </cell>
          <cell r="K814">
            <v>0</v>
          </cell>
          <cell r="L814">
            <v>0</v>
          </cell>
          <cell r="M814">
            <v>0</v>
          </cell>
          <cell r="N814">
            <v>0</v>
          </cell>
          <cell r="O814">
            <v>0</v>
          </cell>
          <cell r="P814">
            <v>0</v>
          </cell>
          <cell r="Q814">
            <v>0</v>
          </cell>
          <cell r="R814">
            <v>0</v>
          </cell>
          <cell r="S814">
            <v>0</v>
          </cell>
          <cell r="T814">
            <v>0</v>
          </cell>
          <cell r="U814">
            <v>0</v>
          </cell>
          <cell r="V814">
            <v>-13847.67</v>
          </cell>
          <cell r="W814">
            <v>0</v>
          </cell>
          <cell r="X814">
            <v>0</v>
          </cell>
          <cell r="Y814">
            <v>0</v>
          </cell>
          <cell r="Z814">
            <v>0</v>
          </cell>
          <cell r="AA814">
            <v>0</v>
          </cell>
          <cell r="AB814">
            <v>48600</v>
          </cell>
          <cell r="AC814">
            <v>0</v>
          </cell>
          <cell r="AD814">
            <v>0</v>
          </cell>
          <cell r="AE814">
            <v>0</v>
          </cell>
          <cell r="AF814">
            <v>0</v>
          </cell>
        </row>
        <row r="815">
          <cell r="A815">
            <v>1800066</v>
          </cell>
          <cell r="H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48600</v>
          </cell>
          <cell r="AC815">
            <v>0</v>
          </cell>
          <cell r="AD815">
            <v>0</v>
          </cell>
          <cell r="AE815">
            <v>0</v>
          </cell>
          <cell r="AF815">
            <v>0</v>
          </cell>
        </row>
        <row r="816">
          <cell r="A816">
            <v>1800066</v>
          </cell>
          <cell r="H816">
            <v>48600</v>
          </cell>
          <cell r="K816">
            <v>0</v>
          </cell>
          <cell r="L816">
            <v>0</v>
          </cell>
          <cell r="M816">
            <v>-13847.67</v>
          </cell>
          <cell r="N816">
            <v>0</v>
          </cell>
          <cell r="O816">
            <v>0</v>
          </cell>
          <cell r="P816">
            <v>0</v>
          </cell>
          <cell r="Q816">
            <v>0</v>
          </cell>
          <cell r="R816">
            <v>0</v>
          </cell>
          <cell r="S816">
            <v>0</v>
          </cell>
          <cell r="T816">
            <v>0</v>
          </cell>
          <cell r="U816">
            <v>0</v>
          </cell>
          <cell r="V816">
            <v>-13900.93</v>
          </cell>
          <cell r="W816">
            <v>0</v>
          </cell>
          <cell r="X816">
            <v>0</v>
          </cell>
          <cell r="Y816">
            <v>0</v>
          </cell>
          <cell r="Z816">
            <v>0</v>
          </cell>
          <cell r="AA816">
            <v>0</v>
          </cell>
          <cell r="AB816">
            <v>0</v>
          </cell>
          <cell r="AC816">
            <v>0</v>
          </cell>
          <cell r="AD816">
            <v>0</v>
          </cell>
          <cell r="AE816">
            <v>0</v>
          </cell>
          <cell r="AF816">
            <v>0</v>
          </cell>
        </row>
        <row r="817">
          <cell r="A817">
            <v>1800066</v>
          </cell>
          <cell r="H817">
            <v>48600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row>
        <row r="818">
          <cell r="A818">
            <v>1800067</v>
          </cell>
          <cell r="B818" t="str">
            <v>1800067</v>
          </cell>
          <cell r="G818" t="str">
            <v>Computer TFT</v>
          </cell>
          <cell r="H818">
            <v>0</v>
          </cell>
          <cell r="K818">
            <v>0</v>
          </cell>
          <cell r="L818">
            <v>0</v>
          </cell>
          <cell r="M818">
            <v>0</v>
          </cell>
          <cell r="N818">
            <v>0</v>
          </cell>
          <cell r="O818">
            <v>0</v>
          </cell>
          <cell r="P818">
            <v>0</v>
          </cell>
          <cell r="Q818">
            <v>0</v>
          </cell>
          <cell r="R818">
            <v>0</v>
          </cell>
          <cell r="S818">
            <v>0</v>
          </cell>
          <cell r="T818">
            <v>0</v>
          </cell>
          <cell r="U818">
            <v>0</v>
          </cell>
          <cell r="V818">
            <v>-15991.78</v>
          </cell>
          <cell r="W818">
            <v>0</v>
          </cell>
          <cell r="X818">
            <v>0</v>
          </cell>
          <cell r="Y818">
            <v>0</v>
          </cell>
          <cell r="Z818">
            <v>0</v>
          </cell>
          <cell r="AA818">
            <v>0</v>
          </cell>
          <cell r="AB818">
            <v>56125</v>
          </cell>
          <cell r="AC818">
            <v>0</v>
          </cell>
          <cell r="AD818">
            <v>0</v>
          </cell>
          <cell r="AE818">
            <v>0</v>
          </cell>
          <cell r="AF818">
            <v>0</v>
          </cell>
        </row>
        <row r="819">
          <cell r="A819">
            <v>1800067</v>
          </cell>
          <cell r="H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56125</v>
          </cell>
          <cell r="AC819">
            <v>0</v>
          </cell>
          <cell r="AD819">
            <v>0</v>
          </cell>
          <cell r="AE819">
            <v>0</v>
          </cell>
          <cell r="AF819">
            <v>0</v>
          </cell>
        </row>
        <row r="820">
          <cell r="A820">
            <v>1800067</v>
          </cell>
          <cell r="H820">
            <v>56125</v>
          </cell>
          <cell r="K820">
            <v>0</v>
          </cell>
          <cell r="L820">
            <v>0</v>
          </cell>
          <cell r="M820">
            <v>-15991.78</v>
          </cell>
          <cell r="N820">
            <v>0</v>
          </cell>
          <cell r="O820">
            <v>0</v>
          </cell>
          <cell r="P820">
            <v>0</v>
          </cell>
          <cell r="Q820">
            <v>0</v>
          </cell>
          <cell r="R820">
            <v>0</v>
          </cell>
          <cell r="S820">
            <v>0</v>
          </cell>
          <cell r="T820">
            <v>0</v>
          </cell>
          <cell r="U820">
            <v>0</v>
          </cell>
          <cell r="V820">
            <v>-16053.29</v>
          </cell>
          <cell r="W820">
            <v>0</v>
          </cell>
          <cell r="X820">
            <v>0</v>
          </cell>
          <cell r="Y820">
            <v>0</v>
          </cell>
          <cell r="Z820">
            <v>0</v>
          </cell>
          <cell r="AA820">
            <v>0</v>
          </cell>
          <cell r="AB820">
            <v>0</v>
          </cell>
          <cell r="AC820">
            <v>0</v>
          </cell>
          <cell r="AD820">
            <v>0</v>
          </cell>
          <cell r="AE820">
            <v>0</v>
          </cell>
          <cell r="AF820">
            <v>0</v>
          </cell>
        </row>
        <row r="821">
          <cell r="A821">
            <v>1800067</v>
          </cell>
          <cell r="H821">
            <v>56125</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row>
        <row r="822">
          <cell r="A822">
            <v>1800068</v>
          </cell>
          <cell r="B822" t="str">
            <v>1800068</v>
          </cell>
          <cell r="G822" t="str">
            <v>Computer TFT</v>
          </cell>
          <cell r="H822">
            <v>0</v>
          </cell>
          <cell r="K822">
            <v>0</v>
          </cell>
          <cell r="L822">
            <v>0</v>
          </cell>
          <cell r="M822">
            <v>0</v>
          </cell>
          <cell r="N822">
            <v>0</v>
          </cell>
          <cell r="O822">
            <v>0</v>
          </cell>
          <cell r="P822">
            <v>0</v>
          </cell>
          <cell r="Q822">
            <v>0</v>
          </cell>
          <cell r="R822">
            <v>0</v>
          </cell>
          <cell r="S822">
            <v>0</v>
          </cell>
          <cell r="T822">
            <v>0</v>
          </cell>
          <cell r="U822">
            <v>0</v>
          </cell>
          <cell r="V822">
            <v>-15991.78</v>
          </cell>
          <cell r="W822">
            <v>0</v>
          </cell>
          <cell r="X822">
            <v>0</v>
          </cell>
          <cell r="Y822">
            <v>0</v>
          </cell>
          <cell r="Z822">
            <v>0</v>
          </cell>
          <cell r="AA822">
            <v>0</v>
          </cell>
          <cell r="AB822">
            <v>56125</v>
          </cell>
          <cell r="AC822">
            <v>0</v>
          </cell>
          <cell r="AD822">
            <v>0</v>
          </cell>
          <cell r="AE822">
            <v>0</v>
          </cell>
          <cell r="AF822">
            <v>0</v>
          </cell>
        </row>
        <row r="823">
          <cell r="A823">
            <v>1800068</v>
          </cell>
          <cell r="H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56125</v>
          </cell>
          <cell r="AC823">
            <v>0</v>
          </cell>
          <cell r="AD823">
            <v>0</v>
          </cell>
          <cell r="AE823">
            <v>0</v>
          </cell>
          <cell r="AF823">
            <v>0</v>
          </cell>
        </row>
        <row r="824">
          <cell r="A824">
            <v>1800068</v>
          </cell>
          <cell r="H824">
            <v>56125</v>
          </cell>
          <cell r="K824">
            <v>0</v>
          </cell>
          <cell r="L824">
            <v>0</v>
          </cell>
          <cell r="M824">
            <v>-15991.78</v>
          </cell>
          <cell r="N824">
            <v>0</v>
          </cell>
          <cell r="O824">
            <v>0</v>
          </cell>
          <cell r="P824">
            <v>0</v>
          </cell>
          <cell r="Q824">
            <v>0</v>
          </cell>
          <cell r="R824">
            <v>0</v>
          </cell>
          <cell r="S824">
            <v>0</v>
          </cell>
          <cell r="T824">
            <v>0</v>
          </cell>
          <cell r="U824">
            <v>0</v>
          </cell>
          <cell r="V824">
            <v>-16053.29</v>
          </cell>
          <cell r="W824">
            <v>0</v>
          </cell>
          <cell r="X824">
            <v>0</v>
          </cell>
          <cell r="Y824">
            <v>0</v>
          </cell>
          <cell r="Z824">
            <v>0</v>
          </cell>
          <cell r="AA824">
            <v>0</v>
          </cell>
          <cell r="AB824">
            <v>0</v>
          </cell>
          <cell r="AC824">
            <v>0</v>
          </cell>
          <cell r="AD824">
            <v>0</v>
          </cell>
          <cell r="AE824">
            <v>0</v>
          </cell>
          <cell r="AF824">
            <v>0</v>
          </cell>
        </row>
        <row r="825">
          <cell r="A825">
            <v>1800068</v>
          </cell>
          <cell r="H825">
            <v>56125</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row>
        <row r="826">
          <cell r="A826">
            <v>1800069</v>
          </cell>
          <cell r="B826" t="str">
            <v>1800069</v>
          </cell>
          <cell r="G826" t="str">
            <v>Network Laser Jet Printer</v>
          </cell>
          <cell r="H826">
            <v>0</v>
          </cell>
          <cell r="K826">
            <v>0</v>
          </cell>
          <cell r="L826">
            <v>0</v>
          </cell>
          <cell r="M826">
            <v>0</v>
          </cell>
          <cell r="N826">
            <v>0</v>
          </cell>
          <cell r="O826">
            <v>0</v>
          </cell>
          <cell r="P826">
            <v>0</v>
          </cell>
          <cell r="Q826">
            <v>0</v>
          </cell>
          <cell r="R826">
            <v>0</v>
          </cell>
          <cell r="S826">
            <v>0</v>
          </cell>
          <cell r="T826">
            <v>0</v>
          </cell>
          <cell r="U826">
            <v>0</v>
          </cell>
          <cell r="V826">
            <v>-13391.78</v>
          </cell>
          <cell r="W826">
            <v>0</v>
          </cell>
          <cell r="X826">
            <v>0</v>
          </cell>
          <cell r="Y826">
            <v>0</v>
          </cell>
          <cell r="Z826">
            <v>0</v>
          </cell>
          <cell r="AA826">
            <v>0</v>
          </cell>
          <cell r="AB826">
            <v>47000</v>
          </cell>
          <cell r="AC826">
            <v>0</v>
          </cell>
          <cell r="AD826">
            <v>0</v>
          </cell>
          <cell r="AE826">
            <v>0</v>
          </cell>
          <cell r="AF826">
            <v>0</v>
          </cell>
        </row>
        <row r="827">
          <cell r="A827">
            <v>1800069</v>
          </cell>
          <cell r="H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47000</v>
          </cell>
          <cell r="AC827">
            <v>0</v>
          </cell>
          <cell r="AD827">
            <v>0</v>
          </cell>
          <cell r="AE827">
            <v>0</v>
          </cell>
          <cell r="AF827">
            <v>0</v>
          </cell>
        </row>
        <row r="828">
          <cell r="A828">
            <v>1800069</v>
          </cell>
          <cell r="H828">
            <v>47000</v>
          </cell>
          <cell r="K828">
            <v>0</v>
          </cell>
          <cell r="L828">
            <v>0</v>
          </cell>
          <cell r="M828">
            <v>-13391.78</v>
          </cell>
          <cell r="N828">
            <v>0</v>
          </cell>
          <cell r="O828">
            <v>0</v>
          </cell>
          <cell r="P828">
            <v>0</v>
          </cell>
          <cell r="Q828">
            <v>0</v>
          </cell>
          <cell r="R828">
            <v>0</v>
          </cell>
          <cell r="S828">
            <v>0</v>
          </cell>
          <cell r="T828">
            <v>0</v>
          </cell>
          <cell r="U828">
            <v>0</v>
          </cell>
          <cell r="V828">
            <v>-13443.29</v>
          </cell>
          <cell r="W828">
            <v>0</v>
          </cell>
          <cell r="X828">
            <v>0</v>
          </cell>
          <cell r="Y828">
            <v>0</v>
          </cell>
          <cell r="Z828">
            <v>0</v>
          </cell>
          <cell r="AA828">
            <v>0</v>
          </cell>
          <cell r="AB828">
            <v>0</v>
          </cell>
          <cell r="AC828">
            <v>0</v>
          </cell>
          <cell r="AD828">
            <v>0</v>
          </cell>
          <cell r="AE828">
            <v>0</v>
          </cell>
          <cell r="AF828">
            <v>0</v>
          </cell>
        </row>
        <row r="829">
          <cell r="A829">
            <v>1800069</v>
          </cell>
          <cell r="H829">
            <v>47000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row>
        <row r="830">
          <cell r="A830">
            <v>1800070</v>
          </cell>
          <cell r="B830" t="str">
            <v>1800070</v>
          </cell>
          <cell r="G830" t="str">
            <v>DVD WRITER (10MEGA EXTERNAL)</v>
          </cell>
          <cell r="H830">
            <v>0</v>
          </cell>
          <cell r="K830">
            <v>0</v>
          </cell>
          <cell r="L830">
            <v>0</v>
          </cell>
          <cell r="M830">
            <v>0</v>
          </cell>
          <cell r="N830">
            <v>0</v>
          </cell>
          <cell r="O830">
            <v>0</v>
          </cell>
          <cell r="P830">
            <v>0</v>
          </cell>
          <cell r="Q830">
            <v>0</v>
          </cell>
          <cell r="R830">
            <v>0</v>
          </cell>
          <cell r="S830">
            <v>0</v>
          </cell>
          <cell r="T830">
            <v>0</v>
          </cell>
          <cell r="U830">
            <v>0</v>
          </cell>
          <cell r="V830">
            <v>-2644.16</v>
          </cell>
          <cell r="W830">
            <v>0</v>
          </cell>
          <cell r="X830">
            <v>0</v>
          </cell>
          <cell r="Y830">
            <v>0</v>
          </cell>
          <cell r="Z830">
            <v>0</v>
          </cell>
          <cell r="AA830">
            <v>0</v>
          </cell>
          <cell r="AB830">
            <v>11600</v>
          </cell>
          <cell r="AC830">
            <v>0</v>
          </cell>
          <cell r="AD830">
            <v>0</v>
          </cell>
          <cell r="AE830">
            <v>0</v>
          </cell>
          <cell r="AF830">
            <v>0</v>
          </cell>
        </row>
        <row r="831">
          <cell r="A831">
            <v>1800070</v>
          </cell>
          <cell r="H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11600</v>
          </cell>
          <cell r="AC831">
            <v>0</v>
          </cell>
          <cell r="AD831">
            <v>0</v>
          </cell>
          <cell r="AE831">
            <v>0</v>
          </cell>
          <cell r="AF831">
            <v>0</v>
          </cell>
        </row>
        <row r="832">
          <cell r="A832">
            <v>1800070</v>
          </cell>
          <cell r="H832">
            <v>11600</v>
          </cell>
          <cell r="K832">
            <v>0</v>
          </cell>
          <cell r="L832">
            <v>0</v>
          </cell>
          <cell r="M832">
            <v>-2644.16</v>
          </cell>
          <cell r="N832">
            <v>0</v>
          </cell>
          <cell r="O832">
            <v>0</v>
          </cell>
          <cell r="P832">
            <v>0</v>
          </cell>
          <cell r="Q832">
            <v>0</v>
          </cell>
          <cell r="R832">
            <v>0</v>
          </cell>
          <cell r="S832">
            <v>0</v>
          </cell>
          <cell r="T832">
            <v>0</v>
          </cell>
          <cell r="U832">
            <v>0</v>
          </cell>
          <cell r="V832">
            <v>-3582.34</v>
          </cell>
          <cell r="W832">
            <v>0</v>
          </cell>
          <cell r="X832">
            <v>0</v>
          </cell>
          <cell r="Y832">
            <v>0</v>
          </cell>
          <cell r="Z832">
            <v>0</v>
          </cell>
          <cell r="AA832">
            <v>0</v>
          </cell>
          <cell r="AB832">
            <v>0</v>
          </cell>
          <cell r="AC832">
            <v>0</v>
          </cell>
          <cell r="AD832">
            <v>0</v>
          </cell>
          <cell r="AE832">
            <v>0</v>
          </cell>
          <cell r="AF832">
            <v>0</v>
          </cell>
        </row>
        <row r="833">
          <cell r="A833">
            <v>1800070</v>
          </cell>
          <cell r="H833">
            <v>11600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row>
        <row r="834">
          <cell r="A834">
            <v>1800071</v>
          </cell>
          <cell r="B834" t="str">
            <v>1800071</v>
          </cell>
          <cell r="G834" t="str">
            <v>ASSEMBLE COMPUTER</v>
          </cell>
          <cell r="H834">
            <v>0</v>
          </cell>
          <cell r="K834">
            <v>0</v>
          </cell>
          <cell r="L834">
            <v>0</v>
          </cell>
          <cell r="M834">
            <v>0</v>
          </cell>
          <cell r="N834">
            <v>0</v>
          </cell>
          <cell r="O834">
            <v>0</v>
          </cell>
          <cell r="P834">
            <v>0</v>
          </cell>
          <cell r="Q834">
            <v>0</v>
          </cell>
          <cell r="R834">
            <v>0</v>
          </cell>
          <cell r="S834">
            <v>0</v>
          </cell>
          <cell r="T834">
            <v>0</v>
          </cell>
          <cell r="U834">
            <v>0</v>
          </cell>
          <cell r="V834">
            <v>-7247.1</v>
          </cell>
          <cell r="W834">
            <v>0</v>
          </cell>
          <cell r="X834">
            <v>0</v>
          </cell>
          <cell r="Y834">
            <v>0</v>
          </cell>
          <cell r="Z834">
            <v>0</v>
          </cell>
          <cell r="AA834">
            <v>0</v>
          </cell>
          <cell r="AB834">
            <v>22725</v>
          </cell>
          <cell r="AC834">
            <v>0</v>
          </cell>
          <cell r="AD834">
            <v>0</v>
          </cell>
          <cell r="AE834">
            <v>0</v>
          </cell>
          <cell r="AF834">
            <v>0</v>
          </cell>
        </row>
        <row r="835">
          <cell r="A835">
            <v>1800071</v>
          </cell>
          <cell r="H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22725</v>
          </cell>
          <cell r="AC835">
            <v>0</v>
          </cell>
          <cell r="AD835">
            <v>0</v>
          </cell>
          <cell r="AE835">
            <v>0</v>
          </cell>
          <cell r="AF835">
            <v>0</v>
          </cell>
        </row>
        <row r="836">
          <cell r="A836">
            <v>1800071</v>
          </cell>
          <cell r="H836">
            <v>22725</v>
          </cell>
          <cell r="K836">
            <v>0</v>
          </cell>
          <cell r="L836">
            <v>0</v>
          </cell>
          <cell r="M836">
            <v>-7247.1</v>
          </cell>
          <cell r="N836">
            <v>0</v>
          </cell>
          <cell r="O836">
            <v>0</v>
          </cell>
          <cell r="P836">
            <v>0</v>
          </cell>
          <cell r="Q836">
            <v>0</v>
          </cell>
          <cell r="R836">
            <v>0</v>
          </cell>
          <cell r="S836">
            <v>0</v>
          </cell>
          <cell r="T836">
            <v>0</v>
          </cell>
          <cell r="U836">
            <v>0</v>
          </cell>
          <cell r="V836">
            <v>-6191.16</v>
          </cell>
          <cell r="W836">
            <v>0</v>
          </cell>
          <cell r="X836">
            <v>0</v>
          </cell>
          <cell r="Y836">
            <v>0</v>
          </cell>
          <cell r="Z836">
            <v>0</v>
          </cell>
          <cell r="AA836">
            <v>0</v>
          </cell>
          <cell r="AB836">
            <v>0</v>
          </cell>
          <cell r="AC836">
            <v>0</v>
          </cell>
          <cell r="AD836">
            <v>0</v>
          </cell>
          <cell r="AE836">
            <v>0</v>
          </cell>
          <cell r="AF836">
            <v>0</v>
          </cell>
        </row>
        <row r="837">
          <cell r="A837">
            <v>1800071</v>
          </cell>
          <cell r="H837">
            <v>22725</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row>
        <row r="838">
          <cell r="A838">
            <v>1800072</v>
          </cell>
          <cell r="B838" t="str">
            <v>1800072</v>
          </cell>
          <cell r="G838" t="str">
            <v>HP OJ 5510 ALL IN ONE</v>
          </cell>
        </row>
        <row r="839">
          <cell r="A839">
            <v>1800073</v>
          </cell>
          <cell r="B839" t="str">
            <v>1800073</v>
          </cell>
          <cell r="G839" t="str">
            <v>LAPTOP A80 P 432</v>
          </cell>
          <cell r="H839">
            <v>0</v>
          </cell>
          <cell r="K839">
            <v>0</v>
          </cell>
          <cell r="L839">
            <v>0</v>
          </cell>
          <cell r="M839">
            <v>0</v>
          </cell>
          <cell r="N839">
            <v>0</v>
          </cell>
          <cell r="O839">
            <v>0</v>
          </cell>
          <cell r="P839">
            <v>0</v>
          </cell>
          <cell r="Q839">
            <v>0</v>
          </cell>
          <cell r="R839">
            <v>0</v>
          </cell>
          <cell r="S839">
            <v>0</v>
          </cell>
          <cell r="T839">
            <v>0</v>
          </cell>
          <cell r="U839">
            <v>0</v>
          </cell>
          <cell r="V839">
            <v>-6129.86</v>
          </cell>
          <cell r="W839">
            <v>0</v>
          </cell>
          <cell r="X839">
            <v>0</v>
          </cell>
          <cell r="Y839">
            <v>0</v>
          </cell>
          <cell r="Z839">
            <v>0</v>
          </cell>
          <cell r="AA839">
            <v>0</v>
          </cell>
          <cell r="AB839">
            <v>49500</v>
          </cell>
          <cell r="AC839">
            <v>0</v>
          </cell>
          <cell r="AD839">
            <v>0</v>
          </cell>
          <cell r="AE839">
            <v>0</v>
          </cell>
          <cell r="AF839">
            <v>0</v>
          </cell>
        </row>
        <row r="840">
          <cell r="A840">
            <v>1800073</v>
          </cell>
          <cell r="H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49500</v>
          </cell>
          <cell r="AC840">
            <v>0</v>
          </cell>
          <cell r="AD840">
            <v>0</v>
          </cell>
          <cell r="AE840">
            <v>0</v>
          </cell>
          <cell r="AF840">
            <v>0</v>
          </cell>
        </row>
        <row r="841">
          <cell r="A841">
            <v>1800073</v>
          </cell>
          <cell r="H841">
            <v>49500</v>
          </cell>
          <cell r="K841">
            <v>0</v>
          </cell>
          <cell r="L841">
            <v>0</v>
          </cell>
          <cell r="M841">
            <v>-6129.86</v>
          </cell>
          <cell r="N841">
            <v>0</v>
          </cell>
          <cell r="O841">
            <v>0</v>
          </cell>
          <cell r="P841">
            <v>0</v>
          </cell>
          <cell r="Q841">
            <v>0</v>
          </cell>
          <cell r="R841">
            <v>0</v>
          </cell>
          <cell r="S841">
            <v>0</v>
          </cell>
          <cell r="T841">
            <v>0</v>
          </cell>
          <cell r="U841">
            <v>0</v>
          </cell>
          <cell r="V841">
            <v>-17348.060000000001</v>
          </cell>
          <cell r="W841">
            <v>0</v>
          </cell>
          <cell r="X841">
            <v>0</v>
          </cell>
          <cell r="Y841">
            <v>0</v>
          </cell>
          <cell r="Z841">
            <v>0</v>
          </cell>
          <cell r="AA841">
            <v>0</v>
          </cell>
          <cell r="AB841">
            <v>0</v>
          </cell>
          <cell r="AC841">
            <v>0</v>
          </cell>
          <cell r="AD841">
            <v>0</v>
          </cell>
          <cell r="AE841">
            <v>0</v>
          </cell>
          <cell r="AF841">
            <v>0</v>
          </cell>
        </row>
        <row r="842">
          <cell r="A842">
            <v>1800073</v>
          </cell>
          <cell r="H842">
            <v>49500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row>
        <row r="843">
          <cell r="A843">
            <v>1800074</v>
          </cell>
          <cell r="B843" t="str">
            <v>1800074</v>
          </cell>
          <cell r="G843" t="str">
            <v>PEN DRIVE</v>
          </cell>
          <cell r="H843">
            <v>0</v>
          </cell>
          <cell r="K843">
            <v>0</v>
          </cell>
          <cell r="L843">
            <v>0</v>
          </cell>
          <cell r="M843">
            <v>0</v>
          </cell>
          <cell r="N843">
            <v>0</v>
          </cell>
          <cell r="O843">
            <v>0</v>
          </cell>
          <cell r="P843">
            <v>0</v>
          </cell>
          <cell r="Q843">
            <v>0</v>
          </cell>
          <cell r="R843">
            <v>0</v>
          </cell>
          <cell r="S843">
            <v>0</v>
          </cell>
          <cell r="T843">
            <v>0</v>
          </cell>
          <cell r="U843">
            <v>0</v>
          </cell>
          <cell r="V843">
            <v>-743.56</v>
          </cell>
          <cell r="W843">
            <v>0</v>
          </cell>
          <cell r="X843">
            <v>0</v>
          </cell>
          <cell r="Y843">
            <v>0</v>
          </cell>
          <cell r="Z843">
            <v>0</v>
          </cell>
          <cell r="AA843">
            <v>0</v>
          </cell>
          <cell r="AB843">
            <v>5900</v>
          </cell>
          <cell r="AC843">
            <v>0</v>
          </cell>
          <cell r="AD843">
            <v>0</v>
          </cell>
          <cell r="AE843">
            <v>0</v>
          </cell>
          <cell r="AF843">
            <v>0</v>
          </cell>
        </row>
        <row r="844">
          <cell r="A844">
            <v>1800074</v>
          </cell>
          <cell r="H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5900</v>
          </cell>
          <cell r="AC844">
            <v>0</v>
          </cell>
          <cell r="AD844">
            <v>0</v>
          </cell>
          <cell r="AE844">
            <v>0</v>
          </cell>
          <cell r="AF844">
            <v>0</v>
          </cell>
        </row>
        <row r="845">
          <cell r="A845">
            <v>1800074</v>
          </cell>
          <cell r="H845">
            <v>5900</v>
          </cell>
          <cell r="K845">
            <v>0</v>
          </cell>
          <cell r="L845">
            <v>0</v>
          </cell>
          <cell r="M845">
            <v>-743.56</v>
          </cell>
          <cell r="N845">
            <v>0</v>
          </cell>
          <cell r="O845">
            <v>0</v>
          </cell>
          <cell r="P845">
            <v>0</v>
          </cell>
          <cell r="Q845">
            <v>0</v>
          </cell>
          <cell r="R845">
            <v>0</v>
          </cell>
          <cell r="S845">
            <v>0</v>
          </cell>
          <cell r="T845">
            <v>0</v>
          </cell>
          <cell r="U845">
            <v>0</v>
          </cell>
          <cell r="V845">
            <v>-2062.58</v>
          </cell>
          <cell r="W845">
            <v>0</v>
          </cell>
          <cell r="X845">
            <v>0</v>
          </cell>
          <cell r="Y845">
            <v>0</v>
          </cell>
          <cell r="Z845">
            <v>0</v>
          </cell>
          <cell r="AA845">
            <v>0</v>
          </cell>
          <cell r="AB845">
            <v>0</v>
          </cell>
          <cell r="AC845">
            <v>0</v>
          </cell>
          <cell r="AD845">
            <v>0</v>
          </cell>
          <cell r="AE845">
            <v>0</v>
          </cell>
          <cell r="AF845">
            <v>0</v>
          </cell>
        </row>
        <row r="846">
          <cell r="A846">
            <v>1800074</v>
          </cell>
          <cell r="H846">
            <v>5900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row>
        <row r="847">
          <cell r="A847">
            <v>1800075</v>
          </cell>
          <cell r="B847" t="str">
            <v>1800075</v>
          </cell>
          <cell r="G847" t="str">
            <v>Laptop A80 P 432</v>
          </cell>
          <cell r="H847">
            <v>0</v>
          </cell>
          <cell r="K847">
            <v>0</v>
          </cell>
          <cell r="L847">
            <v>0</v>
          </cell>
          <cell r="M847">
            <v>0</v>
          </cell>
          <cell r="N847">
            <v>0</v>
          </cell>
          <cell r="O847">
            <v>0</v>
          </cell>
          <cell r="P847">
            <v>0</v>
          </cell>
          <cell r="Q847">
            <v>0</v>
          </cell>
          <cell r="R847">
            <v>0</v>
          </cell>
          <cell r="S847">
            <v>0</v>
          </cell>
          <cell r="T847">
            <v>0</v>
          </cell>
          <cell r="U847">
            <v>0</v>
          </cell>
          <cell r="V847">
            <v>-4448.22</v>
          </cell>
          <cell r="W847">
            <v>0</v>
          </cell>
          <cell r="X847">
            <v>0</v>
          </cell>
          <cell r="Y847">
            <v>0</v>
          </cell>
          <cell r="Z847">
            <v>0</v>
          </cell>
          <cell r="AA847">
            <v>0</v>
          </cell>
          <cell r="AB847">
            <v>49500</v>
          </cell>
          <cell r="AC847">
            <v>0</v>
          </cell>
          <cell r="AD847">
            <v>0</v>
          </cell>
          <cell r="AE847">
            <v>0</v>
          </cell>
          <cell r="AF847">
            <v>0</v>
          </cell>
        </row>
        <row r="848">
          <cell r="A848">
            <v>1800075</v>
          </cell>
          <cell r="H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49500</v>
          </cell>
          <cell r="AC848">
            <v>0</v>
          </cell>
          <cell r="AD848">
            <v>0</v>
          </cell>
          <cell r="AE848">
            <v>0</v>
          </cell>
          <cell r="AF848">
            <v>0</v>
          </cell>
        </row>
        <row r="849">
          <cell r="A849">
            <v>1800075</v>
          </cell>
          <cell r="H849">
            <v>49500</v>
          </cell>
          <cell r="K849">
            <v>0</v>
          </cell>
          <cell r="L849">
            <v>0</v>
          </cell>
          <cell r="M849">
            <v>-4448.22</v>
          </cell>
          <cell r="N849">
            <v>0</v>
          </cell>
          <cell r="O849">
            <v>0</v>
          </cell>
          <cell r="P849">
            <v>0</v>
          </cell>
          <cell r="Q849">
            <v>0</v>
          </cell>
          <cell r="R849">
            <v>0</v>
          </cell>
          <cell r="S849">
            <v>0</v>
          </cell>
          <cell r="T849">
            <v>0</v>
          </cell>
          <cell r="U849">
            <v>0</v>
          </cell>
          <cell r="V849">
            <v>-18020.71</v>
          </cell>
          <cell r="W849">
            <v>0</v>
          </cell>
          <cell r="X849">
            <v>0</v>
          </cell>
          <cell r="Y849">
            <v>0</v>
          </cell>
          <cell r="Z849">
            <v>0</v>
          </cell>
          <cell r="AA849">
            <v>0</v>
          </cell>
          <cell r="AB849">
            <v>0</v>
          </cell>
          <cell r="AC849">
            <v>0</v>
          </cell>
          <cell r="AD849">
            <v>0</v>
          </cell>
          <cell r="AE849">
            <v>0</v>
          </cell>
          <cell r="AF849">
            <v>0</v>
          </cell>
        </row>
        <row r="850">
          <cell r="A850">
            <v>1800075</v>
          </cell>
          <cell r="H850">
            <v>49500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row>
        <row r="851">
          <cell r="A851">
            <v>1800076</v>
          </cell>
          <cell r="B851" t="str">
            <v>1800076</v>
          </cell>
          <cell r="G851" t="str">
            <v>Laptop A80 P 432</v>
          </cell>
          <cell r="H851">
            <v>0</v>
          </cell>
          <cell r="K851">
            <v>0</v>
          </cell>
          <cell r="L851">
            <v>0</v>
          </cell>
          <cell r="M851">
            <v>0</v>
          </cell>
          <cell r="N851">
            <v>0</v>
          </cell>
          <cell r="O851">
            <v>0</v>
          </cell>
          <cell r="P851">
            <v>0</v>
          </cell>
          <cell r="Q851">
            <v>0</v>
          </cell>
          <cell r="R851">
            <v>0</v>
          </cell>
          <cell r="S851">
            <v>0</v>
          </cell>
          <cell r="T851">
            <v>0</v>
          </cell>
          <cell r="U851">
            <v>0</v>
          </cell>
          <cell r="V851">
            <v>-5533.15</v>
          </cell>
          <cell r="W851">
            <v>0</v>
          </cell>
          <cell r="X851">
            <v>0</v>
          </cell>
          <cell r="Y851">
            <v>0</v>
          </cell>
          <cell r="Z851">
            <v>0</v>
          </cell>
          <cell r="AA851">
            <v>0</v>
          </cell>
          <cell r="AB851">
            <v>49500</v>
          </cell>
          <cell r="AC851">
            <v>0</v>
          </cell>
          <cell r="AD851">
            <v>0</v>
          </cell>
          <cell r="AE851">
            <v>0</v>
          </cell>
          <cell r="AF851">
            <v>0</v>
          </cell>
        </row>
        <row r="852">
          <cell r="A852">
            <v>1800076</v>
          </cell>
          <cell r="H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49500</v>
          </cell>
          <cell r="AC852">
            <v>0</v>
          </cell>
          <cell r="AD852">
            <v>0</v>
          </cell>
          <cell r="AE852">
            <v>0</v>
          </cell>
          <cell r="AF852">
            <v>0</v>
          </cell>
        </row>
        <row r="853">
          <cell r="A853">
            <v>1800076</v>
          </cell>
          <cell r="H853">
            <v>49500</v>
          </cell>
          <cell r="K853">
            <v>0</v>
          </cell>
          <cell r="L853">
            <v>0</v>
          </cell>
          <cell r="M853">
            <v>-5533.15</v>
          </cell>
          <cell r="N853">
            <v>0</v>
          </cell>
          <cell r="O853">
            <v>0</v>
          </cell>
          <cell r="P853">
            <v>0</v>
          </cell>
          <cell r="Q853">
            <v>0</v>
          </cell>
          <cell r="R853">
            <v>0</v>
          </cell>
          <cell r="S853">
            <v>0</v>
          </cell>
          <cell r="T853">
            <v>0</v>
          </cell>
          <cell r="U853">
            <v>0</v>
          </cell>
          <cell r="V853">
            <v>-17586.740000000002</v>
          </cell>
          <cell r="W853">
            <v>0</v>
          </cell>
          <cell r="X853">
            <v>0</v>
          </cell>
          <cell r="Y853">
            <v>0</v>
          </cell>
          <cell r="Z853">
            <v>0</v>
          </cell>
          <cell r="AA853">
            <v>0</v>
          </cell>
          <cell r="AB853">
            <v>0</v>
          </cell>
          <cell r="AC853">
            <v>0</v>
          </cell>
          <cell r="AD853">
            <v>0</v>
          </cell>
          <cell r="AE853">
            <v>0</v>
          </cell>
          <cell r="AF853">
            <v>0</v>
          </cell>
        </row>
        <row r="854">
          <cell r="A854">
            <v>1800076</v>
          </cell>
          <cell r="H854">
            <v>49500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row>
        <row r="855">
          <cell r="A855">
            <v>1800077</v>
          </cell>
          <cell r="B855" t="str">
            <v>1800077</v>
          </cell>
          <cell r="G855" t="str">
            <v>HARD DISK DRIVE ( V-HOST SERVER)</v>
          </cell>
          <cell r="H855">
            <v>0</v>
          </cell>
          <cell r="K855">
            <v>0</v>
          </cell>
          <cell r="L855">
            <v>0</v>
          </cell>
          <cell r="M855">
            <v>0</v>
          </cell>
          <cell r="N855">
            <v>0</v>
          </cell>
          <cell r="O855">
            <v>0</v>
          </cell>
          <cell r="P855">
            <v>0</v>
          </cell>
          <cell r="Q855">
            <v>0</v>
          </cell>
          <cell r="R855">
            <v>0</v>
          </cell>
          <cell r="S855">
            <v>0</v>
          </cell>
          <cell r="T855">
            <v>0</v>
          </cell>
          <cell r="U855">
            <v>0</v>
          </cell>
          <cell r="V855">
            <v>-227.95</v>
          </cell>
          <cell r="W855">
            <v>0</v>
          </cell>
          <cell r="X855">
            <v>0</v>
          </cell>
          <cell r="Y855">
            <v>0</v>
          </cell>
          <cell r="Z855">
            <v>0</v>
          </cell>
          <cell r="AA855">
            <v>0</v>
          </cell>
          <cell r="AB855">
            <v>8000</v>
          </cell>
          <cell r="AC855">
            <v>0</v>
          </cell>
          <cell r="AD855">
            <v>0</v>
          </cell>
          <cell r="AE855">
            <v>0</v>
          </cell>
          <cell r="AF855">
            <v>0</v>
          </cell>
        </row>
        <row r="856">
          <cell r="A856">
            <v>1800077</v>
          </cell>
          <cell r="H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8000</v>
          </cell>
          <cell r="AC856">
            <v>0</v>
          </cell>
          <cell r="AD856">
            <v>0</v>
          </cell>
          <cell r="AE856">
            <v>0</v>
          </cell>
          <cell r="AF856">
            <v>0</v>
          </cell>
        </row>
        <row r="857">
          <cell r="A857">
            <v>1800077</v>
          </cell>
          <cell r="H857">
            <v>8000</v>
          </cell>
          <cell r="K857">
            <v>0</v>
          </cell>
          <cell r="L857">
            <v>0</v>
          </cell>
          <cell r="M857">
            <v>-227.95</v>
          </cell>
          <cell r="N857">
            <v>0</v>
          </cell>
          <cell r="O857">
            <v>0</v>
          </cell>
          <cell r="P857">
            <v>0</v>
          </cell>
          <cell r="Q857">
            <v>0</v>
          </cell>
          <cell r="R857">
            <v>0</v>
          </cell>
          <cell r="S857">
            <v>0</v>
          </cell>
          <cell r="T857">
            <v>0</v>
          </cell>
          <cell r="U857">
            <v>0</v>
          </cell>
          <cell r="V857">
            <v>-3108.82</v>
          </cell>
          <cell r="W857">
            <v>0</v>
          </cell>
          <cell r="X857">
            <v>0</v>
          </cell>
          <cell r="Y857">
            <v>0</v>
          </cell>
          <cell r="Z857">
            <v>0</v>
          </cell>
          <cell r="AA857">
            <v>0</v>
          </cell>
          <cell r="AB857">
            <v>0</v>
          </cell>
          <cell r="AC857">
            <v>0</v>
          </cell>
          <cell r="AD857">
            <v>0</v>
          </cell>
          <cell r="AE857">
            <v>0</v>
          </cell>
          <cell r="AF857">
            <v>0</v>
          </cell>
        </row>
        <row r="858">
          <cell r="A858">
            <v>1800077</v>
          </cell>
          <cell r="H858">
            <v>8000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row>
        <row r="859">
          <cell r="A859">
            <v>1800078</v>
          </cell>
          <cell r="B859" t="str">
            <v>1800078</v>
          </cell>
          <cell r="G859" t="str">
            <v>PENDRIVE</v>
          </cell>
          <cell r="H859">
            <v>0</v>
          </cell>
          <cell r="K859">
            <v>0</v>
          </cell>
          <cell r="L859">
            <v>0</v>
          </cell>
          <cell r="M859">
            <v>0</v>
          </cell>
          <cell r="N859">
            <v>0</v>
          </cell>
          <cell r="O859">
            <v>0</v>
          </cell>
          <cell r="P859">
            <v>0</v>
          </cell>
          <cell r="Q859">
            <v>0</v>
          </cell>
          <cell r="R859">
            <v>0</v>
          </cell>
          <cell r="S859">
            <v>0</v>
          </cell>
          <cell r="T859">
            <v>0</v>
          </cell>
          <cell r="U859">
            <v>0</v>
          </cell>
          <cell r="V859">
            <v>-83.78</v>
          </cell>
          <cell r="W859">
            <v>0</v>
          </cell>
          <cell r="X859">
            <v>0</v>
          </cell>
          <cell r="Y859">
            <v>0</v>
          </cell>
          <cell r="Z859">
            <v>0</v>
          </cell>
          <cell r="AA859">
            <v>0</v>
          </cell>
          <cell r="AB859">
            <v>3475</v>
          </cell>
          <cell r="AC859">
            <v>0</v>
          </cell>
          <cell r="AD859">
            <v>0</v>
          </cell>
          <cell r="AE859">
            <v>0</v>
          </cell>
          <cell r="AF859">
            <v>0</v>
          </cell>
        </row>
        <row r="860">
          <cell r="A860">
            <v>1800078</v>
          </cell>
          <cell r="H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3475</v>
          </cell>
          <cell r="AC860">
            <v>0</v>
          </cell>
          <cell r="AD860">
            <v>0</v>
          </cell>
          <cell r="AE860">
            <v>0</v>
          </cell>
          <cell r="AF860">
            <v>0</v>
          </cell>
        </row>
        <row r="861">
          <cell r="A861">
            <v>1800078</v>
          </cell>
          <cell r="H861">
            <v>3475</v>
          </cell>
          <cell r="K861">
            <v>0</v>
          </cell>
          <cell r="L861">
            <v>0</v>
          </cell>
          <cell r="M861">
            <v>-83.78</v>
          </cell>
          <cell r="N861">
            <v>0</v>
          </cell>
          <cell r="O861">
            <v>0</v>
          </cell>
          <cell r="P861">
            <v>0</v>
          </cell>
          <cell r="Q861">
            <v>0</v>
          </cell>
          <cell r="R861">
            <v>0</v>
          </cell>
          <cell r="S861">
            <v>0</v>
          </cell>
          <cell r="T861">
            <v>0</v>
          </cell>
          <cell r="U861">
            <v>0</v>
          </cell>
          <cell r="V861">
            <v>-1356.49</v>
          </cell>
          <cell r="W861">
            <v>0</v>
          </cell>
          <cell r="X861">
            <v>0</v>
          </cell>
          <cell r="Y861">
            <v>0</v>
          </cell>
          <cell r="Z861">
            <v>0</v>
          </cell>
          <cell r="AA861">
            <v>0</v>
          </cell>
          <cell r="AB861">
            <v>0</v>
          </cell>
          <cell r="AC861">
            <v>0</v>
          </cell>
          <cell r="AD861">
            <v>0</v>
          </cell>
          <cell r="AE861">
            <v>0</v>
          </cell>
          <cell r="AF861">
            <v>0</v>
          </cell>
        </row>
        <row r="862">
          <cell r="A862">
            <v>1800078</v>
          </cell>
          <cell r="H862">
            <v>3475</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row>
        <row r="863">
          <cell r="A863">
            <v>1800079</v>
          </cell>
          <cell r="B863" t="str">
            <v>1800079</v>
          </cell>
          <cell r="G863" t="str">
            <v>PENDRIVE</v>
          </cell>
          <cell r="H863">
            <v>0</v>
          </cell>
          <cell r="K863">
            <v>0</v>
          </cell>
          <cell r="L863">
            <v>0</v>
          </cell>
          <cell r="M863">
            <v>0</v>
          </cell>
          <cell r="N863">
            <v>0</v>
          </cell>
          <cell r="O863">
            <v>0</v>
          </cell>
          <cell r="P863">
            <v>0</v>
          </cell>
          <cell r="Q863">
            <v>0</v>
          </cell>
          <cell r="R863">
            <v>0</v>
          </cell>
          <cell r="S863">
            <v>0</v>
          </cell>
          <cell r="T863">
            <v>0</v>
          </cell>
          <cell r="U863">
            <v>0</v>
          </cell>
          <cell r="V863">
            <v>-83.78</v>
          </cell>
          <cell r="W863">
            <v>0</v>
          </cell>
          <cell r="X863">
            <v>0</v>
          </cell>
          <cell r="Y863">
            <v>0</v>
          </cell>
          <cell r="Z863">
            <v>0</v>
          </cell>
          <cell r="AA863">
            <v>0</v>
          </cell>
          <cell r="AB863">
            <v>3475</v>
          </cell>
          <cell r="AC863">
            <v>0</v>
          </cell>
          <cell r="AD863">
            <v>0</v>
          </cell>
          <cell r="AE863">
            <v>0</v>
          </cell>
          <cell r="AF863">
            <v>0</v>
          </cell>
        </row>
        <row r="864">
          <cell r="A864">
            <v>1800079</v>
          </cell>
          <cell r="H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3475</v>
          </cell>
          <cell r="AC864">
            <v>0</v>
          </cell>
          <cell r="AD864">
            <v>0</v>
          </cell>
          <cell r="AE864">
            <v>0</v>
          </cell>
          <cell r="AF864">
            <v>0</v>
          </cell>
        </row>
        <row r="865">
          <cell r="A865">
            <v>1800079</v>
          </cell>
          <cell r="H865">
            <v>3475</v>
          </cell>
          <cell r="K865">
            <v>0</v>
          </cell>
          <cell r="L865">
            <v>0</v>
          </cell>
          <cell r="M865">
            <v>-83.78</v>
          </cell>
          <cell r="N865">
            <v>0</v>
          </cell>
          <cell r="O865">
            <v>0</v>
          </cell>
          <cell r="P865">
            <v>0</v>
          </cell>
          <cell r="Q865">
            <v>0</v>
          </cell>
          <cell r="R865">
            <v>0</v>
          </cell>
          <cell r="S865">
            <v>0</v>
          </cell>
          <cell r="T865">
            <v>0</v>
          </cell>
          <cell r="U865">
            <v>0</v>
          </cell>
          <cell r="V865">
            <v>-1356.49</v>
          </cell>
          <cell r="W865">
            <v>0</v>
          </cell>
          <cell r="X865">
            <v>0</v>
          </cell>
          <cell r="Y865">
            <v>0</v>
          </cell>
          <cell r="Z865">
            <v>0</v>
          </cell>
          <cell r="AA865">
            <v>0</v>
          </cell>
          <cell r="AB865">
            <v>0</v>
          </cell>
          <cell r="AC865">
            <v>0</v>
          </cell>
          <cell r="AD865">
            <v>0</v>
          </cell>
          <cell r="AE865">
            <v>0</v>
          </cell>
          <cell r="AF865">
            <v>0</v>
          </cell>
        </row>
        <row r="866">
          <cell r="A866">
            <v>1800079</v>
          </cell>
          <cell r="H866">
            <v>3475</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row>
        <row r="867">
          <cell r="A867">
            <v>1800080</v>
          </cell>
          <cell r="B867" t="str">
            <v>1800080</v>
          </cell>
          <cell r="G867" t="str">
            <v>computer</v>
          </cell>
          <cell r="H867">
            <v>0</v>
          </cell>
          <cell r="K867">
            <v>0</v>
          </cell>
          <cell r="L867">
            <v>0</v>
          </cell>
          <cell r="M867">
            <v>0</v>
          </cell>
          <cell r="N867">
            <v>0</v>
          </cell>
          <cell r="O867">
            <v>0</v>
          </cell>
          <cell r="P867">
            <v>0</v>
          </cell>
          <cell r="Q867">
            <v>0</v>
          </cell>
          <cell r="R867">
            <v>0</v>
          </cell>
          <cell r="S867">
            <v>0</v>
          </cell>
          <cell r="T867">
            <v>0</v>
          </cell>
          <cell r="U867">
            <v>0</v>
          </cell>
          <cell r="V867">
            <v>-3162.74</v>
          </cell>
          <cell r="W867">
            <v>0</v>
          </cell>
          <cell r="X867">
            <v>0</v>
          </cell>
          <cell r="Y867">
            <v>0</v>
          </cell>
          <cell r="Z867">
            <v>0</v>
          </cell>
          <cell r="AA867">
            <v>0</v>
          </cell>
          <cell r="AB867">
            <v>39000</v>
          </cell>
          <cell r="AC867">
            <v>0</v>
          </cell>
          <cell r="AD867">
            <v>0</v>
          </cell>
          <cell r="AE867">
            <v>0</v>
          </cell>
          <cell r="AF867">
            <v>0</v>
          </cell>
        </row>
        <row r="868">
          <cell r="A868">
            <v>1800080</v>
          </cell>
          <cell r="H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39000</v>
          </cell>
          <cell r="AC868">
            <v>0</v>
          </cell>
          <cell r="AD868">
            <v>0</v>
          </cell>
          <cell r="AE868">
            <v>0</v>
          </cell>
          <cell r="AF868">
            <v>0</v>
          </cell>
        </row>
        <row r="869">
          <cell r="A869">
            <v>1800080</v>
          </cell>
          <cell r="H869">
            <v>39000</v>
          </cell>
          <cell r="K869">
            <v>0</v>
          </cell>
          <cell r="L869">
            <v>0</v>
          </cell>
          <cell r="M869">
            <v>-3162.74</v>
          </cell>
          <cell r="N869">
            <v>0</v>
          </cell>
          <cell r="O869">
            <v>0</v>
          </cell>
          <cell r="P869">
            <v>0</v>
          </cell>
          <cell r="Q869">
            <v>0</v>
          </cell>
          <cell r="R869">
            <v>0</v>
          </cell>
          <cell r="S869">
            <v>0</v>
          </cell>
          <cell r="T869">
            <v>0</v>
          </cell>
          <cell r="U869">
            <v>0</v>
          </cell>
          <cell r="V869">
            <v>-14334.9</v>
          </cell>
          <cell r="W869">
            <v>0</v>
          </cell>
          <cell r="X869">
            <v>0</v>
          </cell>
          <cell r="Y869">
            <v>0</v>
          </cell>
          <cell r="Z869">
            <v>0</v>
          </cell>
          <cell r="AA869">
            <v>0</v>
          </cell>
          <cell r="AB869">
            <v>0</v>
          </cell>
          <cell r="AC869">
            <v>0</v>
          </cell>
          <cell r="AD869">
            <v>0</v>
          </cell>
          <cell r="AE869">
            <v>0</v>
          </cell>
          <cell r="AF869">
            <v>0</v>
          </cell>
        </row>
        <row r="870">
          <cell r="A870">
            <v>1800080</v>
          </cell>
          <cell r="H870">
            <v>39000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row>
        <row r="871">
          <cell r="A871">
            <v>1800081</v>
          </cell>
          <cell r="B871" t="str">
            <v>1800081</v>
          </cell>
          <cell r="G871" t="str">
            <v>computer</v>
          </cell>
          <cell r="H871">
            <v>0</v>
          </cell>
          <cell r="K871">
            <v>0</v>
          </cell>
          <cell r="L871">
            <v>0</v>
          </cell>
          <cell r="M871">
            <v>0</v>
          </cell>
          <cell r="N871">
            <v>0</v>
          </cell>
          <cell r="O871">
            <v>0</v>
          </cell>
          <cell r="P871">
            <v>0</v>
          </cell>
          <cell r="Q871">
            <v>0</v>
          </cell>
          <cell r="R871">
            <v>0</v>
          </cell>
          <cell r="S871">
            <v>0</v>
          </cell>
          <cell r="T871">
            <v>0</v>
          </cell>
          <cell r="U871">
            <v>0</v>
          </cell>
          <cell r="V871">
            <v>-24.35</v>
          </cell>
          <cell r="W871">
            <v>0</v>
          </cell>
          <cell r="X871">
            <v>0</v>
          </cell>
          <cell r="Y871">
            <v>0</v>
          </cell>
          <cell r="Z871">
            <v>0</v>
          </cell>
          <cell r="AA871">
            <v>0</v>
          </cell>
          <cell r="AB871">
            <v>22222</v>
          </cell>
          <cell r="AC871">
            <v>0</v>
          </cell>
          <cell r="AD871">
            <v>0</v>
          </cell>
          <cell r="AE871">
            <v>0</v>
          </cell>
          <cell r="AF871">
            <v>0</v>
          </cell>
        </row>
        <row r="872">
          <cell r="A872">
            <v>1800081</v>
          </cell>
          <cell r="H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22222</v>
          </cell>
          <cell r="AC872">
            <v>0</v>
          </cell>
          <cell r="AD872">
            <v>0</v>
          </cell>
          <cell r="AE872">
            <v>0</v>
          </cell>
          <cell r="AF872">
            <v>0</v>
          </cell>
        </row>
        <row r="873">
          <cell r="A873">
            <v>1800081</v>
          </cell>
          <cell r="H873">
            <v>22222</v>
          </cell>
          <cell r="K873">
            <v>0</v>
          </cell>
          <cell r="L873">
            <v>0</v>
          </cell>
          <cell r="M873">
            <v>-24.35</v>
          </cell>
          <cell r="N873">
            <v>0</v>
          </cell>
          <cell r="O873">
            <v>0</v>
          </cell>
          <cell r="P873">
            <v>0</v>
          </cell>
          <cell r="Q873">
            <v>0</v>
          </cell>
          <cell r="R873">
            <v>0</v>
          </cell>
          <cell r="S873">
            <v>0</v>
          </cell>
          <cell r="T873">
            <v>0</v>
          </cell>
          <cell r="U873">
            <v>0</v>
          </cell>
          <cell r="V873">
            <v>-8879.06</v>
          </cell>
          <cell r="W873">
            <v>0</v>
          </cell>
          <cell r="X873">
            <v>0</v>
          </cell>
          <cell r="Y873">
            <v>0</v>
          </cell>
          <cell r="Z873">
            <v>0</v>
          </cell>
          <cell r="AA873">
            <v>0</v>
          </cell>
          <cell r="AB873">
            <v>0</v>
          </cell>
          <cell r="AC873">
            <v>0</v>
          </cell>
          <cell r="AD873">
            <v>0</v>
          </cell>
          <cell r="AE873">
            <v>0</v>
          </cell>
          <cell r="AF873">
            <v>0</v>
          </cell>
        </row>
        <row r="874">
          <cell r="A874">
            <v>1800081</v>
          </cell>
          <cell r="H874">
            <v>22222</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row>
        <row r="875">
          <cell r="A875">
            <v>1800082</v>
          </cell>
          <cell r="B875" t="str">
            <v>1800082</v>
          </cell>
          <cell r="G875" t="str">
            <v>PRINTER</v>
          </cell>
          <cell r="H875">
            <v>0</v>
          </cell>
          <cell r="K875">
            <v>0</v>
          </cell>
          <cell r="L875">
            <v>0</v>
          </cell>
          <cell r="M875">
            <v>0</v>
          </cell>
          <cell r="N875">
            <v>0</v>
          </cell>
          <cell r="O875">
            <v>0</v>
          </cell>
          <cell r="P875">
            <v>0</v>
          </cell>
          <cell r="Q875">
            <v>0</v>
          </cell>
          <cell r="R875">
            <v>0</v>
          </cell>
          <cell r="S875">
            <v>0</v>
          </cell>
          <cell r="T875">
            <v>0</v>
          </cell>
          <cell r="U875">
            <v>0</v>
          </cell>
          <cell r="V875">
            <v>-5431.36</v>
          </cell>
          <cell r="W875">
            <v>0</v>
          </cell>
          <cell r="X875">
            <v>0</v>
          </cell>
          <cell r="Y875">
            <v>0</v>
          </cell>
          <cell r="Z875">
            <v>0</v>
          </cell>
          <cell r="AA875">
            <v>0</v>
          </cell>
          <cell r="AB875">
            <v>14040</v>
          </cell>
          <cell r="AC875">
            <v>0</v>
          </cell>
          <cell r="AD875">
            <v>0</v>
          </cell>
          <cell r="AE875">
            <v>0</v>
          </cell>
          <cell r="AF875">
            <v>0</v>
          </cell>
        </row>
        <row r="876">
          <cell r="A876">
            <v>1800082</v>
          </cell>
          <cell r="H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14040</v>
          </cell>
          <cell r="AC876">
            <v>0</v>
          </cell>
          <cell r="AD876">
            <v>0</v>
          </cell>
          <cell r="AE876">
            <v>0</v>
          </cell>
          <cell r="AF876">
            <v>0</v>
          </cell>
        </row>
        <row r="877">
          <cell r="A877">
            <v>1800083</v>
          </cell>
          <cell r="H877">
            <v>0</v>
          </cell>
          <cell r="K877">
            <v>0</v>
          </cell>
          <cell r="L877">
            <v>0</v>
          </cell>
          <cell r="M877">
            <v>0</v>
          </cell>
          <cell r="N877">
            <v>0</v>
          </cell>
          <cell r="O877">
            <v>0</v>
          </cell>
          <cell r="P877">
            <v>0</v>
          </cell>
          <cell r="Q877">
            <v>0</v>
          </cell>
          <cell r="R877">
            <v>0</v>
          </cell>
          <cell r="S877">
            <v>0</v>
          </cell>
          <cell r="T877">
            <v>0</v>
          </cell>
          <cell r="U877">
            <v>0</v>
          </cell>
          <cell r="V877">
            <v>-17446.580000000002</v>
          </cell>
          <cell r="W877">
            <v>0</v>
          </cell>
          <cell r="X877">
            <v>0</v>
          </cell>
          <cell r="Y877">
            <v>0</v>
          </cell>
          <cell r="Z877">
            <v>0</v>
          </cell>
          <cell r="AA877">
            <v>0</v>
          </cell>
          <cell r="AB877">
            <v>49750</v>
          </cell>
          <cell r="AC877">
            <v>0</v>
          </cell>
          <cell r="AD877">
            <v>0</v>
          </cell>
          <cell r="AE877">
            <v>0</v>
          </cell>
          <cell r="AF877">
            <v>0</v>
          </cell>
        </row>
        <row r="878">
          <cell r="A878">
            <v>1800083</v>
          </cell>
          <cell r="H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49750</v>
          </cell>
          <cell r="AC878">
            <v>0</v>
          </cell>
          <cell r="AD878">
            <v>0</v>
          </cell>
          <cell r="AE878">
            <v>0</v>
          </cell>
          <cell r="AF878">
            <v>0</v>
          </cell>
        </row>
        <row r="879">
          <cell r="A879">
            <v>1800083</v>
          </cell>
          <cell r="B879" t="str">
            <v>1800083</v>
          </cell>
          <cell r="G879" t="str">
            <v>Computer -Server</v>
          </cell>
        </row>
        <row r="880">
          <cell r="A880">
            <v>1800084</v>
          </cell>
          <cell r="B880" t="str">
            <v>1800084</v>
          </cell>
          <cell r="G880" t="str">
            <v>Computer -Server</v>
          </cell>
          <cell r="H880">
            <v>0</v>
          </cell>
          <cell r="K880">
            <v>0</v>
          </cell>
          <cell r="L880">
            <v>0</v>
          </cell>
          <cell r="M880">
            <v>0</v>
          </cell>
          <cell r="N880">
            <v>0</v>
          </cell>
          <cell r="O880">
            <v>0</v>
          </cell>
          <cell r="P880">
            <v>0</v>
          </cell>
          <cell r="Q880">
            <v>0</v>
          </cell>
          <cell r="R880">
            <v>0</v>
          </cell>
          <cell r="S880">
            <v>0</v>
          </cell>
          <cell r="T880">
            <v>0</v>
          </cell>
          <cell r="U880">
            <v>0</v>
          </cell>
          <cell r="V880">
            <v>-17446.580000000002</v>
          </cell>
          <cell r="W880">
            <v>0</v>
          </cell>
          <cell r="X880">
            <v>0</v>
          </cell>
          <cell r="Y880">
            <v>0</v>
          </cell>
          <cell r="Z880">
            <v>0</v>
          </cell>
          <cell r="AA880">
            <v>0</v>
          </cell>
          <cell r="AB880">
            <v>49750</v>
          </cell>
          <cell r="AC880">
            <v>0</v>
          </cell>
          <cell r="AD880">
            <v>0</v>
          </cell>
          <cell r="AE880">
            <v>0</v>
          </cell>
          <cell r="AF880">
            <v>0</v>
          </cell>
        </row>
        <row r="881">
          <cell r="A881">
            <v>1800084</v>
          </cell>
          <cell r="H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49750</v>
          </cell>
          <cell r="AC881">
            <v>0</v>
          </cell>
          <cell r="AD881">
            <v>0</v>
          </cell>
          <cell r="AE881">
            <v>0</v>
          </cell>
          <cell r="AF881">
            <v>0</v>
          </cell>
        </row>
        <row r="882">
          <cell r="A882">
            <v>1800085</v>
          </cell>
          <cell r="B882" t="str">
            <v>1800085</v>
          </cell>
          <cell r="G882" t="str">
            <v>Hard Disk</v>
          </cell>
          <cell r="H882">
            <v>0</v>
          </cell>
          <cell r="K882">
            <v>0</v>
          </cell>
          <cell r="L882">
            <v>0</v>
          </cell>
          <cell r="M882">
            <v>0</v>
          </cell>
          <cell r="N882">
            <v>0</v>
          </cell>
          <cell r="O882">
            <v>0</v>
          </cell>
          <cell r="P882">
            <v>0</v>
          </cell>
          <cell r="Q882">
            <v>0</v>
          </cell>
          <cell r="R882">
            <v>0</v>
          </cell>
          <cell r="S882">
            <v>0</v>
          </cell>
          <cell r="T882">
            <v>0</v>
          </cell>
          <cell r="U882">
            <v>0</v>
          </cell>
          <cell r="V882">
            <v>-3419.18</v>
          </cell>
          <cell r="W882">
            <v>0</v>
          </cell>
          <cell r="X882">
            <v>0</v>
          </cell>
          <cell r="Y882">
            <v>0</v>
          </cell>
          <cell r="Z882">
            <v>0</v>
          </cell>
          <cell r="AA882">
            <v>0</v>
          </cell>
          <cell r="AB882">
            <v>9750</v>
          </cell>
          <cell r="AC882">
            <v>0</v>
          </cell>
          <cell r="AD882">
            <v>0</v>
          </cell>
          <cell r="AE882">
            <v>0</v>
          </cell>
          <cell r="AF882">
            <v>0</v>
          </cell>
        </row>
        <row r="883">
          <cell r="A883">
            <v>1800085</v>
          </cell>
          <cell r="H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9750</v>
          </cell>
          <cell r="AC883">
            <v>0</v>
          </cell>
          <cell r="AD883">
            <v>0</v>
          </cell>
          <cell r="AE883">
            <v>0</v>
          </cell>
          <cell r="AF883">
            <v>0</v>
          </cell>
        </row>
        <row r="884">
          <cell r="A884">
            <v>1800086</v>
          </cell>
          <cell r="B884" t="str">
            <v>1800086</v>
          </cell>
          <cell r="G884" t="str">
            <v>Hard Disk</v>
          </cell>
          <cell r="H884">
            <v>0</v>
          </cell>
          <cell r="K884">
            <v>0</v>
          </cell>
          <cell r="L884">
            <v>0</v>
          </cell>
          <cell r="M884">
            <v>0</v>
          </cell>
          <cell r="N884">
            <v>0</v>
          </cell>
          <cell r="O884">
            <v>0</v>
          </cell>
          <cell r="P884">
            <v>0</v>
          </cell>
          <cell r="Q884">
            <v>0</v>
          </cell>
          <cell r="R884">
            <v>0</v>
          </cell>
          <cell r="S884">
            <v>0</v>
          </cell>
          <cell r="T884">
            <v>0</v>
          </cell>
          <cell r="U884">
            <v>0</v>
          </cell>
          <cell r="V884">
            <v>-3419.18</v>
          </cell>
          <cell r="W884">
            <v>0</v>
          </cell>
          <cell r="X884">
            <v>0</v>
          </cell>
          <cell r="Y884">
            <v>0</v>
          </cell>
          <cell r="Z884">
            <v>0</v>
          </cell>
          <cell r="AA884">
            <v>0</v>
          </cell>
          <cell r="AB884">
            <v>9750</v>
          </cell>
          <cell r="AC884">
            <v>0</v>
          </cell>
          <cell r="AD884">
            <v>0</v>
          </cell>
          <cell r="AE884">
            <v>0</v>
          </cell>
          <cell r="AF884">
            <v>0</v>
          </cell>
        </row>
        <row r="885">
          <cell r="A885">
            <v>1800086</v>
          </cell>
          <cell r="H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9750</v>
          </cell>
          <cell r="AC885">
            <v>0</v>
          </cell>
          <cell r="AD885">
            <v>0</v>
          </cell>
          <cell r="AE885">
            <v>0</v>
          </cell>
          <cell r="AF885">
            <v>0</v>
          </cell>
        </row>
        <row r="886">
          <cell r="A886">
            <v>1800087</v>
          </cell>
          <cell r="B886" t="str">
            <v>1800087</v>
          </cell>
          <cell r="G886" t="str">
            <v>PRINTER</v>
          </cell>
          <cell r="H886">
            <v>0</v>
          </cell>
          <cell r="K886">
            <v>0</v>
          </cell>
          <cell r="L886">
            <v>0</v>
          </cell>
          <cell r="M886">
            <v>0</v>
          </cell>
          <cell r="N886">
            <v>0</v>
          </cell>
          <cell r="O886">
            <v>0</v>
          </cell>
          <cell r="P886">
            <v>0</v>
          </cell>
          <cell r="Q886">
            <v>0</v>
          </cell>
          <cell r="R886">
            <v>0</v>
          </cell>
          <cell r="S886">
            <v>0</v>
          </cell>
          <cell r="T886">
            <v>0</v>
          </cell>
          <cell r="U886">
            <v>0</v>
          </cell>
          <cell r="V886">
            <v>-1684.29</v>
          </cell>
          <cell r="W886">
            <v>0</v>
          </cell>
          <cell r="X886">
            <v>0</v>
          </cell>
          <cell r="Y886">
            <v>0</v>
          </cell>
          <cell r="Z886">
            <v>0</v>
          </cell>
          <cell r="AA886">
            <v>0</v>
          </cell>
          <cell r="AB886">
            <v>9852</v>
          </cell>
          <cell r="AC886">
            <v>0</v>
          </cell>
          <cell r="AD886">
            <v>0</v>
          </cell>
          <cell r="AE886">
            <v>0</v>
          </cell>
          <cell r="AF886">
            <v>0</v>
          </cell>
        </row>
        <row r="887">
          <cell r="A887">
            <v>1800087</v>
          </cell>
          <cell r="H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9852</v>
          </cell>
          <cell r="AC887">
            <v>0</v>
          </cell>
          <cell r="AD887">
            <v>0</v>
          </cell>
          <cell r="AE887">
            <v>0</v>
          </cell>
          <cell r="AF887">
            <v>0</v>
          </cell>
        </row>
        <row r="888">
          <cell r="A888">
            <v>1800087</v>
          </cell>
          <cell r="H888">
            <v>9852</v>
          </cell>
          <cell r="K888">
            <v>0</v>
          </cell>
          <cell r="L888">
            <v>0</v>
          </cell>
          <cell r="M888">
            <v>-1684.29</v>
          </cell>
          <cell r="N888">
            <v>0</v>
          </cell>
          <cell r="O888">
            <v>0</v>
          </cell>
          <cell r="P888">
            <v>0</v>
          </cell>
          <cell r="Q888">
            <v>0</v>
          </cell>
          <cell r="R888">
            <v>0</v>
          </cell>
          <cell r="S888">
            <v>0</v>
          </cell>
          <cell r="T888">
            <v>0</v>
          </cell>
          <cell r="U888">
            <v>0</v>
          </cell>
          <cell r="V888">
            <v>-3267.08</v>
          </cell>
          <cell r="W888">
            <v>0</v>
          </cell>
          <cell r="X888">
            <v>0</v>
          </cell>
          <cell r="Y888">
            <v>0</v>
          </cell>
          <cell r="Z888">
            <v>0</v>
          </cell>
          <cell r="AA888">
            <v>0</v>
          </cell>
          <cell r="AB888">
            <v>0</v>
          </cell>
          <cell r="AC888">
            <v>0</v>
          </cell>
          <cell r="AD888">
            <v>0</v>
          </cell>
          <cell r="AE888">
            <v>0</v>
          </cell>
          <cell r="AF888">
            <v>0</v>
          </cell>
        </row>
        <row r="889">
          <cell r="A889">
            <v>1800087</v>
          </cell>
          <cell r="H889">
            <v>9852</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row>
        <row r="890">
          <cell r="A890">
            <v>1800088</v>
          </cell>
          <cell r="B890" t="str">
            <v>1800088</v>
          </cell>
          <cell r="G890" t="str">
            <v>PRINTER</v>
          </cell>
          <cell r="H890">
            <v>0</v>
          </cell>
          <cell r="K890">
            <v>0</v>
          </cell>
          <cell r="L890">
            <v>0</v>
          </cell>
          <cell r="M890">
            <v>0</v>
          </cell>
          <cell r="N890">
            <v>0</v>
          </cell>
          <cell r="O890">
            <v>0</v>
          </cell>
          <cell r="P890">
            <v>0</v>
          </cell>
          <cell r="Q890">
            <v>0</v>
          </cell>
          <cell r="R890">
            <v>0</v>
          </cell>
          <cell r="S890">
            <v>0</v>
          </cell>
          <cell r="T890">
            <v>0</v>
          </cell>
          <cell r="U890">
            <v>0</v>
          </cell>
          <cell r="V890">
            <v>-2635.29</v>
          </cell>
          <cell r="W890">
            <v>0</v>
          </cell>
          <cell r="X890">
            <v>0</v>
          </cell>
          <cell r="Y890">
            <v>0</v>
          </cell>
          <cell r="Z890">
            <v>0</v>
          </cell>
          <cell r="AA890">
            <v>0</v>
          </cell>
          <cell r="AB890">
            <v>6950</v>
          </cell>
          <cell r="AC890">
            <v>0</v>
          </cell>
          <cell r="AD890">
            <v>0</v>
          </cell>
          <cell r="AE890">
            <v>0</v>
          </cell>
          <cell r="AF890">
            <v>0</v>
          </cell>
        </row>
        <row r="891">
          <cell r="A891">
            <v>1800088</v>
          </cell>
          <cell r="H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6950</v>
          </cell>
          <cell r="AC891">
            <v>0</v>
          </cell>
          <cell r="AD891">
            <v>0</v>
          </cell>
          <cell r="AE891">
            <v>0</v>
          </cell>
          <cell r="AF891">
            <v>0</v>
          </cell>
        </row>
        <row r="892">
          <cell r="A892">
            <v>1800088</v>
          </cell>
          <cell r="H892">
            <v>6950</v>
          </cell>
          <cell r="K892">
            <v>0</v>
          </cell>
          <cell r="L892">
            <v>0</v>
          </cell>
          <cell r="M892">
            <v>-2635.29</v>
          </cell>
          <cell r="N892">
            <v>0</v>
          </cell>
          <cell r="O892">
            <v>0</v>
          </cell>
          <cell r="P892">
            <v>0</v>
          </cell>
          <cell r="Q892">
            <v>0</v>
          </cell>
          <cell r="R892">
            <v>0</v>
          </cell>
          <cell r="S892">
            <v>0</v>
          </cell>
          <cell r="T892">
            <v>0</v>
          </cell>
          <cell r="U892">
            <v>0</v>
          </cell>
          <cell r="V892">
            <v>-1725.88</v>
          </cell>
          <cell r="W892">
            <v>0</v>
          </cell>
          <cell r="X892">
            <v>0</v>
          </cell>
          <cell r="Y892">
            <v>0</v>
          </cell>
          <cell r="Z892">
            <v>0</v>
          </cell>
          <cell r="AA892">
            <v>0</v>
          </cell>
          <cell r="AB892">
            <v>0</v>
          </cell>
          <cell r="AC892">
            <v>0</v>
          </cell>
          <cell r="AD892">
            <v>0</v>
          </cell>
          <cell r="AE892">
            <v>0</v>
          </cell>
          <cell r="AF892">
            <v>0</v>
          </cell>
        </row>
        <row r="893">
          <cell r="A893">
            <v>1800088</v>
          </cell>
          <cell r="H893">
            <v>6950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row>
        <row r="894">
          <cell r="A894">
            <v>1800089</v>
          </cell>
          <cell r="B894" t="str">
            <v>1800089</v>
          </cell>
          <cell r="G894" t="str">
            <v>Pen Drive</v>
          </cell>
          <cell r="H894">
            <v>0</v>
          </cell>
          <cell r="K894">
            <v>0</v>
          </cell>
          <cell r="L894">
            <v>0</v>
          </cell>
          <cell r="M894">
            <v>0</v>
          </cell>
          <cell r="N894">
            <v>0</v>
          </cell>
          <cell r="O894">
            <v>0</v>
          </cell>
          <cell r="P894">
            <v>0</v>
          </cell>
          <cell r="Q894">
            <v>0</v>
          </cell>
          <cell r="R894">
            <v>0</v>
          </cell>
          <cell r="S894">
            <v>0</v>
          </cell>
          <cell r="T894">
            <v>0</v>
          </cell>
          <cell r="U894">
            <v>0</v>
          </cell>
          <cell r="V894">
            <v>-1201.21</v>
          </cell>
          <cell r="W894">
            <v>0</v>
          </cell>
          <cell r="X894">
            <v>0</v>
          </cell>
          <cell r="Y894">
            <v>0</v>
          </cell>
          <cell r="Z894">
            <v>0</v>
          </cell>
          <cell r="AA894">
            <v>0</v>
          </cell>
          <cell r="AB894">
            <v>5650</v>
          </cell>
          <cell r="AC894">
            <v>0</v>
          </cell>
          <cell r="AD894">
            <v>0</v>
          </cell>
          <cell r="AE894">
            <v>0</v>
          </cell>
          <cell r="AF894">
            <v>0</v>
          </cell>
        </row>
        <row r="895">
          <cell r="A895">
            <v>1800089</v>
          </cell>
          <cell r="H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5650</v>
          </cell>
          <cell r="AC895">
            <v>0</v>
          </cell>
          <cell r="AD895">
            <v>0</v>
          </cell>
          <cell r="AE895">
            <v>0</v>
          </cell>
          <cell r="AF895">
            <v>0</v>
          </cell>
        </row>
        <row r="896">
          <cell r="A896">
            <v>1800089</v>
          </cell>
          <cell r="H896">
            <v>5650</v>
          </cell>
          <cell r="K896">
            <v>0</v>
          </cell>
          <cell r="L896">
            <v>0</v>
          </cell>
          <cell r="M896">
            <v>-1201.21</v>
          </cell>
          <cell r="N896">
            <v>0</v>
          </cell>
          <cell r="O896">
            <v>0</v>
          </cell>
          <cell r="P896">
            <v>0</v>
          </cell>
          <cell r="Q896">
            <v>0</v>
          </cell>
          <cell r="R896">
            <v>0</v>
          </cell>
          <cell r="S896">
            <v>0</v>
          </cell>
          <cell r="T896">
            <v>0</v>
          </cell>
          <cell r="U896">
            <v>0</v>
          </cell>
          <cell r="V896">
            <v>-1779.52</v>
          </cell>
          <cell r="W896">
            <v>0</v>
          </cell>
          <cell r="X896">
            <v>0</v>
          </cell>
          <cell r="Y896">
            <v>0</v>
          </cell>
          <cell r="Z896">
            <v>0</v>
          </cell>
          <cell r="AA896">
            <v>0</v>
          </cell>
          <cell r="AB896">
            <v>0</v>
          </cell>
          <cell r="AC896">
            <v>0</v>
          </cell>
          <cell r="AD896">
            <v>0</v>
          </cell>
          <cell r="AE896">
            <v>0</v>
          </cell>
          <cell r="AF896">
            <v>0</v>
          </cell>
        </row>
        <row r="897">
          <cell r="A897">
            <v>1800089</v>
          </cell>
          <cell r="H897">
            <v>5650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row>
        <row r="898">
          <cell r="A898">
            <v>1800090</v>
          </cell>
          <cell r="B898" t="str">
            <v>1800090</v>
          </cell>
          <cell r="G898" t="str">
            <v>USB PEN-DRIVE</v>
          </cell>
          <cell r="H898">
            <v>0</v>
          </cell>
          <cell r="K898">
            <v>0</v>
          </cell>
          <cell r="L898">
            <v>0</v>
          </cell>
          <cell r="M898">
            <v>0</v>
          </cell>
          <cell r="N898">
            <v>0</v>
          </cell>
          <cell r="O898">
            <v>0</v>
          </cell>
          <cell r="P898">
            <v>0</v>
          </cell>
          <cell r="Q898">
            <v>0</v>
          </cell>
          <cell r="R898">
            <v>0</v>
          </cell>
          <cell r="S898">
            <v>0</v>
          </cell>
          <cell r="T898">
            <v>0</v>
          </cell>
          <cell r="U898">
            <v>0</v>
          </cell>
          <cell r="V898">
            <v>-1034.3</v>
          </cell>
          <cell r="W898">
            <v>0</v>
          </cell>
          <cell r="X898">
            <v>0</v>
          </cell>
          <cell r="Y898">
            <v>0</v>
          </cell>
          <cell r="Z898">
            <v>0</v>
          </cell>
          <cell r="AA898">
            <v>0</v>
          </cell>
          <cell r="AB898">
            <v>3432</v>
          </cell>
          <cell r="AC898">
            <v>0</v>
          </cell>
          <cell r="AD898">
            <v>0</v>
          </cell>
          <cell r="AE898">
            <v>0</v>
          </cell>
          <cell r="AF898">
            <v>0</v>
          </cell>
        </row>
        <row r="899">
          <cell r="A899">
            <v>1800090</v>
          </cell>
          <cell r="H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3432</v>
          </cell>
          <cell r="AC899">
            <v>0</v>
          </cell>
          <cell r="AD899">
            <v>0</v>
          </cell>
          <cell r="AE899">
            <v>0</v>
          </cell>
          <cell r="AF899">
            <v>0</v>
          </cell>
        </row>
        <row r="900">
          <cell r="A900">
            <v>1800091</v>
          </cell>
          <cell r="B900" t="str">
            <v>1800091</v>
          </cell>
          <cell r="G900" t="str">
            <v>USB PEN-DRIVE</v>
          </cell>
          <cell r="H900">
            <v>0</v>
          </cell>
          <cell r="K900">
            <v>0</v>
          </cell>
          <cell r="L900">
            <v>0</v>
          </cell>
          <cell r="M900">
            <v>0</v>
          </cell>
          <cell r="N900">
            <v>0</v>
          </cell>
          <cell r="O900">
            <v>0</v>
          </cell>
          <cell r="P900">
            <v>0</v>
          </cell>
          <cell r="Q900">
            <v>0</v>
          </cell>
          <cell r="R900">
            <v>0</v>
          </cell>
          <cell r="S900">
            <v>0</v>
          </cell>
          <cell r="T900">
            <v>0</v>
          </cell>
          <cell r="U900">
            <v>0</v>
          </cell>
          <cell r="V900">
            <v>-994.52</v>
          </cell>
          <cell r="W900">
            <v>0</v>
          </cell>
          <cell r="X900">
            <v>0</v>
          </cell>
          <cell r="Y900">
            <v>0</v>
          </cell>
          <cell r="Z900">
            <v>0</v>
          </cell>
          <cell r="AA900">
            <v>0</v>
          </cell>
          <cell r="AB900">
            <v>3300</v>
          </cell>
          <cell r="AC900">
            <v>0</v>
          </cell>
          <cell r="AD900">
            <v>0</v>
          </cell>
          <cell r="AE900">
            <v>0</v>
          </cell>
          <cell r="AF900">
            <v>0</v>
          </cell>
        </row>
        <row r="901">
          <cell r="A901">
            <v>1800091</v>
          </cell>
          <cell r="H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3300</v>
          </cell>
          <cell r="AC901">
            <v>0</v>
          </cell>
          <cell r="AD901">
            <v>0</v>
          </cell>
          <cell r="AE901">
            <v>0</v>
          </cell>
          <cell r="AF901">
            <v>0</v>
          </cell>
        </row>
        <row r="902">
          <cell r="A902">
            <v>1800092</v>
          </cell>
          <cell r="B902" t="str">
            <v>1800092</v>
          </cell>
          <cell r="G902" t="str">
            <v>USB PEN-DRIVE</v>
          </cell>
          <cell r="H902">
            <v>0</v>
          </cell>
          <cell r="K902">
            <v>0</v>
          </cell>
          <cell r="L902">
            <v>0</v>
          </cell>
          <cell r="M902">
            <v>0</v>
          </cell>
          <cell r="N902">
            <v>0</v>
          </cell>
          <cell r="O902">
            <v>0</v>
          </cell>
          <cell r="P902">
            <v>0</v>
          </cell>
          <cell r="Q902">
            <v>0</v>
          </cell>
          <cell r="R902">
            <v>0</v>
          </cell>
          <cell r="S902">
            <v>0</v>
          </cell>
          <cell r="T902">
            <v>0</v>
          </cell>
          <cell r="U902">
            <v>0</v>
          </cell>
          <cell r="V902">
            <v>-994.52</v>
          </cell>
          <cell r="W902">
            <v>0</v>
          </cell>
          <cell r="X902">
            <v>0</v>
          </cell>
          <cell r="Y902">
            <v>0</v>
          </cell>
          <cell r="Z902">
            <v>0</v>
          </cell>
          <cell r="AA902">
            <v>0</v>
          </cell>
          <cell r="AB902">
            <v>3300</v>
          </cell>
          <cell r="AC902">
            <v>0</v>
          </cell>
          <cell r="AD902">
            <v>0</v>
          </cell>
          <cell r="AE902">
            <v>0</v>
          </cell>
          <cell r="AF902">
            <v>0</v>
          </cell>
        </row>
        <row r="903">
          <cell r="A903">
            <v>1800092</v>
          </cell>
          <cell r="H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3300</v>
          </cell>
          <cell r="AC903">
            <v>0</v>
          </cell>
          <cell r="AD903">
            <v>0</v>
          </cell>
          <cell r="AE903">
            <v>0</v>
          </cell>
          <cell r="AF903">
            <v>0</v>
          </cell>
        </row>
        <row r="904">
          <cell r="A904">
            <v>1800093</v>
          </cell>
          <cell r="B904" t="str">
            <v>1800093</v>
          </cell>
          <cell r="G904" t="str">
            <v>USB PEN-DRIVE</v>
          </cell>
          <cell r="H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row>
        <row r="905">
          <cell r="A905">
            <v>1800094</v>
          </cell>
          <cell r="B905" t="str">
            <v>1800094</v>
          </cell>
          <cell r="G905" t="str">
            <v>USB PEN-DRIVE</v>
          </cell>
          <cell r="H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row>
        <row r="906">
          <cell r="A906">
            <v>1800095</v>
          </cell>
          <cell r="B906" t="str">
            <v>1800095</v>
          </cell>
          <cell r="G906" t="str">
            <v>USB PEN-DRIVE</v>
          </cell>
          <cell r="H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row>
        <row r="907">
          <cell r="A907">
            <v>1800096</v>
          </cell>
          <cell r="B907" t="str">
            <v>1800096</v>
          </cell>
          <cell r="G907" t="str">
            <v>ACER-ASPIRE-V803</v>
          </cell>
          <cell r="H907">
            <v>0</v>
          </cell>
          <cell r="K907">
            <v>0</v>
          </cell>
          <cell r="L907">
            <v>0</v>
          </cell>
          <cell r="M907">
            <v>0</v>
          </cell>
          <cell r="N907">
            <v>0</v>
          </cell>
          <cell r="O907">
            <v>0</v>
          </cell>
          <cell r="P907">
            <v>0</v>
          </cell>
          <cell r="Q907">
            <v>0</v>
          </cell>
          <cell r="R907">
            <v>0</v>
          </cell>
          <cell r="S907">
            <v>0</v>
          </cell>
          <cell r="T907">
            <v>0</v>
          </cell>
          <cell r="U907">
            <v>0</v>
          </cell>
          <cell r="V907">
            <v>-6257.81</v>
          </cell>
          <cell r="W907">
            <v>0</v>
          </cell>
          <cell r="X907">
            <v>0</v>
          </cell>
          <cell r="Y907">
            <v>0</v>
          </cell>
          <cell r="Z907">
            <v>0</v>
          </cell>
          <cell r="AA907">
            <v>0</v>
          </cell>
          <cell r="AB907">
            <v>22750</v>
          </cell>
          <cell r="AC907">
            <v>0</v>
          </cell>
          <cell r="AD907">
            <v>0</v>
          </cell>
          <cell r="AE907">
            <v>0</v>
          </cell>
          <cell r="AF907">
            <v>0</v>
          </cell>
        </row>
        <row r="908">
          <cell r="A908">
            <v>1800096</v>
          </cell>
          <cell r="H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22750</v>
          </cell>
          <cell r="AC908">
            <v>0</v>
          </cell>
          <cell r="AD908">
            <v>0</v>
          </cell>
          <cell r="AE908">
            <v>0</v>
          </cell>
          <cell r="AF908">
            <v>0</v>
          </cell>
        </row>
        <row r="909">
          <cell r="A909">
            <v>1800097</v>
          </cell>
          <cell r="B909" t="str">
            <v>1800097</v>
          </cell>
          <cell r="G909" t="str">
            <v>HARD DISK</v>
          </cell>
          <cell r="H909">
            <v>0</v>
          </cell>
          <cell r="K909">
            <v>0</v>
          </cell>
          <cell r="L909">
            <v>0</v>
          </cell>
          <cell r="M909">
            <v>0</v>
          </cell>
          <cell r="N909">
            <v>0</v>
          </cell>
          <cell r="O909">
            <v>0</v>
          </cell>
          <cell r="P909">
            <v>0</v>
          </cell>
          <cell r="Q909">
            <v>0</v>
          </cell>
          <cell r="R909">
            <v>0</v>
          </cell>
          <cell r="S909">
            <v>0</v>
          </cell>
          <cell r="T909">
            <v>0</v>
          </cell>
          <cell r="U909">
            <v>0</v>
          </cell>
          <cell r="V909">
            <v>-2386.85</v>
          </cell>
          <cell r="W909">
            <v>0</v>
          </cell>
          <cell r="X909">
            <v>0</v>
          </cell>
          <cell r="Y909">
            <v>0</v>
          </cell>
          <cell r="Z909">
            <v>0</v>
          </cell>
          <cell r="AA909">
            <v>0</v>
          </cell>
          <cell r="AB909">
            <v>9000</v>
          </cell>
          <cell r="AC909">
            <v>0</v>
          </cell>
          <cell r="AD909">
            <v>0</v>
          </cell>
          <cell r="AE909">
            <v>0</v>
          </cell>
          <cell r="AF909">
            <v>0</v>
          </cell>
        </row>
        <row r="910">
          <cell r="A910">
            <v>1800097</v>
          </cell>
          <cell r="H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9000</v>
          </cell>
          <cell r="AC910">
            <v>0</v>
          </cell>
          <cell r="AD910">
            <v>0</v>
          </cell>
          <cell r="AE910">
            <v>0</v>
          </cell>
          <cell r="AF910">
            <v>0</v>
          </cell>
        </row>
        <row r="911">
          <cell r="A911">
            <v>1800098</v>
          </cell>
          <cell r="B911" t="str">
            <v>1800098</v>
          </cell>
          <cell r="G911" t="str">
            <v>SERVER ( COMPUTER)</v>
          </cell>
          <cell r="H911">
            <v>0</v>
          </cell>
          <cell r="K911">
            <v>0</v>
          </cell>
          <cell r="L911">
            <v>0</v>
          </cell>
          <cell r="M911">
            <v>0</v>
          </cell>
          <cell r="N911">
            <v>0</v>
          </cell>
          <cell r="O911">
            <v>0</v>
          </cell>
          <cell r="P911">
            <v>0</v>
          </cell>
          <cell r="Q911">
            <v>0</v>
          </cell>
          <cell r="R911">
            <v>0</v>
          </cell>
          <cell r="S911">
            <v>0</v>
          </cell>
          <cell r="T911">
            <v>0</v>
          </cell>
          <cell r="U911">
            <v>0</v>
          </cell>
          <cell r="V911">
            <v>-4666.8500000000004</v>
          </cell>
          <cell r="W911">
            <v>0</v>
          </cell>
          <cell r="X911">
            <v>0</v>
          </cell>
          <cell r="Y911">
            <v>0</v>
          </cell>
          <cell r="Z911">
            <v>0</v>
          </cell>
          <cell r="AA911">
            <v>0</v>
          </cell>
          <cell r="AB911">
            <v>25500</v>
          </cell>
          <cell r="AC911">
            <v>0</v>
          </cell>
          <cell r="AD911">
            <v>0</v>
          </cell>
          <cell r="AE911">
            <v>0</v>
          </cell>
          <cell r="AF911">
            <v>0</v>
          </cell>
        </row>
        <row r="912">
          <cell r="A912">
            <v>1800098</v>
          </cell>
          <cell r="H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25500</v>
          </cell>
          <cell r="AC912">
            <v>0</v>
          </cell>
          <cell r="AD912">
            <v>0</v>
          </cell>
          <cell r="AE912">
            <v>0</v>
          </cell>
          <cell r="AF912">
            <v>0</v>
          </cell>
        </row>
        <row r="913">
          <cell r="A913">
            <v>1800099</v>
          </cell>
          <cell r="B913" t="str">
            <v>1800099</v>
          </cell>
          <cell r="G913" t="str">
            <v>Computer Server -GNR Noc</v>
          </cell>
          <cell r="H913">
            <v>0</v>
          </cell>
          <cell r="K913">
            <v>0</v>
          </cell>
          <cell r="L913">
            <v>0</v>
          </cell>
          <cell r="M913">
            <v>0</v>
          </cell>
          <cell r="N913">
            <v>0</v>
          </cell>
          <cell r="O913">
            <v>0</v>
          </cell>
          <cell r="P913">
            <v>0</v>
          </cell>
          <cell r="Q913">
            <v>0</v>
          </cell>
          <cell r="R913">
            <v>0</v>
          </cell>
          <cell r="S913">
            <v>0</v>
          </cell>
          <cell r="T913">
            <v>0</v>
          </cell>
          <cell r="U913">
            <v>0</v>
          </cell>
          <cell r="V913">
            <v>-3109.74</v>
          </cell>
          <cell r="W913">
            <v>0</v>
          </cell>
          <cell r="X913">
            <v>0</v>
          </cell>
          <cell r="Y913">
            <v>0</v>
          </cell>
          <cell r="Z913">
            <v>0</v>
          </cell>
          <cell r="AA913">
            <v>0</v>
          </cell>
          <cell r="AB913">
            <v>26520</v>
          </cell>
          <cell r="AC913">
            <v>0</v>
          </cell>
          <cell r="AD913">
            <v>0</v>
          </cell>
          <cell r="AE913">
            <v>0</v>
          </cell>
          <cell r="AF913">
            <v>0</v>
          </cell>
        </row>
        <row r="914">
          <cell r="A914">
            <v>1800099</v>
          </cell>
          <cell r="H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26520</v>
          </cell>
          <cell r="AC914">
            <v>0</v>
          </cell>
          <cell r="AD914">
            <v>0</v>
          </cell>
          <cell r="AE914">
            <v>0</v>
          </cell>
          <cell r="AF914">
            <v>0</v>
          </cell>
        </row>
        <row r="915">
          <cell r="A915">
            <v>1800100</v>
          </cell>
          <cell r="B915" t="str">
            <v>1800100</v>
          </cell>
          <cell r="G915" t="str">
            <v>Computer Server -Paguthan &amp; Dahrej(1)</v>
          </cell>
          <cell r="H915">
            <v>0</v>
          </cell>
          <cell r="K915">
            <v>0</v>
          </cell>
          <cell r="L915">
            <v>0</v>
          </cell>
          <cell r="M915">
            <v>0</v>
          </cell>
          <cell r="N915">
            <v>0</v>
          </cell>
          <cell r="O915">
            <v>0</v>
          </cell>
          <cell r="P915">
            <v>0</v>
          </cell>
          <cell r="Q915">
            <v>0</v>
          </cell>
          <cell r="R915">
            <v>0</v>
          </cell>
          <cell r="S915">
            <v>0</v>
          </cell>
          <cell r="T915">
            <v>0</v>
          </cell>
          <cell r="U915">
            <v>0</v>
          </cell>
          <cell r="V915">
            <v>-3109.74</v>
          </cell>
          <cell r="W915">
            <v>0</v>
          </cell>
          <cell r="X915">
            <v>0</v>
          </cell>
          <cell r="Y915">
            <v>0</v>
          </cell>
          <cell r="Z915">
            <v>0</v>
          </cell>
          <cell r="AA915">
            <v>0</v>
          </cell>
          <cell r="AB915">
            <v>26520</v>
          </cell>
          <cell r="AC915">
            <v>0</v>
          </cell>
          <cell r="AD915">
            <v>0</v>
          </cell>
          <cell r="AE915">
            <v>0</v>
          </cell>
          <cell r="AF915">
            <v>0</v>
          </cell>
        </row>
        <row r="916">
          <cell r="A916">
            <v>1800100</v>
          </cell>
          <cell r="H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26520</v>
          </cell>
          <cell r="AC916">
            <v>0</v>
          </cell>
          <cell r="AD916">
            <v>0</v>
          </cell>
          <cell r="AE916">
            <v>0</v>
          </cell>
          <cell r="AF916">
            <v>0</v>
          </cell>
        </row>
        <row r="917">
          <cell r="A917">
            <v>1800101</v>
          </cell>
          <cell r="B917" t="str">
            <v>1800101</v>
          </cell>
          <cell r="G917" t="str">
            <v>Computer Server - Vapi Pop</v>
          </cell>
          <cell r="H917">
            <v>0</v>
          </cell>
          <cell r="K917">
            <v>0</v>
          </cell>
          <cell r="L917">
            <v>0</v>
          </cell>
          <cell r="M917">
            <v>0</v>
          </cell>
          <cell r="N917">
            <v>0</v>
          </cell>
          <cell r="O917">
            <v>0</v>
          </cell>
          <cell r="P917">
            <v>0</v>
          </cell>
          <cell r="Q917">
            <v>0</v>
          </cell>
          <cell r="R917">
            <v>0</v>
          </cell>
          <cell r="S917">
            <v>0</v>
          </cell>
          <cell r="T917">
            <v>0</v>
          </cell>
          <cell r="U917">
            <v>0</v>
          </cell>
          <cell r="V917">
            <v>-3109.74</v>
          </cell>
          <cell r="W917">
            <v>0</v>
          </cell>
          <cell r="X917">
            <v>0</v>
          </cell>
          <cell r="Y917">
            <v>0</v>
          </cell>
          <cell r="Z917">
            <v>0</v>
          </cell>
          <cell r="AA917">
            <v>0</v>
          </cell>
          <cell r="AB917">
            <v>26520</v>
          </cell>
          <cell r="AC917">
            <v>0</v>
          </cell>
          <cell r="AD917">
            <v>0</v>
          </cell>
          <cell r="AE917">
            <v>0</v>
          </cell>
          <cell r="AF917">
            <v>0</v>
          </cell>
        </row>
        <row r="918">
          <cell r="A918">
            <v>1800101</v>
          </cell>
          <cell r="H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26520</v>
          </cell>
          <cell r="AC918">
            <v>0</v>
          </cell>
          <cell r="AD918">
            <v>0</v>
          </cell>
          <cell r="AE918">
            <v>0</v>
          </cell>
          <cell r="AF918">
            <v>0</v>
          </cell>
        </row>
        <row r="919">
          <cell r="A919">
            <v>1800102</v>
          </cell>
          <cell r="B919" t="str">
            <v>1800102</v>
          </cell>
          <cell r="G919" t="str">
            <v>Computer Server -Paguthan &amp; Dahrej(2)</v>
          </cell>
          <cell r="H919">
            <v>0</v>
          </cell>
          <cell r="K919">
            <v>0</v>
          </cell>
          <cell r="L919">
            <v>0</v>
          </cell>
          <cell r="M919">
            <v>0</v>
          </cell>
          <cell r="N919">
            <v>0</v>
          </cell>
          <cell r="O919">
            <v>0</v>
          </cell>
          <cell r="P919">
            <v>0</v>
          </cell>
          <cell r="Q919">
            <v>0</v>
          </cell>
          <cell r="R919">
            <v>0</v>
          </cell>
          <cell r="S919">
            <v>0</v>
          </cell>
          <cell r="T919">
            <v>0</v>
          </cell>
          <cell r="U919">
            <v>0</v>
          </cell>
          <cell r="V919">
            <v>-3109.74</v>
          </cell>
          <cell r="W919">
            <v>0</v>
          </cell>
          <cell r="X919">
            <v>0</v>
          </cell>
          <cell r="Y919">
            <v>0</v>
          </cell>
          <cell r="Z919">
            <v>0</v>
          </cell>
          <cell r="AA919">
            <v>0</v>
          </cell>
          <cell r="AB919">
            <v>26520</v>
          </cell>
          <cell r="AC919">
            <v>0</v>
          </cell>
          <cell r="AD919">
            <v>0</v>
          </cell>
          <cell r="AE919">
            <v>0</v>
          </cell>
          <cell r="AF919">
            <v>0</v>
          </cell>
        </row>
        <row r="920">
          <cell r="A920">
            <v>1800102</v>
          </cell>
          <cell r="H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26520</v>
          </cell>
          <cell r="AC920">
            <v>0</v>
          </cell>
          <cell r="AD920">
            <v>0</v>
          </cell>
          <cell r="AE920">
            <v>0</v>
          </cell>
          <cell r="AF920">
            <v>0</v>
          </cell>
        </row>
        <row r="921">
          <cell r="A921">
            <v>1800103</v>
          </cell>
          <cell r="B921" t="str">
            <v>1800103</v>
          </cell>
          <cell r="G921" t="str">
            <v>Computer - Server</v>
          </cell>
          <cell r="H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23504</v>
          </cell>
          <cell r="AC921">
            <v>0</v>
          </cell>
          <cell r="AD921">
            <v>0</v>
          </cell>
          <cell r="AE921">
            <v>0</v>
          </cell>
          <cell r="AF921">
            <v>0</v>
          </cell>
        </row>
        <row r="922">
          <cell r="A922">
            <v>1800103</v>
          </cell>
          <cell r="H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23504</v>
          </cell>
          <cell r="AC922">
            <v>0</v>
          </cell>
          <cell r="AD922">
            <v>0</v>
          </cell>
          <cell r="AE922">
            <v>0</v>
          </cell>
          <cell r="AF922">
            <v>0</v>
          </cell>
        </row>
        <row r="923">
          <cell r="A923">
            <v>1800104</v>
          </cell>
          <cell r="B923" t="str">
            <v>1800104</v>
          </cell>
          <cell r="G923" t="str">
            <v>Computer - Lenovo - Q41</v>
          </cell>
          <cell r="H923">
            <v>0</v>
          </cell>
          <cell r="K923">
            <v>0</v>
          </cell>
          <cell r="L923">
            <v>0</v>
          </cell>
          <cell r="M923">
            <v>0</v>
          </cell>
          <cell r="N923">
            <v>0</v>
          </cell>
          <cell r="O923">
            <v>0</v>
          </cell>
          <cell r="P923">
            <v>0</v>
          </cell>
          <cell r="Q923">
            <v>0</v>
          </cell>
          <cell r="R923">
            <v>0</v>
          </cell>
          <cell r="S923">
            <v>0</v>
          </cell>
          <cell r="T923">
            <v>0</v>
          </cell>
          <cell r="U923">
            <v>0</v>
          </cell>
          <cell r="V923">
            <v>-584.47</v>
          </cell>
          <cell r="W923">
            <v>0</v>
          </cell>
          <cell r="X923">
            <v>0</v>
          </cell>
          <cell r="Y923">
            <v>0</v>
          </cell>
          <cell r="Z923">
            <v>0</v>
          </cell>
          <cell r="AA923">
            <v>0</v>
          </cell>
          <cell r="AB923">
            <v>23188</v>
          </cell>
          <cell r="AC923">
            <v>0</v>
          </cell>
          <cell r="AD923">
            <v>0</v>
          </cell>
          <cell r="AE923">
            <v>0</v>
          </cell>
          <cell r="AF923">
            <v>0</v>
          </cell>
        </row>
        <row r="924">
          <cell r="A924">
            <v>1800104</v>
          </cell>
          <cell r="H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23188</v>
          </cell>
          <cell r="AC924">
            <v>0</v>
          </cell>
          <cell r="AD924">
            <v>0</v>
          </cell>
          <cell r="AE924">
            <v>0</v>
          </cell>
          <cell r="AF924">
            <v>0</v>
          </cell>
        </row>
        <row r="925">
          <cell r="A925">
            <v>1800105</v>
          </cell>
          <cell r="B925" t="str">
            <v>1800105</v>
          </cell>
          <cell r="G925" t="str">
            <v>Computer - Lenovo - Q41</v>
          </cell>
          <cell r="H925">
            <v>0</v>
          </cell>
          <cell r="K925">
            <v>0</v>
          </cell>
          <cell r="L925">
            <v>0</v>
          </cell>
          <cell r="M925">
            <v>0</v>
          </cell>
          <cell r="N925">
            <v>0</v>
          </cell>
          <cell r="O925">
            <v>0</v>
          </cell>
          <cell r="P925">
            <v>0</v>
          </cell>
          <cell r="Q925">
            <v>0</v>
          </cell>
          <cell r="R925">
            <v>0</v>
          </cell>
          <cell r="S925">
            <v>0</v>
          </cell>
          <cell r="T925">
            <v>0</v>
          </cell>
          <cell r="U925">
            <v>0</v>
          </cell>
          <cell r="V925">
            <v>-584.47</v>
          </cell>
          <cell r="W925">
            <v>0</v>
          </cell>
          <cell r="X925">
            <v>0</v>
          </cell>
          <cell r="Y925">
            <v>0</v>
          </cell>
          <cell r="Z925">
            <v>0</v>
          </cell>
          <cell r="AA925">
            <v>0</v>
          </cell>
          <cell r="AB925">
            <v>23188</v>
          </cell>
          <cell r="AC925">
            <v>0</v>
          </cell>
          <cell r="AD925">
            <v>0</v>
          </cell>
          <cell r="AE925">
            <v>0</v>
          </cell>
          <cell r="AF925">
            <v>0</v>
          </cell>
        </row>
        <row r="926">
          <cell r="A926">
            <v>1800105</v>
          </cell>
          <cell r="H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23188</v>
          </cell>
          <cell r="AC926">
            <v>0</v>
          </cell>
          <cell r="AD926">
            <v>0</v>
          </cell>
          <cell r="AE926">
            <v>0</v>
          </cell>
          <cell r="AF926">
            <v>0</v>
          </cell>
        </row>
        <row r="927">
          <cell r="A927">
            <v>1800106</v>
          </cell>
          <cell r="B927" t="str">
            <v>1800106</v>
          </cell>
          <cell r="G927" t="str">
            <v>Computer - Lenovo - Q41</v>
          </cell>
          <cell r="H927">
            <v>0</v>
          </cell>
          <cell r="K927">
            <v>0</v>
          </cell>
          <cell r="L927">
            <v>0</v>
          </cell>
          <cell r="M927">
            <v>0</v>
          </cell>
          <cell r="N927">
            <v>0</v>
          </cell>
          <cell r="O927">
            <v>0</v>
          </cell>
          <cell r="P927">
            <v>0</v>
          </cell>
          <cell r="Q927">
            <v>0</v>
          </cell>
          <cell r="R927">
            <v>0</v>
          </cell>
          <cell r="S927">
            <v>0</v>
          </cell>
          <cell r="T927">
            <v>0</v>
          </cell>
          <cell r="U927">
            <v>0</v>
          </cell>
          <cell r="V927">
            <v>-584.47</v>
          </cell>
          <cell r="W927">
            <v>0</v>
          </cell>
          <cell r="X927">
            <v>0</v>
          </cell>
          <cell r="Y927">
            <v>0</v>
          </cell>
          <cell r="Z927">
            <v>0</v>
          </cell>
          <cell r="AA927">
            <v>0</v>
          </cell>
          <cell r="AB927">
            <v>23188</v>
          </cell>
          <cell r="AC927">
            <v>0</v>
          </cell>
          <cell r="AD927">
            <v>0</v>
          </cell>
          <cell r="AE927">
            <v>0</v>
          </cell>
          <cell r="AF927">
            <v>0</v>
          </cell>
        </row>
        <row r="928">
          <cell r="A928">
            <v>1800106</v>
          </cell>
          <cell r="H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23188</v>
          </cell>
          <cell r="AC928">
            <v>0</v>
          </cell>
          <cell r="AD928">
            <v>0</v>
          </cell>
          <cell r="AE928">
            <v>0</v>
          </cell>
          <cell r="AF928">
            <v>0</v>
          </cell>
        </row>
        <row r="929">
          <cell r="A929">
            <v>1800107</v>
          </cell>
          <cell r="B929" t="str">
            <v>1800107</v>
          </cell>
          <cell r="G929" t="str">
            <v>Computer - Lenovo - Q41</v>
          </cell>
          <cell r="H929">
            <v>0</v>
          </cell>
          <cell r="K929">
            <v>0</v>
          </cell>
          <cell r="L929">
            <v>0</v>
          </cell>
          <cell r="M929">
            <v>0</v>
          </cell>
          <cell r="N929">
            <v>0</v>
          </cell>
          <cell r="O929">
            <v>0</v>
          </cell>
          <cell r="P929">
            <v>0</v>
          </cell>
          <cell r="Q929">
            <v>0</v>
          </cell>
          <cell r="R929">
            <v>0</v>
          </cell>
          <cell r="S929">
            <v>0</v>
          </cell>
          <cell r="T929">
            <v>0</v>
          </cell>
          <cell r="U929">
            <v>0</v>
          </cell>
          <cell r="V929">
            <v>-584.47</v>
          </cell>
          <cell r="W929">
            <v>0</v>
          </cell>
          <cell r="X929">
            <v>0</v>
          </cell>
          <cell r="Y929">
            <v>0</v>
          </cell>
          <cell r="Z929">
            <v>0</v>
          </cell>
          <cell r="AA929">
            <v>0</v>
          </cell>
          <cell r="AB929">
            <v>23188</v>
          </cell>
          <cell r="AC929">
            <v>0</v>
          </cell>
          <cell r="AD929">
            <v>0</v>
          </cell>
          <cell r="AE929">
            <v>0</v>
          </cell>
          <cell r="AF929">
            <v>0</v>
          </cell>
        </row>
        <row r="930">
          <cell r="A930">
            <v>1800107</v>
          </cell>
          <cell r="H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23188</v>
          </cell>
          <cell r="AC930">
            <v>0</v>
          </cell>
          <cell r="AD930">
            <v>0</v>
          </cell>
          <cell r="AE930">
            <v>0</v>
          </cell>
          <cell r="AF930">
            <v>0</v>
          </cell>
        </row>
        <row r="931">
          <cell r="A931">
            <v>1800108</v>
          </cell>
          <cell r="B931" t="str">
            <v>1800108</v>
          </cell>
          <cell r="G931" t="str">
            <v>Computer - INFINITI -PRO - BL- 1230</v>
          </cell>
          <cell r="H931">
            <v>0</v>
          </cell>
          <cell r="K931">
            <v>0</v>
          </cell>
          <cell r="L931">
            <v>0</v>
          </cell>
          <cell r="M931">
            <v>0</v>
          </cell>
          <cell r="N931">
            <v>0</v>
          </cell>
          <cell r="O931">
            <v>0</v>
          </cell>
          <cell r="P931">
            <v>0</v>
          </cell>
          <cell r="Q931">
            <v>0</v>
          </cell>
          <cell r="R931">
            <v>0</v>
          </cell>
          <cell r="S931">
            <v>0</v>
          </cell>
          <cell r="T931">
            <v>0</v>
          </cell>
          <cell r="U931">
            <v>0</v>
          </cell>
          <cell r="V931">
            <v>-3019.18</v>
          </cell>
          <cell r="W931">
            <v>0</v>
          </cell>
          <cell r="X931">
            <v>0</v>
          </cell>
          <cell r="Y931">
            <v>0</v>
          </cell>
          <cell r="Z931">
            <v>0</v>
          </cell>
          <cell r="AA931">
            <v>0</v>
          </cell>
          <cell r="AB931">
            <v>29000</v>
          </cell>
          <cell r="AC931">
            <v>0</v>
          </cell>
          <cell r="AD931">
            <v>0</v>
          </cell>
          <cell r="AE931">
            <v>0</v>
          </cell>
          <cell r="AF931">
            <v>0</v>
          </cell>
        </row>
        <row r="932">
          <cell r="A932">
            <v>1800108</v>
          </cell>
          <cell r="H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29000</v>
          </cell>
          <cell r="AC932">
            <v>0</v>
          </cell>
          <cell r="AD932">
            <v>0</v>
          </cell>
          <cell r="AE932">
            <v>0</v>
          </cell>
          <cell r="AF932">
            <v>0</v>
          </cell>
        </row>
        <row r="933">
          <cell r="A933">
            <v>1800109</v>
          </cell>
          <cell r="B933" t="str">
            <v>1800109</v>
          </cell>
          <cell r="G933" t="str">
            <v>Laptop - Comapq</v>
          </cell>
          <cell r="H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row>
        <row r="934">
          <cell r="A934">
            <v>1800110</v>
          </cell>
          <cell r="B934" t="str">
            <v>1800110</v>
          </cell>
          <cell r="G934" t="str">
            <v>Laptop - Comapq</v>
          </cell>
          <cell r="H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row>
        <row r="935">
          <cell r="A935">
            <v>1900000</v>
          </cell>
          <cell r="B935" t="str">
            <v>1900000</v>
          </cell>
          <cell r="G935" t="str">
            <v>SANTRO CAR</v>
          </cell>
          <cell r="H935">
            <v>377258</v>
          </cell>
          <cell r="K935">
            <v>0</v>
          </cell>
          <cell r="L935">
            <v>0</v>
          </cell>
          <cell r="M935">
            <v>-244565</v>
          </cell>
          <cell r="N935">
            <v>0</v>
          </cell>
          <cell r="O935">
            <v>0</v>
          </cell>
          <cell r="P935">
            <v>0</v>
          </cell>
          <cell r="Q935">
            <v>0</v>
          </cell>
          <cell r="R935">
            <v>0</v>
          </cell>
          <cell r="S935">
            <v>0</v>
          </cell>
          <cell r="T935">
            <v>0</v>
          </cell>
          <cell r="U935">
            <v>0</v>
          </cell>
          <cell r="V935">
            <v>-34354.22</v>
          </cell>
          <cell r="W935">
            <v>0</v>
          </cell>
          <cell r="X935">
            <v>0</v>
          </cell>
          <cell r="Y935">
            <v>0</v>
          </cell>
          <cell r="Z935">
            <v>0</v>
          </cell>
          <cell r="AA935">
            <v>0</v>
          </cell>
          <cell r="AB935">
            <v>0</v>
          </cell>
          <cell r="AC935">
            <v>0</v>
          </cell>
          <cell r="AD935">
            <v>0</v>
          </cell>
          <cell r="AE935">
            <v>0</v>
          </cell>
          <cell r="AF935">
            <v>0</v>
          </cell>
        </row>
        <row r="936">
          <cell r="A936">
            <v>1900000</v>
          </cell>
          <cell r="H936">
            <v>377258</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row>
        <row r="937">
          <cell r="A937">
            <v>1900000</v>
          </cell>
          <cell r="H937">
            <v>377258</v>
          </cell>
          <cell r="K937">
            <v>0</v>
          </cell>
          <cell r="L937">
            <v>0</v>
          </cell>
          <cell r="M937">
            <v>-278919.21999999997</v>
          </cell>
          <cell r="N937">
            <v>0</v>
          </cell>
          <cell r="O937">
            <v>0</v>
          </cell>
          <cell r="P937">
            <v>0</v>
          </cell>
          <cell r="Q937">
            <v>0</v>
          </cell>
          <cell r="R937">
            <v>0</v>
          </cell>
          <cell r="S937">
            <v>0</v>
          </cell>
          <cell r="T937">
            <v>0</v>
          </cell>
          <cell r="U937">
            <v>0</v>
          </cell>
          <cell r="V937">
            <v>-25459.91</v>
          </cell>
          <cell r="W937">
            <v>0</v>
          </cell>
          <cell r="X937">
            <v>0</v>
          </cell>
          <cell r="Y937">
            <v>0</v>
          </cell>
          <cell r="Z937">
            <v>0</v>
          </cell>
          <cell r="AA937">
            <v>0</v>
          </cell>
          <cell r="AB937">
            <v>0</v>
          </cell>
          <cell r="AC937">
            <v>0</v>
          </cell>
          <cell r="AD937">
            <v>0</v>
          </cell>
          <cell r="AE937">
            <v>0</v>
          </cell>
          <cell r="AF937">
            <v>0</v>
          </cell>
        </row>
        <row r="938">
          <cell r="A938">
            <v>1900000</v>
          </cell>
          <cell r="H938">
            <v>377258</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row>
        <row r="939">
          <cell r="A939">
            <v>1900001</v>
          </cell>
          <cell r="B939" t="str">
            <v>1900001</v>
          </cell>
          <cell r="G939" t="str">
            <v>SCOOTER</v>
          </cell>
          <cell r="H939">
            <v>34567</v>
          </cell>
          <cell r="K939">
            <v>0</v>
          </cell>
          <cell r="L939">
            <v>0</v>
          </cell>
          <cell r="M939">
            <v>-23671</v>
          </cell>
          <cell r="N939">
            <v>0</v>
          </cell>
          <cell r="O939">
            <v>0</v>
          </cell>
          <cell r="P939">
            <v>0</v>
          </cell>
          <cell r="Q939">
            <v>0</v>
          </cell>
          <cell r="R939">
            <v>0</v>
          </cell>
          <cell r="S939">
            <v>0</v>
          </cell>
          <cell r="T939">
            <v>0</v>
          </cell>
          <cell r="U939">
            <v>0</v>
          </cell>
          <cell r="V939">
            <v>-2820.97</v>
          </cell>
          <cell r="W939">
            <v>0</v>
          </cell>
          <cell r="X939">
            <v>0</v>
          </cell>
          <cell r="Y939">
            <v>0</v>
          </cell>
          <cell r="Z939">
            <v>0</v>
          </cell>
          <cell r="AA939">
            <v>0</v>
          </cell>
          <cell r="AB939">
            <v>0</v>
          </cell>
          <cell r="AC939">
            <v>0</v>
          </cell>
          <cell r="AD939">
            <v>0</v>
          </cell>
          <cell r="AE939">
            <v>0</v>
          </cell>
          <cell r="AF939">
            <v>0</v>
          </cell>
        </row>
        <row r="940">
          <cell r="A940">
            <v>1900001</v>
          </cell>
          <cell r="H940">
            <v>34567</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row>
        <row r="941">
          <cell r="A941">
            <v>1900001</v>
          </cell>
          <cell r="H941">
            <v>34567</v>
          </cell>
          <cell r="K941">
            <v>0</v>
          </cell>
          <cell r="L941">
            <v>0</v>
          </cell>
          <cell r="M941">
            <v>-26491.97</v>
          </cell>
          <cell r="N941">
            <v>0</v>
          </cell>
          <cell r="O941">
            <v>0</v>
          </cell>
          <cell r="P941">
            <v>0</v>
          </cell>
          <cell r="Q941">
            <v>0</v>
          </cell>
          <cell r="R941">
            <v>0</v>
          </cell>
          <cell r="S941">
            <v>0</v>
          </cell>
          <cell r="T941">
            <v>0</v>
          </cell>
          <cell r="U941">
            <v>0</v>
          </cell>
          <cell r="V941">
            <v>-2090.63</v>
          </cell>
          <cell r="W941">
            <v>0</v>
          </cell>
          <cell r="X941">
            <v>0</v>
          </cell>
          <cell r="Y941">
            <v>0</v>
          </cell>
          <cell r="Z941">
            <v>0</v>
          </cell>
          <cell r="AA941">
            <v>0</v>
          </cell>
          <cell r="AB941">
            <v>0</v>
          </cell>
          <cell r="AC941">
            <v>0</v>
          </cell>
          <cell r="AD941">
            <v>0</v>
          </cell>
          <cell r="AE941">
            <v>0</v>
          </cell>
          <cell r="AF941">
            <v>0</v>
          </cell>
        </row>
        <row r="942">
          <cell r="A942">
            <v>1900001</v>
          </cell>
          <cell r="H942">
            <v>34567</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row>
        <row r="943">
          <cell r="A943">
            <v>1900002</v>
          </cell>
          <cell r="B943" t="str">
            <v>1900002</v>
          </cell>
          <cell r="G943" t="str">
            <v>MOTOTRCYCLE</v>
          </cell>
          <cell r="H943">
            <v>48377</v>
          </cell>
          <cell r="K943">
            <v>0</v>
          </cell>
          <cell r="L943">
            <v>0</v>
          </cell>
          <cell r="M943">
            <v>-4873</v>
          </cell>
          <cell r="N943">
            <v>0</v>
          </cell>
          <cell r="O943">
            <v>0</v>
          </cell>
          <cell r="P943">
            <v>0</v>
          </cell>
          <cell r="Q943">
            <v>0</v>
          </cell>
          <cell r="R943">
            <v>0</v>
          </cell>
          <cell r="S943">
            <v>0</v>
          </cell>
          <cell r="T943">
            <v>0</v>
          </cell>
          <cell r="U943">
            <v>0</v>
          </cell>
          <cell r="V943">
            <v>-11263.19</v>
          </cell>
          <cell r="W943">
            <v>0</v>
          </cell>
          <cell r="X943">
            <v>0</v>
          </cell>
          <cell r="Y943">
            <v>0</v>
          </cell>
          <cell r="Z943">
            <v>0</v>
          </cell>
          <cell r="AA943">
            <v>0</v>
          </cell>
          <cell r="AB943">
            <v>0</v>
          </cell>
          <cell r="AC943">
            <v>0</v>
          </cell>
          <cell r="AD943">
            <v>0</v>
          </cell>
          <cell r="AE943">
            <v>0</v>
          </cell>
          <cell r="AF943">
            <v>0</v>
          </cell>
        </row>
        <row r="944">
          <cell r="A944">
            <v>1900002</v>
          </cell>
          <cell r="H944">
            <v>48377</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row>
        <row r="945">
          <cell r="A945">
            <v>1900002</v>
          </cell>
          <cell r="H945">
            <v>48377</v>
          </cell>
          <cell r="K945">
            <v>0</v>
          </cell>
          <cell r="L945">
            <v>0</v>
          </cell>
          <cell r="M945">
            <v>-16136.19</v>
          </cell>
          <cell r="N945">
            <v>0</v>
          </cell>
          <cell r="O945">
            <v>0</v>
          </cell>
          <cell r="P945">
            <v>0</v>
          </cell>
          <cell r="Q945">
            <v>0</v>
          </cell>
          <cell r="R945">
            <v>0</v>
          </cell>
          <cell r="S945">
            <v>0</v>
          </cell>
          <cell r="T945">
            <v>0</v>
          </cell>
          <cell r="U945">
            <v>0</v>
          </cell>
          <cell r="V945">
            <v>-8347.15</v>
          </cell>
          <cell r="W945">
            <v>0</v>
          </cell>
          <cell r="X945">
            <v>0</v>
          </cell>
          <cell r="Y945">
            <v>0</v>
          </cell>
          <cell r="Z945">
            <v>0</v>
          </cell>
          <cell r="AA945">
            <v>0</v>
          </cell>
          <cell r="AB945">
            <v>0</v>
          </cell>
          <cell r="AC945">
            <v>0</v>
          </cell>
          <cell r="AD945">
            <v>0</v>
          </cell>
          <cell r="AE945">
            <v>0</v>
          </cell>
          <cell r="AF945">
            <v>0</v>
          </cell>
        </row>
        <row r="946">
          <cell r="A946">
            <v>1900002</v>
          </cell>
          <cell r="H946">
            <v>48377</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row>
        <row r="947">
          <cell r="A947">
            <v>1900003</v>
          </cell>
          <cell r="B947" t="str">
            <v>1900003</v>
          </cell>
          <cell r="G947" t="str">
            <v>Motor Cycle</v>
          </cell>
          <cell r="H947">
            <v>0</v>
          </cell>
          <cell r="K947">
            <v>0</v>
          </cell>
          <cell r="L947">
            <v>0</v>
          </cell>
          <cell r="M947">
            <v>0</v>
          </cell>
          <cell r="N947">
            <v>0</v>
          </cell>
          <cell r="O947">
            <v>0</v>
          </cell>
          <cell r="P947">
            <v>0</v>
          </cell>
          <cell r="Q947">
            <v>0</v>
          </cell>
          <cell r="R947">
            <v>0</v>
          </cell>
          <cell r="S947">
            <v>0</v>
          </cell>
          <cell r="T947">
            <v>0</v>
          </cell>
          <cell r="U947">
            <v>0</v>
          </cell>
          <cell r="V947">
            <v>-595.15</v>
          </cell>
          <cell r="W947">
            <v>0</v>
          </cell>
          <cell r="X947">
            <v>0</v>
          </cell>
          <cell r="Y947">
            <v>0</v>
          </cell>
          <cell r="Z947">
            <v>0</v>
          </cell>
          <cell r="AA947">
            <v>0</v>
          </cell>
          <cell r="AB947">
            <v>4560</v>
          </cell>
          <cell r="AC947">
            <v>0</v>
          </cell>
          <cell r="AD947">
            <v>0</v>
          </cell>
          <cell r="AE947">
            <v>0</v>
          </cell>
          <cell r="AF947">
            <v>0</v>
          </cell>
        </row>
        <row r="948">
          <cell r="A948">
            <v>1900003</v>
          </cell>
          <cell r="H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4560</v>
          </cell>
          <cell r="AC948">
            <v>0</v>
          </cell>
          <cell r="AD948">
            <v>0</v>
          </cell>
          <cell r="AE948">
            <v>0</v>
          </cell>
          <cell r="AF948">
            <v>0</v>
          </cell>
        </row>
        <row r="949">
          <cell r="A949">
            <v>1900003</v>
          </cell>
          <cell r="H949">
            <v>4560</v>
          </cell>
          <cell r="K949">
            <v>0</v>
          </cell>
          <cell r="L949">
            <v>0</v>
          </cell>
          <cell r="M949">
            <v>-595.15</v>
          </cell>
          <cell r="N949">
            <v>0</v>
          </cell>
          <cell r="O949">
            <v>0</v>
          </cell>
          <cell r="P949">
            <v>0</v>
          </cell>
          <cell r="Q949">
            <v>0</v>
          </cell>
          <cell r="R949">
            <v>0</v>
          </cell>
          <cell r="S949">
            <v>0</v>
          </cell>
          <cell r="T949">
            <v>0</v>
          </cell>
          <cell r="U949">
            <v>0</v>
          </cell>
          <cell r="V949">
            <v>-1026.5</v>
          </cell>
          <cell r="W949">
            <v>0</v>
          </cell>
          <cell r="X949">
            <v>0</v>
          </cell>
          <cell r="Y949">
            <v>0</v>
          </cell>
          <cell r="Z949">
            <v>0</v>
          </cell>
          <cell r="AA949">
            <v>0</v>
          </cell>
          <cell r="AB949">
            <v>0</v>
          </cell>
          <cell r="AC949">
            <v>0</v>
          </cell>
          <cell r="AD949">
            <v>0</v>
          </cell>
          <cell r="AE949">
            <v>0</v>
          </cell>
          <cell r="AF949">
            <v>0</v>
          </cell>
        </row>
        <row r="950">
          <cell r="A950">
            <v>1900003</v>
          </cell>
          <cell r="H950">
            <v>4560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row>
        <row r="951">
          <cell r="A951">
            <v>1900004</v>
          </cell>
          <cell r="B951" t="str">
            <v>1900004</v>
          </cell>
          <cell r="G951" t="str">
            <v>MOTERBIKE</v>
          </cell>
          <cell r="H951">
            <v>0</v>
          </cell>
          <cell r="K951">
            <v>0</v>
          </cell>
          <cell r="L951">
            <v>0</v>
          </cell>
          <cell r="M951">
            <v>0</v>
          </cell>
          <cell r="N951">
            <v>0</v>
          </cell>
          <cell r="O951">
            <v>0</v>
          </cell>
          <cell r="P951">
            <v>0</v>
          </cell>
          <cell r="Q951">
            <v>0</v>
          </cell>
          <cell r="R951">
            <v>0</v>
          </cell>
          <cell r="S951">
            <v>0</v>
          </cell>
          <cell r="T951">
            <v>0</v>
          </cell>
          <cell r="U951">
            <v>0</v>
          </cell>
          <cell r="V951">
            <v>-5814.13</v>
          </cell>
          <cell r="W951">
            <v>0</v>
          </cell>
          <cell r="X951">
            <v>0</v>
          </cell>
          <cell r="Y951">
            <v>0</v>
          </cell>
          <cell r="Z951">
            <v>0</v>
          </cell>
          <cell r="AA951">
            <v>0</v>
          </cell>
          <cell r="AB951">
            <v>42035</v>
          </cell>
          <cell r="AC951">
            <v>0</v>
          </cell>
          <cell r="AD951">
            <v>0</v>
          </cell>
          <cell r="AE951">
            <v>0</v>
          </cell>
          <cell r="AF951">
            <v>0</v>
          </cell>
        </row>
        <row r="952">
          <cell r="A952">
            <v>1900004</v>
          </cell>
          <cell r="H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42035</v>
          </cell>
          <cell r="AC952">
            <v>0</v>
          </cell>
          <cell r="AD952">
            <v>0</v>
          </cell>
          <cell r="AE952">
            <v>0</v>
          </cell>
          <cell r="AF952">
            <v>0</v>
          </cell>
        </row>
        <row r="953">
          <cell r="A953">
            <v>1900005</v>
          </cell>
          <cell r="B953" t="str">
            <v>1900005</v>
          </cell>
          <cell r="G953" t="str">
            <v>MOTERBIKE</v>
          </cell>
          <cell r="H953">
            <v>0</v>
          </cell>
          <cell r="K953">
            <v>0</v>
          </cell>
          <cell r="L953">
            <v>0</v>
          </cell>
          <cell r="M953">
            <v>0</v>
          </cell>
          <cell r="N953">
            <v>0</v>
          </cell>
          <cell r="O953">
            <v>0</v>
          </cell>
          <cell r="P953">
            <v>0</v>
          </cell>
          <cell r="Q953">
            <v>0</v>
          </cell>
          <cell r="R953">
            <v>0</v>
          </cell>
          <cell r="S953">
            <v>0</v>
          </cell>
          <cell r="T953">
            <v>0</v>
          </cell>
          <cell r="U953">
            <v>0</v>
          </cell>
          <cell r="V953">
            <v>-4949.47</v>
          </cell>
          <cell r="W953">
            <v>0</v>
          </cell>
          <cell r="X953">
            <v>0</v>
          </cell>
          <cell r="Y953">
            <v>0</v>
          </cell>
          <cell r="Z953">
            <v>0</v>
          </cell>
          <cell r="AA953">
            <v>0</v>
          </cell>
          <cell r="AB953">
            <v>42035</v>
          </cell>
          <cell r="AC953">
            <v>0</v>
          </cell>
          <cell r="AD953">
            <v>0</v>
          </cell>
          <cell r="AE953">
            <v>0</v>
          </cell>
          <cell r="AF953">
            <v>0</v>
          </cell>
        </row>
        <row r="954">
          <cell r="A954">
            <v>1900005</v>
          </cell>
          <cell r="H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42035</v>
          </cell>
          <cell r="AC954">
            <v>0</v>
          </cell>
          <cell r="AD954">
            <v>0</v>
          </cell>
          <cell r="AE954">
            <v>0</v>
          </cell>
          <cell r="AF954">
            <v>0</v>
          </cell>
        </row>
        <row r="955">
          <cell r="A955">
            <v>2100000</v>
          </cell>
          <cell r="B955" t="str">
            <v>2100000</v>
          </cell>
          <cell r="G955" t="str">
            <v>FAN</v>
          </cell>
          <cell r="H955">
            <v>2280</v>
          </cell>
          <cell r="K955">
            <v>0</v>
          </cell>
          <cell r="L955">
            <v>0</v>
          </cell>
          <cell r="M955">
            <v>-2280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row>
        <row r="956">
          <cell r="A956">
            <v>2100000</v>
          </cell>
          <cell r="H956">
            <v>2280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row>
        <row r="957">
          <cell r="A957">
            <v>2100000</v>
          </cell>
          <cell r="H957">
            <v>2280</v>
          </cell>
          <cell r="K957">
            <v>0</v>
          </cell>
          <cell r="L957">
            <v>0</v>
          </cell>
          <cell r="M957">
            <v>-2280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row>
        <row r="958">
          <cell r="A958">
            <v>2100000</v>
          </cell>
          <cell r="H958">
            <v>2280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row>
        <row r="959">
          <cell r="A959">
            <v>2100001</v>
          </cell>
          <cell r="B959" t="str">
            <v>2100001</v>
          </cell>
          <cell r="G959" t="str">
            <v>TUBELIGHT</v>
          </cell>
          <cell r="H959">
            <v>450</v>
          </cell>
          <cell r="K959">
            <v>0</v>
          </cell>
          <cell r="L959">
            <v>0</v>
          </cell>
          <cell r="M959">
            <v>-450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row>
        <row r="960">
          <cell r="A960">
            <v>2100001</v>
          </cell>
          <cell r="H960">
            <v>450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row>
        <row r="961">
          <cell r="A961">
            <v>2100001</v>
          </cell>
          <cell r="H961">
            <v>450</v>
          </cell>
          <cell r="K961">
            <v>0</v>
          </cell>
          <cell r="L961">
            <v>0</v>
          </cell>
          <cell r="M961">
            <v>-450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row>
        <row r="962">
          <cell r="A962">
            <v>2100001</v>
          </cell>
          <cell r="H962">
            <v>450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row>
        <row r="963">
          <cell r="A963">
            <v>2100002</v>
          </cell>
          <cell r="B963" t="str">
            <v>2100002</v>
          </cell>
          <cell r="G963" t="str">
            <v>TABLE</v>
          </cell>
          <cell r="H963">
            <v>1500</v>
          </cell>
          <cell r="K963">
            <v>0</v>
          </cell>
          <cell r="L963">
            <v>0</v>
          </cell>
          <cell r="M963">
            <v>-1500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row>
        <row r="964">
          <cell r="A964">
            <v>2100002</v>
          </cell>
          <cell r="H964">
            <v>1500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row>
        <row r="965">
          <cell r="A965">
            <v>2100002</v>
          </cell>
          <cell r="H965">
            <v>1500</v>
          </cell>
          <cell r="K965">
            <v>0</v>
          </cell>
          <cell r="L965">
            <v>0</v>
          </cell>
          <cell r="M965">
            <v>-1500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row>
        <row r="966">
          <cell r="A966">
            <v>2100002</v>
          </cell>
          <cell r="H966">
            <v>1500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row>
        <row r="967">
          <cell r="A967">
            <v>2100003</v>
          </cell>
          <cell r="B967" t="str">
            <v>2100003</v>
          </cell>
          <cell r="G967" t="str">
            <v>CHAIRS</v>
          </cell>
          <cell r="H967">
            <v>900</v>
          </cell>
          <cell r="K967">
            <v>0</v>
          </cell>
          <cell r="L967">
            <v>0</v>
          </cell>
          <cell r="M967">
            <v>-900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row>
        <row r="968">
          <cell r="A968">
            <v>2100003</v>
          </cell>
          <cell r="H968">
            <v>900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row>
        <row r="969">
          <cell r="A969">
            <v>2100003</v>
          </cell>
          <cell r="H969">
            <v>900</v>
          </cell>
          <cell r="K969">
            <v>0</v>
          </cell>
          <cell r="L969">
            <v>0</v>
          </cell>
          <cell r="M969">
            <v>-900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row>
        <row r="970">
          <cell r="A970">
            <v>2100003</v>
          </cell>
          <cell r="H970">
            <v>900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row>
        <row r="971">
          <cell r="A971">
            <v>2100004</v>
          </cell>
          <cell r="B971" t="str">
            <v>2100004</v>
          </cell>
          <cell r="G971" t="str">
            <v>LOCKS</v>
          </cell>
          <cell r="H971">
            <v>180</v>
          </cell>
          <cell r="K971">
            <v>0</v>
          </cell>
          <cell r="L971">
            <v>0</v>
          </cell>
          <cell r="M971">
            <v>-180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row>
        <row r="972">
          <cell r="A972">
            <v>2100004</v>
          </cell>
          <cell r="H972">
            <v>180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row>
        <row r="973">
          <cell r="A973">
            <v>2100004</v>
          </cell>
          <cell r="H973">
            <v>180</v>
          </cell>
          <cell r="K973">
            <v>0</v>
          </cell>
          <cell r="L973">
            <v>0</v>
          </cell>
          <cell r="M973">
            <v>-180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row>
        <row r="974">
          <cell r="A974">
            <v>2100004</v>
          </cell>
          <cell r="H974">
            <v>180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row>
        <row r="975">
          <cell r="A975">
            <v>2100005</v>
          </cell>
          <cell r="B975" t="str">
            <v>2100005</v>
          </cell>
          <cell r="G975" t="str">
            <v>OTHER - MISC.</v>
          </cell>
          <cell r="H975">
            <v>256</v>
          </cell>
          <cell r="K975">
            <v>0</v>
          </cell>
          <cell r="L975">
            <v>0</v>
          </cell>
          <cell r="M975">
            <v>-256</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row>
        <row r="976">
          <cell r="A976">
            <v>2100005</v>
          </cell>
          <cell r="H976">
            <v>256</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row>
        <row r="977">
          <cell r="A977">
            <v>2100005</v>
          </cell>
          <cell r="H977">
            <v>256</v>
          </cell>
          <cell r="K977">
            <v>0</v>
          </cell>
          <cell r="L977">
            <v>0</v>
          </cell>
          <cell r="M977">
            <v>-256</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row>
        <row r="978">
          <cell r="A978">
            <v>2100005</v>
          </cell>
          <cell r="H978">
            <v>256</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row>
        <row r="979">
          <cell r="A979">
            <v>2100006</v>
          </cell>
          <cell r="B979" t="str">
            <v>2100006</v>
          </cell>
          <cell r="G979" t="str">
            <v>Crompton Classic Fan</v>
          </cell>
          <cell r="H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row>
        <row r="980">
          <cell r="A980">
            <v>2100007</v>
          </cell>
          <cell r="B980" t="str">
            <v>2100007</v>
          </cell>
          <cell r="G980" t="str">
            <v>Crompton Classic Fan</v>
          </cell>
          <cell r="H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row>
        <row r="981">
          <cell r="A981">
            <v>2100008</v>
          </cell>
          <cell r="B981" t="str">
            <v>2100008</v>
          </cell>
          <cell r="G981" t="str">
            <v>Crompton Classic Fan</v>
          </cell>
          <cell r="H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row>
        <row r="982">
          <cell r="A982">
            <v>2100009</v>
          </cell>
          <cell r="B982" t="str">
            <v>2100009</v>
          </cell>
          <cell r="G982" t="str">
            <v>Crompton Classic Fan</v>
          </cell>
          <cell r="H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row>
        <row r="983">
          <cell r="A983">
            <v>2200000</v>
          </cell>
          <cell r="B983" t="str">
            <v>2200000</v>
          </cell>
          <cell r="G983" t="str">
            <v>CONNECTORS</v>
          </cell>
          <cell r="H983">
            <v>10600</v>
          </cell>
          <cell r="K983">
            <v>0</v>
          </cell>
          <cell r="L983">
            <v>0</v>
          </cell>
          <cell r="M983">
            <v>-10600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row>
        <row r="984">
          <cell r="A984">
            <v>2200000</v>
          </cell>
          <cell r="H984">
            <v>10600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row>
        <row r="985">
          <cell r="A985">
            <v>2200000</v>
          </cell>
          <cell r="H985">
            <v>10600</v>
          </cell>
          <cell r="K985">
            <v>0</v>
          </cell>
          <cell r="L985">
            <v>0</v>
          </cell>
          <cell r="M985">
            <v>-10600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row>
        <row r="986">
          <cell r="A986">
            <v>2200000</v>
          </cell>
          <cell r="H986">
            <v>10600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row>
        <row r="987">
          <cell r="A987">
            <v>2200001</v>
          </cell>
          <cell r="B987" t="str">
            <v>2200001</v>
          </cell>
          <cell r="G987" t="str">
            <v>CONNECTOR</v>
          </cell>
          <cell r="H987">
            <v>3800</v>
          </cell>
          <cell r="K987">
            <v>0</v>
          </cell>
          <cell r="L987">
            <v>0</v>
          </cell>
          <cell r="M987">
            <v>-3800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row>
        <row r="988">
          <cell r="A988">
            <v>2200001</v>
          </cell>
          <cell r="H988">
            <v>3800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row>
        <row r="989">
          <cell r="A989">
            <v>2200001</v>
          </cell>
          <cell r="H989">
            <v>3800</v>
          </cell>
          <cell r="K989">
            <v>0</v>
          </cell>
          <cell r="L989">
            <v>0</v>
          </cell>
          <cell r="M989">
            <v>-3800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row>
        <row r="990">
          <cell r="A990">
            <v>2200001</v>
          </cell>
          <cell r="H990">
            <v>3800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row>
        <row r="991">
          <cell r="A991">
            <v>2200002</v>
          </cell>
          <cell r="B991" t="str">
            <v>2200002</v>
          </cell>
          <cell r="G991" t="str">
            <v>STP CABLE</v>
          </cell>
          <cell r="H991">
            <v>1800</v>
          </cell>
          <cell r="K991">
            <v>0</v>
          </cell>
          <cell r="L991">
            <v>0</v>
          </cell>
          <cell r="M991">
            <v>-1800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row>
        <row r="992">
          <cell r="A992">
            <v>2200002</v>
          </cell>
          <cell r="H992">
            <v>1800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row>
        <row r="993">
          <cell r="A993">
            <v>2200002</v>
          </cell>
          <cell r="H993">
            <v>1800</v>
          </cell>
          <cell r="K993">
            <v>0</v>
          </cell>
          <cell r="L993">
            <v>0</v>
          </cell>
          <cell r="M993">
            <v>-1800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row>
        <row r="994">
          <cell r="A994">
            <v>2200002</v>
          </cell>
          <cell r="H994">
            <v>1800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row>
        <row r="995">
          <cell r="A995">
            <v>2200003</v>
          </cell>
          <cell r="B995" t="str">
            <v>2200003</v>
          </cell>
          <cell r="G995" t="str">
            <v>8 PORT HUB</v>
          </cell>
          <cell r="H995">
            <v>1950</v>
          </cell>
          <cell r="K995">
            <v>0</v>
          </cell>
          <cell r="L995">
            <v>0</v>
          </cell>
          <cell r="M995">
            <v>-1950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row>
        <row r="996">
          <cell r="A996">
            <v>2200003</v>
          </cell>
          <cell r="H996">
            <v>1950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row>
        <row r="997">
          <cell r="A997">
            <v>2200003</v>
          </cell>
          <cell r="H997">
            <v>1950</v>
          </cell>
          <cell r="K997">
            <v>0</v>
          </cell>
          <cell r="L997">
            <v>0</v>
          </cell>
          <cell r="M997">
            <v>-1950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row>
        <row r="998">
          <cell r="A998">
            <v>2200003</v>
          </cell>
          <cell r="H998">
            <v>1950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row>
        <row r="999">
          <cell r="A999">
            <v>2200004</v>
          </cell>
          <cell r="B999" t="str">
            <v>2200004</v>
          </cell>
          <cell r="G999" t="str">
            <v>FIBER OPTIC TRANS RECEIVER-3</v>
          </cell>
          <cell r="H999">
            <v>0</v>
          </cell>
          <cell r="K999">
            <v>0</v>
          </cell>
          <cell r="L999">
            <v>0</v>
          </cell>
          <cell r="M999">
            <v>0</v>
          </cell>
          <cell r="N999">
            <v>0</v>
          </cell>
          <cell r="O999">
            <v>0</v>
          </cell>
          <cell r="P999">
            <v>0</v>
          </cell>
          <cell r="Q999">
            <v>0</v>
          </cell>
          <cell r="R999">
            <v>0</v>
          </cell>
          <cell r="S999">
            <v>0</v>
          </cell>
          <cell r="T999">
            <v>0</v>
          </cell>
          <cell r="U999">
            <v>0</v>
          </cell>
          <cell r="V999">
            <v>-3700</v>
          </cell>
          <cell r="W999">
            <v>0</v>
          </cell>
          <cell r="X999">
            <v>0</v>
          </cell>
          <cell r="Y999">
            <v>0</v>
          </cell>
          <cell r="Z999">
            <v>0</v>
          </cell>
          <cell r="AA999">
            <v>0</v>
          </cell>
          <cell r="AB999">
            <v>3700</v>
          </cell>
          <cell r="AC999">
            <v>0</v>
          </cell>
          <cell r="AD999">
            <v>0</v>
          </cell>
          <cell r="AE999">
            <v>0</v>
          </cell>
          <cell r="AF999">
            <v>0</v>
          </cell>
        </row>
        <row r="1000">
          <cell r="A1000">
            <v>2200004</v>
          </cell>
          <cell r="H1000">
            <v>0</v>
          </cell>
          <cell r="K1000">
            <v>0</v>
          </cell>
          <cell r="L1000">
            <v>0</v>
          </cell>
          <cell r="M1000">
            <v>0</v>
          </cell>
          <cell r="N1000">
            <v>0</v>
          </cell>
          <cell r="O1000">
            <v>0</v>
          </cell>
          <cell r="P1000">
            <v>0</v>
          </cell>
          <cell r="Q1000">
            <v>0</v>
          </cell>
          <cell r="R1000">
            <v>0</v>
          </cell>
          <cell r="S1000">
            <v>0</v>
          </cell>
          <cell r="T1000">
            <v>0</v>
          </cell>
          <cell r="U1000">
            <v>0</v>
          </cell>
          <cell r="V1000">
            <v>-3700</v>
          </cell>
          <cell r="W1000">
            <v>0</v>
          </cell>
          <cell r="X1000">
            <v>0</v>
          </cell>
          <cell r="Y1000">
            <v>0</v>
          </cell>
          <cell r="Z1000">
            <v>0</v>
          </cell>
          <cell r="AA1000">
            <v>0</v>
          </cell>
          <cell r="AB1000">
            <v>3700</v>
          </cell>
          <cell r="AC1000">
            <v>0</v>
          </cell>
          <cell r="AD1000">
            <v>0</v>
          </cell>
          <cell r="AE1000">
            <v>0</v>
          </cell>
          <cell r="AF1000">
            <v>0</v>
          </cell>
        </row>
        <row r="1001">
          <cell r="A1001">
            <v>2200004</v>
          </cell>
          <cell r="H1001">
            <v>3700</v>
          </cell>
          <cell r="K1001">
            <v>0</v>
          </cell>
          <cell r="L1001">
            <v>0</v>
          </cell>
          <cell r="M1001">
            <v>-3700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row>
        <row r="1002">
          <cell r="A1002">
            <v>2200004</v>
          </cell>
          <cell r="H1002">
            <v>3700</v>
          </cell>
          <cell r="K1002">
            <v>0</v>
          </cell>
          <cell r="L1002">
            <v>0</v>
          </cell>
          <cell r="M1002">
            <v>-3700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row>
        <row r="1003">
          <cell r="A1003">
            <v>2200005</v>
          </cell>
          <cell r="B1003" t="str">
            <v>2200005</v>
          </cell>
          <cell r="G1003" t="str">
            <v>FIBER OPTIC TRANS RECEIVER-4</v>
          </cell>
          <cell r="H1003">
            <v>0</v>
          </cell>
          <cell r="K1003">
            <v>0</v>
          </cell>
          <cell r="L1003">
            <v>0</v>
          </cell>
          <cell r="M1003">
            <v>0</v>
          </cell>
          <cell r="N1003">
            <v>0</v>
          </cell>
          <cell r="O1003">
            <v>0</v>
          </cell>
          <cell r="P1003">
            <v>0</v>
          </cell>
          <cell r="Q1003">
            <v>0</v>
          </cell>
          <cell r="R1003">
            <v>0</v>
          </cell>
          <cell r="S1003">
            <v>0</v>
          </cell>
          <cell r="T1003">
            <v>0</v>
          </cell>
          <cell r="U1003">
            <v>0</v>
          </cell>
          <cell r="V1003">
            <v>-3700</v>
          </cell>
          <cell r="W1003">
            <v>0</v>
          </cell>
          <cell r="X1003">
            <v>0</v>
          </cell>
          <cell r="Y1003">
            <v>0</v>
          </cell>
          <cell r="Z1003">
            <v>0</v>
          </cell>
          <cell r="AA1003">
            <v>0</v>
          </cell>
          <cell r="AB1003">
            <v>3700</v>
          </cell>
          <cell r="AC1003">
            <v>0</v>
          </cell>
          <cell r="AD1003">
            <v>0</v>
          </cell>
          <cell r="AE1003">
            <v>0</v>
          </cell>
          <cell r="AF1003">
            <v>0</v>
          </cell>
        </row>
        <row r="1004">
          <cell r="A1004">
            <v>2200005</v>
          </cell>
          <cell r="H1004">
            <v>0</v>
          </cell>
          <cell r="K1004">
            <v>0</v>
          </cell>
          <cell r="L1004">
            <v>0</v>
          </cell>
          <cell r="M1004">
            <v>0</v>
          </cell>
          <cell r="N1004">
            <v>0</v>
          </cell>
          <cell r="O1004">
            <v>0</v>
          </cell>
          <cell r="P1004">
            <v>0</v>
          </cell>
          <cell r="Q1004">
            <v>0</v>
          </cell>
          <cell r="R1004">
            <v>0</v>
          </cell>
          <cell r="S1004">
            <v>0</v>
          </cell>
          <cell r="T1004">
            <v>0</v>
          </cell>
          <cell r="U1004">
            <v>0</v>
          </cell>
          <cell r="V1004">
            <v>-3700</v>
          </cell>
          <cell r="W1004">
            <v>0</v>
          </cell>
          <cell r="X1004">
            <v>0</v>
          </cell>
          <cell r="Y1004">
            <v>0</v>
          </cell>
          <cell r="Z1004">
            <v>0</v>
          </cell>
          <cell r="AA1004">
            <v>0</v>
          </cell>
          <cell r="AB1004">
            <v>3700</v>
          </cell>
          <cell r="AC1004">
            <v>0</v>
          </cell>
          <cell r="AD1004">
            <v>0</v>
          </cell>
          <cell r="AE1004">
            <v>0</v>
          </cell>
          <cell r="AF1004">
            <v>0</v>
          </cell>
        </row>
        <row r="1005">
          <cell r="A1005">
            <v>2200005</v>
          </cell>
          <cell r="H1005">
            <v>3700</v>
          </cell>
          <cell r="K1005">
            <v>0</v>
          </cell>
          <cell r="L1005">
            <v>0</v>
          </cell>
          <cell r="M1005">
            <v>-3700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row>
        <row r="1006">
          <cell r="A1006">
            <v>2200005</v>
          </cell>
          <cell r="H1006">
            <v>3700</v>
          </cell>
          <cell r="K1006">
            <v>0</v>
          </cell>
          <cell r="L1006">
            <v>0</v>
          </cell>
          <cell r="M1006">
            <v>-3700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row>
        <row r="1007">
          <cell r="A1007">
            <v>2200007</v>
          </cell>
          <cell r="B1007" t="str">
            <v>2200007</v>
          </cell>
          <cell r="G1007" t="str">
            <v>RADIO MODEM</v>
          </cell>
          <cell r="H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row>
        <row r="1008">
          <cell r="A1008">
            <v>2300000</v>
          </cell>
          <cell r="B1008" t="str">
            <v>2300000</v>
          </cell>
          <cell r="G1008" t="str">
            <v>SCANNER</v>
          </cell>
          <cell r="H1008">
            <v>3500</v>
          </cell>
          <cell r="K1008">
            <v>0</v>
          </cell>
          <cell r="L1008">
            <v>0</v>
          </cell>
          <cell r="M1008">
            <v>-3500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row>
        <row r="1009">
          <cell r="A1009">
            <v>2300000</v>
          </cell>
          <cell r="H1009">
            <v>3500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row>
        <row r="1010">
          <cell r="A1010">
            <v>2300000</v>
          </cell>
          <cell r="H1010">
            <v>3500</v>
          </cell>
          <cell r="K1010">
            <v>0</v>
          </cell>
          <cell r="L1010">
            <v>0</v>
          </cell>
          <cell r="M1010">
            <v>-3500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row>
        <row r="1011">
          <cell r="A1011">
            <v>2300000</v>
          </cell>
          <cell r="H1011">
            <v>3500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row>
        <row r="1012">
          <cell r="A1012">
            <v>2300001</v>
          </cell>
          <cell r="B1012" t="str">
            <v>2300001</v>
          </cell>
          <cell r="G1012" t="str">
            <v>CD WRITER</v>
          </cell>
          <cell r="H1012">
            <v>2150</v>
          </cell>
          <cell r="K1012">
            <v>0</v>
          </cell>
          <cell r="L1012">
            <v>0</v>
          </cell>
          <cell r="M1012">
            <v>-2150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row>
        <row r="1013">
          <cell r="A1013">
            <v>2300001</v>
          </cell>
          <cell r="H1013">
            <v>2150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row>
        <row r="1014">
          <cell r="A1014">
            <v>2300001</v>
          </cell>
          <cell r="H1014">
            <v>2150</v>
          </cell>
          <cell r="K1014">
            <v>0</v>
          </cell>
          <cell r="L1014">
            <v>0</v>
          </cell>
          <cell r="M1014">
            <v>-2150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row>
        <row r="1015">
          <cell r="A1015">
            <v>2300001</v>
          </cell>
          <cell r="H1015">
            <v>2150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row>
        <row r="1016">
          <cell r="A1016">
            <v>2300002</v>
          </cell>
          <cell r="B1016" t="str">
            <v>2300002</v>
          </cell>
          <cell r="G1016" t="str">
            <v>USB STORAGE DEVISE</v>
          </cell>
          <cell r="H1016">
            <v>4000</v>
          </cell>
          <cell r="K1016">
            <v>0</v>
          </cell>
          <cell r="L1016">
            <v>0</v>
          </cell>
          <cell r="M1016">
            <v>-4000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row>
        <row r="1017">
          <cell r="A1017">
            <v>2300002</v>
          </cell>
          <cell r="H1017">
            <v>4000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row>
        <row r="1018">
          <cell r="A1018">
            <v>2300002</v>
          </cell>
          <cell r="H1018">
            <v>4000</v>
          </cell>
          <cell r="K1018">
            <v>0</v>
          </cell>
          <cell r="L1018">
            <v>0</v>
          </cell>
          <cell r="M1018">
            <v>-4000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row>
        <row r="1019">
          <cell r="A1019">
            <v>2300002</v>
          </cell>
          <cell r="H1019">
            <v>4000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row>
        <row r="1020">
          <cell r="A1020">
            <v>2300003</v>
          </cell>
          <cell r="B1020" t="str">
            <v>2300003</v>
          </cell>
          <cell r="G1020" t="str">
            <v>SEGATE HDD</v>
          </cell>
          <cell r="H1020">
            <v>3350</v>
          </cell>
          <cell r="K1020">
            <v>0</v>
          </cell>
          <cell r="L1020">
            <v>0</v>
          </cell>
          <cell r="M1020">
            <v>-3350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row>
        <row r="1021">
          <cell r="A1021">
            <v>2300003</v>
          </cell>
          <cell r="H1021">
            <v>3350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row>
        <row r="1022">
          <cell r="A1022">
            <v>2300003</v>
          </cell>
          <cell r="H1022">
            <v>3350</v>
          </cell>
          <cell r="K1022">
            <v>0</v>
          </cell>
          <cell r="L1022">
            <v>0</v>
          </cell>
          <cell r="M1022">
            <v>-3350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row>
        <row r="1023">
          <cell r="A1023">
            <v>2300003</v>
          </cell>
          <cell r="H1023">
            <v>3350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row>
        <row r="1024">
          <cell r="A1024">
            <v>2300004</v>
          </cell>
          <cell r="B1024" t="str">
            <v>2300004</v>
          </cell>
          <cell r="G1024" t="str">
            <v>SD RAM</v>
          </cell>
          <cell r="H1024">
            <v>3900</v>
          </cell>
          <cell r="K1024">
            <v>0</v>
          </cell>
          <cell r="L1024">
            <v>0</v>
          </cell>
          <cell r="M1024">
            <v>-3900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row>
        <row r="1025">
          <cell r="A1025">
            <v>2300004</v>
          </cell>
          <cell r="H1025">
            <v>3900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row>
        <row r="1026">
          <cell r="A1026">
            <v>2300004</v>
          </cell>
          <cell r="H1026">
            <v>3900</v>
          </cell>
          <cell r="K1026">
            <v>0</v>
          </cell>
          <cell r="L1026">
            <v>0</v>
          </cell>
          <cell r="M1026">
            <v>-3900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row>
        <row r="1027">
          <cell r="A1027">
            <v>2300004</v>
          </cell>
          <cell r="H1027">
            <v>3900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row>
        <row r="1028">
          <cell r="A1028">
            <v>2300005</v>
          </cell>
          <cell r="B1028" t="str">
            <v>2300005</v>
          </cell>
          <cell r="G1028" t="str">
            <v>UPS</v>
          </cell>
          <cell r="H1028">
            <v>3150</v>
          </cell>
          <cell r="K1028">
            <v>0</v>
          </cell>
          <cell r="L1028">
            <v>0</v>
          </cell>
          <cell r="M1028">
            <v>-3150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row>
        <row r="1029">
          <cell r="A1029">
            <v>2300005</v>
          </cell>
          <cell r="H1029">
            <v>3150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row>
        <row r="1030">
          <cell r="A1030">
            <v>2300005</v>
          </cell>
          <cell r="H1030">
            <v>3150</v>
          </cell>
          <cell r="K1030">
            <v>0</v>
          </cell>
          <cell r="L1030">
            <v>0</v>
          </cell>
          <cell r="M1030">
            <v>-3150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row>
        <row r="1031">
          <cell r="A1031">
            <v>2300005</v>
          </cell>
          <cell r="H1031">
            <v>3150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row>
        <row r="1032">
          <cell r="A1032">
            <v>2300006</v>
          </cell>
          <cell r="B1032" t="str">
            <v>2300006</v>
          </cell>
          <cell r="G1032" t="str">
            <v>COOMPACT 500 EPCOS</v>
          </cell>
          <cell r="H1032">
            <v>2200</v>
          </cell>
          <cell r="K1032">
            <v>0</v>
          </cell>
          <cell r="L1032">
            <v>0</v>
          </cell>
          <cell r="M1032">
            <v>-2200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row>
        <row r="1033">
          <cell r="A1033">
            <v>2300006</v>
          </cell>
          <cell r="H1033">
            <v>2200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row>
        <row r="1034">
          <cell r="A1034">
            <v>2300006</v>
          </cell>
          <cell r="H1034">
            <v>2200</v>
          </cell>
          <cell r="K1034">
            <v>0</v>
          </cell>
          <cell r="L1034">
            <v>0</v>
          </cell>
          <cell r="M1034">
            <v>-2200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row>
        <row r="1035">
          <cell r="A1035">
            <v>2300006</v>
          </cell>
          <cell r="H1035">
            <v>2200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row>
        <row r="1036">
          <cell r="A1036">
            <v>2300007</v>
          </cell>
          <cell r="B1036" t="str">
            <v>2300007</v>
          </cell>
          <cell r="G1036" t="str">
            <v>SEGATE HDD</v>
          </cell>
          <cell r="H1036">
            <v>3475</v>
          </cell>
          <cell r="K1036">
            <v>0</v>
          </cell>
          <cell r="L1036">
            <v>0</v>
          </cell>
          <cell r="M1036">
            <v>-3475</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row>
        <row r="1037">
          <cell r="A1037">
            <v>2300007</v>
          </cell>
          <cell r="H1037">
            <v>3475</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row>
        <row r="1038">
          <cell r="A1038">
            <v>2300007</v>
          </cell>
          <cell r="H1038">
            <v>3475</v>
          </cell>
          <cell r="K1038">
            <v>0</v>
          </cell>
          <cell r="L1038">
            <v>0</v>
          </cell>
          <cell r="M1038">
            <v>-3475</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row>
        <row r="1039">
          <cell r="A1039">
            <v>2300007</v>
          </cell>
          <cell r="H1039">
            <v>3475</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row>
        <row r="1040">
          <cell r="A1040">
            <v>2300008</v>
          </cell>
          <cell r="B1040" t="str">
            <v>2300008</v>
          </cell>
          <cell r="G1040" t="str">
            <v>SD RAM</v>
          </cell>
          <cell r="H1040">
            <v>2900</v>
          </cell>
          <cell r="K1040">
            <v>0</v>
          </cell>
          <cell r="L1040">
            <v>0</v>
          </cell>
          <cell r="M1040">
            <v>-2900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row>
        <row r="1041">
          <cell r="A1041">
            <v>2300008</v>
          </cell>
          <cell r="H1041">
            <v>2900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row>
        <row r="1042">
          <cell r="A1042">
            <v>2300008</v>
          </cell>
          <cell r="H1042">
            <v>2900</v>
          </cell>
          <cell r="K1042">
            <v>0</v>
          </cell>
          <cell r="L1042">
            <v>0</v>
          </cell>
          <cell r="M1042">
            <v>-2900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row>
        <row r="1043">
          <cell r="A1043">
            <v>2300008</v>
          </cell>
          <cell r="H1043">
            <v>2900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row>
        <row r="1044">
          <cell r="A1044">
            <v>2300009</v>
          </cell>
          <cell r="B1044" t="str">
            <v>2300009</v>
          </cell>
          <cell r="G1044" t="str">
            <v>SEGATE HDD</v>
          </cell>
          <cell r="H1044">
            <v>2800</v>
          </cell>
          <cell r="K1044">
            <v>0</v>
          </cell>
          <cell r="L1044">
            <v>0</v>
          </cell>
          <cell r="M1044">
            <v>-2800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row>
        <row r="1045">
          <cell r="A1045">
            <v>2300009</v>
          </cell>
          <cell r="H1045">
            <v>2800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row>
        <row r="1046">
          <cell r="A1046">
            <v>2300009</v>
          </cell>
          <cell r="H1046">
            <v>2800</v>
          </cell>
          <cell r="K1046">
            <v>0</v>
          </cell>
          <cell r="L1046">
            <v>0</v>
          </cell>
          <cell r="M1046">
            <v>-2800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row>
        <row r="1047">
          <cell r="A1047">
            <v>2300009</v>
          </cell>
          <cell r="H1047">
            <v>2800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row>
        <row r="1048">
          <cell r="A1048">
            <v>2300010</v>
          </cell>
          <cell r="B1048" t="str">
            <v>2300010</v>
          </cell>
          <cell r="G1048" t="str">
            <v>SEGATE HDD</v>
          </cell>
          <cell r="H1048">
            <v>3450</v>
          </cell>
          <cell r="K1048">
            <v>0</v>
          </cell>
          <cell r="L1048">
            <v>0</v>
          </cell>
          <cell r="M1048">
            <v>-3450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row>
        <row r="1049">
          <cell r="A1049">
            <v>2300010</v>
          </cell>
          <cell r="H1049">
            <v>3450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row>
        <row r="1050">
          <cell r="A1050">
            <v>2300010</v>
          </cell>
          <cell r="H1050">
            <v>3450</v>
          </cell>
          <cell r="K1050">
            <v>0</v>
          </cell>
          <cell r="L1050">
            <v>0</v>
          </cell>
          <cell r="M1050">
            <v>-3450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row>
        <row r="1051">
          <cell r="A1051">
            <v>2300010</v>
          </cell>
          <cell r="H1051">
            <v>3450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row>
        <row r="1052">
          <cell r="A1052">
            <v>2300011</v>
          </cell>
          <cell r="B1052" t="str">
            <v>2300011</v>
          </cell>
          <cell r="G1052" t="str">
            <v>WEB CAMERAS</v>
          </cell>
          <cell r="H1052">
            <v>4100</v>
          </cell>
          <cell r="K1052">
            <v>0</v>
          </cell>
          <cell r="L1052">
            <v>0</v>
          </cell>
          <cell r="M1052">
            <v>-4100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row>
        <row r="1053">
          <cell r="A1053">
            <v>2300011</v>
          </cell>
          <cell r="H1053">
            <v>4100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row>
        <row r="1054">
          <cell r="A1054">
            <v>2300011</v>
          </cell>
          <cell r="H1054">
            <v>4100</v>
          </cell>
          <cell r="K1054">
            <v>0</v>
          </cell>
          <cell r="L1054">
            <v>0</v>
          </cell>
          <cell r="M1054">
            <v>-4100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row>
        <row r="1055">
          <cell r="A1055">
            <v>2300011</v>
          </cell>
          <cell r="H1055">
            <v>4100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row>
        <row r="1056">
          <cell r="A1056">
            <v>2300012</v>
          </cell>
          <cell r="B1056" t="str">
            <v>2300012</v>
          </cell>
          <cell r="G1056" t="str">
            <v>CD WRITER</v>
          </cell>
          <cell r="H1056">
            <v>3100</v>
          </cell>
          <cell r="K1056">
            <v>0</v>
          </cell>
          <cell r="L1056">
            <v>0</v>
          </cell>
          <cell r="M1056">
            <v>-3100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row>
        <row r="1057">
          <cell r="A1057">
            <v>2300012</v>
          </cell>
          <cell r="H1057">
            <v>3100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row>
        <row r="1058">
          <cell r="A1058">
            <v>2300012</v>
          </cell>
          <cell r="H1058">
            <v>3100</v>
          </cell>
          <cell r="K1058">
            <v>0</v>
          </cell>
          <cell r="L1058">
            <v>0</v>
          </cell>
          <cell r="M1058">
            <v>-3100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row>
        <row r="1059">
          <cell r="A1059">
            <v>2300012</v>
          </cell>
          <cell r="H1059">
            <v>3100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row>
        <row r="1060">
          <cell r="A1060">
            <v>2300013</v>
          </cell>
          <cell r="B1060" t="str">
            <v>2300013</v>
          </cell>
          <cell r="G1060" t="str">
            <v>CD WRITER</v>
          </cell>
          <cell r="H1060">
            <v>4000</v>
          </cell>
          <cell r="K1060">
            <v>0</v>
          </cell>
          <cell r="L1060">
            <v>0</v>
          </cell>
          <cell r="M1060">
            <v>-4000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row>
        <row r="1061">
          <cell r="A1061">
            <v>2300013</v>
          </cell>
          <cell r="H1061">
            <v>4000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row>
        <row r="1062">
          <cell r="A1062">
            <v>2300013</v>
          </cell>
          <cell r="H1062">
            <v>4000</v>
          </cell>
          <cell r="K1062">
            <v>0</v>
          </cell>
          <cell r="L1062">
            <v>0</v>
          </cell>
          <cell r="M1062">
            <v>-4000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row>
        <row r="1063">
          <cell r="A1063">
            <v>2300013</v>
          </cell>
          <cell r="H1063">
            <v>4000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row>
        <row r="1064">
          <cell r="A1064">
            <v>2300014</v>
          </cell>
          <cell r="B1064" t="str">
            <v>2300014</v>
          </cell>
          <cell r="G1064" t="str">
            <v>HARD DISK</v>
          </cell>
          <cell r="H1064">
            <v>5000</v>
          </cell>
          <cell r="K1064">
            <v>0</v>
          </cell>
          <cell r="L1064">
            <v>0</v>
          </cell>
          <cell r="M1064">
            <v>-5000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row>
        <row r="1065">
          <cell r="A1065">
            <v>2300014</v>
          </cell>
          <cell r="H1065">
            <v>5000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row>
        <row r="1066">
          <cell r="A1066">
            <v>2300014</v>
          </cell>
          <cell r="H1066">
            <v>5000</v>
          </cell>
          <cell r="K1066">
            <v>0</v>
          </cell>
          <cell r="L1066">
            <v>0</v>
          </cell>
          <cell r="M1066">
            <v>-5000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row>
        <row r="1067">
          <cell r="A1067">
            <v>2300014</v>
          </cell>
          <cell r="H1067">
            <v>5000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row>
        <row r="1068">
          <cell r="A1068">
            <v>2300015</v>
          </cell>
          <cell r="B1068" t="str">
            <v>2300015</v>
          </cell>
          <cell r="G1068" t="str">
            <v>UPS - AHMEDABAD</v>
          </cell>
          <cell r="H1068">
            <v>3150</v>
          </cell>
          <cell r="K1068">
            <v>0</v>
          </cell>
          <cell r="L1068">
            <v>0</v>
          </cell>
          <cell r="M1068">
            <v>-3150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row>
        <row r="1069">
          <cell r="A1069">
            <v>2300015</v>
          </cell>
          <cell r="H1069">
            <v>3150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row>
        <row r="1070">
          <cell r="A1070">
            <v>2300015</v>
          </cell>
          <cell r="H1070">
            <v>3150</v>
          </cell>
          <cell r="K1070">
            <v>0</v>
          </cell>
          <cell r="L1070">
            <v>0</v>
          </cell>
          <cell r="M1070">
            <v>-3150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row>
        <row r="1071">
          <cell r="A1071">
            <v>2300015</v>
          </cell>
          <cell r="H1071">
            <v>3150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row>
        <row r="1072">
          <cell r="A1072">
            <v>2300016</v>
          </cell>
          <cell r="B1072" t="str">
            <v>2300016</v>
          </cell>
          <cell r="G1072" t="str">
            <v>UPS - AHMEDABAD</v>
          </cell>
          <cell r="H1072">
            <v>3150</v>
          </cell>
          <cell r="K1072">
            <v>0</v>
          </cell>
          <cell r="L1072">
            <v>0</v>
          </cell>
          <cell r="M1072">
            <v>-3150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row>
        <row r="1073">
          <cell r="A1073">
            <v>2300016</v>
          </cell>
          <cell r="H1073">
            <v>3150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row>
        <row r="1074">
          <cell r="A1074">
            <v>2300016</v>
          </cell>
          <cell r="H1074">
            <v>3150</v>
          </cell>
          <cell r="K1074">
            <v>0</v>
          </cell>
          <cell r="L1074">
            <v>0</v>
          </cell>
          <cell r="M1074">
            <v>-3150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row>
        <row r="1075">
          <cell r="A1075">
            <v>2300016</v>
          </cell>
          <cell r="H1075">
            <v>3150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row>
        <row r="1076">
          <cell r="A1076">
            <v>2300017</v>
          </cell>
          <cell r="B1076" t="str">
            <v>2300017</v>
          </cell>
          <cell r="G1076" t="str">
            <v>UPS - RAJKOT</v>
          </cell>
          <cell r="H1076">
            <v>4500</v>
          </cell>
          <cell r="K1076">
            <v>0</v>
          </cell>
          <cell r="L1076">
            <v>0</v>
          </cell>
          <cell r="M1076">
            <v>-4500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row>
        <row r="1077">
          <cell r="A1077">
            <v>2300017</v>
          </cell>
          <cell r="H1077">
            <v>4500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row>
        <row r="1078">
          <cell r="A1078">
            <v>2300017</v>
          </cell>
          <cell r="H1078">
            <v>4500</v>
          </cell>
          <cell r="K1078">
            <v>0</v>
          </cell>
          <cell r="L1078">
            <v>0</v>
          </cell>
          <cell r="M1078">
            <v>-4500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row>
        <row r="1079">
          <cell r="A1079">
            <v>2300017</v>
          </cell>
          <cell r="H1079">
            <v>4500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row>
        <row r="1080">
          <cell r="A1080">
            <v>2300018</v>
          </cell>
          <cell r="B1080" t="str">
            <v>2300018</v>
          </cell>
          <cell r="G1080" t="str">
            <v>Glow Shine Boards</v>
          </cell>
          <cell r="H1080">
            <v>4050</v>
          </cell>
          <cell r="K1080">
            <v>0</v>
          </cell>
          <cell r="L1080">
            <v>0</v>
          </cell>
          <cell r="M1080">
            <v>-4050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row>
        <row r="1081">
          <cell r="A1081">
            <v>2300018</v>
          </cell>
          <cell r="H1081">
            <v>4050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row>
        <row r="1082">
          <cell r="A1082">
            <v>2300018</v>
          </cell>
          <cell r="H1082">
            <v>4050</v>
          </cell>
          <cell r="K1082">
            <v>0</v>
          </cell>
          <cell r="L1082">
            <v>0</v>
          </cell>
          <cell r="M1082">
            <v>-4050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row>
        <row r="1083">
          <cell r="A1083">
            <v>2300018</v>
          </cell>
          <cell r="H1083">
            <v>4050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row>
        <row r="1084">
          <cell r="A1084">
            <v>2300019</v>
          </cell>
          <cell r="B1084" t="str">
            <v>2300019</v>
          </cell>
          <cell r="G1084" t="str">
            <v>MEMORY CARD</v>
          </cell>
          <cell r="H1084">
            <v>3800</v>
          </cell>
          <cell r="K1084">
            <v>0</v>
          </cell>
          <cell r="L1084">
            <v>0</v>
          </cell>
          <cell r="M1084">
            <v>-3800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row>
        <row r="1085">
          <cell r="A1085">
            <v>2300019</v>
          </cell>
          <cell r="H1085">
            <v>3800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row>
        <row r="1086">
          <cell r="A1086">
            <v>2300019</v>
          </cell>
          <cell r="H1086">
            <v>3800</v>
          </cell>
          <cell r="K1086">
            <v>0</v>
          </cell>
          <cell r="L1086">
            <v>0</v>
          </cell>
          <cell r="M1086">
            <v>-3800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row>
        <row r="1087">
          <cell r="A1087">
            <v>2300019</v>
          </cell>
          <cell r="H1087">
            <v>3800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row>
        <row r="1088">
          <cell r="A1088">
            <v>2300020</v>
          </cell>
          <cell r="B1088" t="str">
            <v>2300020</v>
          </cell>
          <cell r="G1088" t="str">
            <v>SEGATE HDD</v>
          </cell>
          <cell r="H1088">
            <v>2450</v>
          </cell>
          <cell r="K1088">
            <v>0</v>
          </cell>
          <cell r="L1088">
            <v>0</v>
          </cell>
          <cell r="M1088">
            <v>-2450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row>
        <row r="1089">
          <cell r="A1089">
            <v>2300020</v>
          </cell>
          <cell r="H1089">
            <v>2450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row>
        <row r="1090">
          <cell r="A1090">
            <v>2300020</v>
          </cell>
          <cell r="H1090">
            <v>2450</v>
          </cell>
          <cell r="K1090">
            <v>0</v>
          </cell>
          <cell r="L1090">
            <v>0</v>
          </cell>
          <cell r="M1090">
            <v>-2450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row>
        <row r="1091">
          <cell r="A1091">
            <v>2300020</v>
          </cell>
          <cell r="H1091">
            <v>2450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row>
        <row r="1092">
          <cell r="A1092">
            <v>2300021</v>
          </cell>
          <cell r="B1092" t="str">
            <v>2300021</v>
          </cell>
          <cell r="G1092" t="str">
            <v>PEN - DRIVE</v>
          </cell>
          <cell r="H1092">
            <v>2900</v>
          </cell>
          <cell r="K1092">
            <v>0</v>
          </cell>
          <cell r="L1092">
            <v>0</v>
          </cell>
          <cell r="M1092">
            <v>-2900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row>
        <row r="1093">
          <cell r="A1093">
            <v>2300021</v>
          </cell>
          <cell r="H1093">
            <v>2900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row>
        <row r="1094">
          <cell r="A1094">
            <v>2300021</v>
          </cell>
          <cell r="H1094">
            <v>2900</v>
          </cell>
          <cell r="K1094">
            <v>0</v>
          </cell>
          <cell r="L1094">
            <v>0</v>
          </cell>
          <cell r="M1094">
            <v>-2900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row>
        <row r="1095">
          <cell r="A1095">
            <v>2300021</v>
          </cell>
          <cell r="H1095">
            <v>2900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row>
        <row r="1096">
          <cell r="A1096">
            <v>2300022</v>
          </cell>
          <cell r="B1096" t="str">
            <v>2300022</v>
          </cell>
          <cell r="G1096" t="str">
            <v>BLUE TOOTH</v>
          </cell>
          <cell r="H1096">
            <v>1300</v>
          </cell>
          <cell r="K1096">
            <v>0</v>
          </cell>
          <cell r="L1096">
            <v>0</v>
          </cell>
          <cell r="M1096">
            <v>-1300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row>
        <row r="1097">
          <cell r="A1097">
            <v>2300022</v>
          </cell>
          <cell r="H1097">
            <v>1300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row>
        <row r="1098">
          <cell r="A1098">
            <v>2300022</v>
          </cell>
          <cell r="H1098">
            <v>1300</v>
          </cell>
          <cell r="K1098">
            <v>0</v>
          </cell>
          <cell r="L1098">
            <v>0</v>
          </cell>
          <cell r="M1098">
            <v>-1300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row>
        <row r="1099">
          <cell r="A1099">
            <v>2300022</v>
          </cell>
          <cell r="H1099">
            <v>1300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row>
        <row r="1100">
          <cell r="A1100">
            <v>2300023</v>
          </cell>
          <cell r="B1100" t="str">
            <v>2300023</v>
          </cell>
          <cell r="G1100" t="str">
            <v>PEN - DRIVE</v>
          </cell>
          <cell r="H1100">
            <v>1350</v>
          </cell>
          <cell r="K1100">
            <v>0</v>
          </cell>
          <cell r="L1100">
            <v>0</v>
          </cell>
          <cell r="M1100">
            <v>-1350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row>
        <row r="1101">
          <cell r="A1101">
            <v>2300023</v>
          </cell>
          <cell r="H1101">
            <v>1350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row>
        <row r="1102">
          <cell r="A1102">
            <v>2300023</v>
          </cell>
          <cell r="H1102">
            <v>1350</v>
          </cell>
          <cell r="K1102">
            <v>0</v>
          </cell>
          <cell r="L1102">
            <v>0</v>
          </cell>
          <cell r="M1102">
            <v>-1350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row>
        <row r="1103">
          <cell r="A1103">
            <v>2300023</v>
          </cell>
          <cell r="H1103">
            <v>1350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row>
        <row r="1104">
          <cell r="A1104">
            <v>2300024</v>
          </cell>
          <cell r="B1104" t="str">
            <v>2300024</v>
          </cell>
          <cell r="G1104" t="str">
            <v>MMC CARD</v>
          </cell>
          <cell r="H1104">
            <v>1100</v>
          </cell>
          <cell r="K1104">
            <v>0</v>
          </cell>
          <cell r="L1104">
            <v>0</v>
          </cell>
          <cell r="M1104">
            <v>-1100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row>
        <row r="1105">
          <cell r="A1105">
            <v>2300024</v>
          </cell>
          <cell r="H1105">
            <v>1100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row>
        <row r="1106">
          <cell r="A1106">
            <v>2300024</v>
          </cell>
          <cell r="H1106">
            <v>1100</v>
          </cell>
          <cell r="K1106">
            <v>0</v>
          </cell>
          <cell r="L1106">
            <v>0</v>
          </cell>
          <cell r="M1106">
            <v>-1100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row>
        <row r="1107">
          <cell r="A1107">
            <v>2300024</v>
          </cell>
          <cell r="H1107">
            <v>1100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row>
        <row r="1108">
          <cell r="A1108">
            <v>2300025</v>
          </cell>
          <cell r="B1108" t="str">
            <v>2300025</v>
          </cell>
          <cell r="G1108" t="str">
            <v>TALLY TDS PACKAGE</v>
          </cell>
          <cell r="H1108">
            <v>3960</v>
          </cell>
          <cell r="K1108">
            <v>0</v>
          </cell>
          <cell r="L1108">
            <v>0</v>
          </cell>
          <cell r="M1108">
            <v>-3960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row>
        <row r="1109">
          <cell r="A1109">
            <v>2300025</v>
          </cell>
          <cell r="H1109">
            <v>3960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row>
        <row r="1110">
          <cell r="A1110">
            <v>2300025</v>
          </cell>
          <cell r="H1110">
            <v>3960</v>
          </cell>
          <cell r="K1110">
            <v>0</v>
          </cell>
          <cell r="L1110">
            <v>0</v>
          </cell>
          <cell r="M1110">
            <v>-3960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row>
        <row r="1111">
          <cell r="A1111">
            <v>2300025</v>
          </cell>
          <cell r="H1111">
            <v>3960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row>
        <row r="1112">
          <cell r="A1112">
            <v>2300026</v>
          </cell>
          <cell r="B1112" t="str">
            <v>2300026</v>
          </cell>
          <cell r="G1112" t="str">
            <v>MODEM</v>
          </cell>
          <cell r="H1112">
            <v>1500</v>
          </cell>
          <cell r="K1112">
            <v>0</v>
          </cell>
          <cell r="L1112">
            <v>0</v>
          </cell>
          <cell r="M1112">
            <v>-1500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row>
        <row r="1113">
          <cell r="A1113">
            <v>2300026</v>
          </cell>
          <cell r="H1113">
            <v>1500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row>
        <row r="1114">
          <cell r="A1114">
            <v>2300026</v>
          </cell>
          <cell r="H1114">
            <v>1500</v>
          </cell>
          <cell r="K1114">
            <v>0</v>
          </cell>
          <cell r="L1114">
            <v>0</v>
          </cell>
          <cell r="M1114">
            <v>-1500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row>
        <row r="1115">
          <cell r="A1115">
            <v>2300026</v>
          </cell>
          <cell r="H1115">
            <v>1500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row>
        <row r="1116">
          <cell r="A1116">
            <v>2300027</v>
          </cell>
          <cell r="B1116" t="str">
            <v>2300027</v>
          </cell>
          <cell r="G1116" t="str">
            <v>WRT54G WIRELESS G-BRODBAND ROUTER</v>
          </cell>
          <cell r="H1116">
            <v>0</v>
          </cell>
          <cell r="K1116">
            <v>0</v>
          </cell>
          <cell r="L1116">
            <v>0</v>
          </cell>
          <cell r="M1116">
            <v>0</v>
          </cell>
          <cell r="N1116">
            <v>0</v>
          </cell>
          <cell r="O1116">
            <v>0</v>
          </cell>
          <cell r="P1116">
            <v>0</v>
          </cell>
          <cell r="Q1116">
            <v>0</v>
          </cell>
          <cell r="R1116">
            <v>0</v>
          </cell>
          <cell r="S1116">
            <v>0</v>
          </cell>
          <cell r="T1116">
            <v>0</v>
          </cell>
          <cell r="U1116">
            <v>0</v>
          </cell>
          <cell r="V1116">
            <v>-3700</v>
          </cell>
          <cell r="W1116">
            <v>0</v>
          </cell>
          <cell r="X1116">
            <v>0</v>
          </cell>
          <cell r="Y1116">
            <v>0</v>
          </cell>
          <cell r="Z1116">
            <v>0</v>
          </cell>
          <cell r="AA1116">
            <v>0</v>
          </cell>
          <cell r="AB1116">
            <v>3700</v>
          </cell>
          <cell r="AC1116">
            <v>0</v>
          </cell>
          <cell r="AD1116">
            <v>0</v>
          </cell>
          <cell r="AE1116">
            <v>0</v>
          </cell>
          <cell r="AF1116">
            <v>0</v>
          </cell>
        </row>
        <row r="1117">
          <cell r="A1117">
            <v>2300027</v>
          </cell>
          <cell r="H1117">
            <v>0</v>
          </cell>
          <cell r="K1117">
            <v>0</v>
          </cell>
          <cell r="L1117">
            <v>0</v>
          </cell>
          <cell r="M1117">
            <v>0</v>
          </cell>
          <cell r="N1117">
            <v>0</v>
          </cell>
          <cell r="O1117">
            <v>0</v>
          </cell>
          <cell r="P1117">
            <v>0</v>
          </cell>
          <cell r="Q1117">
            <v>0</v>
          </cell>
          <cell r="R1117">
            <v>0</v>
          </cell>
          <cell r="S1117">
            <v>0</v>
          </cell>
          <cell r="T1117">
            <v>0</v>
          </cell>
          <cell r="U1117">
            <v>0</v>
          </cell>
          <cell r="V1117">
            <v>-1233.33</v>
          </cell>
          <cell r="W1117">
            <v>0</v>
          </cell>
          <cell r="X1117">
            <v>0</v>
          </cell>
          <cell r="Y1117">
            <v>0</v>
          </cell>
          <cell r="Z1117">
            <v>0</v>
          </cell>
          <cell r="AA1117">
            <v>0</v>
          </cell>
          <cell r="AB1117">
            <v>3700</v>
          </cell>
          <cell r="AC1117">
            <v>0</v>
          </cell>
          <cell r="AD1117">
            <v>0</v>
          </cell>
          <cell r="AE1117">
            <v>0</v>
          </cell>
          <cell r="AF1117">
            <v>0</v>
          </cell>
        </row>
        <row r="1118">
          <cell r="A1118">
            <v>2300027</v>
          </cell>
          <cell r="H1118">
            <v>3700</v>
          </cell>
          <cell r="K1118">
            <v>0</v>
          </cell>
          <cell r="L1118">
            <v>0</v>
          </cell>
          <cell r="M1118">
            <v>-3700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row>
        <row r="1119">
          <cell r="A1119">
            <v>2300027</v>
          </cell>
          <cell r="H1119">
            <v>3700</v>
          </cell>
          <cell r="K1119">
            <v>0</v>
          </cell>
          <cell r="L1119">
            <v>0</v>
          </cell>
          <cell r="M1119">
            <v>-1233.33</v>
          </cell>
          <cell r="N1119">
            <v>0</v>
          </cell>
          <cell r="O1119">
            <v>0</v>
          </cell>
          <cell r="P1119">
            <v>0</v>
          </cell>
          <cell r="Q1119">
            <v>0</v>
          </cell>
          <cell r="R1119">
            <v>0</v>
          </cell>
          <cell r="S1119">
            <v>0</v>
          </cell>
          <cell r="T1119">
            <v>0</v>
          </cell>
          <cell r="U1119">
            <v>0</v>
          </cell>
          <cell r="V1119">
            <v>-2466.67</v>
          </cell>
          <cell r="W1119">
            <v>0</v>
          </cell>
          <cell r="X1119">
            <v>0</v>
          </cell>
          <cell r="Y1119">
            <v>0</v>
          </cell>
          <cell r="Z1119">
            <v>0</v>
          </cell>
          <cell r="AA1119">
            <v>0</v>
          </cell>
          <cell r="AB1119">
            <v>0</v>
          </cell>
          <cell r="AC1119">
            <v>0</v>
          </cell>
          <cell r="AD1119">
            <v>0</v>
          </cell>
          <cell r="AE1119">
            <v>0</v>
          </cell>
          <cell r="AF1119">
            <v>0</v>
          </cell>
        </row>
        <row r="1120">
          <cell r="A1120">
            <v>2300028</v>
          </cell>
          <cell r="B1120" t="str">
            <v>2300028</v>
          </cell>
          <cell r="G1120" t="str">
            <v>WAP54G-EU WIRELESS ACESS POINT</v>
          </cell>
          <cell r="H1120">
            <v>0</v>
          </cell>
          <cell r="K1120">
            <v>0</v>
          </cell>
          <cell r="L1120">
            <v>0</v>
          </cell>
          <cell r="M1120">
            <v>0</v>
          </cell>
          <cell r="N1120">
            <v>0</v>
          </cell>
          <cell r="O1120">
            <v>0</v>
          </cell>
          <cell r="P1120">
            <v>0</v>
          </cell>
          <cell r="Q1120">
            <v>0</v>
          </cell>
          <cell r="R1120">
            <v>0</v>
          </cell>
          <cell r="S1120">
            <v>0</v>
          </cell>
          <cell r="T1120">
            <v>0</v>
          </cell>
          <cell r="U1120">
            <v>0</v>
          </cell>
          <cell r="V1120">
            <v>-4000</v>
          </cell>
          <cell r="W1120">
            <v>0</v>
          </cell>
          <cell r="X1120">
            <v>0</v>
          </cell>
          <cell r="Y1120">
            <v>0</v>
          </cell>
          <cell r="Z1120">
            <v>0</v>
          </cell>
          <cell r="AA1120">
            <v>0</v>
          </cell>
          <cell r="AB1120">
            <v>4000</v>
          </cell>
          <cell r="AC1120">
            <v>0</v>
          </cell>
          <cell r="AD1120">
            <v>0</v>
          </cell>
          <cell r="AE1120">
            <v>0</v>
          </cell>
          <cell r="AF1120">
            <v>0</v>
          </cell>
        </row>
        <row r="1121">
          <cell r="A1121">
            <v>2300028</v>
          </cell>
          <cell r="H1121">
            <v>0</v>
          </cell>
          <cell r="K1121">
            <v>0</v>
          </cell>
          <cell r="L1121">
            <v>0</v>
          </cell>
          <cell r="M1121">
            <v>0</v>
          </cell>
          <cell r="N1121">
            <v>0</v>
          </cell>
          <cell r="O1121">
            <v>0</v>
          </cell>
          <cell r="P1121">
            <v>0</v>
          </cell>
          <cell r="Q1121">
            <v>0</v>
          </cell>
          <cell r="R1121">
            <v>0</v>
          </cell>
          <cell r="S1121">
            <v>0</v>
          </cell>
          <cell r="T1121">
            <v>0</v>
          </cell>
          <cell r="U1121">
            <v>0</v>
          </cell>
          <cell r="V1121">
            <v>-1333.33</v>
          </cell>
          <cell r="W1121">
            <v>0</v>
          </cell>
          <cell r="X1121">
            <v>0</v>
          </cell>
          <cell r="Y1121">
            <v>0</v>
          </cell>
          <cell r="Z1121">
            <v>0</v>
          </cell>
          <cell r="AA1121">
            <v>0</v>
          </cell>
          <cell r="AB1121">
            <v>4000</v>
          </cell>
          <cell r="AC1121">
            <v>0</v>
          </cell>
          <cell r="AD1121">
            <v>0</v>
          </cell>
          <cell r="AE1121">
            <v>0</v>
          </cell>
          <cell r="AF1121">
            <v>0</v>
          </cell>
        </row>
        <row r="1122">
          <cell r="A1122">
            <v>2300028</v>
          </cell>
          <cell r="H1122">
            <v>4000</v>
          </cell>
          <cell r="K1122">
            <v>0</v>
          </cell>
          <cell r="L1122">
            <v>0</v>
          </cell>
          <cell r="M1122">
            <v>-4000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row>
        <row r="1123">
          <cell r="A1123">
            <v>2300028</v>
          </cell>
          <cell r="H1123">
            <v>4000</v>
          </cell>
          <cell r="K1123">
            <v>0</v>
          </cell>
          <cell r="L1123">
            <v>0</v>
          </cell>
          <cell r="M1123">
            <v>-1333.33</v>
          </cell>
          <cell r="N1123">
            <v>0</v>
          </cell>
          <cell r="O1123">
            <v>0</v>
          </cell>
          <cell r="P1123">
            <v>0</v>
          </cell>
          <cell r="Q1123">
            <v>0</v>
          </cell>
          <cell r="R1123">
            <v>0</v>
          </cell>
          <cell r="S1123">
            <v>0</v>
          </cell>
          <cell r="T1123">
            <v>0</v>
          </cell>
          <cell r="U1123">
            <v>0</v>
          </cell>
          <cell r="V1123">
            <v>-2666.67</v>
          </cell>
          <cell r="W1123">
            <v>0</v>
          </cell>
          <cell r="X1123">
            <v>0</v>
          </cell>
          <cell r="Y1123">
            <v>0</v>
          </cell>
          <cell r="Z1123">
            <v>0</v>
          </cell>
          <cell r="AA1123">
            <v>0</v>
          </cell>
          <cell r="AB1123">
            <v>0</v>
          </cell>
          <cell r="AC1123">
            <v>0</v>
          </cell>
          <cell r="AD1123">
            <v>0</v>
          </cell>
          <cell r="AE1123">
            <v>0</v>
          </cell>
          <cell r="AF1123">
            <v>0</v>
          </cell>
        </row>
        <row r="1124">
          <cell r="A1124">
            <v>2300029</v>
          </cell>
          <cell r="B1124" t="str">
            <v>2300029</v>
          </cell>
          <cell r="G1124" t="str">
            <v>Pen Drive Transcend 512 MB</v>
          </cell>
          <cell r="H1124">
            <v>0</v>
          </cell>
          <cell r="K1124">
            <v>0</v>
          </cell>
          <cell r="L1124">
            <v>0</v>
          </cell>
          <cell r="M1124">
            <v>0</v>
          </cell>
          <cell r="N1124">
            <v>0</v>
          </cell>
          <cell r="O1124">
            <v>0</v>
          </cell>
          <cell r="P1124">
            <v>0</v>
          </cell>
          <cell r="Q1124">
            <v>0</v>
          </cell>
          <cell r="R1124">
            <v>0</v>
          </cell>
          <cell r="S1124">
            <v>0</v>
          </cell>
          <cell r="T1124">
            <v>0</v>
          </cell>
          <cell r="U1124">
            <v>0</v>
          </cell>
          <cell r="V1124">
            <v>-2200</v>
          </cell>
          <cell r="W1124">
            <v>0</v>
          </cell>
          <cell r="X1124">
            <v>0</v>
          </cell>
          <cell r="Y1124">
            <v>0</v>
          </cell>
          <cell r="Z1124">
            <v>0</v>
          </cell>
          <cell r="AA1124">
            <v>0</v>
          </cell>
          <cell r="AB1124">
            <v>2200</v>
          </cell>
          <cell r="AC1124">
            <v>0</v>
          </cell>
          <cell r="AD1124">
            <v>0</v>
          </cell>
          <cell r="AE1124">
            <v>0</v>
          </cell>
          <cell r="AF1124">
            <v>0</v>
          </cell>
        </row>
        <row r="1125">
          <cell r="A1125">
            <v>2300029</v>
          </cell>
          <cell r="H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2200</v>
          </cell>
          <cell r="AC1125">
            <v>0</v>
          </cell>
          <cell r="AD1125">
            <v>0</v>
          </cell>
          <cell r="AE1125">
            <v>0</v>
          </cell>
          <cell r="AF1125">
            <v>0</v>
          </cell>
        </row>
        <row r="1126">
          <cell r="A1126">
            <v>2300029</v>
          </cell>
          <cell r="H1126">
            <v>2200</v>
          </cell>
          <cell r="K1126">
            <v>0</v>
          </cell>
          <cell r="L1126">
            <v>0</v>
          </cell>
          <cell r="M1126">
            <v>-2200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row>
        <row r="1127">
          <cell r="A1127">
            <v>2300029</v>
          </cell>
          <cell r="H1127">
            <v>2200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row>
        <row r="1128">
          <cell r="A1128">
            <v>2300030</v>
          </cell>
          <cell r="B1128" t="str">
            <v>2300030</v>
          </cell>
          <cell r="G1128" t="str">
            <v>L.G.D.V.D Writer</v>
          </cell>
          <cell r="H1128">
            <v>0</v>
          </cell>
          <cell r="K1128">
            <v>0</v>
          </cell>
          <cell r="L1128">
            <v>0</v>
          </cell>
          <cell r="M1128">
            <v>0</v>
          </cell>
          <cell r="N1128">
            <v>0</v>
          </cell>
          <cell r="O1128">
            <v>0</v>
          </cell>
          <cell r="P1128">
            <v>0</v>
          </cell>
          <cell r="Q1128">
            <v>0</v>
          </cell>
          <cell r="R1128">
            <v>0</v>
          </cell>
          <cell r="S1128">
            <v>0</v>
          </cell>
          <cell r="T1128">
            <v>0</v>
          </cell>
          <cell r="U1128">
            <v>0</v>
          </cell>
          <cell r="V1128">
            <v>-3300</v>
          </cell>
          <cell r="W1128">
            <v>0</v>
          </cell>
          <cell r="X1128">
            <v>0</v>
          </cell>
          <cell r="Y1128">
            <v>0</v>
          </cell>
          <cell r="Z1128">
            <v>0</v>
          </cell>
          <cell r="AA1128">
            <v>0</v>
          </cell>
          <cell r="AB1128">
            <v>3300</v>
          </cell>
          <cell r="AC1128">
            <v>0</v>
          </cell>
          <cell r="AD1128">
            <v>0</v>
          </cell>
          <cell r="AE1128">
            <v>0</v>
          </cell>
          <cell r="AF1128">
            <v>0</v>
          </cell>
        </row>
        <row r="1129">
          <cell r="A1129">
            <v>2300030</v>
          </cell>
          <cell r="H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3300</v>
          </cell>
          <cell r="AC1129">
            <v>0</v>
          </cell>
          <cell r="AD1129">
            <v>0</v>
          </cell>
          <cell r="AE1129">
            <v>0</v>
          </cell>
          <cell r="AF1129">
            <v>0</v>
          </cell>
        </row>
        <row r="1130">
          <cell r="A1130">
            <v>2300030</v>
          </cell>
          <cell r="H1130">
            <v>3300</v>
          </cell>
          <cell r="K1130">
            <v>0</v>
          </cell>
          <cell r="L1130">
            <v>0</v>
          </cell>
          <cell r="M1130">
            <v>-3300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row>
        <row r="1131">
          <cell r="A1131">
            <v>2300030</v>
          </cell>
          <cell r="H1131">
            <v>3300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row>
        <row r="1132">
          <cell r="A1132">
            <v>2300031</v>
          </cell>
          <cell r="B1132" t="str">
            <v>2300031</v>
          </cell>
          <cell r="G1132" t="str">
            <v>810E Chipset Motherboard % Atx cabinet</v>
          </cell>
        </row>
        <row r="1133">
          <cell r="A1133">
            <v>2300032</v>
          </cell>
          <cell r="B1133" t="str">
            <v>2300032</v>
          </cell>
          <cell r="G1133" t="str">
            <v>HDD 80GB Baracuda Seagate</v>
          </cell>
          <cell r="H1133">
            <v>0</v>
          </cell>
          <cell r="K1133">
            <v>0</v>
          </cell>
          <cell r="L1133">
            <v>0</v>
          </cell>
          <cell r="M1133">
            <v>0</v>
          </cell>
          <cell r="N1133">
            <v>0</v>
          </cell>
          <cell r="O1133">
            <v>0</v>
          </cell>
          <cell r="P1133">
            <v>0</v>
          </cell>
          <cell r="Q1133">
            <v>0</v>
          </cell>
          <cell r="R1133">
            <v>0</v>
          </cell>
          <cell r="S1133">
            <v>0</v>
          </cell>
          <cell r="T1133">
            <v>0</v>
          </cell>
          <cell r="U1133">
            <v>0</v>
          </cell>
          <cell r="V1133">
            <v>-2650</v>
          </cell>
          <cell r="W1133">
            <v>0</v>
          </cell>
          <cell r="X1133">
            <v>0</v>
          </cell>
          <cell r="Y1133">
            <v>0</v>
          </cell>
          <cell r="Z1133">
            <v>0</v>
          </cell>
          <cell r="AA1133">
            <v>0</v>
          </cell>
          <cell r="AB1133">
            <v>2650</v>
          </cell>
          <cell r="AC1133">
            <v>0</v>
          </cell>
          <cell r="AD1133">
            <v>0</v>
          </cell>
          <cell r="AE1133">
            <v>0</v>
          </cell>
          <cell r="AF1133">
            <v>0</v>
          </cell>
        </row>
        <row r="1134">
          <cell r="A1134">
            <v>2300032</v>
          </cell>
          <cell r="H1134">
            <v>0</v>
          </cell>
          <cell r="K1134">
            <v>0</v>
          </cell>
          <cell r="L1134">
            <v>0</v>
          </cell>
          <cell r="M1134">
            <v>0</v>
          </cell>
          <cell r="N1134">
            <v>0</v>
          </cell>
          <cell r="O1134">
            <v>0</v>
          </cell>
          <cell r="P1134">
            <v>0</v>
          </cell>
          <cell r="Q1134">
            <v>0</v>
          </cell>
          <cell r="R1134">
            <v>0</v>
          </cell>
          <cell r="S1134">
            <v>0</v>
          </cell>
          <cell r="T1134">
            <v>0</v>
          </cell>
          <cell r="U1134">
            <v>0</v>
          </cell>
          <cell r="V1134">
            <v>-662.5</v>
          </cell>
          <cell r="W1134">
            <v>0</v>
          </cell>
          <cell r="X1134">
            <v>0</v>
          </cell>
          <cell r="Y1134">
            <v>0</v>
          </cell>
          <cell r="Z1134">
            <v>0</v>
          </cell>
          <cell r="AA1134">
            <v>0</v>
          </cell>
          <cell r="AB1134">
            <v>2650</v>
          </cell>
          <cell r="AC1134">
            <v>0</v>
          </cell>
          <cell r="AD1134">
            <v>0</v>
          </cell>
          <cell r="AE1134">
            <v>0</v>
          </cell>
          <cell r="AF1134">
            <v>0</v>
          </cell>
        </row>
        <row r="1135">
          <cell r="A1135">
            <v>2300032</v>
          </cell>
          <cell r="H1135">
            <v>2650</v>
          </cell>
          <cell r="K1135">
            <v>0</v>
          </cell>
          <cell r="L1135">
            <v>0</v>
          </cell>
          <cell r="M1135">
            <v>-2650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row>
        <row r="1136">
          <cell r="A1136">
            <v>2300032</v>
          </cell>
          <cell r="H1136">
            <v>2650</v>
          </cell>
          <cell r="K1136">
            <v>0</v>
          </cell>
          <cell r="L1136">
            <v>0</v>
          </cell>
          <cell r="M1136">
            <v>-662.5</v>
          </cell>
          <cell r="N1136">
            <v>0</v>
          </cell>
          <cell r="O1136">
            <v>0</v>
          </cell>
          <cell r="P1136">
            <v>0</v>
          </cell>
          <cell r="Q1136">
            <v>0</v>
          </cell>
          <cell r="R1136">
            <v>0</v>
          </cell>
          <cell r="S1136">
            <v>0</v>
          </cell>
          <cell r="T1136">
            <v>0</v>
          </cell>
          <cell r="U1136">
            <v>0</v>
          </cell>
          <cell r="V1136">
            <v>-1987.5</v>
          </cell>
          <cell r="W1136">
            <v>0</v>
          </cell>
          <cell r="X1136">
            <v>0</v>
          </cell>
          <cell r="Y1136">
            <v>0</v>
          </cell>
          <cell r="Z1136">
            <v>0</v>
          </cell>
          <cell r="AA1136">
            <v>0</v>
          </cell>
          <cell r="AB1136">
            <v>0</v>
          </cell>
          <cell r="AC1136">
            <v>0</v>
          </cell>
          <cell r="AD1136">
            <v>0</v>
          </cell>
          <cell r="AE1136">
            <v>0</v>
          </cell>
          <cell r="AF1136">
            <v>0</v>
          </cell>
        </row>
        <row r="1137">
          <cell r="A1137">
            <v>2300033</v>
          </cell>
          <cell r="B1137" t="str">
            <v>2300033</v>
          </cell>
          <cell r="G1137" t="str">
            <v>HDD 80 GB BARACUDA SEAGATE</v>
          </cell>
        </row>
        <row r="1138">
          <cell r="A1138">
            <v>2300034</v>
          </cell>
          <cell r="B1138" t="str">
            <v>2300034</v>
          </cell>
          <cell r="G1138" t="str">
            <v>40GB HDD with Laptop Casing</v>
          </cell>
          <cell r="H1138">
            <v>0</v>
          </cell>
          <cell r="K1138">
            <v>0</v>
          </cell>
          <cell r="L1138">
            <v>0</v>
          </cell>
          <cell r="M1138">
            <v>0</v>
          </cell>
          <cell r="N1138">
            <v>0</v>
          </cell>
          <cell r="O1138">
            <v>0</v>
          </cell>
          <cell r="P1138">
            <v>0</v>
          </cell>
          <cell r="Q1138">
            <v>0</v>
          </cell>
          <cell r="R1138">
            <v>0</v>
          </cell>
          <cell r="S1138">
            <v>0</v>
          </cell>
          <cell r="T1138">
            <v>0</v>
          </cell>
          <cell r="U1138">
            <v>0</v>
          </cell>
          <cell r="V1138">
            <v>-4650</v>
          </cell>
          <cell r="W1138">
            <v>0</v>
          </cell>
          <cell r="X1138">
            <v>0</v>
          </cell>
          <cell r="Y1138">
            <v>0</v>
          </cell>
          <cell r="Z1138">
            <v>0</v>
          </cell>
          <cell r="AA1138">
            <v>0</v>
          </cell>
          <cell r="AB1138">
            <v>4650</v>
          </cell>
          <cell r="AC1138">
            <v>0</v>
          </cell>
          <cell r="AD1138">
            <v>0</v>
          </cell>
          <cell r="AE1138">
            <v>0</v>
          </cell>
          <cell r="AF1138">
            <v>0</v>
          </cell>
        </row>
        <row r="1139">
          <cell r="A1139">
            <v>2300034</v>
          </cell>
          <cell r="H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4650</v>
          </cell>
          <cell r="AC1139">
            <v>0</v>
          </cell>
          <cell r="AD1139">
            <v>0</v>
          </cell>
          <cell r="AE1139">
            <v>0</v>
          </cell>
          <cell r="AF1139">
            <v>0</v>
          </cell>
        </row>
        <row r="1140">
          <cell r="A1140">
            <v>2300034</v>
          </cell>
          <cell r="H1140">
            <v>4650</v>
          </cell>
          <cell r="K1140">
            <v>0</v>
          </cell>
          <cell r="L1140">
            <v>0</v>
          </cell>
          <cell r="M1140">
            <v>-4650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row>
        <row r="1141">
          <cell r="A1141">
            <v>2300034</v>
          </cell>
          <cell r="H1141">
            <v>4650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row>
        <row r="1142">
          <cell r="A1142">
            <v>2300035</v>
          </cell>
          <cell r="B1142" t="str">
            <v>2300035</v>
          </cell>
          <cell r="G1142" t="str">
            <v>HARD DISK DRIVE</v>
          </cell>
          <cell r="H1142">
            <v>0</v>
          </cell>
          <cell r="K1142">
            <v>0</v>
          </cell>
          <cell r="L1142">
            <v>0</v>
          </cell>
          <cell r="M1142">
            <v>0</v>
          </cell>
          <cell r="N1142">
            <v>0</v>
          </cell>
          <cell r="O1142">
            <v>0</v>
          </cell>
          <cell r="P1142">
            <v>0</v>
          </cell>
          <cell r="Q1142">
            <v>0</v>
          </cell>
          <cell r="R1142">
            <v>0</v>
          </cell>
          <cell r="S1142">
            <v>0</v>
          </cell>
          <cell r="T1142">
            <v>0</v>
          </cell>
          <cell r="U1142">
            <v>0</v>
          </cell>
          <cell r="V1142">
            <v>-2150</v>
          </cell>
          <cell r="W1142">
            <v>0</v>
          </cell>
          <cell r="X1142">
            <v>0</v>
          </cell>
          <cell r="Y1142">
            <v>0</v>
          </cell>
          <cell r="Z1142">
            <v>0</v>
          </cell>
          <cell r="AA1142">
            <v>0</v>
          </cell>
          <cell r="AB1142">
            <v>2150</v>
          </cell>
          <cell r="AC1142">
            <v>0</v>
          </cell>
          <cell r="AD1142">
            <v>0</v>
          </cell>
          <cell r="AE1142">
            <v>0</v>
          </cell>
          <cell r="AF1142">
            <v>0</v>
          </cell>
        </row>
        <row r="1143">
          <cell r="A1143">
            <v>2300035</v>
          </cell>
          <cell r="H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2150</v>
          </cell>
          <cell r="AC1143">
            <v>0</v>
          </cell>
          <cell r="AD1143">
            <v>0</v>
          </cell>
          <cell r="AE1143">
            <v>0</v>
          </cell>
          <cell r="AF1143">
            <v>0</v>
          </cell>
        </row>
        <row r="1144">
          <cell r="A1144">
            <v>2300035</v>
          </cell>
          <cell r="H1144">
            <v>2150</v>
          </cell>
          <cell r="K1144">
            <v>0</v>
          </cell>
          <cell r="L1144">
            <v>0</v>
          </cell>
          <cell r="M1144">
            <v>-2150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row>
        <row r="1145">
          <cell r="A1145">
            <v>2300035</v>
          </cell>
          <cell r="H1145">
            <v>2150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row>
        <row r="1146">
          <cell r="A1146">
            <v>2300036</v>
          </cell>
          <cell r="B1146" t="str">
            <v>2300036</v>
          </cell>
          <cell r="G1146" t="str">
            <v>HARD DISK DRIVE</v>
          </cell>
          <cell r="H1146">
            <v>0</v>
          </cell>
          <cell r="K1146">
            <v>0</v>
          </cell>
          <cell r="L1146">
            <v>0</v>
          </cell>
          <cell r="M1146">
            <v>0</v>
          </cell>
          <cell r="N1146">
            <v>0</v>
          </cell>
          <cell r="O1146">
            <v>0</v>
          </cell>
          <cell r="P1146">
            <v>0</v>
          </cell>
          <cell r="Q1146">
            <v>0</v>
          </cell>
          <cell r="R1146">
            <v>0</v>
          </cell>
          <cell r="S1146">
            <v>0</v>
          </cell>
          <cell r="T1146">
            <v>0</v>
          </cell>
          <cell r="U1146">
            <v>0</v>
          </cell>
          <cell r="V1146">
            <v>-2150</v>
          </cell>
          <cell r="W1146">
            <v>0</v>
          </cell>
          <cell r="X1146">
            <v>0</v>
          </cell>
          <cell r="Y1146">
            <v>0</v>
          </cell>
          <cell r="Z1146">
            <v>0</v>
          </cell>
          <cell r="AA1146">
            <v>0</v>
          </cell>
          <cell r="AB1146">
            <v>2150</v>
          </cell>
          <cell r="AC1146">
            <v>0</v>
          </cell>
          <cell r="AD1146">
            <v>0</v>
          </cell>
          <cell r="AE1146">
            <v>0</v>
          </cell>
          <cell r="AF1146">
            <v>0</v>
          </cell>
        </row>
        <row r="1147">
          <cell r="A1147">
            <v>2300036</v>
          </cell>
          <cell r="H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2150</v>
          </cell>
          <cell r="AC1147">
            <v>0</v>
          </cell>
          <cell r="AD1147">
            <v>0</v>
          </cell>
          <cell r="AE1147">
            <v>0</v>
          </cell>
          <cell r="AF1147">
            <v>0</v>
          </cell>
        </row>
        <row r="1148">
          <cell r="A1148">
            <v>2300036</v>
          </cell>
          <cell r="H1148">
            <v>2150</v>
          </cell>
          <cell r="K1148">
            <v>0</v>
          </cell>
          <cell r="L1148">
            <v>0</v>
          </cell>
          <cell r="M1148">
            <v>-2150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row>
        <row r="1149">
          <cell r="A1149">
            <v>2300036</v>
          </cell>
          <cell r="H1149">
            <v>2150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row>
        <row r="1150">
          <cell r="A1150">
            <v>2300037</v>
          </cell>
          <cell r="B1150" t="str">
            <v>2300037</v>
          </cell>
          <cell r="G1150" t="str">
            <v>HARD DISK DRIVE</v>
          </cell>
          <cell r="H1150">
            <v>0</v>
          </cell>
          <cell r="K1150">
            <v>0</v>
          </cell>
          <cell r="L1150">
            <v>0</v>
          </cell>
          <cell r="M1150">
            <v>0</v>
          </cell>
          <cell r="N1150">
            <v>0</v>
          </cell>
          <cell r="O1150">
            <v>0</v>
          </cell>
          <cell r="P1150">
            <v>0</v>
          </cell>
          <cell r="Q1150">
            <v>0</v>
          </cell>
          <cell r="R1150">
            <v>0</v>
          </cell>
          <cell r="S1150">
            <v>0</v>
          </cell>
          <cell r="T1150">
            <v>0</v>
          </cell>
          <cell r="U1150">
            <v>0</v>
          </cell>
          <cell r="V1150">
            <v>-2150</v>
          </cell>
          <cell r="W1150">
            <v>0</v>
          </cell>
          <cell r="X1150">
            <v>0</v>
          </cell>
          <cell r="Y1150">
            <v>0</v>
          </cell>
          <cell r="Z1150">
            <v>0</v>
          </cell>
          <cell r="AA1150">
            <v>0</v>
          </cell>
          <cell r="AB1150">
            <v>2150</v>
          </cell>
          <cell r="AC1150">
            <v>0</v>
          </cell>
          <cell r="AD1150">
            <v>0</v>
          </cell>
          <cell r="AE1150">
            <v>0</v>
          </cell>
          <cell r="AF1150">
            <v>0</v>
          </cell>
        </row>
        <row r="1151">
          <cell r="A1151">
            <v>2300037</v>
          </cell>
          <cell r="H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2150</v>
          </cell>
          <cell r="AC1151">
            <v>0</v>
          </cell>
          <cell r="AD1151">
            <v>0</v>
          </cell>
          <cell r="AE1151">
            <v>0</v>
          </cell>
          <cell r="AF1151">
            <v>0</v>
          </cell>
        </row>
        <row r="1152">
          <cell r="A1152">
            <v>2300037</v>
          </cell>
          <cell r="H1152">
            <v>2150</v>
          </cell>
          <cell r="K1152">
            <v>0</v>
          </cell>
          <cell r="L1152">
            <v>0</v>
          </cell>
          <cell r="M1152">
            <v>-2150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row>
        <row r="1153">
          <cell r="A1153">
            <v>2300037</v>
          </cell>
          <cell r="H1153">
            <v>2150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row>
        <row r="1154">
          <cell r="A1154">
            <v>2300038</v>
          </cell>
          <cell r="B1154" t="str">
            <v>2300038</v>
          </cell>
          <cell r="G1154" t="str">
            <v>HARD DISK DRIVE</v>
          </cell>
          <cell r="H1154">
            <v>0</v>
          </cell>
          <cell r="K1154">
            <v>0</v>
          </cell>
          <cell r="L1154">
            <v>0</v>
          </cell>
          <cell r="M1154">
            <v>0</v>
          </cell>
          <cell r="N1154">
            <v>0</v>
          </cell>
          <cell r="O1154">
            <v>0</v>
          </cell>
          <cell r="P1154">
            <v>0</v>
          </cell>
          <cell r="Q1154">
            <v>0</v>
          </cell>
          <cell r="R1154">
            <v>0</v>
          </cell>
          <cell r="S1154">
            <v>0</v>
          </cell>
          <cell r="T1154">
            <v>0</v>
          </cell>
          <cell r="U1154">
            <v>0</v>
          </cell>
          <cell r="V1154">
            <v>-2150</v>
          </cell>
          <cell r="W1154">
            <v>0</v>
          </cell>
          <cell r="X1154">
            <v>0</v>
          </cell>
          <cell r="Y1154">
            <v>0</v>
          </cell>
          <cell r="Z1154">
            <v>0</v>
          </cell>
          <cell r="AA1154">
            <v>0</v>
          </cell>
          <cell r="AB1154">
            <v>2150</v>
          </cell>
          <cell r="AC1154">
            <v>0</v>
          </cell>
          <cell r="AD1154">
            <v>0</v>
          </cell>
          <cell r="AE1154">
            <v>0</v>
          </cell>
          <cell r="AF1154">
            <v>0</v>
          </cell>
        </row>
        <row r="1155">
          <cell r="A1155">
            <v>2300038</v>
          </cell>
          <cell r="H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2150</v>
          </cell>
          <cell r="AC1155">
            <v>0</v>
          </cell>
          <cell r="AD1155">
            <v>0</v>
          </cell>
          <cell r="AE1155">
            <v>0</v>
          </cell>
          <cell r="AF1155">
            <v>0</v>
          </cell>
        </row>
        <row r="1156">
          <cell r="A1156">
            <v>2300038</v>
          </cell>
          <cell r="H1156">
            <v>2150</v>
          </cell>
          <cell r="K1156">
            <v>0</v>
          </cell>
          <cell r="L1156">
            <v>0</v>
          </cell>
          <cell r="M1156">
            <v>-2150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row>
        <row r="1157">
          <cell r="A1157">
            <v>2300038</v>
          </cell>
          <cell r="H1157">
            <v>2150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row>
        <row r="1158">
          <cell r="A1158">
            <v>2300039</v>
          </cell>
          <cell r="B1158" t="str">
            <v>2300039</v>
          </cell>
          <cell r="G1158" t="str">
            <v>HARD DISK DRIVE</v>
          </cell>
          <cell r="H1158">
            <v>0</v>
          </cell>
          <cell r="K1158">
            <v>0</v>
          </cell>
          <cell r="L1158">
            <v>0</v>
          </cell>
          <cell r="M1158">
            <v>0</v>
          </cell>
          <cell r="N1158">
            <v>0</v>
          </cell>
          <cell r="O1158">
            <v>0</v>
          </cell>
          <cell r="P1158">
            <v>0</v>
          </cell>
          <cell r="Q1158">
            <v>0</v>
          </cell>
          <cell r="R1158">
            <v>0</v>
          </cell>
          <cell r="S1158">
            <v>0</v>
          </cell>
          <cell r="T1158">
            <v>0</v>
          </cell>
          <cell r="U1158">
            <v>0</v>
          </cell>
          <cell r="V1158">
            <v>-2150</v>
          </cell>
          <cell r="W1158">
            <v>0</v>
          </cell>
          <cell r="X1158">
            <v>0</v>
          </cell>
          <cell r="Y1158">
            <v>0</v>
          </cell>
          <cell r="Z1158">
            <v>0</v>
          </cell>
          <cell r="AA1158">
            <v>0</v>
          </cell>
          <cell r="AB1158">
            <v>2150</v>
          </cell>
          <cell r="AC1158">
            <v>0</v>
          </cell>
          <cell r="AD1158">
            <v>0</v>
          </cell>
          <cell r="AE1158">
            <v>0</v>
          </cell>
          <cell r="AF1158">
            <v>0</v>
          </cell>
        </row>
        <row r="1159">
          <cell r="A1159">
            <v>2300039</v>
          </cell>
          <cell r="H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2150</v>
          </cell>
          <cell r="AC1159">
            <v>0</v>
          </cell>
          <cell r="AD1159">
            <v>0</v>
          </cell>
          <cell r="AE1159">
            <v>0</v>
          </cell>
          <cell r="AF1159">
            <v>0</v>
          </cell>
        </row>
        <row r="1160">
          <cell r="A1160">
            <v>2300039</v>
          </cell>
          <cell r="H1160">
            <v>2150</v>
          </cell>
          <cell r="K1160">
            <v>0</v>
          </cell>
          <cell r="L1160">
            <v>0</v>
          </cell>
          <cell r="M1160">
            <v>-2150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row>
        <row r="1161">
          <cell r="A1161">
            <v>2300039</v>
          </cell>
          <cell r="H1161">
            <v>2150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row>
        <row r="1162">
          <cell r="A1162">
            <v>2300040</v>
          </cell>
          <cell r="B1162" t="str">
            <v>2300040</v>
          </cell>
          <cell r="G1162" t="str">
            <v>HARD DISK DRIVE</v>
          </cell>
          <cell r="H1162">
            <v>0</v>
          </cell>
          <cell r="K1162">
            <v>0</v>
          </cell>
          <cell r="L1162">
            <v>0</v>
          </cell>
          <cell r="M1162">
            <v>0</v>
          </cell>
          <cell r="N1162">
            <v>0</v>
          </cell>
          <cell r="O1162">
            <v>0</v>
          </cell>
          <cell r="P1162">
            <v>0</v>
          </cell>
          <cell r="Q1162">
            <v>0</v>
          </cell>
          <cell r="R1162">
            <v>0</v>
          </cell>
          <cell r="S1162">
            <v>0</v>
          </cell>
          <cell r="T1162">
            <v>0</v>
          </cell>
          <cell r="U1162">
            <v>0</v>
          </cell>
          <cell r="V1162">
            <v>-2150</v>
          </cell>
          <cell r="W1162">
            <v>0</v>
          </cell>
          <cell r="X1162">
            <v>0</v>
          </cell>
          <cell r="Y1162">
            <v>0</v>
          </cell>
          <cell r="Z1162">
            <v>0</v>
          </cell>
          <cell r="AA1162">
            <v>0</v>
          </cell>
          <cell r="AB1162">
            <v>2150</v>
          </cell>
          <cell r="AC1162">
            <v>0</v>
          </cell>
          <cell r="AD1162">
            <v>0</v>
          </cell>
          <cell r="AE1162">
            <v>0</v>
          </cell>
          <cell r="AF1162">
            <v>0</v>
          </cell>
        </row>
        <row r="1163">
          <cell r="A1163">
            <v>2300040</v>
          </cell>
          <cell r="H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2150</v>
          </cell>
          <cell r="AC1163">
            <v>0</v>
          </cell>
          <cell r="AD1163">
            <v>0</v>
          </cell>
          <cell r="AE1163">
            <v>0</v>
          </cell>
          <cell r="AF1163">
            <v>0</v>
          </cell>
        </row>
        <row r="1164">
          <cell r="A1164">
            <v>2300040</v>
          </cell>
          <cell r="H1164">
            <v>2150</v>
          </cell>
          <cell r="K1164">
            <v>0</v>
          </cell>
          <cell r="L1164">
            <v>0</v>
          </cell>
          <cell r="M1164">
            <v>-2150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row>
        <row r="1165">
          <cell r="A1165">
            <v>2300040</v>
          </cell>
          <cell r="H1165">
            <v>2150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row>
        <row r="1166">
          <cell r="A1166">
            <v>2300041</v>
          </cell>
          <cell r="B1166" t="str">
            <v>2300041</v>
          </cell>
          <cell r="G1166" t="str">
            <v>HARD DISK DRIVE</v>
          </cell>
          <cell r="H1166">
            <v>0</v>
          </cell>
          <cell r="K1166">
            <v>0</v>
          </cell>
          <cell r="L1166">
            <v>0</v>
          </cell>
          <cell r="M1166">
            <v>0</v>
          </cell>
          <cell r="N1166">
            <v>0</v>
          </cell>
          <cell r="O1166">
            <v>0</v>
          </cell>
          <cell r="P1166">
            <v>0</v>
          </cell>
          <cell r="Q1166">
            <v>0</v>
          </cell>
          <cell r="R1166">
            <v>0</v>
          </cell>
          <cell r="S1166">
            <v>0</v>
          </cell>
          <cell r="T1166">
            <v>0</v>
          </cell>
          <cell r="U1166">
            <v>0</v>
          </cell>
          <cell r="V1166">
            <v>-2350</v>
          </cell>
          <cell r="W1166">
            <v>0</v>
          </cell>
          <cell r="X1166">
            <v>0</v>
          </cell>
          <cell r="Y1166">
            <v>0</v>
          </cell>
          <cell r="Z1166">
            <v>0</v>
          </cell>
          <cell r="AA1166">
            <v>0</v>
          </cell>
          <cell r="AB1166">
            <v>2350</v>
          </cell>
          <cell r="AC1166">
            <v>0</v>
          </cell>
          <cell r="AD1166">
            <v>0</v>
          </cell>
          <cell r="AE1166">
            <v>0</v>
          </cell>
          <cell r="AF1166">
            <v>0</v>
          </cell>
        </row>
        <row r="1167">
          <cell r="A1167">
            <v>2300041</v>
          </cell>
          <cell r="H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2350</v>
          </cell>
          <cell r="AC1167">
            <v>0</v>
          </cell>
          <cell r="AD1167">
            <v>0</v>
          </cell>
          <cell r="AE1167">
            <v>0</v>
          </cell>
          <cell r="AF1167">
            <v>0</v>
          </cell>
        </row>
        <row r="1168">
          <cell r="A1168">
            <v>2300041</v>
          </cell>
          <cell r="H1168">
            <v>2350</v>
          </cell>
          <cell r="K1168">
            <v>0</v>
          </cell>
          <cell r="L1168">
            <v>0</v>
          </cell>
          <cell r="M1168">
            <v>-2350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row>
        <row r="1169">
          <cell r="A1169">
            <v>2300041</v>
          </cell>
          <cell r="H1169">
            <v>2350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row>
        <row r="1170">
          <cell r="A1170">
            <v>2300042</v>
          </cell>
          <cell r="B1170" t="str">
            <v>2300042</v>
          </cell>
          <cell r="G1170" t="str">
            <v>HARD DISK DRIVE</v>
          </cell>
          <cell r="H1170">
            <v>0</v>
          </cell>
          <cell r="K1170">
            <v>0</v>
          </cell>
          <cell r="L1170">
            <v>0</v>
          </cell>
          <cell r="M1170">
            <v>0</v>
          </cell>
          <cell r="N1170">
            <v>0</v>
          </cell>
          <cell r="O1170">
            <v>0</v>
          </cell>
          <cell r="P1170">
            <v>0</v>
          </cell>
          <cell r="Q1170">
            <v>0</v>
          </cell>
          <cell r="R1170">
            <v>0</v>
          </cell>
          <cell r="S1170">
            <v>0</v>
          </cell>
          <cell r="T1170">
            <v>0</v>
          </cell>
          <cell r="U1170">
            <v>0</v>
          </cell>
          <cell r="V1170">
            <v>-2350</v>
          </cell>
          <cell r="W1170">
            <v>0</v>
          </cell>
          <cell r="X1170">
            <v>0</v>
          </cell>
          <cell r="Y1170">
            <v>0</v>
          </cell>
          <cell r="Z1170">
            <v>0</v>
          </cell>
          <cell r="AA1170">
            <v>0</v>
          </cell>
          <cell r="AB1170">
            <v>2350</v>
          </cell>
          <cell r="AC1170">
            <v>0</v>
          </cell>
          <cell r="AD1170">
            <v>0</v>
          </cell>
          <cell r="AE1170">
            <v>0</v>
          </cell>
          <cell r="AF1170">
            <v>0</v>
          </cell>
        </row>
        <row r="1171">
          <cell r="A1171">
            <v>2300042</v>
          </cell>
          <cell r="H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2350</v>
          </cell>
          <cell r="AC1171">
            <v>0</v>
          </cell>
          <cell r="AD1171">
            <v>0</v>
          </cell>
          <cell r="AE1171">
            <v>0</v>
          </cell>
          <cell r="AF1171">
            <v>0</v>
          </cell>
        </row>
        <row r="1172">
          <cell r="A1172">
            <v>2300042</v>
          </cell>
          <cell r="H1172">
            <v>2350</v>
          </cell>
          <cell r="K1172">
            <v>0</v>
          </cell>
          <cell r="L1172">
            <v>0</v>
          </cell>
          <cell r="M1172">
            <v>-2350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row>
        <row r="1173">
          <cell r="A1173">
            <v>2300042</v>
          </cell>
          <cell r="H1173">
            <v>2350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row>
        <row r="1174">
          <cell r="A1174">
            <v>2300043</v>
          </cell>
          <cell r="B1174" t="str">
            <v>2300043</v>
          </cell>
          <cell r="G1174" t="str">
            <v>HARD DISK DRIVE</v>
          </cell>
          <cell r="H1174">
            <v>0</v>
          </cell>
          <cell r="K1174">
            <v>0</v>
          </cell>
          <cell r="L1174">
            <v>0</v>
          </cell>
          <cell r="M1174">
            <v>0</v>
          </cell>
          <cell r="N1174">
            <v>0</v>
          </cell>
          <cell r="O1174">
            <v>0</v>
          </cell>
          <cell r="P1174">
            <v>0</v>
          </cell>
          <cell r="Q1174">
            <v>0</v>
          </cell>
          <cell r="R1174">
            <v>0</v>
          </cell>
          <cell r="S1174">
            <v>0</v>
          </cell>
          <cell r="T1174">
            <v>0</v>
          </cell>
          <cell r="U1174">
            <v>0</v>
          </cell>
          <cell r="V1174">
            <v>-2600</v>
          </cell>
          <cell r="W1174">
            <v>0</v>
          </cell>
          <cell r="X1174">
            <v>0</v>
          </cell>
          <cell r="Y1174">
            <v>0</v>
          </cell>
          <cell r="Z1174">
            <v>0</v>
          </cell>
          <cell r="AA1174">
            <v>0</v>
          </cell>
          <cell r="AB1174">
            <v>2600</v>
          </cell>
          <cell r="AC1174">
            <v>0</v>
          </cell>
          <cell r="AD1174">
            <v>0</v>
          </cell>
          <cell r="AE1174">
            <v>0</v>
          </cell>
          <cell r="AF1174">
            <v>0</v>
          </cell>
        </row>
        <row r="1175">
          <cell r="A1175">
            <v>2300043</v>
          </cell>
          <cell r="H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2600</v>
          </cell>
          <cell r="AC1175">
            <v>0</v>
          </cell>
          <cell r="AD1175">
            <v>0</v>
          </cell>
          <cell r="AE1175">
            <v>0</v>
          </cell>
          <cell r="AF1175">
            <v>0</v>
          </cell>
        </row>
        <row r="1176">
          <cell r="A1176">
            <v>2300043</v>
          </cell>
          <cell r="H1176">
            <v>2600</v>
          </cell>
          <cell r="K1176">
            <v>0</v>
          </cell>
          <cell r="L1176">
            <v>0</v>
          </cell>
          <cell r="M1176">
            <v>-2600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row>
        <row r="1177">
          <cell r="A1177">
            <v>2300043</v>
          </cell>
          <cell r="H1177">
            <v>2600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row>
        <row r="1178">
          <cell r="A1178">
            <v>2300044</v>
          </cell>
          <cell r="B1178" t="str">
            <v>2300044</v>
          </cell>
          <cell r="G1178" t="str">
            <v>HARD DISK DRIVE</v>
          </cell>
          <cell r="H1178">
            <v>0</v>
          </cell>
          <cell r="K1178">
            <v>0</v>
          </cell>
          <cell r="L1178">
            <v>0</v>
          </cell>
          <cell r="M1178">
            <v>0</v>
          </cell>
          <cell r="N1178">
            <v>0</v>
          </cell>
          <cell r="O1178">
            <v>0</v>
          </cell>
          <cell r="P1178">
            <v>0</v>
          </cell>
          <cell r="Q1178">
            <v>0</v>
          </cell>
          <cell r="R1178">
            <v>0</v>
          </cell>
          <cell r="S1178">
            <v>0</v>
          </cell>
          <cell r="T1178">
            <v>0</v>
          </cell>
          <cell r="U1178">
            <v>0</v>
          </cell>
          <cell r="V1178">
            <v>-2600</v>
          </cell>
          <cell r="W1178">
            <v>0</v>
          </cell>
          <cell r="X1178">
            <v>0</v>
          </cell>
          <cell r="Y1178">
            <v>0</v>
          </cell>
          <cell r="Z1178">
            <v>0</v>
          </cell>
          <cell r="AA1178">
            <v>0</v>
          </cell>
          <cell r="AB1178">
            <v>2600</v>
          </cell>
          <cell r="AC1178">
            <v>0</v>
          </cell>
          <cell r="AD1178">
            <v>0</v>
          </cell>
          <cell r="AE1178">
            <v>0</v>
          </cell>
          <cell r="AF1178">
            <v>0</v>
          </cell>
        </row>
        <row r="1179">
          <cell r="A1179">
            <v>2300044</v>
          </cell>
          <cell r="H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2600</v>
          </cell>
          <cell r="AC1179">
            <v>0</v>
          </cell>
          <cell r="AD1179">
            <v>0</v>
          </cell>
          <cell r="AE1179">
            <v>0</v>
          </cell>
          <cell r="AF1179">
            <v>0</v>
          </cell>
        </row>
        <row r="1180">
          <cell r="A1180">
            <v>2300044</v>
          </cell>
          <cell r="H1180">
            <v>2600</v>
          </cell>
          <cell r="K1180">
            <v>0</v>
          </cell>
          <cell r="L1180">
            <v>0</v>
          </cell>
          <cell r="M1180">
            <v>-2600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row>
        <row r="1181">
          <cell r="A1181">
            <v>2300044</v>
          </cell>
          <cell r="H1181">
            <v>2600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row>
        <row r="1182">
          <cell r="A1182">
            <v>2300045</v>
          </cell>
          <cell r="B1182" t="str">
            <v>2300045</v>
          </cell>
          <cell r="G1182" t="str">
            <v>USB WI-FI</v>
          </cell>
          <cell r="H1182">
            <v>0</v>
          </cell>
          <cell r="K1182">
            <v>0</v>
          </cell>
          <cell r="L1182">
            <v>0</v>
          </cell>
          <cell r="M1182">
            <v>0</v>
          </cell>
          <cell r="N1182">
            <v>0</v>
          </cell>
          <cell r="O1182">
            <v>0</v>
          </cell>
          <cell r="P1182">
            <v>0</v>
          </cell>
          <cell r="Q1182">
            <v>0</v>
          </cell>
          <cell r="R1182">
            <v>0</v>
          </cell>
          <cell r="S1182">
            <v>0</v>
          </cell>
          <cell r="T1182">
            <v>0</v>
          </cell>
          <cell r="U1182">
            <v>0</v>
          </cell>
          <cell r="V1182">
            <v>-2548</v>
          </cell>
          <cell r="W1182">
            <v>0</v>
          </cell>
          <cell r="X1182">
            <v>0</v>
          </cell>
          <cell r="Y1182">
            <v>0</v>
          </cell>
          <cell r="Z1182">
            <v>0</v>
          </cell>
          <cell r="AA1182">
            <v>0</v>
          </cell>
          <cell r="AB1182">
            <v>2548</v>
          </cell>
          <cell r="AC1182">
            <v>0</v>
          </cell>
          <cell r="AD1182">
            <v>0</v>
          </cell>
          <cell r="AE1182">
            <v>0</v>
          </cell>
          <cell r="AF1182">
            <v>0</v>
          </cell>
        </row>
        <row r="1183">
          <cell r="A1183">
            <v>2300045</v>
          </cell>
          <cell r="H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2548</v>
          </cell>
          <cell r="AC1183">
            <v>0</v>
          </cell>
          <cell r="AD1183">
            <v>0</v>
          </cell>
          <cell r="AE1183">
            <v>0</v>
          </cell>
          <cell r="AF1183">
            <v>0</v>
          </cell>
        </row>
        <row r="1184">
          <cell r="A1184">
            <v>2300046</v>
          </cell>
          <cell r="B1184" t="str">
            <v>2300046</v>
          </cell>
          <cell r="G1184" t="str">
            <v>PEN - DRIVE(t.sonic 610)</v>
          </cell>
          <cell r="H1184">
            <v>0</v>
          </cell>
          <cell r="K1184">
            <v>0</v>
          </cell>
          <cell r="L1184">
            <v>0</v>
          </cell>
          <cell r="M1184">
            <v>0</v>
          </cell>
          <cell r="N1184">
            <v>0</v>
          </cell>
          <cell r="O1184">
            <v>0</v>
          </cell>
          <cell r="P1184">
            <v>0</v>
          </cell>
          <cell r="Q1184">
            <v>0</v>
          </cell>
          <cell r="R1184">
            <v>0</v>
          </cell>
          <cell r="S1184">
            <v>0</v>
          </cell>
          <cell r="T1184">
            <v>0</v>
          </cell>
          <cell r="U1184">
            <v>0</v>
          </cell>
          <cell r="V1184">
            <v>-3509</v>
          </cell>
          <cell r="W1184">
            <v>0</v>
          </cell>
          <cell r="X1184">
            <v>0</v>
          </cell>
          <cell r="Y1184">
            <v>0</v>
          </cell>
          <cell r="Z1184">
            <v>0</v>
          </cell>
          <cell r="AA1184">
            <v>0</v>
          </cell>
          <cell r="AB1184">
            <v>3509</v>
          </cell>
          <cell r="AC1184">
            <v>0</v>
          </cell>
          <cell r="AD1184">
            <v>0</v>
          </cell>
          <cell r="AE1184">
            <v>0</v>
          </cell>
          <cell r="AF1184">
            <v>0</v>
          </cell>
        </row>
        <row r="1185">
          <cell r="A1185">
            <v>2300046</v>
          </cell>
          <cell r="H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3509</v>
          </cell>
          <cell r="AC1185">
            <v>0</v>
          </cell>
          <cell r="AD1185">
            <v>0</v>
          </cell>
          <cell r="AE1185">
            <v>0</v>
          </cell>
          <cell r="AF1185">
            <v>0</v>
          </cell>
        </row>
        <row r="1186">
          <cell r="A1186">
            <v>2300047</v>
          </cell>
          <cell r="B1186" t="str">
            <v>2300047</v>
          </cell>
          <cell r="G1186" t="str">
            <v>Pen Drive( CTO)</v>
          </cell>
          <cell r="H1186">
            <v>0</v>
          </cell>
          <cell r="K1186">
            <v>0</v>
          </cell>
          <cell r="L1186">
            <v>0</v>
          </cell>
          <cell r="M1186">
            <v>0</v>
          </cell>
          <cell r="N1186">
            <v>0</v>
          </cell>
          <cell r="O1186">
            <v>0</v>
          </cell>
          <cell r="P1186">
            <v>0</v>
          </cell>
          <cell r="Q1186">
            <v>0</v>
          </cell>
          <cell r="R1186">
            <v>0</v>
          </cell>
          <cell r="S1186">
            <v>0</v>
          </cell>
          <cell r="T1186">
            <v>0</v>
          </cell>
          <cell r="U1186">
            <v>0</v>
          </cell>
          <cell r="V1186">
            <v>-2450</v>
          </cell>
          <cell r="W1186">
            <v>0</v>
          </cell>
          <cell r="X1186">
            <v>0</v>
          </cell>
          <cell r="Y1186">
            <v>0</v>
          </cell>
          <cell r="Z1186">
            <v>0</v>
          </cell>
          <cell r="AA1186">
            <v>0</v>
          </cell>
          <cell r="AB1186">
            <v>2450</v>
          </cell>
          <cell r="AC1186">
            <v>0</v>
          </cell>
          <cell r="AD1186">
            <v>0</v>
          </cell>
          <cell r="AE1186">
            <v>0</v>
          </cell>
          <cell r="AF1186">
            <v>0</v>
          </cell>
        </row>
        <row r="1187">
          <cell r="A1187">
            <v>2300047</v>
          </cell>
          <cell r="H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2450</v>
          </cell>
          <cell r="AC1187">
            <v>0</v>
          </cell>
          <cell r="AD1187">
            <v>0</v>
          </cell>
          <cell r="AE1187">
            <v>0</v>
          </cell>
          <cell r="AF1187">
            <v>0</v>
          </cell>
        </row>
        <row r="1188">
          <cell r="A1188">
            <v>2300047</v>
          </cell>
          <cell r="H1188">
            <v>2450</v>
          </cell>
          <cell r="K1188">
            <v>0</v>
          </cell>
          <cell r="L1188">
            <v>0</v>
          </cell>
          <cell r="M1188">
            <v>-2450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row>
        <row r="1189">
          <cell r="A1189">
            <v>2300047</v>
          </cell>
          <cell r="H1189">
            <v>2450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row>
        <row r="1190">
          <cell r="A1190">
            <v>2300048</v>
          </cell>
          <cell r="B1190" t="str">
            <v>2300048</v>
          </cell>
          <cell r="G1190" t="str">
            <v>PEN DRIVE</v>
          </cell>
          <cell r="H1190">
            <v>0</v>
          </cell>
          <cell r="K1190">
            <v>0</v>
          </cell>
          <cell r="L1190">
            <v>0</v>
          </cell>
          <cell r="M1190">
            <v>0</v>
          </cell>
          <cell r="N1190">
            <v>0</v>
          </cell>
          <cell r="O1190">
            <v>0</v>
          </cell>
          <cell r="P1190">
            <v>0</v>
          </cell>
          <cell r="Q1190">
            <v>0</v>
          </cell>
          <cell r="R1190">
            <v>0</v>
          </cell>
          <cell r="S1190">
            <v>0</v>
          </cell>
          <cell r="T1190">
            <v>0</v>
          </cell>
          <cell r="U1190">
            <v>0</v>
          </cell>
          <cell r="V1190">
            <v>-4100</v>
          </cell>
          <cell r="W1190">
            <v>0</v>
          </cell>
          <cell r="X1190">
            <v>0</v>
          </cell>
          <cell r="Y1190">
            <v>0</v>
          </cell>
          <cell r="Z1190">
            <v>0</v>
          </cell>
          <cell r="AA1190">
            <v>0</v>
          </cell>
          <cell r="AB1190">
            <v>4100</v>
          </cell>
          <cell r="AC1190">
            <v>0</v>
          </cell>
          <cell r="AD1190">
            <v>0</v>
          </cell>
          <cell r="AE1190">
            <v>0</v>
          </cell>
          <cell r="AF1190">
            <v>0</v>
          </cell>
        </row>
        <row r="1191">
          <cell r="A1191">
            <v>2300048</v>
          </cell>
          <cell r="H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4100</v>
          </cell>
          <cell r="AC1191">
            <v>0</v>
          </cell>
          <cell r="AD1191">
            <v>0</v>
          </cell>
          <cell r="AE1191">
            <v>0</v>
          </cell>
          <cell r="AF1191">
            <v>0</v>
          </cell>
        </row>
        <row r="1192">
          <cell r="A1192">
            <v>2300048</v>
          </cell>
          <cell r="H1192">
            <v>4100</v>
          </cell>
          <cell r="K1192">
            <v>0</v>
          </cell>
          <cell r="L1192">
            <v>0</v>
          </cell>
          <cell r="M1192">
            <v>-4100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row>
        <row r="1193">
          <cell r="A1193">
            <v>2300048</v>
          </cell>
          <cell r="H1193">
            <v>4100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row>
        <row r="1194">
          <cell r="A1194">
            <v>2300049</v>
          </cell>
          <cell r="B1194" t="str">
            <v>2300049</v>
          </cell>
          <cell r="G1194" t="str">
            <v>PEN DRIVE</v>
          </cell>
          <cell r="H1194">
            <v>0</v>
          </cell>
          <cell r="K1194">
            <v>0</v>
          </cell>
          <cell r="L1194">
            <v>0</v>
          </cell>
          <cell r="M1194">
            <v>0</v>
          </cell>
          <cell r="N1194">
            <v>0</v>
          </cell>
          <cell r="O1194">
            <v>0</v>
          </cell>
          <cell r="P1194">
            <v>0</v>
          </cell>
          <cell r="Q1194">
            <v>0</v>
          </cell>
          <cell r="R1194">
            <v>0</v>
          </cell>
          <cell r="S1194">
            <v>0</v>
          </cell>
          <cell r="T1194">
            <v>0</v>
          </cell>
          <cell r="U1194">
            <v>0</v>
          </cell>
          <cell r="V1194">
            <v>-3300</v>
          </cell>
          <cell r="W1194">
            <v>0</v>
          </cell>
          <cell r="X1194">
            <v>0</v>
          </cell>
          <cell r="Y1194">
            <v>0</v>
          </cell>
          <cell r="Z1194">
            <v>0</v>
          </cell>
          <cell r="AA1194">
            <v>0</v>
          </cell>
          <cell r="AB1194">
            <v>3300</v>
          </cell>
          <cell r="AC1194">
            <v>0</v>
          </cell>
          <cell r="AD1194">
            <v>0</v>
          </cell>
          <cell r="AE1194">
            <v>0</v>
          </cell>
          <cell r="AF1194">
            <v>0</v>
          </cell>
        </row>
        <row r="1195">
          <cell r="A1195">
            <v>2300049</v>
          </cell>
          <cell r="H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3300</v>
          </cell>
          <cell r="AC1195">
            <v>0</v>
          </cell>
          <cell r="AD1195">
            <v>0</v>
          </cell>
          <cell r="AE1195">
            <v>0</v>
          </cell>
          <cell r="AF1195">
            <v>0</v>
          </cell>
        </row>
        <row r="1196">
          <cell r="A1196">
            <v>2300050</v>
          </cell>
          <cell r="B1196" t="str">
            <v>2300050</v>
          </cell>
          <cell r="G1196" t="str">
            <v>Pen Drive -1Gb</v>
          </cell>
        </row>
        <row r="1197">
          <cell r="A1197">
            <v>2300051</v>
          </cell>
          <cell r="B1197" t="str">
            <v>2300051</v>
          </cell>
          <cell r="G1197" t="str">
            <v>hard Disk - 80Gb</v>
          </cell>
        </row>
        <row r="1198">
          <cell r="A1198">
            <v>2300052</v>
          </cell>
          <cell r="B1198" t="str">
            <v>2300052</v>
          </cell>
          <cell r="G1198" t="str">
            <v>hard Disk - 80Gb</v>
          </cell>
        </row>
        <row r="1199">
          <cell r="A1199">
            <v>2400000</v>
          </cell>
          <cell r="B1199" t="str">
            <v>2400000</v>
          </cell>
          <cell r="G1199" t="str">
            <v>ELECTRIC FEETINGS</v>
          </cell>
          <cell r="H1199">
            <v>2400</v>
          </cell>
          <cell r="K1199">
            <v>0</v>
          </cell>
          <cell r="L1199">
            <v>0</v>
          </cell>
          <cell r="M1199">
            <v>-2400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row>
        <row r="1200">
          <cell r="A1200">
            <v>2400000</v>
          </cell>
          <cell r="H1200">
            <v>2400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row>
        <row r="1201">
          <cell r="A1201">
            <v>2400000</v>
          </cell>
          <cell r="H1201">
            <v>2400</v>
          </cell>
          <cell r="K1201">
            <v>0</v>
          </cell>
          <cell r="L1201">
            <v>0</v>
          </cell>
          <cell r="M1201">
            <v>-2400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row>
        <row r="1202">
          <cell r="A1202">
            <v>2400000</v>
          </cell>
          <cell r="H1202">
            <v>2400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row>
        <row r="1203">
          <cell r="A1203">
            <v>2400001</v>
          </cell>
          <cell r="B1203" t="str">
            <v>2400001</v>
          </cell>
          <cell r="G1203" t="str">
            <v>CORDLESS PHONE</v>
          </cell>
          <cell r="H1203">
            <v>2250</v>
          </cell>
          <cell r="K1203">
            <v>0</v>
          </cell>
          <cell r="L1203">
            <v>0</v>
          </cell>
          <cell r="M1203">
            <v>-2250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row>
        <row r="1204">
          <cell r="A1204">
            <v>2400001</v>
          </cell>
          <cell r="H1204">
            <v>2250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row>
        <row r="1205">
          <cell r="A1205">
            <v>2400001</v>
          </cell>
          <cell r="H1205">
            <v>2250</v>
          </cell>
          <cell r="K1205">
            <v>0</v>
          </cell>
          <cell r="L1205">
            <v>0</v>
          </cell>
          <cell r="M1205">
            <v>-2250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row>
        <row r="1206">
          <cell r="A1206">
            <v>2400001</v>
          </cell>
          <cell r="H1206">
            <v>2250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row>
        <row r="1207">
          <cell r="A1207">
            <v>2400002</v>
          </cell>
          <cell r="B1207" t="str">
            <v>2400002</v>
          </cell>
          <cell r="G1207" t="str">
            <v>Y@ P PHONE</v>
          </cell>
          <cell r="H1207">
            <v>1430</v>
          </cell>
          <cell r="K1207">
            <v>0</v>
          </cell>
          <cell r="L1207">
            <v>0</v>
          </cell>
          <cell r="M1207">
            <v>-1430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row>
        <row r="1208">
          <cell r="A1208">
            <v>2400002</v>
          </cell>
          <cell r="H1208">
            <v>1430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row>
        <row r="1209">
          <cell r="A1209">
            <v>2400002</v>
          </cell>
          <cell r="H1209">
            <v>1430</v>
          </cell>
          <cell r="K1209">
            <v>0</v>
          </cell>
          <cell r="L1209">
            <v>0</v>
          </cell>
          <cell r="M1209">
            <v>-1430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row>
        <row r="1210">
          <cell r="A1210">
            <v>2400002</v>
          </cell>
          <cell r="H1210">
            <v>1430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row>
        <row r="1211">
          <cell r="A1211">
            <v>2400003</v>
          </cell>
          <cell r="B1211" t="str">
            <v>2400003</v>
          </cell>
          <cell r="G1211" t="str">
            <v>TELEPHONE</v>
          </cell>
          <cell r="H1211">
            <v>1140</v>
          </cell>
          <cell r="K1211">
            <v>0</v>
          </cell>
          <cell r="L1211">
            <v>0</v>
          </cell>
          <cell r="M1211">
            <v>-1140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row>
        <row r="1212">
          <cell r="A1212">
            <v>2400003</v>
          </cell>
          <cell r="H1212">
            <v>1140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row>
        <row r="1213">
          <cell r="A1213">
            <v>2400003</v>
          </cell>
          <cell r="H1213">
            <v>1140</v>
          </cell>
          <cell r="K1213">
            <v>0</v>
          </cell>
          <cell r="L1213">
            <v>0</v>
          </cell>
          <cell r="M1213">
            <v>-1140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row>
        <row r="1214">
          <cell r="A1214">
            <v>2400003</v>
          </cell>
          <cell r="H1214">
            <v>1140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row>
        <row r="1215">
          <cell r="A1215">
            <v>2400004</v>
          </cell>
          <cell r="B1215" t="str">
            <v>2400004</v>
          </cell>
          <cell r="G1215" t="str">
            <v>MOBILE BATTERY</v>
          </cell>
          <cell r="H1215">
            <v>2700</v>
          </cell>
          <cell r="K1215">
            <v>0</v>
          </cell>
          <cell r="L1215">
            <v>0</v>
          </cell>
          <cell r="M1215">
            <v>-2700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row>
        <row r="1216">
          <cell r="A1216">
            <v>2400004</v>
          </cell>
          <cell r="H1216">
            <v>2700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row>
        <row r="1217">
          <cell r="A1217">
            <v>2400004</v>
          </cell>
          <cell r="H1217">
            <v>2700</v>
          </cell>
          <cell r="K1217">
            <v>0</v>
          </cell>
          <cell r="L1217">
            <v>0</v>
          </cell>
          <cell r="M1217">
            <v>-2700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row>
        <row r="1218">
          <cell r="A1218">
            <v>2400004</v>
          </cell>
          <cell r="H1218">
            <v>2700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row>
        <row r="1219">
          <cell r="A1219">
            <v>2400005</v>
          </cell>
          <cell r="B1219" t="str">
            <v>2400005</v>
          </cell>
          <cell r="G1219" t="str">
            <v>MOBILE PHONE -Gulshan</v>
          </cell>
          <cell r="H1219">
            <v>5000</v>
          </cell>
          <cell r="K1219">
            <v>0</v>
          </cell>
          <cell r="L1219">
            <v>0</v>
          </cell>
          <cell r="M1219">
            <v>-5000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row>
        <row r="1220">
          <cell r="A1220">
            <v>2400005</v>
          </cell>
          <cell r="H1220">
            <v>5000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row>
        <row r="1221">
          <cell r="A1221">
            <v>2400005</v>
          </cell>
          <cell r="H1221">
            <v>5000</v>
          </cell>
          <cell r="K1221">
            <v>0</v>
          </cell>
          <cell r="L1221">
            <v>0</v>
          </cell>
          <cell r="M1221">
            <v>-5000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row>
        <row r="1222">
          <cell r="A1222">
            <v>2400005</v>
          </cell>
          <cell r="H1222">
            <v>5000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row>
        <row r="1223">
          <cell r="A1223">
            <v>2400006</v>
          </cell>
          <cell r="B1223" t="str">
            <v>2400006</v>
          </cell>
          <cell r="G1223" t="str">
            <v>MOBILE PHONE -Saurabh</v>
          </cell>
          <cell r="H1223">
            <v>2900</v>
          </cell>
          <cell r="K1223">
            <v>0</v>
          </cell>
          <cell r="L1223">
            <v>0</v>
          </cell>
          <cell r="M1223">
            <v>-2900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row>
        <row r="1224">
          <cell r="A1224">
            <v>2400006</v>
          </cell>
          <cell r="H1224">
            <v>2900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row>
        <row r="1225">
          <cell r="A1225">
            <v>2400006</v>
          </cell>
          <cell r="H1225">
            <v>2900</v>
          </cell>
          <cell r="K1225">
            <v>0</v>
          </cell>
          <cell r="L1225">
            <v>0</v>
          </cell>
          <cell r="M1225">
            <v>-2900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row>
        <row r="1226">
          <cell r="A1226">
            <v>2400006</v>
          </cell>
          <cell r="H1226">
            <v>2900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row>
        <row r="1227">
          <cell r="A1227">
            <v>2400007</v>
          </cell>
          <cell r="B1227" t="str">
            <v>2400007</v>
          </cell>
          <cell r="G1227" t="str">
            <v>Panasonic -</v>
          </cell>
          <cell r="H1227">
            <v>3800</v>
          </cell>
          <cell r="K1227">
            <v>0</v>
          </cell>
          <cell r="L1227">
            <v>0</v>
          </cell>
          <cell r="M1227">
            <v>-3800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row>
        <row r="1228">
          <cell r="A1228">
            <v>2400007</v>
          </cell>
          <cell r="H1228">
            <v>3800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row>
        <row r="1229">
          <cell r="A1229">
            <v>2400007</v>
          </cell>
          <cell r="H1229">
            <v>3800</v>
          </cell>
          <cell r="K1229">
            <v>0</v>
          </cell>
          <cell r="L1229">
            <v>0</v>
          </cell>
          <cell r="M1229">
            <v>-3800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row>
        <row r="1230">
          <cell r="A1230">
            <v>2400007</v>
          </cell>
          <cell r="H1230">
            <v>3800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row>
        <row r="1231">
          <cell r="A1231">
            <v>2400008</v>
          </cell>
          <cell r="B1231" t="str">
            <v>2400008</v>
          </cell>
          <cell r="G1231" t="str">
            <v>MOBILE PHONE -Vikram</v>
          </cell>
          <cell r="H1231">
            <v>5000</v>
          </cell>
          <cell r="K1231">
            <v>0</v>
          </cell>
          <cell r="L1231">
            <v>0</v>
          </cell>
          <cell r="M1231">
            <v>-5000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row>
        <row r="1232">
          <cell r="A1232">
            <v>2400008</v>
          </cell>
          <cell r="H1232">
            <v>5000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row>
        <row r="1233">
          <cell r="A1233">
            <v>2400008</v>
          </cell>
          <cell r="H1233">
            <v>5000</v>
          </cell>
          <cell r="K1233">
            <v>0</v>
          </cell>
          <cell r="L1233">
            <v>0</v>
          </cell>
          <cell r="M1233">
            <v>-5000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row>
        <row r="1234">
          <cell r="A1234">
            <v>2400008</v>
          </cell>
          <cell r="H1234">
            <v>5000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row>
        <row r="1235">
          <cell r="A1235">
            <v>2400009</v>
          </cell>
          <cell r="B1235" t="str">
            <v>2400009</v>
          </cell>
          <cell r="G1235" t="str">
            <v>NOTICE BOARD</v>
          </cell>
          <cell r="H1235">
            <v>2340</v>
          </cell>
          <cell r="K1235">
            <v>0</v>
          </cell>
          <cell r="L1235">
            <v>0</v>
          </cell>
          <cell r="M1235">
            <v>-2340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row>
        <row r="1236">
          <cell r="A1236">
            <v>2400009</v>
          </cell>
          <cell r="H1236">
            <v>2340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row>
        <row r="1237">
          <cell r="A1237">
            <v>2400009</v>
          </cell>
          <cell r="H1237">
            <v>2340</v>
          </cell>
          <cell r="K1237">
            <v>0</v>
          </cell>
          <cell r="L1237">
            <v>0</v>
          </cell>
          <cell r="M1237">
            <v>-2340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row>
        <row r="1238">
          <cell r="A1238">
            <v>2400009</v>
          </cell>
          <cell r="H1238">
            <v>2340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row>
        <row r="1239">
          <cell r="A1239">
            <v>2400010</v>
          </cell>
          <cell r="B1239" t="str">
            <v>2400010</v>
          </cell>
          <cell r="G1239" t="str">
            <v>MICROBURST DISPENSER</v>
          </cell>
          <cell r="H1239">
            <v>4099</v>
          </cell>
          <cell r="K1239">
            <v>0</v>
          </cell>
          <cell r="L1239">
            <v>0</v>
          </cell>
          <cell r="M1239">
            <v>-4099</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row>
        <row r="1240">
          <cell r="A1240">
            <v>2400010</v>
          </cell>
          <cell r="H1240">
            <v>4099</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row>
        <row r="1241">
          <cell r="A1241">
            <v>2400010</v>
          </cell>
          <cell r="H1241">
            <v>4099</v>
          </cell>
          <cell r="K1241">
            <v>0</v>
          </cell>
          <cell r="L1241">
            <v>0</v>
          </cell>
          <cell r="M1241">
            <v>-4099</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row>
        <row r="1242">
          <cell r="A1242">
            <v>2400010</v>
          </cell>
          <cell r="H1242">
            <v>4099</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row>
        <row r="1243">
          <cell r="A1243">
            <v>2400011</v>
          </cell>
          <cell r="B1243" t="str">
            <v>2400011</v>
          </cell>
          <cell r="G1243" t="str">
            <v>COMMUNICATION EQUIP.</v>
          </cell>
          <cell r="H1243">
            <v>4600</v>
          </cell>
          <cell r="K1243">
            <v>0</v>
          </cell>
          <cell r="L1243">
            <v>0</v>
          </cell>
          <cell r="M1243">
            <v>-4600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row>
        <row r="1244">
          <cell r="A1244">
            <v>2400011</v>
          </cell>
          <cell r="H1244">
            <v>4600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row>
        <row r="1245">
          <cell r="A1245">
            <v>2400011</v>
          </cell>
          <cell r="H1245">
            <v>4600</v>
          </cell>
          <cell r="K1245">
            <v>0</v>
          </cell>
          <cell r="L1245">
            <v>0</v>
          </cell>
          <cell r="M1245">
            <v>-4600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row>
        <row r="1246">
          <cell r="A1246">
            <v>2400011</v>
          </cell>
          <cell r="H1246">
            <v>4600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row>
        <row r="1247">
          <cell r="A1247">
            <v>2400012</v>
          </cell>
          <cell r="B1247" t="str">
            <v>2400012</v>
          </cell>
          <cell r="G1247" t="str">
            <v>COMMUNICATION EQUIP.</v>
          </cell>
          <cell r="H1247">
            <v>3000</v>
          </cell>
          <cell r="K1247">
            <v>0</v>
          </cell>
          <cell r="L1247">
            <v>0</v>
          </cell>
          <cell r="M1247">
            <v>-3000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row>
        <row r="1248">
          <cell r="A1248">
            <v>2400012</v>
          </cell>
          <cell r="H1248">
            <v>3000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row>
        <row r="1249">
          <cell r="A1249">
            <v>2400012</v>
          </cell>
          <cell r="H1249">
            <v>3000</v>
          </cell>
          <cell r="K1249">
            <v>0</v>
          </cell>
          <cell r="L1249">
            <v>0</v>
          </cell>
          <cell r="M1249">
            <v>-3000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row>
        <row r="1250">
          <cell r="A1250">
            <v>2400012</v>
          </cell>
          <cell r="H1250">
            <v>3000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row>
        <row r="1251">
          <cell r="A1251">
            <v>2400013</v>
          </cell>
          <cell r="B1251" t="str">
            <v>2400013</v>
          </cell>
          <cell r="G1251" t="str">
            <v>COMMUNICATION EQUIP.</v>
          </cell>
          <cell r="H1251">
            <v>1417</v>
          </cell>
          <cell r="K1251">
            <v>0</v>
          </cell>
          <cell r="L1251">
            <v>0</v>
          </cell>
          <cell r="M1251">
            <v>-1417</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row>
        <row r="1252">
          <cell r="A1252">
            <v>2400013</v>
          </cell>
          <cell r="H1252">
            <v>1417</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row>
        <row r="1253">
          <cell r="A1253">
            <v>2400013</v>
          </cell>
          <cell r="H1253">
            <v>1417</v>
          </cell>
          <cell r="K1253">
            <v>0</v>
          </cell>
          <cell r="L1253">
            <v>0</v>
          </cell>
          <cell r="M1253">
            <v>-1417</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row>
        <row r="1254">
          <cell r="A1254">
            <v>2400013</v>
          </cell>
          <cell r="H1254">
            <v>1417</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row>
        <row r="1255">
          <cell r="A1255">
            <v>2400014</v>
          </cell>
          <cell r="B1255" t="str">
            <v>2400014</v>
          </cell>
          <cell r="G1255" t="str">
            <v>Epabx 206 Premier</v>
          </cell>
          <cell r="H1255">
            <v>0</v>
          </cell>
          <cell r="K1255">
            <v>0</v>
          </cell>
          <cell r="L1255">
            <v>0</v>
          </cell>
          <cell r="M1255">
            <v>0</v>
          </cell>
          <cell r="N1255">
            <v>0</v>
          </cell>
          <cell r="O1255">
            <v>0</v>
          </cell>
          <cell r="P1255">
            <v>0</v>
          </cell>
          <cell r="Q1255">
            <v>0</v>
          </cell>
          <cell r="R1255">
            <v>0</v>
          </cell>
          <cell r="S1255">
            <v>0</v>
          </cell>
          <cell r="T1255">
            <v>0</v>
          </cell>
          <cell r="U1255">
            <v>0</v>
          </cell>
          <cell r="V1255">
            <v>-4600</v>
          </cell>
          <cell r="W1255">
            <v>0</v>
          </cell>
          <cell r="X1255">
            <v>0</v>
          </cell>
          <cell r="Y1255">
            <v>0</v>
          </cell>
          <cell r="Z1255">
            <v>0</v>
          </cell>
          <cell r="AA1255">
            <v>0</v>
          </cell>
          <cell r="AB1255">
            <v>4600</v>
          </cell>
          <cell r="AC1255">
            <v>0</v>
          </cell>
          <cell r="AD1255">
            <v>0</v>
          </cell>
          <cell r="AE1255">
            <v>0</v>
          </cell>
          <cell r="AF1255">
            <v>0</v>
          </cell>
        </row>
        <row r="1256">
          <cell r="A1256">
            <v>2400014</v>
          </cell>
          <cell r="H1256">
            <v>0</v>
          </cell>
          <cell r="K1256">
            <v>0</v>
          </cell>
          <cell r="L1256">
            <v>0</v>
          </cell>
          <cell r="M1256">
            <v>0</v>
          </cell>
          <cell r="N1256">
            <v>0</v>
          </cell>
          <cell r="O1256">
            <v>0</v>
          </cell>
          <cell r="P1256">
            <v>0</v>
          </cell>
          <cell r="Q1256">
            <v>0</v>
          </cell>
          <cell r="R1256">
            <v>0</v>
          </cell>
          <cell r="S1256">
            <v>0</v>
          </cell>
          <cell r="T1256">
            <v>0</v>
          </cell>
          <cell r="U1256">
            <v>0</v>
          </cell>
          <cell r="V1256">
            <v>-1150</v>
          </cell>
          <cell r="W1256">
            <v>0</v>
          </cell>
          <cell r="X1256">
            <v>0</v>
          </cell>
          <cell r="Y1256">
            <v>0</v>
          </cell>
          <cell r="Z1256">
            <v>0</v>
          </cell>
          <cell r="AA1256">
            <v>0</v>
          </cell>
          <cell r="AB1256">
            <v>4600</v>
          </cell>
          <cell r="AC1256">
            <v>0</v>
          </cell>
          <cell r="AD1256">
            <v>0</v>
          </cell>
          <cell r="AE1256">
            <v>0</v>
          </cell>
          <cell r="AF1256">
            <v>0</v>
          </cell>
        </row>
        <row r="1257">
          <cell r="A1257">
            <v>2400014</v>
          </cell>
          <cell r="H1257">
            <v>4600</v>
          </cell>
          <cell r="K1257">
            <v>0</v>
          </cell>
          <cell r="L1257">
            <v>0</v>
          </cell>
          <cell r="M1257">
            <v>-4600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row>
        <row r="1258">
          <cell r="A1258">
            <v>2400014</v>
          </cell>
          <cell r="H1258">
            <v>4600</v>
          </cell>
          <cell r="K1258">
            <v>0</v>
          </cell>
          <cell r="L1258">
            <v>0</v>
          </cell>
          <cell r="M1258">
            <v>-1150</v>
          </cell>
          <cell r="N1258">
            <v>0</v>
          </cell>
          <cell r="O1258">
            <v>0</v>
          </cell>
          <cell r="P1258">
            <v>0</v>
          </cell>
          <cell r="Q1258">
            <v>0</v>
          </cell>
          <cell r="R1258">
            <v>0</v>
          </cell>
          <cell r="S1258">
            <v>0</v>
          </cell>
          <cell r="T1258">
            <v>0</v>
          </cell>
          <cell r="U1258">
            <v>0</v>
          </cell>
          <cell r="V1258">
            <v>-3450</v>
          </cell>
          <cell r="W1258">
            <v>0</v>
          </cell>
          <cell r="X1258">
            <v>0</v>
          </cell>
          <cell r="Y1258">
            <v>0</v>
          </cell>
          <cell r="Z1258">
            <v>0</v>
          </cell>
          <cell r="AA1258">
            <v>0</v>
          </cell>
          <cell r="AB1258">
            <v>0</v>
          </cell>
          <cell r="AC1258">
            <v>0</v>
          </cell>
          <cell r="AD1258">
            <v>0</v>
          </cell>
          <cell r="AE1258">
            <v>0</v>
          </cell>
          <cell r="AF1258">
            <v>0</v>
          </cell>
        </row>
        <row r="1259">
          <cell r="A1259">
            <v>2400015</v>
          </cell>
          <cell r="B1259" t="str">
            <v>2400015</v>
          </cell>
          <cell r="G1259" t="str">
            <v>NOKIA-6020 -BIREN</v>
          </cell>
        </row>
        <row r="1260">
          <cell r="A1260">
            <v>2400016</v>
          </cell>
          <cell r="B1260" t="str">
            <v>2400016</v>
          </cell>
          <cell r="G1260" t="str">
            <v>MOTOROLA -C-168</v>
          </cell>
          <cell r="H1260">
            <v>0</v>
          </cell>
          <cell r="K1260">
            <v>0</v>
          </cell>
          <cell r="L1260">
            <v>0</v>
          </cell>
          <cell r="M1260">
            <v>0</v>
          </cell>
          <cell r="N1260">
            <v>0</v>
          </cell>
          <cell r="O1260">
            <v>0</v>
          </cell>
          <cell r="P1260">
            <v>0</v>
          </cell>
          <cell r="Q1260">
            <v>0</v>
          </cell>
          <cell r="R1260">
            <v>0</v>
          </cell>
          <cell r="S1260">
            <v>0</v>
          </cell>
          <cell r="T1260">
            <v>0</v>
          </cell>
          <cell r="U1260">
            <v>0</v>
          </cell>
          <cell r="V1260">
            <v>-2850</v>
          </cell>
          <cell r="W1260">
            <v>0</v>
          </cell>
          <cell r="X1260">
            <v>0</v>
          </cell>
          <cell r="Y1260">
            <v>0</v>
          </cell>
          <cell r="Z1260">
            <v>0</v>
          </cell>
          <cell r="AA1260">
            <v>0</v>
          </cell>
          <cell r="AB1260">
            <v>2850</v>
          </cell>
          <cell r="AC1260">
            <v>0</v>
          </cell>
          <cell r="AD1260">
            <v>0</v>
          </cell>
          <cell r="AE1260">
            <v>0</v>
          </cell>
          <cell r="AF1260">
            <v>0</v>
          </cell>
        </row>
        <row r="1261">
          <cell r="A1261">
            <v>2400016</v>
          </cell>
          <cell r="H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2850</v>
          </cell>
          <cell r="AC1261">
            <v>0</v>
          </cell>
          <cell r="AD1261">
            <v>0</v>
          </cell>
          <cell r="AE1261">
            <v>0</v>
          </cell>
          <cell r="AF1261">
            <v>0</v>
          </cell>
        </row>
        <row r="1262">
          <cell r="A1262">
            <v>2400017</v>
          </cell>
          <cell r="B1262" t="str">
            <v>2400017</v>
          </cell>
          <cell r="G1262" t="str">
            <v>MOTOROLA -C-168</v>
          </cell>
          <cell r="H1262">
            <v>0</v>
          </cell>
          <cell r="K1262">
            <v>0</v>
          </cell>
          <cell r="L1262">
            <v>0</v>
          </cell>
          <cell r="M1262">
            <v>0</v>
          </cell>
          <cell r="N1262">
            <v>0</v>
          </cell>
          <cell r="O1262">
            <v>0</v>
          </cell>
          <cell r="P1262">
            <v>0</v>
          </cell>
          <cell r="Q1262">
            <v>0</v>
          </cell>
          <cell r="R1262">
            <v>0</v>
          </cell>
          <cell r="S1262">
            <v>0</v>
          </cell>
          <cell r="T1262">
            <v>0</v>
          </cell>
          <cell r="U1262">
            <v>0</v>
          </cell>
          <cell r="V1262">
            <v>-2850</v>
          </cell>
          <cell r="W1262">
            <v>0</v>
          </cell>
          <cell r="X1262">
            <v>0</v>
          </cell>
          <cell r="Y1262">
            <v>0</v>
          </cell>
          <cell r="Z1262">
            <v>0</v>
          </cell>
          <cell r="AA1262">
            <v>0</v>
          </cell>
          <cell r="AB1262">
            <v>2850</v>
          </cell>
          <cell r="AC1262">
            <v>0</v>
          </cell>
          <cell r="AD1262">
            <v>0</v>
          </cell>
          <cell r="AE1262">
            <v>0</v>
          </cell>
          <cell r="AF1262">
            <v>0</v>
          </cell>
        </row>
        <row r="1263">
          <cell r="A1263">
            <v>2400017</v>
          </cell>
          <cell r="H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2850</v>
          </cell>
          <cell r="AC1263">
            <v>0</v>
          </cell>
          <cell r="AD1263">
            <v>0</v>
          </cell>
          <cell r="AE1263">
            <v>0</v>
          </cell>
          <cell r="AF1263">
            <v>0</v>
          </cell>
        </row>
        <row r="1264">
          <cell r="A1264">
            <v>2400018</v>
          </cell>
          <cell r="B1264" t="str">
            <v>2400018</v>
          </cell>
          <cell r="G1264" t="str">
            <v>MOTOROLA -C-168</v>
          </cell>
          <cell r="H1264">
            <v>0</v>
          </cell>
          <cell r="K1264">
            <v>0</v>
          </cell>
          <cell r="L1264">
            <v>0</v>
          </cell>
          <cell r="M1264">
            <v>0</v>
          </cell>
          <cell r="N1264">
            <v>0</v>
          </cell>
          <cell r="O1264">
            <v>0</v>
          </cell>
          <cell r="P1264">
            <v>0</v>
          </cell>
          <cell r="Q1264">
            <v>0</v>
          </cell>
          <cell r="R1264">
            <v>0</v>
          </cell>
          <cell r="S1264">
            <v>0</v>
          </cell>
          <cell r="T1264">
            <v>0</v>
          </cell>
          <cell r="U1264">
            <v>0</v>
          </cell>
          <cell r="V1264">
            <v>-2850</v>
          </cell>
          <cell r="W1264">
            <v>0</v>
          </cell>
          <cell r="X1264">
            <v>0</v>
          </cell>
          <cell r="Y1264">
            <v>0</v>
          </cell>
          <cell r="Z1264">
            <v>0</v>
          </cell>
          <cell r="AA1264">
            <v>0</v>
          </cell>
          <cell r="AB1264">
            <v>2850</v>
          </cell>
          <cell r="AC1264">
            <v>0</v>
          </cell>
          <cell r="AD1264">
            <v>0</v>
          </cell>
          <cell r="AE1264">
            <v>0</v>
          </cell>
          <cell r="AF1264">
            <v>0</v>
          </cell>
        </row>
        <row r="1265">
          <cell r="A1265">
            <v>2400018</v>
          </cell>
          <cell r="H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2850</v>
          </cell>
          <cell r="AC1265">
            <v>0</v>
          </cell>
          <cell r="AD1265">
            <v>0</v>
          </cell>
          <cell r="AE1265">
            <v>0</v>
          </cell>
          <cell r="AF1265">
            <v>0</v>
          </cell>
        </row>
        <row r="1266">
          <cell r="A1266">
            <v>2400019</v>
          </cell>
          <cell r="B1266" t="str">
            <v>2400019</v>
          </cell>
          <cell r="G1266" t="str">
            <v>MOTOROLA C-168</v>
          </cell>
          <cell r="H1266">
            <v>0</v>
          </cell>
          <cell r="K1266">
            <v>0</v>
          </cell>
          <cell r="L1266">
            <v>0</v>
          </cell>
          <cell r="M1266">
            <v>0</v>
          </cell>
          <cell r="N1266">
            <v>0</v>
          </cell>
          <cell r="O1266">
            <v>0</v>
          </cell>
          <cell r="P1266">
            <v>0</v>
          </cell>
          <cell r="Q1266">
            <v>0</v>
          </cell>
          <cell r="R1266">
            <v>0</v>
          </cell>
          <cell r="S1266">
            <v>0</v>
          </cell>
          <cell r="T1266">
            <v>0</v>
          </cell>
          <cell r="U1266">
            <v>0</v>
          </cell>
          <cell r="V1266">
            <v>-2850</v>
          </cell>
          <cell r="W1266">
            <v>0</v>
          </cell>
          <cell r="X1266">
            <v>0</v>
          </cell>
          <cell r="Y1266">
            <v>0</v>
          </cell>
          <cell r="Z1266">
            <v>0</v>
          </cell>
          <cell r="AA1266">
            <v>0</v>
          </cell>
          <cell r="AB1266">
            <v>2850</v>
          </cell>
          <cell r="AC1266">
            <v>0</v>
          </cell>
          <cell r="AD1266">
            <v>0</v>
          </cell>
          <cell r="AE1266">
            <v>0</v>
          </cell>
          <cell r="AF1266">
            <v>0</v>
          </cell>
        </row>
        <row r="1267">
          <cell r="A1267">
            <v>2400019</v>
          </cell>
          <cell r="H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2850</v>
          </cell>
          <cell r="AC1267">
            <v>0</v>
          </cell>
          <cell r="AD1267">
            <v>0</v>
          </cell>
          <cell r="AE1267">
            <v>0</v>
          </cell>
          <cell r="AF1267">
            <v>0</v>
          </cell>
        </row>
        <row r="1268">
          <cell r="A1268">
            <v>2400020</v>
          </cell>
          <cell r="B1268" t="str">
            <v>2400020</v>
          </cell>
          <cell r="G1268" t="str">
            <v>Nokia 1600( viral)</v>
          </cell>
          <cell r="H1268">
            <v>0</v>
          </cell>
          <cell r="K1268">
            <v>0</v>
          </cell>
          <cell r="L1268">
            <v>0</v>
          </cell>
          <cell r="M1268">
            <v>0</v>
          </cell>
          <cell r="N1268">
            <v>0</v>
          </cell>
          <cell r="O1268">
            <v>0</v>
          </cell>
          <cell r="P1268">
            <v>0</v>
          </cell>
          <cell r="Q1268">
            <v>0</v>
          </cell>
          <cell r="R1268">
            <v>0</v>
          </cell>
          <cell r="S1268">
            <v>0</v>
          </cell>
          <cell r="T1268">
            <v>0</v>
          </cell>
          <cell r="U1268">
            <v>0</v>
          </cell>
          <cell r="V1268">
            <v>-2700</v>
          </cell>
          <cell r="W1268">
            <v>0</v>
          </cell>
          <cell r="X1268">
            <v>0</v>
          </cell>
          <cell r="Y1268">
            <v>0</v>
          </cell>
          <cell r="Z1268">
            <v>0</v>
          </cell>
          <cell r="AA1268">
            <v>0</v>
          </cell>
          <cell r="AB1268">
            <v>2700</v>
          </cell>
          <cell r="AC1268">
            <v>0</v>
          </cell>
          <cell r="AD1268">
            <v>0</v>
          </cell>
          <cell r="AE1268">
            <v>0</v>
          </cell>
          <cell r="AF1268">
            <v>0</v>
          </cell>
        </row>
        <row r="1269">
          <cell r="A1269">
            <v>2400020</v>
          </cell>
          <cell r="H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2700</v>
          </cell>
          <cell r="AC1269">
            <v>0</v>
          </cell>
          <cell r="AD1269">
            <v>0</v>
          </cell>
          <cell r="AE1269">
            <v>0</v>
          </cell>
          <cell r="AF1269">
            <v>0</v>
          </cell>
        </row>
        <row r="1270">
          <cell r="A1270">
            <v>2400021</v>
          </cell>
          <cell r="B1270" t="str">
            <v>2400021</v>
          </cell>
          <cell r="G1270" t="str">
            <v>Nokia 1600( Niraj Vyas )</v>
          </cell>
          <cell r="H1270">
            <v>0</v>
          </cell>
          <cell r="K1270">
            <v>0</v>
          </cell>
          <cell r="L1270">
            <v>0</v>
          </cell>
          <cell r="M1270">
            <v>0</v>
          </cell>
          <cell r="N1270">
            <v>0</v>
          </cell>
          <cell r="O1270">
            <v>0</v>
          </cell>
          <cell r="P1270">
            <v>0</v>
          </cell>
          <cell r="Q1270">
            <v>0</v>
          </cell>
          <cell r="R1270">
            <v>0</v>
          </cell>
          <cell r="S1270">
            <v>0</v>
          </cell>
          <cell r="T1270">
            <v>0</v>
          </cell>
          <cell r="U1270">
            <v>0</v>
          </cell>
          <cell r="V1270">
            <v>-2550</v>
          </cell>
          <cell r="W1270">
            <v>0</v>
          </cell>
          <cell r="X1270">
            <v>0</v>
          </cell>
          <cell r="Y1270">
            <v>0</v>
          </cell>
          <cell r="Z1270">
            <v>0</v>
          </cell>
          <cell r="AA1270">
            <v>0</v>
          </cell>
          <cell r="AB1270">
            <v>2550</v>
          </cell>
          <cell r="AC1270">
            <v>0</v>
          </cell>
          <cell r="AD1270">
            <v>0</v>
          </cell>
          <cell r="AE1270">
            <v>0</v>
          </cell>
          <cell r="AF1270">
            <v>0</v>
          </cell>
        </row>
        <row r="1271">
          <cell r="A1271">
            <v>2400021</v>
          </cell>
          <cell r="H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2550</v>
          </cell>
          <cell r="AC1271">
            <v>0</v>
          </cell>
          <cell r="AD1271">
            <v>0</v>
          </cell>
          <cell r="AE1271">
            <v>0</v>
          </cell>
          <cell r="AF1271">
            <v>0</v>
          </cell>
        </row>
        <row r="1272">
          <cell r="A1272">
            <v>3000000</v>
          </cell>
          <cell r="B1272" t="str">
            <v>3000000</v>
          </cell>
          <cell r="G1272" t="str">
            <v>Group Asset Furnitures &amp; Fixtures</v>
          </cell>
          <cell r="H1272">
            <v>1055099</v>
          </cell>
          <cell r="K1272">
            <v>0</v>
          </cell>
          <cell r="L1272">
            <v>0</v>
          </cell>
          <cell r="M1272">
            <v>0</v>
          </cell>
          <cell r="N1272">
            <v>0</v>
          </cell>
          <cell r="O1272">
            <v>0</v>
          </cell>
          <cell r="P1272">
            <v>0</v>
          </cell>
          <cell r="Q1272">
            <v>0</v>
          </cell>
          <cell r="R1272">
            <v>0</v>
          </cell>
          <cell r="S1272">
            <v>0</v>
          </cell>
          <cell r="T1272">
            <v>0</v>
          </cell>
          <cell r="U1272">
            <v>0</v>
          </cell>
          <cell r="V1272">
            <v>-713103.05</v>
          </cell>
          <cell r="W1272">
            <v>0</v>
          </cell>
          <cell r="X1272">
            <v>0</v>
          </cell>
          <cell r="Y1272">
            <v>0</v>
          </cell>
          <cell r="Z1272">
            <v>0</v>
          </cell>
          <cell r="AA1272">
            <v>0</v>
          </cell>
          <cell r="AB1272">
            <v>3698921.35</v>
          </cell>
          <cell r="AC1272">
            <v>0</v>
          </cell>
          <cell r="AD1272">
            <v>0</v>
          </cell>
          <cell r="AE1272">
            <v>0</v>
          </cell>
          <cell r="AF1272">
            <v>0</v>
          </cell>
        </row>
        <row r="1273">
          <cell r="A1273">
            <v>3000000</v>
          </cell>
          <cell r="H1273">
            <v>4754020.3499999996</v>
          </cell>
          <cell r="K1273">
            <v>0</v>
          </cell>
          <cell r="L1273">
            <v>0</v>
          </cell>
          <cell r="M1273">
            <v>-713103.05</v>
          </cell>
          <cell r="N1273">
            <v>0</v>
          </cell>
          <cell r="O1273">
            <v>0</v>
          </cell>
          <cell r="P1273">
            <v>0</v>
          </cell>
          <cell r="Q1273">
            <v>0</v>
          </cell>
          <cell r="R1273">
            <v>0</v>
          </cell>
          <cell r="S1273">
            <v>0</v>
          </cell>
          <cell r="T1273">
            <v>0</v>
          </cell>
          <cell r="U1273">
            <v>0</v>
          </cell>
          <cell r="V1273">
            <v>-608889.5</v>
          </cell>
          <cell r="W1273">
            <v>0</v>
          </cell>
          <cell r="X1273">
            <v>0</v>
          </cell>
          <cell r="Y1273">
            <v>0</v>
          </cell>
          <cell r="Z1273">
            <v>0</v>
          </cell>
          <cell r="AA1273">
            <v>0</v>
          </cell>
          <cell r="AB1273">
            <v>27466</v>
          </cell>
          <cell r="AC1273">
            <v>0</v>
          </cell>
          <cell r="AD1273">
            <v>0</v>
          </cell>
          <cell r="AE1273">
            <v>0</v>
          </cell>
          <cell r="AF1273">
            <v>0</v>
          </cell>
        </row>
        <row r="1274">
          <cell r="A1274">
            <v>3100000</v>
          </cell>
          <cell r="B1274" t="str">
            <v>3100000</v>
          </cell>
          <cell r="G1274" t="str">
            <v>Group Asset Computers</v>
          </cell>
          <cell r="H1274">
            <v>353394</v>
          </cell>
          <cell r="K1274">
            <v>0</v>
          </cell>
          <cell r="L1274">
            <v>0</v>
          </cell>
          <cell r="M1274">
            <v>0</v>
          </cell>
          <cell r="N1274">
            <v>0</v>
          </cell>
          <cell r="O1274">
            <v>0</v>
          </cell>
          <cell r="P1274">
            <v>0</v>
          </cell>
          <cell r="Q1274">
            <v>0</v>
          </cell>
          <cell r="R1274">
            <v>0</v>
          </cell>
          <cell r="S1274">
            <v>0</v>
          </cell>
          <cell r="T1274">
            <v>0</v>
          </cell>
          <cell r="U1274">
            <v>0</v>
          </cell>
          <cell r="V1274">
            <v>-846558.6</v>
          </cell>
          <cell r="W1274">
            <v>0</v>
          </cell>
          <cell r="X1274">
            <v>0</v>
          </cell>
          <cell r="Y1274">
            <v>0</v>
          </cell>
          <cell r="Z1274">
            <v>0</v>
          </cell>
          <cell r="AA1274">
            <v>0</v>
          </cell>
          <cell r="AB1274">
            <v>1194224</v>
          </cell>
          <cell r="AC1274">
            <v>0</v>
          </cell>
          <cell r="AD1274">
            <v>0</v>
          </cell>
          <cell r="AE1274">
            <v>0</v>
          </cell>
          <cell r="AF1274">
            <v>0</v>
          </cell>
        </row>
        <row r="1275">
          <cell r="A1275">
            <v>3100000</v>
          </cell>
          <cell r="H1275">
            <v>1547618</v>
          </cell>
          <cell r="K1275">
            <v>0</v>
          </cell>
          <cell r="L1275">
            <v>0</v>
          </cell>
          <cell r="M1275">
            <v>-846558.6</v>
          </cell>
          <cell r="N1275">
            <v>0</v>
          </cell>
          <cell r="O1275">
            <v>0</v>
          </cell>
          <cell r="P1275">
            <v>0</v>
          </cell>
          <cell r="Q1275">
            <v>0</v>
          </cell>
          <cell r="R1275">
            <v>0</v>
          </cell>
          <cell r="S1275">
            <v>0</v>
          </cell>
          <cell r="T1275">
            <v>0</v>
          </cell>
          <cell r="U1275">
            <v>0</v>
          </cell>
          <cell r="V1275">
            <v>-614193.84</v>
          </cell>
          <cell r="W1275">
            <v>0</v>
          </cell>
          <cell r="X1275">
            <v>0</v>
          </cell>
          <cell r="Y1275">
            <v>0</v>
          </cell>
          <cell r="Z1275">
            <v>0</v>
          </cell>
          <cell r="AA1275">
            <v>0</v>
          </cell>
          <cell r="AB1275">
            <v>461015</v>
          </cell>
          <cell r="AC1275">
            <v>0</v>
          </cell>
          <cell r="AD1275">
            <v>0</v>
          </cell>
          <cell r="AE1275">
            <v>0</v>
          </cell>
          <cell r="AF1275">
            <v>0</v>
          </cell>
        </row>
        <row r="1276">
          <cell r="A1276">
            <v>3200000</v>
          </cell>
          <cell r="B1276" t="str">
            <v>3200000</v>
          </cell>
          <cell r="G1276" t="str">
            <v>Group Asset  Plant &amp; Machinery</v>
          </cell>
          <cell r="H1276">
            <v>1307781</v>
          </cell>
          <cell r="K1276">
            <v>0</v>
          </cell>
          <cell r="L1276">
            <v>0</v>
          </cell>
          <cell r="M1276">
            <v>0</v>
          </cell>
          <cell r="N1276">
            <v>0</v>
          </cell>
          <cell r="O1276">
            <v>0</v>
          </cell>
          <cell r="P1276">
            <v>0</v>
          </cell>
          <cell r="Q1276">
            <v>0</v>
          </cell>
          <cell r="R1276">
            <v>0</v>
          </cell>
          <cell r="S1276">
            <v>0</v>
          </cell>
          <cell r="T1276">
            <v>0</v>
          </cell>
          <cell r="U1276">
            <v>0</v>
          </cell>
          <cell r="V1276">
            <v>-562582</v>
          </cell>
          <cell r="W1276">
            <v>0</v>
          </cell>
          <cell r="X1276">
            <v>0</v>
          </cell>
          <cell r="Y1276">
            <v>0</v>
          </cell>
          <cell r="Z1276">
            <v>0</v>
          </cell>
          <cell r="AA1276">
            <v>0</v>
          </cell>
          <cell r="AB1276">
            <v>1163799</v>
          </cell>
          <cell r="AC1276">
            <v>0</v>
          </cell>
          <cell r="AD1276">
            <v>0</v>
          </cell>
          <cell r="AE1276">
            <v>0</v>
          </cell>
          <cell r="AF1276">
            <v>0</v>
          </cell>
        </row>
        <row r="1277">
          <cell r="A1277">
            <v>3200000</v>
          </cell>
          <cell r="H1277">
            <v>2471580</v>
          </cell>
          <cell r="K1277">
            <v>0</v>
          </cell>
          <cell r="L1277">
            <v>0</v>
          </cell>
          <cell r="M1277">
            <v>-562582</v>
          </cell>
          <cell r="N1277">
            <v>0</v>
          </cell>
          <cell r="O1277">
            <v>0</v>
          </cell>
          <cell r="P1277">
            <v>0</v>
          </cell>
          <cell r="Q1277">
            <v>0</v>
          </cell>
          <cell r="R1277">
            <v>0</v>
          </cell>
          <cell r="S1277">
            <v>0</v>
          </cell>
          <cell r="T1277">
            <v>0</v>
          </cell>
          <cell r="U1277">
            <v>0</v>
          </cell>
          <cell r="V1277">
            <v>-836661.16</v>
          </cell>
          <cell r="W1277">
            <v>0</v>
          </cell>
          <cell r="X1277">
            <v>0</v>
          </cell>
          <cell r="Y1277">
            <v>0</v>
          </cell>
          <cell r="Z1277">
            <v>0</v>
          </cell>
          <cell r="AA1277">
            <v>0</v>
          </cell>
          <cell r="AB1277">
            <v>1847556.21</v>
          </cell>
          <cell r="AC1277">
            <v>0</v>
          </cell>
          <cell r="AD1277">
            <v>0</v>
          </cell>
          <cell r="AE1277">
            <v>0</v>
          </cell>
          <cell r="AF1277">
            <v>0</v>
          </cell>
        </row>
        <row r="1278">
          <cell r="A1278">
            <v>3200001</v>
          </cell>
          <cell r="B1278" t="str">
            <v>3200001</v>
          </cell>
          <cell r="G1278" t="str">
            <v>COMMUNICATION EQUIP.</v>
          </cell>
          <cell r="H1278">
            <v>5670</v>
          </cell>
          <cell r="K1278">
            <v>0</v>
          </cell>
          <cell r="L1278">
            <v>0</v>
          </cell>
          <cell r="M1278">
            <v>-1847.24</v>
          </cell>
          <cell r="N1278">
            <v>0</v>
          </cell>
          <cell r="O1278">
            <v>0</v>
          </cell>
          <cell r="P1278">
            <v>0</v>
          </cell>
          <cell r="Q1278">
            <v>0</v>
          </cell>
          <cell r="R1278">
            <v>0</v>
          </cell>
          <cell r="S1278">
            <v>0</v>
          </cell>
          <cell r="T1278">
            <v>0</v>
          </cell>
          <cell r="U1278">
            <v>0</v>
          </cell>
          <cell r="V1278">
            <v>-531.75</v>
          </cell>
          <cell r="W1278">
            <v>0</v>
          </cell>
          <cell r="X1278">
            <v>0</v>
          </cell>
          <cell r="Y1278">
            <v>0</v>
          </cell>
          <cell r="Z1278">
            <v>0</v>
          </cell>
          <cell r="AA1278">
            <v>0</v>
          </cell>
          <cell r="AB1278">
            <v>0</v>
          </cell>
          <cell r="AC1278">
            <v>0</v>
          </cell>
          <cell r="AD1278">
            <v>0</v>
          </cell>
          <cell r="AE1278">
            <v>0</v>
          </cell>
          <cell r="AF1278">
            <v>0</v>
          </cell>
        </row>
        <row r="1279">
          <cell r="A1279">
            <v>3200001</v>
          </cell>
          <cell r="H1279">
            <v>5670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row>
        <row r="1280">
          <cell r="A1280">
            <v>3200001</v>
          </cell>
          <cell r="H1280">
            <v>5670</v>
          </cell>
          <cell r="K1280">
            <v>0</v>
          </cell>
          <cell r="L1280">
            <v>0</v>
          </cell>
          <cell r="M1280">
            <v>-2378.9899999999998</v>
          </cell>
          <cell r="N1280">
            <v>0</v>
          </cell>
          <cell r="O1280">
            <v>0</v>
          </cell>
          <cell r="P1280">
            <v>0</v>
          </cell>
          <cell r="Q1280">
            <v>0</v>
          </cell>
          <cell r="R1280">
            <v>0</v>
          </cell>
          <cell r="S1280">
            <v>0</v>
          </cell>
          <cell r="T1280">
            <v>0</v>
          </cell>
          <cell r="U1280">
            <v>0</v>
          </cell>
          <cell r="V1280">
            <v>-457.78</v>
          </cell>
          <cell r="W1280">
            <v>0</v>
          </cell>
          <cell r="X1280">
            <v>0</v>
          </cell>
          <cell r="Y1280">
            <v>0</v>
          </cell>
          <cell r="Z1280">
            <v>0</v>
          </cell>
          <cell r="AA1280">
            <v>0</v>
          </cell>
          <cell r="AB1280">
            <v>0</v>
          </cell>
          <cell r="AC1280">
            <v>0</v>
          </cell>
          <cell r="AD1280">
            <v>0</v>
          </cell>
          <cell r="AE1280">
            <v>0</v>
          </cell>
          <cell r="AF1280">
            <v>0</v>
          </cell>
        </row>
        <row r="1281">
          <cell r="A1281">
            <v>3200001</v>
          </cell>
          <cell r="H1281">
            <v>5670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row>
        <row r="1282">
          <cell r="A1282">
            <v>3200002</v>
          </cell>
          <cell r="B1282" t="str">
            <v>3200002</v>
          </cell>
          <cell r="G1282" t="str">
            <v>MOBILE PHONE</v>
          </cell>
          <cell r="H1282">
            <v>8900</v>
          </cell>
          <cell r="K1282">
            <v>0</v>
          </cell>
          <cell r="L1282">
            <v>0</v>
          </cell>
          <cell r="M1282">
            <v>-2801.51</v>
          </cell>
          <cell r="N1282">
            <v>0</v>
          </cell>
          <cell r="O1282">
            <v>0</v>
          </cell>
          <cell r="P1282">
            <v>0</v>
          </cell>
          <cell r="Q1282">
            <v>0</v>
          </cell>
          <cell r="R1282">
            <v>0</v>
          </cell>
          <cell r="S1282">
            <v>0</v>
          </cell>
          <cell r="T1282">
            <v>0</v>
          </cell>
          <cell r="U1282">
            <v>0</v>
          </cell>
          <cell r="V1282">
            <v>-848.3</v>
          </cell>
          <cell r="W1282">
            <v>0</v>
          </cell>
          <cell r="X1282">
            <v>0</v>
          </cell>
          <cell r="Y1282">
            <v>0</v>
          </cell>
          <cell r="Z1282">
            <v>0</v>
          </cell>
          <cell r="AA1282">
            <v>0</v>
          </cell>
          <cell r="AB1282">
            <v>0</v>
          </cell>
          <cell r="AC1282">
            <v>0</v>
          </cell>
          <cell r="AD1282">
            <v>0</v>
          </cell>
          <cell r="AE1282">
            <v>0</v>
          </cell>
          <cell r="AF1282">
            <v>0</v>
          </cell>
        </row>
        <row r="1283">
          <cell r="A1283">
            <v>3200002</v>
          </cell>
          <cell r="H1283">
            <v>8900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row>
        <row r="1284">
          <cell r="A1284">
            <v>3200002</v>
          </cell>
          <cell r="H1284">
            <v>8900</v>
          </cell>
          <cell r="K1284">
            <v>0</v>
          </cell>
          <cell r="L1284">
            <v>0</v>
          </cell>
          <cell r="M1284">
            <v>-3649.81</v>
          </cell>
          <cell r="N1284">
            <v>0</v>
          </cell>
          <cell r="O1284">
            <v>0</v>
          </cell>
          <cell r="P1284">
            <v>0</v>
          </cell>
          <cell r="Q1284">
            <v>0</v>
          </cell>
          <cell r="R1284">
            <v>0</v>
          </cell>
          <cell r="S1284">
            <v>0</v>
          </cell>
          <cell r="T1284">
            <v>0</v>
          </cell>
          <cell r="U1284">
            <v>0</v>
          </cell>
          <cell r="V1284">
            <v>-730.3</v>
          </cell>
          <cell r="W1284">
            <v>0</v>
          </cell>
          <cell r="X1284">
            <v>0</v>
          </cell>
          <cell r="Y1284">
            <v>0</v>
          </cell>
          <cell r="Z1284">
            <v>0</v>
          </cell>
          <cell r="AA1284">
            <v>0</v>
          </cell>
          <cell r="AB1284">
            <v>0</v>
          </cell>
          <cell r="AC1284">
            <v>0</v>
          </cell>
          <cell r="AD1284">
            <v>0</v>
          </cell>
          <cell r="AE1284">
            <v>0</v>
          </cell>
          <cell r="AF1284">
            <v>0</v>
          </cell>
        </row>
        <row r="1285">
          <cell r="A1285">
            <v>3200002</v>
          </cell>
          <cell r="H1285">
            <v>8900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row>
        <row r="1286">
          <cell r="A1286">
            <v>3200003</v>
          </cell>
          <cell r="B1286" t="str">
            <v>3200003</v>
          </cell>
          <cell r="G1286" t="str">
            <v>MOBILE PHONE -Sr.Mgr. IT</v>
          </cell>
          <cell r="H1286">
            <v>15000</v>
          </cell>
          <cell r="K1286">
            <v>0</v>
          </cell>
          <cell r="L1286">
            <v>0</v>
          </cell>
          <cell r="M1286">
            <v>-4103.08</v>
          </cell>
          <cell r="N1286">
            <v>0</v>
          </cell>
          <cell r="O1286">
            <v>0</v>
          </cell>
          <cell r="P1286">
            <v>0</v>
          </cell>
          <cell r="Q1286">
            <v>0</v>
          </cell>
          <cell r="R1286">
            <v>0</v>
          </cell>
          <cell r="S1286">
            <v>0</v>
          </cell>
          <cell r="T1286">
            <v>0</v>
          </cell>
          <cell r="U1286">
            <v>0</v>
          </cell>
          <cell r="V1286">
            <v>-1515.76</v>
          </cell>
          <cell r="W1286">
            <v>0</v>
          </cell>
          <cell r="X1286">
            <v>0</v>
          </cell>
          <cell r="Y1286">
            <v>0</v>
          </cell>
          <cell r="Z1286">
            <v>0</v>
          </cell>
          <cell r="AA1286">
            <v>0</v>
          </cell>
          <cell r="AB1286">
            <v>0</v>
          </cell>
          <cell r="AC1286">
            <v>0</v>
          </cell>
          <cell r="AD1286">
            <v>0</v>
          </cell>
          <cell r="AE1286">
            <v>0</v>
          </cell>
          <cell r="AF1286">
            <v>0</v>
          </cell>
        </row>
        <row r="1287">
          <cell r="A1287">
            <v>3200003</v>
          </cell>
          <cell r="H1287">
            <v>15000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row>
        <row r="1288">
          <cell r="A1288">
            <v>3200003</v>
          </cell>
          <cell r="H1288">
            <v>15000</v>
          </cell>
          <cell r="K1288">
            <v>0</v>
          </cell>
          <cell r="L1288">
            <v>0</v>
          </cell>
          <cell r="M1288">
            <v>-5618.84</v>
          </cell>
          <cell r="N1288">
            <v>0</v>
          </cell>
          <cell r="O1288">
            <v>0</v>
          </cell>
          <cell r="P1288">
            <v>0</v>
          </cell>
          <cell r="Q1288">
            <v>0</v>
          </cell>
          <cell r="R1288">
            <v>0</v>
          </cell>
          <cell r="S1288">
            <v>0</v>
          </cell>
          <cell r="T1288">
            <v>0</v>
          </cell>
          <cell r="U1288">
            <v>0</v>
          </cell>
          <cell r="V1288">
            <v>-1304.92</v>
          </cell>
          <cell r="W1288">
            <v>0</v>
          </cell>
          <cell r="X1288">
            <v>0</v>
          </cell>
          <cell r="Y1288">
            <v>0</v>
          </cell>
          <cell r="Z1288">
            <v>0</v>
          </cell>
          <cell r="AA1288">
            <v>0</v>
          </cell>
          <cell r="AB1288">
            <v>0</v>
          </cell>
          <cell r="AC1288">
            <v>0</v>
          </cell>
          <cell r="AD1288">
            <v>0</v>
          </cell>
          <cell r="AE1288">
            <v>0</v>
          </cell>
          <cell r="AF1288">
            <v>0</v>
          </cell>
        </row>
        <row r="1289">
          <cell r="A1289">
            <v>3200003</v>
          </cell>
          <cell r="H1289">
            <v>15000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row>
        <row r="1290">
          <cell r="A1290">
            <v>3200004</v>
          </cell>
          <cell r="B1290" t="str">
            <v>3200004</v>
          </cell>
          <cell r="G1290" t="str">
            <v>EPBX - GNFC</v>
          </cell>
          <cell r="H1290">
            <v>71900</v>
          </cell>
          <cell r="K1290">
            <v>0</v>
          </cell>
          <cell r="L1290">
            <v>0</v>
          </cell>
          <cell r="M1290">
            <v>-29450.84</v>
          </cell>
          <cell r="N1290">
            <v>0</v>
          </cell>
          <cell r="O1290">
            <v>0</v>
          </cell>
          <cell r="P1290">
            <v>0</v>
          </cell>
          <cell r="Q1290">
            <v>0</v>
          </cell>
          <cell r="R1290">
            <v>0</v>
          </cell>
          <cell r="S1290">
            <v>0</v>
          </cell>
          <cell r="T1290">
            <v>0</v>
          </cell>
          <cell r="U1290">
            <v>0</v>
          </cell>
          <cell r="V1290">
            <v>-5904.68</v>
          </cell>
          <cell r="W1290">
            <v>0</v>
          </cell>
          <cell r="X1290">
            <v>0</v>
          </cell>
          <cell r="Y1290">
            <v>0</v>
          </cell>
          <cell r="Z1290">
            <v>0</v>
          </cell>
          <cell r="AA1290">
            <v>0</v>
          </cell>
          <cell r="AB1290">
            <v>0</v>
          </cell>
          <cell r="AC1290">
            <v>0</v>
          </cell>
          <cell r="AD1290">
            <v>0</v>
          </cell>
          <cell r="AE1290">
            <v>0</v>
          </cell>
          <cell r="AF1290">
            <v>0</v>
          </cell>
        </row>
        <row r="1291">
          <cell r="A1291">
            <v>3200004</v>
          </cell>
          <cell r="H1291">
            <v>71900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row>
        <row r="1292">
          <cell r="A1292">
            <v>3200004</v>
          </cell>
          <cell r="H1292">
            <v>71900</v>
          </cell>
          <cell r="K1292">
            <v>0</v>
          </cell>
          <cell r="L1292">
            <v>0</v>
          </cell>
          <cell r="M1292">
            <v>-35355.519999999997</v>
          </cell>
          <cell r="N1292">
            <v>0</v>
          </cell>
          <cell r="O1292">
            <v>0</v>
          </cell>
          <cell r="P1292">
            <v>0</v>
          </cell>
          <cell r="Q1292">
            <v>0</v>
          </cell>
          <cell r="R1292">
            <v>0</v>
          </cell>
          <cell r="S1292">
            <v>0</v>
          </cell>
          <cell r="T1292">
            <v>0</v>
          </cell>
          <cell r="U1292">
            <v>0</v>
          </cell>
          <cell r="V1292">
            <v>-5083.34</v>
          </cell>
          <cell r="W1292">
            <v>0</v>
          </cell>
          <cell r="X1292">
            <v>0</v>
          </cell>
          <cell r="Y1292">
            <v>0</v>
          </cell>
          <cell r="Z1292">
            <v>0</v>
          </cell>
          <cell r="AA1292">
            <v>0</v>
          </cell>
          <cell r="AB1292">
            <v>0</v>
          </cell>
          <cell r="AC1292">
            <v>0</v>
          </cell>
          <cell r="AD1292">
            <v>0</v>
          </cell>
          <cell r="AE1292">
            <v>0</v>
          </cell>
          <cell r="AF1292">
            <v>0</v>
          </cell>
        </row>
        <row r="1293">
          <cell r="A1293">
            <v>3200004</v>
          </cell>
          <cell r="H1293">
            <v>71900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row>
        <row r="1294">
          <cell r="A1294">
            <v>3200005</v>
          </cell>
          <cell r="B1294" t="str">
            <v>3200005</v>
          </cell>
          <cell r="G1294" t="str">
            <v>FAX MACHINE</v>
          </cell>
          <cell r="H1294">
            <v>16625</v>
          </cell>
          <cell r="K1294">
            <v>0</v>
          </cell>
          <cell r="L1294">
            <v>0</v>
          </cell>
          <cell r="M1294">
            <v>-6777.26</v>
          </cell>
          <cell r="N1294">
            <v>0</v>
          </cell>
          <cell r="O1294">
            <v>0</v>
          </cell>
          <cell r="P1294">
            <v>0</v>
          </cell>
          <cell r="Q1294">
            <v>0</v>
          </cell>
          <cell r="R1294">
            <v>0</v>
          </cell>
          <cell r="S1294">
            <v>0</v>
          </cell>
          <cell r="T1294">
            <v>0</v>
          </cell>
          <cell r="U1294">
            <v>0</v>
          </cell>
          <cell r="V1294">
            <v>-1369.82</v>
          </cell>
          <cell r="W1294">
            <v>0</v>
          </cell>
          <cell r="X1294">
            <v>0</v>
          </cell>
          <cell r="Y1294">
            <v>0</v>
          </cell>
          <cell r="Z1294">
            <v>0</v>
          </cell>
          <cell r="AA1294">
            <v>0</v>
          </cell>
          <cell r="AB1294">
            <v>0</v>
          </cell>
          <cell r="AC1294">
            <v>0</v>
          </cell>
          <cell r="AD1294">
            <v>0</v>
          </cell>
          <cell r="AE1294">
            <v>0</v>
          </cell>
          <cell r="AF1294">
            <v>0</v>
          </cell>
        </row>
        <row r="1295">
          <cell r="A1295">
            <v>3200005</v>
          </cell>
          <cell r="H1295">
            <v>16625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row>
        <row r="1296">
          <cell r="A1296">
            <v>3200005</v>
          </cell>
          <cell r="H1296">
            <v>16625</v>
          </cell>
          <cell r="K1296">
            <v>0</v>
          </cell>
          <cell r="L1296">
            <v>0</v>
          </cell>
          <cell r="M1296">
            <v>-8147.08</v>
          </cell>
          <cell r="N1296">
            <v>0</v>
          </cell>
          <cell r="O1296">
            <v>0</v>
          </cell>
          <cell r="P1296">
            <v>0</v>
          </cell>
          <cell r="Q1296">
            <v>0</v>
          </cell>
          <cell r="R1296">
            <v>0</v>
          </cell>
          <cell r="S1296">
            <v>0</v>
          </cell>
          <cell r="T1296">
            <v>0</v>
          </cell>
          <cell r="U1296">
            <v>0</v>
          </cell>
          <cell r="V1296">
            <v>-1179.28</v>
          </cell>
          <cell r="W1296">
            <v>0</v>
          </cell>
          <cell r="X1296">
            <v>0</v>
          </cell>
          <cell r="Y1296">
            <v>0</v>
          </cell>
          <cell r="Z1296">
            <v>0</v>
          </cell>
          <cell r="AA1296">
            <v>0</v>
          </cell>
          <cell r="AB1296">
            <v>0</v>
          </cell>
          <cell r="AC1296">
            <v>0</v>
          </cell>
          <cell r="AD1296">
            <v>0</v>
          </cell>
          <cell r="AE1296">
            <v>0</v>
          </cell>
          <cell r="AF1296">
            <v>0</v>
          </cell>
        </row>
        <row r="1297">
          <cell r="A1297">
            <v>3200005</v>
          </cell>
          <cell r="H1297">
            <v>16625</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row>
        <row r="1298">
          <cell r="A1298">
            <v>3200006</v>
          </cell>
          <cell r="B1298" t="str">
            <v>3200006</v>
          </cell>
          <cell r="G1298" t="str">
            <v>RELIENCE MOBILE (5)</v>
          </cell>
          <cell r="H1298">
            <v>110000</v>
          </cell>
          <cell r="K1298">
            <v>0</v>
          </cell>
          <cell r="L1298">
            <v>0</v>
          </cell>
          <cell r="M1298">
            <v>-25046.14</v>
          </cell>
          <cell r="N1298">
            <v>0</v>
          </cell>
          <cell r="O1298">
            <v>0</v>
          </cell>
          <cell r="P1298">
            <v>0</v>
          </cell>
          <cell r="Q1298">
            <v>0</v>
          </cell>
          <cell r="R1298">
            <v>0</v>
          </cell>
          <cell r="S1298">
            <v>0</v>
          </cell>
          <cell r="T1298">
            <v>0</v>
          </cell>
          <cell r="U1298">
            <v>0</v>
          </cell>
          <cell r="V1298">
            <v>-11817.08</v>
          </cell>
          <cell r="W1298">
            <v>0</v>
          </cell>
          <cell r="X1298">
            <v>0</v>
          </cell>
          <cell r="Y1298">
            <v>0</v>
          </cell>
          <cell r="Z1298">
            <v>0</v>
          </cell>
          <cell r="AA1298">
            <v>0</v>
          </cell>
          <cell r="AB1298">
            <v>0</v>
          </cell>
          <cell r="AC1298">
            <v>0</v>
          </cell>
          <cell r="AD1298">
            <v>0</v>
          </cell>
          <cell r="AE1298">
            <v>0</v>
          </cell>
          <cell r="AF1298">
            <v>0</v>
          </cell>
        </row>
        <row r="1299">
          <cell r="A1299">
            <v>3200006</v>
          </cell>
          <cell r="H1299">
            <v>110000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row>
        <row r="1300">
          <cell r="A1300">
            <v>3200006</v>
          </cell>
          <cell r="H1300">
            <v>110000</v>
          </cell>
          <cell r="K1300">
            <v>0</v>
          </cell>
          <cell r="L1300">
            <v>0</v>
          </cell>
          <cell r="M1300">
            <v>-36863.22</v>
          </cell>
          <cell r="N1300">
            <v>0</v>
          </cell>
          <cell r="O1300">
            <v>0</v>
          </cell>
          <cell r="P1300">
            <v>0</v>
          </cell>
          <cell r="Q1300">
            <v>0</v>
          </cell>
          <cell r="R1300">
            <v>0</v>
          </cell>
          <cell r="S1300">
            <v>0</v>
          </cell>
          <cell r="T1300">
            <v>0</v>
          </cell>
          <cell r="U1300">
            <v>0</v>
          </cell>
          <cell r="V1300">
            <v>-10173.33</v>
          </cell>
          <cell r="W1300">
            <v>0</v>
          </cell>
          <cell r="X1300">
            <v>0</v>
          </cell>
          <cell r="Y1300">
            <v>0</v>
          </cell>
          <cell r="Z1300">
            <v>0</v>
          </cell>
          <cell r="AA1300">
            <v>0</v>
          </cell>
          <cell r="AB1300">
            <v>0</v>
          </cell>
          <cell r="AC1300">
            <v>0</v>
          </cell>
          <cell r="AD1300">
            <v>0</v>
          </cell>
          <cell r="AE1300">
            <v>0</v>
          </cell>
          <cell r="AF1300">
            <v>0</v>
          </cell>
        </row>
        <row r="1301">
          <cell r="A1301">
            <v>3200006</v>
          </cell>
          <cell r="H1301">
            <v>110000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row>
        <row r="1302">
          <cell r="A1302">
            <v>3200007</v>
          </cell>
          <cell r="B1302" t="str">
            <v>3200007</v>
          </cell>
          <cell r="G1302" t="str">
            <v>RELIENCE MOBILE (3)</v>
          </cell>
          <cell r="H1302">
            <v>63000</v>
          </cell>
          <cell r="K1302">
            <v>0</v>
          </cell>
          <cell r="L1302">
            <v>0</v>
          </cell>
          <cell r="M1302">
            <v>-12401.11</v>
          </cell>
          <cell r="N1302">
            <v>0</v>
          </cell>
          <cell r="O1302">
            <v>0</v>
          </cell>
          <cell r="P1302">
            <v>0</v>
          </cell>
          <cell r="Q1302">
            <v>0</v>
          </cell>
          <cell r="R1302">
            <v>0</v>
          </cell>
          <cell r="S1302">
            <v>0</v>
          </cell>
          <cell r="T1302">
            <v>0</v>
          </cell>
          <cell r="U1302">
            <v>0</v>
          </cell>
          <cell r="V1302">
            <v>-7038.31</v>
          </cell>
          <cell r="W1302">
            <v>0</v>
          </cell>
          <cell r="X1302">
            <v>0</v>
          </cell>
          <cell r="Y1302">
            <v>0</v>
          </cell>
          <cell r="Z1302">
            <v>0</v>
          </cell>
          <cell r="AA1302">
            <v>0</v>
          </cell>
          <cell r="AB1302">
            <v>0</v>
          </cell>
          <cell r="AC1302">
            <v>0</v>
          </cell>
          <cell r="AD1302">
            <v>0</v>
          </cell>
          <cell r="AE1302">
            <v>0</v>
          </cell>
          <cell r="AF1302">
            <v>0</v>
          </cell>
        </row>
        <row r="1303">
          <cell r="A1303">
            <v>3200007</v>
          </cell>
          <cell r="H1303">
            <v>63000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row>
        <row r="1304">
          <cell r="A1304">
            <v>3200007</v>
          </cell>
          <cell r="H1304">
            <v>63000</v>
          </cell>
          <cell r="K1304">
            <v>0</v>
          </cell>
          <cell r="L1304">
            <v>0</v>
          </cell>
          <cell r="M1304">
            <v>-19439.419999999998</v>
          </cell>
          <cell r="N1304">
            <v>0</v>
          </cell>
          <cell r="O1304">
            <v>0</v>
          </cell>
          <cell r="P1304">
            <v>0</v>
          </cell>
          <cell r="Q1304">
            <v>0</v>
          </cell>
          <cell r="R1304">
            <v>0</v>
          </cell>
          <cell r="S1304">
            <v>0</v>
          </cell>
          <cell r="T1304">
            <v>0</v>
          </cell>
          <cell r="U1304">
            <v>0</v>
          </cell>
          <cell r="V1304">
            <v>-6059.28</v>
          </cell>
          <cell r="W1304">
            <v>0</v>
          </cell>
          <cell r="X1304">
            <v>0</v>
          </cell>
          <cell r="Y1304">
            <v>0</v>
          </cell>
          <cell r="Z1304">
            <v>0</v>
          </cell>
          <cell r="AA1304">
            <v>0</v>
          </cell>
          <cell r="AB1304">
            <v>0</v>
          </cell>
          <cell r="AC1304">
            <v>0</v>
          </cell>
          <cell r="AD1304">
            <v>0</v>
          </cell>
          <cell r="AE1304">
            <v>0</v>
          </cell>
          <cell r="AF1304">
            <v>0</v>
          </cell>
        </row>
        <row r="1305">
          <cell r="A1305">
            <v>3200007</v>
          </cell>
          <cell r="H1305">
            <v>63000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row>
        <row r="1306">
          <cell r="A1306">
            <v>3200008</v>
          </cell>
          <cell r="B1306" t="str">
            <v>3200008</v>
          </cell>
          <cell r="G1306" t="str">
            <v>RELIENCE MOBILE (5)</v>
          </cell>
          <cell r="H1306">
            <v>7005</v>
          </cell>
          <cell r="K1306">
            <v>0</v>
          </cell>
          <cell r="L1306">
            <v>0</v>
          </cell>
          <cell r="M1306">
            <v>-7005</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row>
        <row r="1307">
          <cell r="A1307">
            <v>3200008</v>
          </cell>
          <cell r="H1307">
            <v>7005</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row>
        <row r="1308">
          <cell r="A1308">
            <v>3200008</v>
          </cell>
          <cell r="H1308">
            <v>7005</v>
          </cell>
          <cell r="K1308">
            <v>0</v>
          </cell>
          <cell r="L1308">
            <v>0</v>
          </cell>
          <cell r="M1308">
            <v>-7005</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row>
        <row r="1309">
          <cell r="A1309">
            <v>3200008</v>
          </cell>
          <cell r="H1309">
            <v>7005</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row>
        <row r="1310">
          <cell r="A1310">
            <v>3200009</v>
          </cell>
          <cell r="B1310" t="str">
            <v>3200009</v>
          </cell>
          <cell r="G1310" t="str">
            <v>MOBILE PHONE -Jigar</v>
          </cell>
          <cell r="H1310">
            <v>10000</v>
          </cell>
          <cell r="K1310">
            <v>0</v>
          </cell>
          <cell r="L1310">
            <v>0</v>
          </cell>
          <cell r="M1310">
            <v>-1326.21</v>
          </cell>
          <cell r="N1310">
            <v>0</v>
          </cell>
          <cell r="O1310">
            <v>0</v>
          </cell>
          <cell r="P1310">
            <v>0</v>
          </cell>
          <cell r="Q1310">
            <v>0</v>
          </cell>
          <cell r="R1310">
            <v>0</v>
          </cell>
          <cell r="S1310">
            <v>0</v>
          </cell>
          <cell r="T1310">
            <v>0</v>
          </cell>
          <cell r="U1310">
            <v>0</v>
          </cell>
          <cell r="V1310">
            <v>-1206.52</v>
          </cell>
          <cell r="W1310">
            <v>0</v>
          </cell>
          <cell r="X1310">
            <v>0</v>
          </cell>
          <cell r="Y1310">
            <v>0</v>
          </cell>
          <cell r="Z1310">
            <v>0</v>
          </cell>
          <cell r="AA1310">
            <v>0</v>
          </cell>
          <cell r="AB1310">
            <v>0</v>
          </cell>
          <cell r="AC1310">
            <v>0</v>
          </cell>
          <cell r="AD1310">
            <v>0</v>
          </cell>
          <cell r="AE1310">
            <v>0</v>
          </cell>
          <cell r="AF1310">
            <v>0</v>
          </cell>
        </row>
        <row r="1311">
          <cell r="A1311">
            <v>3200009</v>
          </cell>
          <cell r="H1311">
            <v>10000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row>
        <row r="1312">
          <cell r="A1312">
            <v>3200009</v>
          </cell>
          <cell r="H1312">
            <v>10000</v>
          </cell>
          <cell r="K1312">
            <v>0</v>
          </cell>
          <cell r="L1312">
            <v>0</v>
          </cell>
          <cell r="M1312">
            <v>-2532.73</v>
          </cell>
          <cell r="N1312">
            <v>0</v>
          </cell>
          <cell r="O1312">
            <v>0</v>
          </cell>
          <cell r="P1312">
            <v>0</v>
          </cell>
          <cell r="Q1312">
            <v>0</v>
          </cell>
          <cell r="R1312">
            <v>0</v>
          </cell>
          <cell r="S1312">
            <v>0</v>
          </cell>
          <cell r="T1312">
            <v>0</v>
          </cell>
          <cell r="U1312">
            <v>0</v>
          </cell>
          <cell r="V1312">
            <v>-1038.7</v>
          </cell>
          <cell r="W1312">
            <v>0</v>
          </cell>
          <cell r="X1312">
            <v>0</v>
          </cell>
          <cell r="Y1312">
            <v>0</v>
          </cell>
          <cell r="Z1312">
            <v>0</v>
          </cell>
          <cell r="AA1312">
            <v>0</v>
          </cell>
          <cell r="AB1312">
            <v>0</v>
          </cell>
          <cell r="AC1312">
            <v>0</v>
          </cell>
          <cell r="AD1312">
            <v>0</v>
          </cell>
          <cell r="AE1312">
            <v>0</v>
          </cell>
          <cell r="AF1312">
            <v>0</v>
          </cell>
        </row>
        <row r="1313">
          <cell r="A1313">
            <v>3200009</v>
          </cell>
          <cell r="H1313">
            <v>10000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row>
        <row r="1314">
          <cell r="A1314">
            <v>3200010</v>
          </cell>
          <cell r="B1314" t="str">
            <v>3200010</v>
          </cell>
          <cell r="G1314" t="str">
            <v>MOBILE PHONE -Poussin</v>
          </cell>
          <cell r="H1314">
            <v>8700</v>
          </cell>
          <cell r="K1314">
            <v>0</v>
          </cell>
          <cell r="L1314">
            <v>0</v>
          </cell>
          <cell r="M1314">
            <v>-537.12</v>
          </cell>
          <cell r="N1314">
            <v>0</v>
          </cell>
          <cell r="O1314">
            <v>0</v>
          </cell>
          <cell r="P1314">
            <v>0</v>
          </cell>
          <cell r="Q1314">
            <v>0</v>
          </cell>
          <cell r="R1314">
            <v>0</v>
          </cell>
          <cell r="S1314">
            <v>0</v>
          </cell>
          <cell r="T1314">
            <v>0</v>
          </cell>
          <cell r="U1314">
            <v>0</v>
          </cell>
          <cell r="V1314">
            <v>-1135.46</v>
          </cell>
          <cell r="W1314">
            <v>0</v>
          </cell>
          <cell r="X1314">
            <v>0</v>
          </cell>
          <cell r="Y1314">
            <v>0</v>
          </cell>
          <cell r="Z1314">
            <v>0</v>
          </cell>
          <cell r="AA1314">
            <v>0</v>
          </cell>
          <cell r="AB1314">
            <v>0</v>
          </cell>
          <cell r="AC1314">
            <v>0</v>
          </cell>
          <cell r="AD1314">
            <v>0</v>
          </cell>
          <cell r="AE1314">
            <v>0</v>
          </cell>
          <cell r="AF1314">
            <v>0</v>
          </cell>
        </row>
        <row r="1315">
          <cell r="A1315">
            <v>3200010</v>
          </cell>
          <cell r="H1315">
            <v>8700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row>
        <row r="1316">
          <cell r="A1316">
            <v>3200010</v>
          </cell>
          <cell r="H1316">
            <v>8700</v>
          </cell>
          <cell r="K1316">
            <v>0</v>
          </cell>
          <cell r="L1316">
            <v>0</v>
          </cell>
          <cell r="M1316">
            <v>-1672.58</v>
          </cell>
          <cell r="N1316">
            <v>0</v>
          </cell>
          <cell r="O1316">
            <v>0</v>
          </cell>
          <cell r="P1316">
            <v>0</v>
          </cell>
          <cell r="Q1316">
            <v>0</v>
          </cell>
          <cell r="R1316">
            <v>0</v>
          </cell>
          <cell r="S1316">
            <v>0</v>
          </cell>
          <cell r="T1316">
            <v>0</v>
          </cell>
          <cell r="U1316">
            <v>0</v>
          </cell>
          <cell r="V1316">
            <v>-977.51</v>
          </cell>
          <cell r="W1316">
            <v>0</v>
          </cell>
          <cell r="X1316">
            <v>0</v>
          </cell>
          <cell r="Y1316">
            <v>0</v>
          </cell>
          <cell r="Z1316">
            <v>0</v>
          </cell>
          <cell r="AA1316">
            <v>0</v>
          </cell>
          <cell r="AB1316">
            <v>0</v>
          </cell>
          <cell r="AC1316">
            <v>0</v>
          </cell>
          <cell r="AD1316">
            <v>0</v>
          </cell>
          <cell r="AE1316">
            <v>0</v>
          </cell>
          <cell r="AF1316">
            <v>0</v>
          </cell>
        </row>
        <row r="1317">
          <cell r="A1317">
            <v>3200010</v>
          </cell>
          <cell r="H1317">
            <v>8700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row>
        <row r="1318">
          <cell r="A1318">
            <v>3200011</v>
          </cell>
          <cell r="B1318" t="str">
            <v>3200011</v>
          </cell>
          <cell r="G1318" t="str">
            <v>MOBILE PHONE -Palak</v>
          </cell>
          <cell r="H1318">
            <v>9000</v>
          </cell>
          <cell r="K1318">
            <v>0</v>
          </cell>
          <cell r="L1318">
            <v>0</v>
          </cell>
          <cell r="M1318">
            <v>-363.57</v>
          </cell>
          <cell r="N1318">
            <v>0</v>
          </cell>
          <cell r="O1318">
            <v>0</v>
          </cell>
          <cell r="P1318">
            <v>0</v>
          </cell>
          <cell r="Q1318">
            <v>0</v>
          </cell>
          <cell r="R1318">
            <v>0</v>
          </cell>
          <cell r="S1318">
            <v>0</v>
          </cell>
          <cell r="T1318">
            <v>0</v>
          </cell>
          <cell r="U1318">
            <v>0</v>
          </cell>
          <cell r="V1318">
            <v>-1201.33</v>
          </cell>
          <cell r="W1318">
            <v>0</v>
          </cell>
          <cell r="X1318">
            <v>0</v>
          </cell>
          <cell r="Y1318">
            <v>0</v>
          </cell>
          <cell r="Z1318">
            <v>0</v>
          </cell>
          <cell r="AA1318">
            <v>0</v>
          </cell>
          <cell r="AB1318">
            <v>0</v>
          </cell>
          <cell r="AC1318">
            <v>0</v>
          </cell>
          <cell r="AD1318">
            <v>0</v>
          </cell>
          <cell r="AE1318">
            <v>0</v>
          </cell>
          <cell r="AF1318">
            <v>0</v>
          </cell>
        </row>
        <row r="1319">
          <cell r="A1319">
            <v>3200011</v>
          </cell>
          <cell r="H1319">
            <v>9000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row>
        <row r="1320">
          <cell r="A1320">
            <v>3200011</v>
          </cell>
          <cell r="H1320">
            <v>9000</v>
          </cell>
          <cell r="K1320">
            <v>0</v>
          </cell>
          <cell r="L1320">
            <v>0</v>
          </cell>
          <cell r="M1320">
            <v>-1564.9</v>
          </cell>
          <cell r="N1320">
            <v>0</v>
          </cell>
          <cell r="O1320">
            <v>0</v>
          </cell>
          <cell r="P1320">
            <v>0</v>
          </cell>
          <cell r="Q1320">
            <v>0</v>
          </cell>
          <cell r="R1320">
            <v>0</v>
          </cell>
          <cell r="S1320">
            <v>0</v>
          </cell>
          <cell r="T1320">
            <v>0</v>
          </cell>
          <cell r="U1320">
            <v>0</v>
          </cell>
          <cell r="V1320">
            <v>-1034.22</v>
          </cell>
          <cell r="W1320">
            <v>0</v>
          </cell>
          <cell r="X1320">
            <v>0</v>
          </cell>
          <cell r="Y1320">
            <v>0</v>
          </cell>
          <cell r="Z1320">
            <v>0</v>
          </cell>
          <cell r="AA1320">
            <v>0</v>
          </cell>
          <cell r="AB1320">
            <v>0</v>
          </cell>
          <cell r="AC1320">
            <v>0</v>
          </cell>
          <cell r="AD1320">
            <v>0</v>
          </cell>
          <cell r="AE1320">
            <v>0</v>
          </cell>
          <cell r="AF1320">
            <v>0</v>
          </cell>
        </row>
        <row r="1321">
          <cell r="A1321">
            <v>3200011</v>
          </cell>
          <cell r="H1321">
            <v>9000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row>
        <row r="1322">
          <cell r="A1322">
            <v>3200012</v>
          </cell>
          <cell r="B1322" t="str">
            <v>3200012</v>
          </cell>
          <cell r="G1322" t="str">
            <v>MOBILE PHONE -Pinkal /Bhavin</v>
          </cell>
          <cell r="H1322">
            <v>10000</v>
          </cell>
          <cell r="K1322">
            <v>0</v>
          </cell>
          <cell r="L1322">
            <v>0</v>
          </cell>
          <cell r="M1322">
            <v>-11.43</v>
          </cell>
          <cell r="N1322">
            <v>0</v>
          </cell>
          <cell r="O1322">
            <v>0</v>
          </cell>
          <cell r="P1322">
            <v>0</v>
          </cell>
          <cell r="Q1322">
            <v>0</v>
          </cell>
          <cell r="R1322">
            <v>0</v>
          </cell>
          <cell r="S1322">
            <v>0</v>
          </cell>
          <cell r="T1322">
            <v>0</v>
          </cell>
          <cell r="U1322">
            <v>0</v>
          </cell>
          <cell r="V1322">
            <v>-1389.41</v>
          </cell>
          <cell r="W1322">
            <v>0</v>
          </cell>
          <cell r="X1322">
            <v>0</v>
          </cell>
          <cell r="Y1322">
            <v>0</v>
          </cell>
          <cell r="Z1322">
            <v>0</v>
          </cell>
          <cell r="AA1322">
            <v>0</v>
          </cell>
          <cell r="AB1322">
            <v>0</v>
          </cell>
          <cell r="AC1322">
            <v>0</v>
          </cell>
          <cell r="AD1322">
            <v>0</v>
          </cell>
          <cell r="AE1322">
            <v>0</v>
          </cell>
          <cell r="AF1322">
            <v>0</v>
          </cell>
        </row>
        <row r="1323">
          <cell r="A1323">
            <v>3200012</v>
          </cell>
          <cell r="H1323">
            <v>10000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row>
        <row r="1324">
          <cell r="A1324">
            <v>3200012</v>
          </cell>
          <cell r="H1324">
            <v>10000</v>
          </cell>
          <cell r="K1324">
            <v>0</v>
          </cell>
          <cell r="L1324">
            <v>0</v>
          </cell>
          <cell r="M1324">
            <v>-1400.84</v>
          </cell>
          <cell r="N1324">
            <v>0</v>
          </cell>
          <cell r="O1324">
            <v>0</v>
          </cell>
          <cell r="P1324">
            <v>0</v>
          </cell>
          <cell r="Q1324">
            <v>0</v>
          </cell>
          <cell r="R1324">
            <v>0</v>
          </cell>
          <cell r="S1324">
            <v>0</v>
          </cell>
          <cell r="T1324">
            <v>0</v>
          </cell>
          <cell r="U1324">
            <v>0</v>
          </cell>
          <cell r="V1324">
            <v>-1196.1400000000001</v>
          </cell>
          <cell r="W1324">
            <v>0</v>
          </cell>
          <cell r="X1324">
            <v>0</v>
          </cell>
          <cell r="Y1324">
            <v>0</v>
          </cell>
          <cell r="Z1324">
            <v>0</v>
          </cell>
          <cell r="AA1324">
            <v>0</v>
          </cell>
          <cell r="AB1324">
            <v>0</v>
          </cell>
          <cell r="AC1324">
            <v>0</v>
          </cell>
          <cell r="AD1324">
            <v>0</v>
          </cell>
          <cell r="AE1324">
            <v>0</v>
          </cell>
          <cell r="AF1324">
            <v>0</v>
          </cell>
        </row>
        <row r="1325">
          <cell r="A1325">
            <v>3200012</v>
          </cell>
          <cell r="H1325">
            <v>10000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row>
        <row r="1326">
          <cell r="A1326">
            <v>3200013</v>
          </cell>
          <cell r="B1326" t="str">
            <v>3200013</v>
          </cell>
          <cell r="G1326" t="str">
            <v>COMMUNICATION EQUIP.</v>
          </cell>
          <cell r="H1326">
            <v>63500</v>
          </cell>
          <cell r="K1326">
            <v>0</v>
          </cell>
          <cell r="L1326">
            <v>0</v>
          </cell>
          <cell r="M1326">
            <v>-28851</v>
          </cell>
          <cell r="N1326">
            <v>0</v>
          </cell>
          <cell r="O1326">
            <v>0</v>
          </cell>
          <cell r="P1326">
            <v>0</v>
          </cell>
          <cell r="Q1326">
            <v>0</v>
          </cell>
          <cell r="R1326">
            <v>0</v>
          </cell>
          <cell r="S1326">
            <v>0</v>
          </cell>
          <cell r="T1326">
            <v>0</v>
          </cell>
          <cell r="U1326">
            <v>0</v>
          </cell>
          <cell r="V1326">
            <v>-4819.68</v>
          </cell>
          <cell r="W1326">
            <v>0</v>
          </cell>
          <cell r="X1326">
            <v>0</v>
          </cell>
          <cell r="Y1326">
            <v>0</v>
          </cell>
          <cell r="Z1326">
            <v>0</v>
          </cell>
          <cell r="AA1326">
            <v>0</v>
          </cell>
          <cell r="AB1326">
            <v>0</v>
          </cell>
          <cell r="AC1326">
            <v>0</v>
          </cell>
          <cell r="AD1326">
            <v>0</v>
          </cell>
          <cell r="AE1326">
            <v>0</v>
          </cell>
          <cell r="AF1326">
            <v>0</v>
          </cell>
        </row>
        <row r="1327">
          <cell r="A1327">
            <v>3200013</v>
          </cell>
          <cell r="H1327">
            <v>63500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row>
        <row r="1328">
          <cell r="A1328">
            <v>3200013</v>
          </cell>
          <cell r="H1328">
            <v>63500</v>
          </cell>
          <cell r="K1328">
            <v>0</v>
          </cell>
          <cell r="L1328">
            <v>0</v>
          </cell>
          <cell r="M1328">
            <v>-33670.68</v>
          </cell>
          <cell r="N1328">
            <v>0</v>
          </cell>
          <cell r="O1328">
            <v>0</v>
          </cell>
          <cell r="P1328">
            <v>0</v>
          </cell>
          <cell r="Q1328">
            <v>0</v>
          </cell>
          <cell r="R1328">
            <v>0</v>
          </cell>
          <cell r="S1328">
            <v>0</v>
          </cell>
          <cell r="T1328">
            <v>0</v>
          </cell>
          <cell r="U1328">
            <v>0</v>
          </cell>
          <cell r="V1328">
            <v>-4149.26</v>
          </cell>
          <cell r="W1328">
            <v>0</v>
          </cell>
          <cell r="X1328">
            <v>0</v>
          </cell>
          <cell r="Y1328">
            <v>0</v>
          </cell>
          <cell r="Z1328">
            <v>0</v>
          </cell>
          <cell r="AA1328">
            <v>0</v>
          </cell>
          <cell r="AB1328">
            <v>0</v>
          </cell>
          <cell r="AC1328">
            <v>0</v>
          </cell>
          <cell r="AD1328">
            <v>0</v>
          </cell>
          <cell r="AE1328">
            <v>0</v>
          </cell>
          <cell r="AF1328">
            <v>0</v>
          </cell>
        </row>
        <row r="1329">
          <cell r="A1329">
            <v>3200013</v>
          </cell>
          <cell r="H1329">
            <v>63500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row>
        <row r="1330">
          <cell r="A1330">
            <v>3200014</v>
          </cell>
          <cell r="B1330" t="str">
            <v>3200014</v>
          </cell>
          <cell r="G1330" t="str">
            <v>COMMUNICATION EQUIP.</v>
          </cell>
          <cell r="H1330">
            <v>10000</v>
          </cell>
          <cell r="K1330">
            <v>0</v>
          </cell>
          <cell r="L1330">
            <v>0</v>
          </cell>
          <cell r="M1330">
            <v>-4420</v>
          </cell>
          <cell r="N1330">
            <v>0</v>
          </cell>
          <cell r="O1330">
            <v>0</v>
          </cell>
          <cell r="P1330">
            <v>0</v>
          </cell>
          <cell r="Q1330">
            <v>0</v>
          </cell>
          <cell r="R1330">
            <v>0</v>
          </cell>
          <cell r="S1330">
            <v>0</v>
          </cell>
          <cell r="T1330">
            <v>0</v>
          </cell>
          <cell r="U1330">
            <v>0</v>
          </cell>
          <cell r="V1330">
            <v>-776.18</v>
          </cell>
          <cell r="W1330">
            <v>0</v>
          </cell>
          <cell r="X1330">
            <v>0</v>
          </cell>
          <cell r="Y1330">
            <v>0</v>
          </cell>
          <cell r="Z1330">
            <v>0</v>
          </cell>
          <cell r="AA1330">
            <v>0</v>
          </cell>
          <cell r="AB1330">
            <v>0</v>
          </cell>
          <cell r="AC1330">
            <v>0</v>
          </cell>
          <cell r="AD1330">
            <v>0</v>
          </cell>
          <cell r="AE1330">
            <v>0</v>
          </cell>
          <cell r="AF1330">
            <v>0</v>
          </cell>
        </row>
        <row r="1331">
          <cell r="A1331">
            <v>3200014</v>
          </cell>
          <cell r="H1331">
            <v>10000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row>
        <row r="1332">
          <cell r="A1332">
            <v>3200014</v>
          </cell>
          <cell r="H1332">
            <v>10000</v>
          </cell>
          <cell r="K1332">
            <v>0</v>
          </cell>
          <cell r="L1332">
            <v>0</v>
          </cell>
          <cell r="M1332">
            <v>-5196.18</v>
          </cell>
          <cell r="N1332">
            <v>0</v>
          </cell>
          <cell r="O1332">
            <v>0</v>
          </cell>
          <cell r="P1332">
            <v>0</v>
          </cell>
          <cell r="Q1332">
            <v>0</v>
          </cell>
          <cell r="R1332">
            <v>0</v>
          </cell>
          <cell r="S1332">
            <v>0</v>
          </cell>
          <cell r="T1332">
            <v>0</v>
          </cell>
          <cell r="U1332">
            <v>0</v>
          </cell>
          <cell r="V1332">
            <v>-668.21</v>
          </cell>
          <cell r="W1332">
            <v>0</v>
          </cell>
          <cell r="X1332">
            <v>0</v>
          </cell>
          <cell r="Y1332">
            <v>0</v>
          </cell>
          <cell r="Z1332">
            <v>0</v>
          </cell>
          <cell r="AA1332">
            <v>0</v>
          </cell>
          <cell r="AB1332">
            <v>0</v>
          </cell>
          <cell r="AC1332">
            <v>0</v>
          </cell>
          <cell r="AD1332">
            <v>0</v>
          </cell>
          <cell r="AE1332">
            <v>0</v>
          </cell>
          <cell r="AF1332">
            <v>0</v>
          </cell>
        </row>
        <row r="1333">
          <cell r="A1333">
            <v>3200014</v>
          </cell>
          <cell r="H1333">
            <v>10000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row>
        <row r="1334">
          <cell r="A1334">
            <v>3200015</v>
          </cell>
          <cell r="B1334" t="str">
            <v>3200015</v>
          </cell>
          <cell r="G1334" t="str">
            <v>COMMUNICATION EQUIP.</v>
          </cell>
          <cell r="H1334">
            <v>10000</v>
          </cell>
          <cell r="K1334">
            <v>0</v>
          </cell>
          <cell r="L1334">
            <v>0</v>
          </cell>
          <cell r="M1334">
            <v>-4247</v>
          </cell>
          <cell r="N1334">
            <v>0</v>
          </cell>
          <cell r="O1334">
            <v>0</v>
          </cell>
          <cell r="P1334">
            <v>0</v>
          </cell>
          <cell r="Q1334">
            <v>0</v>
          </cell>
          <cell r="R1334">
            <v>0</v>
          </cell>
          <cell r="S1334">
            <v>0</v>
          </cell>
          <cell r="T1334">
            <v>0</v>
          </cell>
          <cell r="U1334">
            <v>0</v>
          </cell>
          <cell r="V1334">
            <v>-800.24</v>
          </cell>
          <cell r="W1334">
            <v>0</v>
          </cell>
          <cell r="X1334">
            <v>0</v>
          </cell>
          <cell r="Y1334">
            <v>0</v>
          </cell>
          <cell r="Z1334">
            <v>0</v>
          </cell>
          <cell r="AA1334">
            <v>0</v>
          </cell>
          <cell r="AB1334">
            <v>0</v>
          </cell>
          <cell r="AC1334">
            <v>0</v>
          </cell>
          <cell r="AD1334">
            <v>0</v>
          </cell>
          <cell r="AE1334">
            <v>0</v>
          </cell>
          <cell r="AF1334">
            <v>0</v>
          </cell>
        </row>
        <row r="1335">
          <cell r="A1335">
            <v>3200015</v>
          </cell>
          <cell r="H1335">
            <v>10000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row>
        <row r="1336">
          <cell r="A1336">
            <v>3200015</v>
          </cell>
          <cell r="H1336">
            <v>10000</v>
          </cell>
          <cell r="K1336">
            <v>0</v>
          </cell>
          <cell r="L1336">
            <v>0</v>
          </cell>
          <cell r="M1336">
            <v>-5047.24</v>
          </cell>
          <cell r="N1336">
            <v>0</v>
          </cell>
          <cell r="O1336">
            <v>0</v>
          </cell>
          <cell r="P1336">
            <v>0</v>
          </cell>
          <cell r="Q1336">
            <v>0</v>
          </cell>
          <cell r="R1336">
            <v>0</v>
          </cell>
          <cell r="S1336">
            <v>0</v>
          </cell>
          <cell r="T1336">
            <v>0</v>
          </cell>
          <cell r="U1336">
            <v>0</v>
          </cell>
          <cell r="V1336">
            <v>-688.93</v>
          </cell>
          <cell r="W1336">
            <v>0</v>
          </cell>
          <cell r="X1336">
            <v>0</v>
          </cell>
          <cell r="Y1336">
            <v>0</v>
          </cell>
          <cell r="Z1336">
            <v>0</v>
          </cell>
          <cell r="AA1336">
            <v>0</v>
          </cell>
          <cell r="AB1336">
            <v>0</v>
          </cell>
          <cell r="AC1336">
            <v>0</v>
          </cell>
          <cell r="AD1336">
            <v>0</v>
          </cell>
          <cell r="AE1336">
            <v>0</v>
          </cell>
          <cell r="AF1336">
            <v>0</v>
          </cell>
        </row>
        <row r="1337">
          <cell r="A1337">
            <v>3200015</v>
          </cell>
          <cell r="H1337">
            <v>10000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row>
        <row r="1338">
          <cell r="A1338">
            <v>3200016</v>
          </cell>
          <cell r="B1338" t="str">
            <v>3200016</v>
          </cell>
          <cell r="G1338" t="str">
            <v>COMMUNICATION EQUIP.</v>
          </cell>
          <cell r="H1338">
            <v>16800</v>
          </cell>
          <cell r="K1338">
            <v>0</v>
          </cell>
          <cell r="L1338">
            <v>0</v>
          </cell>
          <cell r="M1338">
            <v>-6689</v>
          </cell>
          <cell r="N1338">
            <v>0</v>
          </cell>
          <cell r="O1338">
            <v>0</v>
          </cell>
          <cell r="P1338">
            <v>0</v>
          </cell>
          <cell r="Q1338">
            <v>0</v>
          </cell>
          <cell r="R1338">
            <v>0</v>
          </cell>
          <cell r="S1338">
            <v>0</v>
          </cell>
          <cell r="T1338">
            <v>0</v>
          </cell>
          <cell r="U1338">
            <v>0</v>
          </cell>
          <cell r="V1338">
            <v>-1406.44</v>
          </cell>
          <cell r="W1338">
            <v>0</v>
          </cell>
          <cell r="X1338">
            <v>0</v>
          </cell>
          <cell r="Y1338">
            <v>0</v>
          </cell>
          <cell r="Z1338">
            <v>0</v>
          </cell>
          <cell r="AA1338">
            <v>0</v>
          </cell>
          <cell r="AB1338">
            <v>0</v>
          </cell>
          <cell r="AC1338">
            <v>0</v>
          </cell>
          <cell r="AD1338">
            <v>0</v>
          </cell>
          <cell r="AE1338">
            <v>0</v>
          </cell>
          <cell r="AF1338">
            <v>0</v>
          </cell>
        </row>
        <row r="1339">
          <cell r="A1339">
            <v>3200016</v>
          </cell>
          <cell r="H1339">
            <v>16800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row>
        <row r="1340">
          <cell r="A1340">
            <v>3200016</v>
          </cell>
          <cell r="H1340">
            <v>16800</v>
          </cell>
          <cell r="K1340">
            <v>0</v>
          </cell>
          <cell r="L1340">
            <v>0</v>
          </cell>
          <cell r="M1340">
            <v>-8095.44</v>
          </cell>
          <cell r="N1340">
            <v>0</v>
          </cell>
          <cell r="O1340">
            <v>0</v>
          </cell>
          <cell r="P1340">
            <v>0</v>
          </cell>
          <cell r="Q1340">
            <v>0</v>
          </cell>
          <cell r="R1340">
            <v>0</v>
          </cell>
          <cell r="S1340">
            <v>0</v>
          </cell>
          <cell r="T1340">
            <v>0</v>
          </cell>
          <cell r="U1340">
            <v>0</v>
          </cell>
          <cell r="V1340">
            <v>-1210.8</v>
          </cell>
          <cell r="W1340">
            <v>0</v>
          </cell>
          <cell r="X1340">
            <v>0</v>
          </cell>
          <cell r="Y1340">
            <v>0</v>
          </cell>
          <cell r="Z1340">
            <v>0</v>
          </cell>
          <cell r="AA1340">
            <v>0</v>
          </cell>
          <cell r="AB1340">
            <v>0</v>
          </cell>
          <cell r="AC1340">
            <v>0</v>
          </cell>
          <cell r="AD1340">
            <v>0</v>
          </cell>
          <cell r="AE1340">
            <v>0</v>
          </cell>
          <cell r="AF1340">
            <v>0</v>
          </cell>
        </row>
        <row r="1341">
          <cell r="A1341">
            <v>3200016</v>
          </cell>
          <cell r="H1341">
            <v>16800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row>
        <row r="1342">
          <cell r="A1342">
            <v>3200017</v>
          </cell>
          <cell r="B1342" t="str">
            <v>3200017</v>
          </cell>
          <cell r="G1342" t="str">
            <v>COMMUNICATION EQUIP.</v>
          </cell>
          <cell r="H1342">
            <v>30240</v>
          </cell>
          <cell r="K1342">
            <v>0</v>
          </cell>
          <cell r="L1342">
            <v>0</v>
          </cell>
          <cell r="M1342">
            <v>-9834.85</v>
          </cell>
          <cell r="N1342">
            <v>0</v>
          </cell>
          <cell r="O1342">
            <v>0</v>
          </cell>
          <cell r="P1342">
            <v>0</v>
          </cell>
          <cell r="Q1342">
            <v>0</v>
          </cell>
          <cell r="R1342">
            <v>0</v>
          </cell>
          <cell r="S1342">
            <v>0</v>
          </cell>
          <cell r="T1342">
            <v>0</v>
          </cell>
          <cell r="U1342">
            <v>0</v>
          </cell>
          <cell r="V1342">
            <v>-2838.36</v>
          </cell>
          <cell r="W1342">
            <v>0</v>
          </cell>
          <cell r="X1342">
            <v>0</v>
          </cell>
          <cell r="Y1342">
            <v>0</v>
          </cell>
          <cell r="Z1342">
            <v>0</v>
          </cell>
          <cell r="AA1342">
            <v>0</v>
          </cell>
          <cell r="AB1342">
            <v>0</v>
          </cell>
          <cell r="AC1342">
            <v>0</v>
          </cell>
          <cell r="AD1342">
            <v>0</v>
          </cell>
          <cell r="AE1342">
            <v>0</v>
          </cell>
          <cell r="AF1342">
            <v>0</v>
          </cell>
        </row>
        <row r="1343">
          <cell r="A1343">
            <v>3200017</v>
          </cell>
          <cell r="H1343">
            <v>30240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row>
        <row r="1344">
          <cell r="A1344">
            <v>3200017</v>
          </cell>
          <cell r="H1344">
            <v>30240</v>
          </cell>
          <cell r="K1344">
            <v>0</v>
          </cell>
          <cell r="L1344">
            <v>0</v>
          </cell>
          <cell r="M1344">
            <v>-12673.21</v>
          </cell>
          <cell r="N1344">
            <v>0</v>
          </cell>
          <cell r="O1344">
            <v>0</v>
          </cell>
          <cell r="P1344">
            <v>0</v>
          </cell>
          <cell r="Q1344">
            <v>0</v>
          </cell>
          <cell r="R1344">
            <v>0</v>
          </cell>
          <cell r="S1344">
            <v>0</v>
          </cell>
          <cell r="T1344">
            <v>0</v>
          </cell>
          <cell r="U1344">
            <v>0</v>
          </cell>
          <cell r="V1344">
            <v>-2443.54</v>
          </cell>
          <cell r="W1344">
            <v>0</v>
          </cell>
          <cell r="X1344">
            <v>0</v>
          </cell>
          <cell r="Y1344">
            <v>0</v>
          </cell>
          <cell r="Z1344">
            <v>0</v>
          </cell>
          <cell r="AA1344">
            <v>0</v>
          </cell>
          <cell r="AB1344">
            <v>0</v>
          </cell>
          <cell r="AC1344">
            <v>0</v>
          </cell>
          <cell r="AD1344">
            <v>0</v>
          </cell>
          <cell r="AE1344">
            <v>0</v>
          </cell>
          <cell r="AF1344">
            <v>0</v>
          </cell>
        </row>
        <row r="1345">
          <cell r="A1345">
            <v>3200017</v>
          </cell>
          <cell r="H1345">
            <v>30240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row>
        <row r="1346">
          <cell r="A1346">
            <v>3200018</v>
          </cell>
          <cell r="B1346" t="str">
            <v>3200018</v>
          </cell>
          <cell r="G1346" t="str">
            <v>COMMUNICATION EQUIPMENT</v>
          </cell>
          <cell r="H1346">
            <v>0</v>
          </cell>
          <cell r="K1346">
            <v>0</v>
          </cell>
          <cell r="L1346">
            <v>0</v>
          </cell>
          <cell r="M1346">
            <v>0</v>
          </cell>
          <cell r="N1346">
            <v>0</v>
          </cell>
          <cell r="O1346">
            <v>0</v>
          </cell>
          <cell r="P1346">
            <v>0</v>
          </cell>
          <cell r="Q1346">
            <v>0</v>
          </cell>
          <cell r="R1346">
            <v>0</v>
          </cell>
          <cell r="S1346">
            <v>0</v>
          </cell>
          <cell r="T1346">
            <v>0</v>
          </cell>
          <cell r="U1346">
            <v>0</v>
          </cell>
          <cell r="V1346">
            <v>-1640.62</v>
          </cell>
          <cell r="W1346">
            <v>0</v>
          </cell>
          <cell r="X1346">
            <v>0</v>
          </cell>
          <cell r="Y1346">
            <v>0</v>
          </cell>
          <cell r="Z1346">
            <v>0</v>
          </cell>
          <cell r="AA1346">
            <v>0</v>
          </cell>
          <cell r="AB1346">
            <v>15000</v>
          </cell>
          <cell r="AC1346">
            <v>0</v>
          </cell>
          <cell r="AD1346">
            <v>0</v>
          </cell>
          <cell r="AE1346">
            <v>0</v>
          </cell>
          <cell r="AF1346">
            <v>0</v>
          </cell>
        </row>
        <row r="1347">
          <cell r="A1347">
            <v>3200018</v>
          </cell>
          <cell r="H1347">
            <v>0</v>
          </cell>
          <cell r="K1347">
            <v>0</v>
          </cell>
          <cell r="L1347">
            <v>0</v>
          </cell>
          <cell r="M1347">
            <v>0</v>
          </cell>
          <cell r="N1347">
            <v>0</v>
          </cell>
          <cell r="O1347">
            <v>0</v>
          </cell>
          <cell r="P1347">
            <v>0</v>
          </cell>
          <cell r="Q1347">
            <v>0</v>
          </cell>
          <cell r="R1347">
            <v>0</v>
          </cell>
          <cell r="S1347">
            <v>0</v>
          </cell>
          <cell r="T1347">
            <v>0</v>
          </cell>
          <cell r="U1347">
            <v>0</v>
          </cell>
          <cell r="V1347">
            <v>-3125</v>
          </cell>
          <cell r="W1347">
            <v>0</v>
          </cell>
          <cell r="X1347">
            <v>0</v>
          </cell>
          <cell r="Y1347">
            <v>0</v>
          </cell>
          <cell r="Z1347">
            <v>0</v>
          </cell>
          <cell r="AA1347">
            <v>0</v>
          </cell>
          <cell r="AB1347">
            <v>15000</v>
          </cell>
          <cell r="AC1347">
            <v>0</v>
          </cell>
          <cell r="AD1347">
            <v>0</v>
          </cell>
          <cell r="AE1347">
            <v>0</v>
          </cell>
          <cell r="AF1347">
            <v>0</v>
          </cell>
        </row>
        <row r="1348">
          <cell r="A1348">
            <v>3200018</v>
          </cell>
          <cell r="H1348">
            <v>15000</v>
          </cell>
          <cell r="K1348">
            <v>0</v>
          </cell>
          <cell r="L1348">
            <v>0</v>
          </cell>
          <cell r="M1348">
            <v>-1640.62</v>
          </cell>
          <cell r="N1348">
            <v>0</v>
          </cell>
          <cell r="O1348">
            <v>0</v>
          </cell>
          <cell r="P1348">
            <v>0</v>
          </cell>
          <cell r="Q1348">
            <v>0</v>
          </cell>
          <cell r="R1348">
            <v>0</v>
          </cell>
          <cell r="S1348">
            <v>0</v>
          </cell>
          <cell r="T1348">
            <v>0</v>
          </cell>
          <cell r="U1348">
            <v>0</v>
          </cell>
          <cell r="V1348">
            <v>-1858.29</v>
          </cell>
          <cell r="W1348">
            <v>0</v>
          </cell>
          <cell r="X1348">
            <v>0</v>
          </cell>
          <cell r="Y1348">
            <v>0</v>
          </cell>
          <cell r="Z1348">
            <v>0</v>
          </cell>
          <cell r="AA1348">
            <v>0</v>
          </cell>
          <cell r="AB1348">
            <v>0</v>
          </cell>
          <cell r="AC1348">
            <v>0</v>
          </cell>
          <cell r="AD1348">
            <v>0</v>
          </cell>
          <cell r="AE1348">
            <v>0</v>
          </cell>
          <cell r="AF1348">
            <v>0</v>
          </cell>
        </row>
        <row r="1349">
          <cell r="A1349">
            <v>3200018</v>
          </cell>
          <cell r="H1349">
            <v>15000</v>
          </cell>
          <cell r="K1349">
            <v>0</v>
          </cell>
          <cell r="L1349">
            <v>0</v>
          </cell>
          <cell r="M1349">
            <v>-3125</v>
          </cell>
          <cell r="N1349">
            <v>0</v>
          </cell>
          <cell r="O1349">
            <v>0</v>
          </cell>
          <cell r="P1349">
            <v>0</v>
          </cell>
          <cell r="Q1349">
            <v>0</v>
          </cell>
          <cell r="R1349">
            <v>0</v>
          </cell>
          <cell r="S1349">
            <v>0</v>
          </cell>
          <cell r="T1349">
            <v>0</v>
          </cell>
          <cell r="U1349">
            <v>0</v>
          </cell>
          <cell r="V1349">
            <v>-2968.75</v>
          </cell>
          <cell r="W1349">
            <v>0</v>
          </cell>
          <cell r="X1349">
            <v>0</v>
          </cell>
          <cell r="Y1349">
            <v>0</v>
          </cell>
          <cell r="Z1349">
            <v>0</v>
          </cell>
          <cell r="AA1349">
            <v>0</v>
          </cell>
          <cell r="AB1349">
            <v>0</v>
          </cell>
          <cell r="AC1349">
            <v>0</v>
          </cell>
          <cell r="AD1349">
            <v>0</v>
          </cell>
          <cell r="AE1349">
            <v>0</v>
          </cell>
          <cell r="AF1349">
            <v>0</v>
          </cell>
        </row>
        <row r="1350">
          <cell r="A1350">
            <v>3200019</v>
          </cell>
          <cell r="B1350" t="str">
            <v>3200019</v>
          </cell>
          <cell r="G1350" t="str">
            <v>MOBILE PHONE-BRIJESH PATEL (NOKIA 6020)</v>
          </cell>
        </row>
        <row r="1351">
          <cell r="A1351">
            <v>3200020</v>
          </cell>
          <cell r="B1351" t="str">
            <v>3200020</v>
          </cell>
          <cell r="G1351" t="str">
            <v>Nokia Mobile 1100 (Biren)</v>
          </cell>
          <cell r="H1351">
            <v>0</v>
          </cell>
          <cell r="K1351">
            <v>0</v>
          </cell>
          <cell r="L1351">
            <v>0</v>
          </cell>
          <cell r="M1351">
            <v>0</v>
          </cell>
          <cell r="N1351">
            <v>0</v>
          </cell>
          <cell r="O1351">
            <v>0</v>
          </cell>
          <cell r="P1351">
            <v>0</v>
          </cell>
          <cell r="Q1351">
            <v>0</v>
          </cell>
          <cell r="R1351">
            <v>0</v>
          </cell>
          <cell r="S1351">
            <v>0</v>
          </cell>
          <cell r="T1351">
            <v>0</v>
          </cell>
          <cell r="U1351">
            <v>0</v>
          </cell>
          <cell r="V1351">
            <v>-163.49</v>
          </cell>
          <cell r="W1351">
            <v>0</v>
          </cell>
          <cell r="X1351">
            <v>0</v>
          </cell>
          <cell r="Y1351">
            <v>0</v>
          </cell>
          <cell r="Z1351">
            <v>0</v>
          </cell>
          <cell r="AA1351">
            <v>0</v>
          </cell>
          <cell r="AB1351">
            <v>2600</v>
          </cell>
          <cell r="AC1351">
            <v>0</v>
          </cell>
          <cell r="AD1351">
            <v>0</v>
          </cell>
          <cell r="AE1351">
            <v>0</v>
          </cell>
          <cell r="AF1351">
            <v>0</v>
          </cell>
        </row>
        <row r="1352">
          <cell r="A1352">
            <v>3200020</v>
          </cell>
          <cell r="H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2600</v>
          </cell>
          <cell r="AC1352">
            <v>0</v>
          </cell>
          <cell r="AD1352">
            <v>0</v>
          </cell>
          <cell r="AE1352">
            <v>0</v>
          </cell>
          <cell r="AF1352">
            <v>0</v>
          </cell>
        </row>
        <row r="1353">
          <cell r="A1353">
            <v>3200020</v>
          </cell>
          <cell r="H1353">
            <v>2600</v>
          </cell>
          <cell r="K1353">
            <v>0</v>
          </cell>
          <cell r="L1353">
            <v>0</v>
          </cell>
          <cell r="M1353">
            <v>-163.49</v>
          </cell>
          <cell r="N1353">
            <v>0</v>
          </cell>
          <cell r="O1353">
            <v>0</v>
          </cell>
          <cell r="P1353">
            <v>0</v>
          </cell>
          <cell r="Q1353">
            <v>0</v>
          </cell>
          <cell r="R1353">
            <v>0</v>
          </cell>
          <cell r="S1353">
            <v>0</v>
          </cell>
          <cell r="T1353">
            <v>0</v>
          </cell>
          <cell r="U1353">
            <v>0</v>
          </cell>
          <cell r="V1353">
            <v>-338.92</v>
          </cell>
          <cell r="W1353">
            <v>0</v>
          </cell>
          <cell r="X1353">
            <v>0</v>
          </cell>
          <cell r="Y1353">
            <v>0</v>
          </cell>
          <cell r="Z1353">
            <v>0</v>
          </cell>
          <cell r="AA1353">
            <v>0</v>
          </cell>
          <cell r="AB1353">
            <v>0</v>
          </cell>
          <cell r="AC1353">
            <v>0</v>
          </cell>
          <cell r="AD1353">
            <v>0</v>
          </cell>
          <cell r="AE1353">
            <v>0</v>
          </cell>
          <cell r="AF1353">
            <v>0</v>
          </cell>
        </row>
        <row r="1354">
          <cell r="A1354">
            <v>3200020</v>
          </cell>
          <cell r="H1354">
            <v>2600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row>
        <row r="1355">
          <cell r="A1355">
            <v>3200021</v>
          </cell>
          <cell r="B1355" t="str">
            <v>3200021</v>
          </cell>
          <cell r="G1355" t="str">
            <v>NOKIA MOBILE PHONE(2600)</v>
          </cell>
          <cell r="H1355">
            <v>0</v>
          </cell>
          <cell r="K1355">
            <v>0</v>
          </cell>
          <cell r="L1355">
            <v>0</v>
          </cell>
          <cell r="M1355">
            <v>0</v>
          </cell>
          <cell r="N1355">
            <v>0</v>
          </cell>
          <cell r="O1355">
            <v>0</v>
          </cell>
          <cell r="P1355">
            <v>0</v>
          </cell>
          <cell r="Q1355">
            <v>0</v>
          </cell>
          <cell r="R1355">
            <v>0</v>
          </cell>
          <cell r="S1355">
            <v>0</v>
          </cell>
          <cell r="T1355">
            <v>0</v>
          </cell>
          <cell r="U1355">
            <v>0</v>
          </cell>
          <cell r="V1355">
            <v>-3300</v>
          </cell>
          <cell r="W1355">
            <v>0</v>
          </cell>
          <cell r="X1355">
            <v>0</v>
          </cell>
          <cell r="Y1355">
            <v>0</v>
          </cell>
          <cell r="Z1355">
            <v>0</v>
          </cell>
          <cell r="AA1355">
            <v>0</v>
          </cell>
          <cell r="AB1355">
            <v>3300</v>
          </cell>
          <cell r="AC1355">
            <v>0</v>
          </cell>
          <cell r="AD1355">
            <v>0</v>
          </cell>
          <cell r="AE1355">
            <v>0</v>
          </cell>
          <cell r="AF1355">
            <v>0</v>
          </cell>
        </row>
        <row r="1356">
          <cell r="A1356">
            <v>3200021</v>
          </cell>
          <cell r="H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3300</v>
          </cell>
          <cell r="AC1356">
            <v>0</v>
          </cell>
          <cell r="AD1356">
            <v>0</v>
          </cell>
          <cell r="AE1356">
            <v>0</v>
          </cell>
          <cell r="AF1356">
            <v>0</v>
          </cell>
        </row>
        <row r="1357">
          <cell r="A1357">
            <v>3200021</v>
          </cell>
          <cell r="H1357">
            <v>3300</v>
          </cell>
          <cell r="K1357">
            <v>0</v>
          </cell>
          <cell r="L1357">
            <v>0</v>
          </cell>
          <cell r="M1357">
            <v>-3300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row>
        <row r="1358">
          <cell r="A1358">
            <v>3200021</v>
          </cell>
          <cell r="H1358">
            <v>3300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row>
        <row r="1359">
          <cell r="A1359">
            <v>3200022</v>
          </cell>
          <cell r="B1359" t="str">
            <v>3200022</v>
          </cell>
          <cell r="G1359" t="str">
            <v>Panasonic Cordless Phone</v>
          </cell>
          <cell r="H1359">
            <v>0</v>
          </cell>
          <cell r="K1359">
            <v>0</v>
          </cell>
          <cell r="L1359">
            <v>0</v>
          </cell>
          <cell r="M1359">
            <v>0</v>
          </cell>
          <cell r="N1359">
            <v>0</v>
          </cell>
          <cell r="O1359">
            <v>0</v>
          </cell>
          <cell r="P1359">
            <v>0</v>
          </cell>
          <cell r="Q1359">
            <v>0</v>
          </cell>
          <cell r="R1359">
            <v>0</v>
          </cell>
          <cell r="S1359">
            <v>0</v>
          </cell>
          <cell r="T1359">
            <v>0</v>
          </cell>
          <cell r="U1359">
            <v>0</v>
          </cell>
          <cell r="V1359">
            <v>-433.47</v>
          </cell>
          <cell r="W1359">
            <v>0</v>
          </cell>
          <cell r="X1359">
            <v>0</v>
          </cell>
          <cell r="Y1359">
            <v>0</v>
          </cell>
          <cell r="Z1359">
            <v>0</v>
          </cell>
          <cell r="AA1359">
            <v>0</v>
          </cell>
          <cell r="AB1359">
            <v>3599.44</v>
          </cell>
          <cell r="AC1359">
            <v>0</v>
          </cell>
          <cell r="AD1359">
            <v>0</v>
          </cell>
          <cell r="AE1359">
            <v>0</v>
          </cell>
          <cell r="AF1359">
            <v>0</v>
          </cell>
        </row>
        <row r="1360">
          <cell r="A1360">
            <v>3200022</v>
          </cell>
          <cell r="H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3599.44</v>
          </cell>
          <cell r="AC1360">
            <v>0</v>
          </cell>
          <cell r="AD1360">
            <v>0</v>
          </cell>
          <cell r="AE1360">
            <v>0</v>
          </cell>
          <cell r="AF1360">
            <v>0</v>
          </cell>
        </row>
        <row r="1361">
          <cell r="A1361">
            <v>3200023</v>
          </cell>
          <cell r="B1361" t="str">
            <v>3200023</v>
          </cell>
          <cell r="G1361" t="str">
            <v>NOKIA PHONE 3230</v>
          </cell>
          <cell r="H1361">
            <v>0</v>
          </cell>
          <cell r="K1361">
            <v>0</v>
          </cell>
          <cell r="L1361">
            <v>0</v>
          </cell>
          <cell r="M1361">
            <v>0</v>
          </cell>
          <cell r="N1361">
            <v>0</v>
          </cell>
          <cell r="O1361">
            <v>0</v>
          </cell>
          <cell r="P1361">
            <v>0</v>
          </cell>
          <cell r="Q1361">
            <v>0</v>
          </cell>
          <cell r="R1361">
            <v>0</v>
          </cell>
          <cell r="S1361">
            <v>0</v>
          </cell>
          <cell r="T1361">
            <v>0</v>
          </cell>
          <cell r="U1361">
            <v>0</v>
          </cell>
          <cell r="V1361">
            <v>-1308.8399999999999</v>
          </cell>
          <cell r="W1361">
            <v>0</v>
          </cell>
          <cell r="X1361">
            <v>0</v>
          </cell>
          <cell r="Y1361">
            <v>0</v>
          </cell>
          <cell r="Z1361">
            <v>0</v>
          </cell>
          <cell r="AA1361">
            <v>0</v>
          </cell>
          <cell r="AB1361">
            <v>10800</v>
          </cell>
          <cell r="AC1361">
            <v>0</v>
          </cell>
          <cell r="AD1361">
            <v>0</v>
          </cell>
          <cell r="AE1361">
            <v>0</v>
          </cell>
          <cell r="AF1361">
            <v>0</v>
          </cell>
        </row>
        <row r="1362">
          <cell r="A1362">
            <v>3200023</v>
          </cell>
          <cell r="H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10800</v>
          </cell>
          <cell r="AC1362">
            <v>0</v>
          </cell>
          <cell r="AD1362">
            <v>0</v>
          </cell>
          <cell r="AE1362">
            <v>0</v>
          </cell>
          <cell r="AF1362">
            <v>0</v>
          </cell>
        </row>
        <row r="1363">
          <cell r="A1363">
            <v>3200024</v>
          </cell>
          <cell r="B1363" t="str">
            <v>3200024</v>
          </cell>
          <cell r="G1363" t="str">
            <v>Mobile phone</v>
          </cell>
          <cell r="H1363">
            <v>0</v>
          </cell>
          <cell r="K1363">
            <v>0</v>
          </cell>
          <cell r="L1363">
            <v>0</v>
          </cell>
          <cell r="M1363">
            <v>0</v>
          </cell>
          <cell r="N1363">
            <v>0</v>
          </cell>
          <cell r="O1363">
            <v>0</v>
          </cell>
          <cell r="P1363">
            <v>0</v>
          </cell>
          <cell r="Q1363">
            <v>0</v>
          </cell>
          <cell r="R1363">
            <v>0</v>
          </cell>
          <cell r="S1363">
            <v>0</v>
          </cell>
          <cell r="T1363">
            <v>0</v>
          </cell>
          <cell r="U1363">
            <v>0</v>
          </cell>
          <cell r="V1363">
            <v>-282.97000000000003</v>
          </cell>
          <cell r="W1363">
            <v>0</v>
          </cell>
          <cell r="X1363">
            <v>0</v>
          </cell>
          <cell r="Y1363">
            <v>0</v>
          </cell>
          <cell r="Z1363">
            <v>0</v>
          </cell>
          <cell r="AA1363">
            <v>0</v>
          </cell>
          <cell r="AB1363">
            <v>2750</v>
          </cell>
          <cell r="AC1363">
            <v>0</v>
          </cell>
          <cell r="AD1363">
            <v>0</v>
          </cell>
          <cell r="AE1363">
            <v>0</v>
          </cell>
          <cell r="AF1363">
            <v>0</v>
          </cell>
        </row>
        <row r="1364">
          <cell r="A1364">
            <v>3200024</v>
          </cell>
          <cell r="H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2750</v>
          </cell>
          <cell r="AC1364">
            <v>0</v>
          </cell>
          <cell r="AD1364">
            <v>0</v>
          </cell>
          <cell r="AE1364">
            <v>0</v>
          </cell>
          <cell r="AF1364">
            <v>0</v>
          </cell>
        </row>
        <row r="1365">
          <cell r="A1365">
            <v>3200024</v>
          </cell>
          <cell r="H1365">
            <v>2750</v>
          </cell>
          <cell r="K1365">
            <v>0</v>
          </cell>
          <cell r="L1365">
            <v>0</v>
          </cell>
          <cell r="M1365">
            <v>-282.97000000000003</v>
          </cell>
          <cell r="N1365">
            <v>0</v>
          </cell>
          <cell r="O1365">
            <v>0</v>
          </cell>
          <cell r="P1365">
            <v>0</v>
          </cell>
          <cell r="Q1365">
            <v>0</v>
          </cell>
          <cell r="R1365">
            <v>0</v>
          </cell>
          <cell r="S1365">
            <v>0</v>
          </cell>
          <cell r="T1365">
            <v>0</v>
          </cell>
          <cell r="U1365">
            <v>0</v>
          </cell>
          <cell r="V1365">
            <v>-343.16</v>
          </cell>
          <cell r="W1365">
            <v>0</v>
          </cell>
          <cell r="X1365">
            <v>0</v>
          </cell>
          <cell r="Y1365">
            <v>0</v>
          </cell>
          <cell r="Z1365">
            <v>0</v>
          </cell>
          <cell r="AA1365">
            <v>0</v>
          </cell>
          <cell r="AB1365">
            <v>0</v>
          </cell>
          <cell r="AC1365">
            <v>0</v>
          </cell>
          <cell r="AD1365">
            <v>0</v>
          </cell>
          <cell r="AE1365">
            <v>0</v>
          </cell>
          <cell r="AF1365">
            <v>0</v>
          </cell>
        </row>
        <row r="1366">
          <cell r="A1366">
            <v>3200024</v>
          </cell>
          <cell r="H1366">
            <v>2750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row>
        <row r="1367">
          <cell r="A1367">
            <v>3200025</v>
          </cell>
          <cell r="B1367" t="str">
            <v>3200025</v>
          </cell>
          <cell r="G1367" t="str">
            <v>Nokia Phone (6600)</v>
          </cell>
          <cell r="H1367">
            <v>0</v>
          </cell>
          <cell r="K1367">
            <v>0</v>
          </cell>
          <cell r="L1367">
            <v>0</v>
          </cell>
          <cell r="M1367">
            <v>0</v>
          </cell>
          <cell r="N1367">
            <v>0</v>
          </cell>
          <cell r="O1367">
            <v>0</v>
          </cell>
          <cell r="P1367">
            <v>0</v>
          </cell>
          <cell r="Q1367">
            <v>0</v>
          </cell>
          <cell r="R1367">
            <v>0</v>
          </cell>
          <cell r="S1367">
            <v>0</v>
          </cell>
          <cell r="T1367">
            <v>0</v>
          </cell>
          <cell r="U1367">
            <v>0</v>
          </cell>
          <cell r="V1367">
            <v>-1181.4000000000001</v>
          </cell>
          <cell r="W1367">
            <v>0</v>
          </cell>
          <cell r="X1367">
            <v>0</v>
          </cell>
          <cell r="Y1367">
            <v>0</v>
          </cell>
          <cell r="Z1367">
            <v>0</v>
          </cell>
          <cell r="AA1367">
            <v>0</v>
          </cell>
          <cell r="AB1367">
            <v>10000</v>
          </cell>
          <cell r="AC1367">
            <v>0</v>
          </cell>
          <cell r="AD1367">
            <v>0</v>
          </cell>
          <cell r="AE1367">
            <v>0</v>
          </cell>
          <cell r="AF1367">
            <v>0</v>
          </cell>
        </row>
        <row r="1368">
          <cell r="A1368">
            <v>3200025</v>
          </cell>
          <cell r="H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10000</v>
          </cell>
          <cell r="AC1368">
            <v>0</v>
          </cell>
          <cell r="AD1368">
            <v>0</v>
          </cell>
          <cell r="AE1368">
            <v>0</v>
          </cell>
          <cell r="AF1368">
            <v>0</v>
          </cell>
        </row>
        <row r="1369">
          <cell r="A1369">
            <v>3200026</v>
          </cell>
          <cell r="H1369">
            <v>0</v>
          </cell>
          <cell r="K1369">
            <v>0</v>
          </cell>
          <cell r="L1369">
            <v>0</v>
          </cell>
          <cell r="M1369">
            <v>0</v>
          </cell>
          <cell r="N1369">
            <v>0</v>
          </cell>
          <cell r="O1369">
            <v>0</v>
          </cell>
          <cell r="P1369">
            <v>0</v>
          </cell>
          <cell r="Q1369">
            <v>0</v>
          </cell>
          <cell r="R1369">
            <v>0</v>
          </cell>
          <cell r="S1369">
            <v>0</v>
          </cell>
          <cell r="T1369">
            <v>0</v>
          </cell>
          <cell r="U1369">
            <v>0</v>
          </cell>
          <cell r="V1369">
            <v>-692.6</v>
          </cell>
          <cell r="W1369">
            <v>0</v>
          </cell>
          <cell r="X1369">
            <v>0</v>
          </cell>
          <cell r="Y1369">
            <v>0</v>
          </cell>
          <cell r="Z1369">
            <v>0</v>
          </cell>
          <cell r="AA1369">
            <v>0</v>
          </cell>
          <cell r="AB1369">
            <v>7800</v>
          </cell>
          <cell r="AC1369">
            <v>0</v>
          </cell>
          <cell r="AD1369">
            <v>0</v>
          </cell>
          <cell r="AE1369">
            <v>0</v>
          </cell>
          <cell r="AF1369">
            <v>0</v>
          </cell>
        </row>
        <row r="1370">
          <cell r="A1370">
            <v>3200026</v>
          </cell>
          <cell r="H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7800</v>
          </cell>
          <cell r="AC1370">
            <v>0</v>
          </cell>
          <cell r="AD1370">
            <v>0</v>
          </cell>
          <cell r="AE1370">
            <v>0</v>
          </cell>
          <cell r="AF1370">
            <v>0</v>
          </cell>
        </row>
        <row r="1371">
          <cell r="A1371">
            <v>3200026</v>
          </cell>
          <cell r="B1371" t="str">
            <v>3200026</v>
          </cell>
          <cell r="G1371" t="str">
            <v>Mobile Phone</v>
          </cell>
          <cell r="H1371">
            <v>7800</v>
          </cell>
          <cell r="K1371">
            <v>0</v>
          </cell>
          <cell r="L1371">
            <v>0</v>
          </cell>
          <cell r="M1371">
            <v>-692.6</v>
          </cell>
          <cell r="N1371">
            <v>0</v>
          </cell>
          <cell r="O1371">
            <v>0</v>
          </cell>
          <cell r="P1371">
            <v>0</v>
          </cell>
          <cell r="Q1371">
            <v>0</v>
          </cell>
          <cell r="R1371">
            <v>0</v>
          </cell>
          <cell r="S1371">
            <v>0</v>
          </cell>
          <cell r="T1371">
            <v>0</v>
          </cell>
          <cell r="U1371">
            <v>0</v>
          </cell>
          <cell r="V1371">
            <v>-988.64</v>
          </cell>
          <cell r="W1371">
            <v>0</v>
          </cell>
          <cell r="X1371">
            <v>0</v>
          </cell>
          <cell r="Y1371">
            <v>0</v>
          </cell>
          <cell r="Z1371">
            <v>0</v>
          </cell>
          <cell r="AA1371">
            <v>0</v>
          </cell>
          <cell r="AB1371">
            <v>0</v>
          </cell>
          <cell r="AC1371">
            <v>0</v>
          </cell>
          <cell r="AD1371">
            <v>0</v>
          </cell>
          <cell r="AE1371">
            <v>0</v>
          </cell>
          <cell r="AF1371">
            <v>0</v>
          </cell>
        </row>
        <row r="1372">
          <cell r="A1372">
            <v>3200026</v>
          </cell>
          <cell r="H1372">
            <v>7800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row>
        <row r="1373">
          <cell r="A1373">
            <v>3200027</v>
          </cell>
          <cell r="B1373" t="str">
            <v>3200027</v>
          </cell>
          <cell r="G1373" t="str">
            <v>NOKIA-6020 -BIREN</v>
          </cell>
          <cell r="H1373">
            <v>0</v>
          </cell>
          <cell r="K1373">
            <v>0</v>
          </cell>
          <cell r="L1373">
            <v>0</v>
          </cell>
          <cell r="M1373">
            <v>0</v>
          </cell>
          <cell r="N1373">
            <v>0</v>
          </cell>
          <cell r="O1373">
            <v>0</v>
          </cell>
          <cell r="P1373">
            <v>0</v>
          </cell>
          <cell r="Q1373">
            <v>0</v>
          </cell>
          <cell r="R1373">
            <v>0</v>
          </cell>
          <cell r="S1373">
            <v>0</v>
          </cell>
          <cell r="T1373">
            <v>0</v>
          </cell>
          <cell r="U1373">
            <v>0</v>
          </cell>
          <cell r="V1373">
            <v>-547.05999999999995</v>
          </cell>
          <cell r="W1373">
            <v>0</v>
          </cell>
          <cell r="X1373">
            <v>0</v>
          </cell>
          <cell r="Y1373">
            <v>0</v>
          </cell>
          <cell r="Z1373">
            <v>0</v>
          </cell>
          <cell r="AA1373">
            <v>0</v>
          </cell>
          <cell r="AB1373">
            <v>5500</v>
          </cell>
          <cell r="AC1373">
            <v>0</v>
          </cell>
          <cell r="AD1373">
            <v>0</v>
          </cell>
          <cell r="AE1373">
            <v>0</v>
          </cell>
          <cell r="AF1373">
            <v>0</v>
          </cell>
        </row>
        <row r="1374">
          <cell r="A1374">
            <v>3200027</v>
          </cell>
          <cell r="H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5500</v>
          </cell>
          <cell r="AC1374">
            <v>0</v>
          </cell>
          <cell r="AD1374">
            <v>0</v>
          </cell>
          <cell r="AE1374">
            <v>0</v>
          </cell>
          <cell r="AF1374">
            <v>0</v>
          </cell>
        </row>
        <row r="1375">
          <cell r="A1375">
            <v>3200028</v>
          </cell>
          <cell r="B1375" t="str">
            <v>3200028</v>
          </cell>
          <cell r="G1375" t="str">
            <v>MOBILE PHONE-Gulshan</v>
          </cell>
        </row>
        <row r="1376">
          <cell r="A1376">
            <v>3200029</v>
          </cell>
          <cell r="B1376" t="str">
            <v>3200029</v>
          </cell>
          <cell r="G1376" t="str">
            <v>MOTOROLA -L7</v>
          </cell>
          <cell r="H1376">
            <v>0</v>
          </cell>
          <cell r="K1376">
            <v>0</v>
          </cell>
          <cell r="L1376">
            <v>0</v>
          </cell>
          <cell r="M1376">
            <v>0</v>
          </cell>
          <cell r="N1376">
            <v>0</v>
          </cell>
          <cell r="O1376">
            <v>0</v>
          </cell>
          <cell r="P1376">
            <v>0</v>
          </cell>
          <cell r="Q1376">
            <v>0</v>
          </cell>
          <cell r="R1376">
            <v>0</v>
          </cell>
          <cell r="S1376">
            <v>0</v>
          </cell>
          <cell r="T1376">
            <v>0</v>
          </cell>
          <cell r="U1376">
            <v>0</v>
          </cell>
          <cell r="V1376">
            <v>-747.02</v>
          </cell>
          <cell r="W1376">
            <v>0</v>
          </cell>
          <cell r="X1376">
            <v>0</v>
          </cell>
          <cell r="Y1376">
            <v>0</v>
          </cell>
          <cell r="Z1376">
            <v>0</v>
          </cell>
          <cell r="AA1376">
            <v>0</v>
          </cell>
          <cell r="AB1376">
            <v>8100</v>
          </cell>
          <cell r="AC1376">
            <v>0</v>
          </cell>
          <cell r="AD1376">
            <v>0</v>
          </cell>
          <cell r="AE1376">
            <v>0</v>
          </cell>
          <cell r="AF1376">
            <v>0</v>
          </cell>
        </row>
        <row r="1377">
          <cell r="A1377">
            <v>3200029</v>
          </cell>
          <cell r="H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8100</v>
          </cell>
          <cell r="AC1377">
            <v>0</v>
          </cell>
          <cell r="AD1377">
            <v>0</v>
          </cell>
          <cell r="AE1377">
            <v>0</v>
          </cell>
          <cell r="AF1377">
            <v>0</v>
          </cell>
        </row>
        <row r="1378">
          <cell r="A1378">
            <v>3200030</v>
          </cell>
          <cell r="B1378" t="str">
            <v>3200030</v>
          </cell>
          <cell r="G1378" t="str">
            <v>MOTOROLA -L7</v>
          </cell>
          <cell r="H1378">
            <v>0</v>
          </cell>
          <cell r="K1378">
            <v>0</v>
          </cell>
          <cell r="L1378">
            <v>0</v>
          </cell>
          <cell r="M1378">
            <v>0</v>
          </cell>
          <cell r="N1378">
            <v>0</v>
          </cell>
          <cell r="O1378">
            <v>0</v>
          </cell>
          <cell r="P1378">
            <v>0</v>
          </cell>
          <cell r="Q1378">
            <v>0</v>
          </cell>
          <cell r="R1378">
            <v>0</v>
          </cell>
          <cell r="S1378">
            <v>0</v>
          </cell>
          <cell r="T1378">
            <v>0</v>
          </cell>
          <cell r="U1378">
            <v>0</v>
          </cell>
          <cell r="V1378">
            <v>-728.5</v>
          </cell>
          <cell r="W1378">
            <v>0</v>
          </cell>
          <cell r="X1378">
            <v>0</v>
          </cell>
          <cell r="Y1378">
            <v>0</v>
          </cell>
          <cell r="Z1378">
            <v>0</v>
          </cell>
          <cell r="AA1378">
            <v>0</v>
          </cell>
          <cell r="AB1378">
            <v>8100</v>
          </cell>
          <cell r="AC1378">
            <v>0</v>
          </cell>
          <cell r="AD1378">
            <v>0</v>
          </cell>
          <cell r="AE1378">
            <v>0</v>
          </cell>
          <cell r="AF1378">
            <v>0</v>
          </cell>
        </row>
        <row r="1379">
          <cell r="A1379">
            <v>3200030</v>
          </cell>
          <cell r="H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8100</v>
          </cell>
          <cell r="AC1379">
            <v>0</v>
          </cell>
          <cell r="AD1379">
            <v>0</v>
          </cell>
          <cell r="AE1379">
            <v>0</v>
          </cell>
          <cell r="AF1379">
            <v>0</v>
          </cell>
        </row>
        <row r="1380">
          <cell r="A1380">
            <v>3200031</v>
          </cell>
          <cell r="B1380" t="str">
            <v>3200031</v>
          </cell>
          <cell r="G1380" t="str">
            <v>NOKIA-6020 - Jaydeep</v>
          </cell>
          <cell r="H1380">
            <v>0</v>
          </cell>
          <cell r="K1380">
            <v>0</v>
          </cell>
          <cell r="L1380">
            <v>0</v>
          </cell>
          <cell r="M1380">
            <v>0</v>
          </cell>
          <cell r="N1380">
            <v>0</v>
          </cell>
          <cell r="O1380">
            <v>0</v>
          </cell>
          <cell r="P1380">
            <v>0</v>
          </cell>
          <cell r="Q1380">
            <v>0</v>
          </cell>
          <cell r="R1380">
            <v>0</v>
          </cell>
          <cell r="S1380">
            <v>0</v>
          </cell>
          <cell r="T1380">
            <v>0</v>
          </cell>
          <cell r="U1380">
            <v>0</v>
          </cell>
          <cell r="V1380">
            <v>-402.44</v>
          </cell>
          <cell r="W1380">
            <v>0</v>
          </cell>
          <cell r="X1380">
            <v>0</v>
          </cell>
          <cell r="Y1380">
            <v>0</v>
          </cell>
          <cell r="Z1380">
            <v>0</v>
          </cell>
          <cell r="AA1380">
            <v>0</v>
          </cell>
          <cell r="AB1380">
            <v>5500</v>
          </cell>
          <cell r="AC1380">
            <v>0</v>
          </cell>
          <cell r="AD1380">
            <v>0</v>
          </cell>
          <cell r="AE1380">
            <v>0</v>
          </cell>
          <cell r="AF1380">
            <v>0</v>
          </cell>
        </row>
        <row r="1381">
          <cell r="A1381">
            <v>3200031</v>
          </cell>
          <cell r="H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5500</v>
          </cell>
          <cell r="AC1381">
            <v>0</v>
          </cell>
          <cell r="AD1381">
            <v>0</v>
          </cell>
          <cell r="AE1381">
            <v>0</v>
          </cell>
          <cell r="AF1381">
            <v>0</v>
          </cell>
        </row>
        <row r="1382">
          <cell r="A1382">
            <v>3200032</v>
          </cell>
          <cell r="B1382" t="str">
            <v>3200032</v>
          </cell>
          <cell r="G1382" t="str">
            <v>NOKIA PHONE 3230(Ayan das)</v>
          </cell>
          <cell r="H1382">
            <v>0</v>
          </cell>
          <cell r="K1382">
            <v>0</v>
          </cell>
          <cell r="L1382">
            <v>0</v>
          </cell>
          <cell r="M1382">
            <v>0</v>
          </cell>
          <cell r="N1382">
            <v>0</v>
          </cell>
          <cell r="O1382">
            <v>0</v>
          </cell>
          <cell r="P1382">
            <v>0</v>
          </cell>
          <cell r="Q1382">
            <v>0</v>
          </cell>
          <cell r="R1382">
            <v>0</v>
          </cell>
          <cell r="S1382">
            <v>0</v>
          </cell>
          <cell r="T1382">
            <v>0</v>
          </cell>
          <cell r="U1382">
            <v>0</v>
          </cell>
          <cell r="V1382">
            <v>-610.97</v>
          </cell>
          <cell r="W1382">
            <v>0</v>
          </cell>
          <cell r="X1382">
            <v>0</v>
          </cell>
          <cell r="Y1382">
            <v>0</v>
          </cell>
          <cell r="Z1382">
            <v>0</v>
          </cell>
          <cell r="AA1382">
            <v>0</v>
          </cell>
          <cell r="AB1382">
            <v>9600</v>
          </cell>
          <cell r="AC1382">
            <v>0</v>
          </cell>
          <cell r="AD1382">
            <v>0</v>
          </cell>
          <cell r="AE1382">
            <v>0</v>
          </cell>
          <cell r="AF1382">
            <v>0</v>
          </cell>
        </row>
        <row r="1383">
          <cell r="A1383">
            <v>3200032</v>
          </cell>
          <cell r="H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9600</v>
          </cell>
          <cell r="AC1383">
            <v>0</v>
          </cell>
          <cell r="AD1383">
            <v>0</v>
          </cell>
          <cell r="AE1383">
            <v>0</v>
          </cell>
          <cell r="AF1383">
            <v>0</v>
          </cell>
        </row>
        <row r="1384">
          <cell r="A1384">
            <v>3200033</v>
          </cell>
          <cell r="B1384" t="str">
            <v>3200033</v>
          </cell>
          <cell r="G1384" t="str">
            <v>Nokia Phone (6600)</v>
          </cell>
          <cell r="H1384">
            <v>0</v>
          </cell>
          <cell r="K1384">
            <v>0</v>
          </cell>
          <cell r="L1384">
            <v>0</v>
          </cell>
          <cell r="M1384">
            <v>0</v>
          </cell>
          <cell r="N1384">
            <v>0</v>
          </cell>
          <cell r="O1384">
            <v>0</v>
          </cell>
          <cell r="P1384">
            <v>0</v>
          </cell>
          <cell r="Q1384">
            <v>0</v>
          </cell>
          <cell r="R1384">
            <v>0</v>
          </cell>
          <cell r="S1384">
            <v>0</v>
          </cell>
          <cell r="T1384">
            <v>0</v>
          </cell>
          <cell r="U1384">
            <v>0</v>
          </cell>
          <cell r="V1384">
            <v>-351.56</v>
          </cell>
          <cell r="W1384">
            <v>0</v>
          </cell>
          <cell r="X1384">
            <v>0</v>
          </cell>
          <cell r="Y1384">
            <v>0</v>
          </cell>
          <cell r="Z1384">
            <v>0</v>
          </cell>
          <cell r="AA1384">
            <v>0</v>
          </cell>
          <cell r="AB1384">
            <v>7500</v>
          </cell>
          <cell r="AC1384">
            <v>0</v>
          </cell>
          <cell r="AD1384">
            <v>0</v>
          </cell>
          <cell r="AE1384">
            <v>0</v>
          </cell>
          <cell r="AF1384">
            <v>0</v>
          </cell>
        </row>
        <row r="1385">
          <cell r="A1385">
            <v>3200033</v>
          </cell>
          <cell r="H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7500</v>
          </cell>
          <cell r="AC1385">
            <v>0</v>
          </cell>
          <cell r="AD1385">
            <v>0</v>
          </cell>
          <cell r="AE1385">
            <v>0</v>
          </cell>
          <cell r="AF1385">
            <v>0</v>
          </cell>
        </row>
        <row r="1386">
          <cell r="A1386">
            <v>3300000</v>
          </cell>
          <cell r="B1386" t="str">
            <v>3300000</v>
          </cell>
          <cell r="G1386" t="str">
            <v>Group Asset Vehicles - Cars</v>
          </cell>
          <cell r="H1386">
            <v>154525</v>
          </cell>
          <cell r="K1386">
            <v>0</v>
          </cell>
          <cell r="L1386">
            <v>0</v>
          </cell>
          <cell r="M1386">
            <v>0</v>
          </cell>
          <cell r="N1386">
            <v>0</v>
          </cell>
          <cell r="O1386">
            <v>0</v>
          </cell>
          <cell r="P1386">
            <v>0</v>
          </cell>
          <cell r="Q1386">
            <v>0</v>
          </cell>
          <cell r="R1386">
            <v>0</v>
          </cell>
          <cell r="S1386">
            <v>0</v>
          </cell>
          <cell r="T1386">
            <v>0</v>
          </cell>
          <cell r="U1386">
            <v>0</v>
          </cell>
          <cell r="V1386">
            <v>-30905</v>
          </cell>
          <cell r="W1386">
            <v>0</v>
          </cell>
          <cell r="X1386">
            <v>0</v>
          </cell>
          <cell r="Y1386">
            <v>0</v>
          </cell>
          <cell r="Z1386">
            <v>0</v>
          </cell>
          <cell r="AA1386">
            <v>0</v>
          </cell>
          <cell r="AB1386">
            <v>0</v>
          </cell>
          <cell r="AC1386">
            <v>0</v>
          </cell>
          <cell r="AD1386">
            <v>0</v>
          </cell>
          <cell r="AE1386">
            <v>0</v>
          </cell>
          <cell r="AF1386">
            <v>0</v>
          </cell>
        </row>
        <row r="1387">
          <cell r="A1387">
            <v>3300000</v>
          </cell>
          <cell r="H1387">
            <v>154525</v>
          </cell>
          <cell r="K1387">
            <v>0</v>
          </cell>
          <cell r="L1387">
            <v>0</v>
          </cell>
          <cell r="M1387">
            <v>-30905</v>
          </cell>
          <cell r="N1387">
            <v>0</v>
          </cell>
          <cell r="O1387">
            <v>0</v>
          </cell>
          <cell r="P1387">
            <v>0</v>
          </cell>
          <cell r="Q1387">
            <v>0</v>
          </cell>
          <cell r="R1387">
            <v>0</v>
          </cell>
          <cell r="S1387">
            <v>0</v>
          </cell>
          <cell r="T1387">
            <v>0</v>
          </cell>
          <cell r="U1387">
            <v>0</v>
          </cell>
          <cell r="V1387">
            <v>-24724</v>
          </cell>
          <cell r="W1387">
            <v>0</v>
          </cell>
          <cell r="X1387">
            <v>0</v>
          </cell>
          <cell r="Y1387">
            <v>0</v>
          </cell>
          <cell r="Z1387">
            <v>0</v>
          </cell>
          <cell r="AA1387">
            <v>0</v>
          </cell>
          <cell r="AB1387">
            <v>0</v>
          </cell>
          <cell r="AC1387">
            <v>0</v>
          </cell>
          <cell r="AD1387">
            <v>0</v>
          </cell>
          <cell r="AE1387">
            <v>0</v>
          </cell>
          <cell r="AF1387">
            <v>0</v>
          </cell>
        </row>
        <row r="1388">
          <cell r="A1388">
            <v>3300001</v>
          </cell>
          <cell r="B1388" t="str">
            <v>3300001</v>
          </cell>
          <cell r="G1388" t="str">
            <v>Group Asset Vehicles - Scooters</v>
          </cell>
          <cell r="H1388">
            <v>48727</v>
          </cell>
          <cell r="K1388">
            <v>0</v>
          </cell>
          <cell r="L1388">
            <v>0</v>
          </cell>
          <cell r="M1388">
            <v>0</v>
          </cell>
          <cell r="N1388">
            <v>0</v>
          </cell>
          <cell r="O1388">
            <v>0</v>
          </cell>
          <cell r="P1388">
            <v>0</v>
          </cell>
          <cell r="Q1388">
            <v>0</v>
          </cell>
          <cell r="R1388">
            <v>0</v>
          </cell>
          <cell r="S1388">
            <v>0</v>
          </cell>
          <cell r="T1388">
            <v>0</v>
          </cell>
          <cell r="U1388">
            <v>0</v>
          </cell>
          <cell r="V1388">
            <v>-13321.75</v>
          </cell>
          <cell r="W1388">
            <v>0</v>
          </cell>
          <cell r="X1388">
            <v>0</v>
          </cell>
          <cell r="Y1388">
            <v>0</v>
          </cell>
          <cell r="Z1388">
            <v>0</v>
          </cell>
          <cell r="AA1388">
            <v>0</v>
          </cell>
          <cell r="AB1388">
            <v>4560</v>
          </cell>
          <cell r="AC1388">
            <v>0</v>
          </cell>
          <cell r="AD1388">
            <v>0</v>
          </cell>
          <cell r="AE1388">
            <v>0</v>
          </cell>
          <cell r="AF1388">
            <v>0</v>
          </cell>
        </row>
        <row r="1389">
          <cell r="A1389">
            <v>3300001</v>
          </cell>
          <cell r="H1389">
            <v>53287</v>
          </cell>
          <cell r="K1389">
            <v>0</v>
          </cell>
          <cell r="L1389">
            <v>0</v>
          </cell>
          <cell r="M1389">
            <v>-13321.75</v>
          </cell>
          <cell r="N1389">
            <v>0</v>
          </cell>
          <cell r="O1389">
            <v>0</v>
          </cell>
          <cell r="P1389">
            <v>0</v>
          </cell>
          <cell r="Q1389">
            <v>0</v>
          </cell>
          <cell r="R1389">
            <v>0</v>
          </cell>
          <cell r="S1389">
            <v>0</v>
          </cell>
          <cell r="T1389">
            <v>0</v>
          </cell>
          <cell r="U1389">
            <v>0</v>
          </cell>
          <cell r="V1389">
            <v>-20500.07</v>
          </cell>
          <cell r="W1389">
            <v>0</v>
          </cell>
          <cell r="X1389">
            <v>0</v>
          </cell>
          <cell r="Y1389">
            <v>0</v>
          </cell>
          <cell r="Z1389">
            <v>0</v>
          </cell>
          <cell r="AA1389">
            <v>0</v>
          </cell>
          <cell r="AB1389">
            <v>84070</v>
          </cell>
          <cell r="AC1389">
            <v>0</v>
          </cell>
          <cell r="AD1389">
            <v>0</v>
          </cell>
          <cell r="AE1389">
            <v>0</v>
          </cell>
          <cell r="AF1389">
            <v>0</v>
          </cell>
        </row>
        <row r="1390">
          <cell r="A1390">
            <v>4300000</v>
          </cell>
          <cell r="B1390" t="str">
            <v>4300000</v>
          </cell>
          <cell r="G1390" t="str">
            <v>MOBILE PHONE</v>
          </cell>
          <cell r="H1390">
            <v>0</v>
          </cell>
          <cell r="K1390">
            <v>0</v>
          </cell>
          <cell r="L1390">
            <v>0</v>
          </cell>
          <cell r="M1390">
            <v>0</v>
          </cell>
          <cell r="N1390">
            <v>0</v>
          </cell>
          <cell r="O1390">
            <v>0</v>
          </cell>
          <cell r="P1390">
            <v>0</v>
          </cell>
          <cell r="Q1390">
            <v>0</v>
          </cell>
          <cell r="R1390">
            <v>0</v>
          </cell>
          <cell r="S1390">
            <v>0</v>
          </cell>
          <cell r="T1390">
            <v>0</v>
          </cell>
          <cell r="U1390">
            <v>0</v>
          </cell>
          <cell r="V1390">
            <v>-1200</v>
          </cell>
          <cell r="W1390">
            <v>0</v>
          </cell>
          <cell r="X1390">
            <v>0</v>
          </cell>
          <cell r="Y1390">
            <v>0</v>
          </cell>
          <cell r="Z1390">
            <v>0</v>
          </cell>
          <cell r="AA1390">
            <v>0</v>
          </cell>
          <cell r="AB1390">
            <v>1200</v>
          </cell>
          <cell r="AC1390">
            <v>0</v>
          </cell>
          <cell r="AD1390">
            <v>0</v>
          </cell>
          <cell r="AE1390">
            <v>0</v>
          </cell>
          <cell r="AF1390">
            <v>0</v>
          </cell>
        </row>
        <row r="1391">
          <cell r="A1391">
            <v>4300000</v>
          </cell>
          <cell r="H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1200</v>
          </cell>
          <cell r="AC1391">
            <v>0</v>
          </cell>
          <cell r="AD1391">
            <v>0</v>
          </cell>
          <cell r="AE1391">
            <v>0</v>
          </cell>
          <cell r="AF1391">
            <v>0</v>
          </cell>
        </row>
        <row r="1392">
          <cell r="A1392">
            <v>4300000</v>
          </cell>
          <cell r="H1392">
            <v>1200</v>
          </cell>
          <cell r="K1392">
            <v>0</v>
          </cell>
          <cell r="L1392">
            <v>0</v>
          </cell>
          <cell r="M1392">
            <v>-1200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row>
        <row r="1393">
          <cell r="A1393">
            <v>4300000</v>
          </cell>
          <cell r="H1393">
            <v>1200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row>
        <row r="1394">
          <cell r="A1394">
            <v>4300001</v>
          </cell>
          <cell r="B1394" t="str">
            <v>4300001</v>
          </cell>
          <cell r="G1394" t="str">
            <v>NOKIA PHONE</v>
          </cell>
          <cell r="H1394">
            <v>0</v>
          </cell>
          <cell r="K1394">
            <v>0</v>
          </cell>
          <cell r="L1394">
            <v>0</v>
          </cell>
          <cell r="M1394">
            <v>0</v>
          </cell>
          <cell r="N1394">
            <v>0</v>
          </cell>
          <cell r="O1394">
            <v>0</v>
          </cell>
          <cell r="P1394">
            <v>0</v>
          </cell>
          <cell r="Q1394">
            <v>0</v>
          </cell>
          <cell r="R1394">
            <v>0</v>
          </cell>
          <cell r="S1394">
            <v>0</v>
          </cell>
          <cell r="T1394">
            <v>0</v>
          </cell>
          <cell r="U1394">
            <v>0</v>
          </cell>
          <cell r="V1394">
            <v>-30000</v>
          </cell>
          <cell r="W1394">
            <v>0</v>
          </cell>
          <cell r="X1394">
            <v>0</v>
          </cell>
          <cell r="Y1394">
            <v>0</v>
          </cell>
          <cell r="Z1394">
            <v>0</v>
          </cell>
          <cell r="AA1394">
            <v>0</v>
          </cell>
          <cell r="AB1394">
            <v>30000</v>
          </cell>
          <cell r="AC1394">
            <v>0</v>
          </cell>
          <cell r="AD1394">
            <v>0</v>
          </cell>
          <cell r="AE1394">
            <v>0</v>
          </cell>
          <cell r="AF1394">
            <v>0</v>
          </cell>
        </row>
        <row r="1395">
          <cell r="A1395">
            <v>4300001</v>
          </cell>
          <cell r="H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30000</v>
          </cell>
          <cell r="AC1395">
            <v>0</v>
          </cell>
          <cell r="AD1395">
            <v>0</v>
          </cell>
          <cell r="AE1395">
            <v>0</v>
          </cell>
          <cell r="AF1395">
            <v>0</v>
          </cell>
        </row>
        <row r="1396">
          <cell r="A1396">
            <v>4300001</v>
          </cell>
          <cell r="H1396">
            <v>30000</v>
          </cell>
          <cell r="K1396">
            <v>0</v>
          </cell>
          <cell r="L1396">
            <v>0</v>
          </cell>
          <cell r="M1396">
            <v>-30000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row>
        <row r="1397">
          <cell r="A1397">
            <v>4300001</v>
          </cell>
          <cell r="H1397">
            <v>30000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row>
        <row r="1398">
          <cell r="A1398">
            <v>4300002</v>
          </cell>
          <cell r="B1398" t="str">
            <v>4300002</v>
          </cell>
          <cell r="G1398" t="str">
            <v>NOKIA PHONE</v>
          </cell>
          <cell r="H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row>
        <row r="1399">
          <cell r="A1399">
            <v>4300003</v>
          </cell>
          <cell r="B1399" t="str">
            <v>4300003</v>
          </cell>
          <cell r="G1399" t="str">
            <v>NOKIA PHONE</v>
          </cell>
          <cell r="H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row>
        <row r="1400">
          <cell r="A1400">
            <v>4300004</v>
          </cell>
          <cell r="B1400" t="str">
            <v>4300004</v>
          </cell>
          <cell r="G1400" t="str">
            <v>NOKIA PHONE</v>
          </cell>
          <cell r="H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row>
        <row r="1401">
          <cell r="A1401">
            <v>4300005</v>
          </cell>
          <cell r="B1401" t="str">
            <v>4300005</v>
          </cell>
          <cell r="G1401" t="str">
            <v>NOKIA PHONE</v>
          </cell>
          <cell r="H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row>
        <row r="1402">
          <cell r="A1402">
            <v>4300006</v>
          </cell>
          <cell r="B1402" t="str">
            <v>4300006</v>
          </cell>
          <cell r="G1402" t="str">
            <v>NOKIA PHONE</v>
          </cell>
          <cell r="H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row>
        <row r="1403">
          <cell r="A1403">
            <v>4300007</v>
          </cell>
          <cell r="B1403" t="str">
            <v>4300007</v>
          </cell>
          <cell r="G1403" t="str">
            <v>NOKIA PHONE</v>
          </cell>
          <cell r="H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row>
        <row r="1404">
          <cell r="A1404">
            <v>4300008</v>
          </cell>
          <cell r="B1404" t="str">
            <v>4300008</v>
          </cell>
          <cell r="G1404" t="str">
            <v>NOKIA PHONE</v>
          </cell>
          <cell r="H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row>
        <row r="1405">
          <cell r="A1405">
            <v>4300009</v>
          </cell>
          <cell r="B1405" t="str">
            <v>4300009</v>
          </cell>
          <cell r="G1405" t="str">
            <v>NOKIA PHONE</v>
          </cell>
          <cell r="H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row>
        <row r="1406">
          <cell r="A1406">
            <v>4300010</v>
          </cell>
          <cell r="B1406" t="str">
            <v>4300010</v>
          </cell>
          <cell r="G1406" t="str">
            <v>NOKIA PHONE</v>
          </cell>
          <cell r="H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row>
        <row r="1407">
          <cell r="A1407">
            <v>4300011</v>
          </cell>
          <cell r="B1407" t="str">
            <v>4300011</v>
          </cell>
          <cell r="G1407" t="str">
            <v>MObile Nokia -1600</v>
          </cell>
          <cell r="H1407">
            <v>0</v>
          </cell>
          <cell r="K1407">
            <v>0</v>
          </cell>
          <cell r="L1407">
            <v>0</v>
          </cell>
          <cell r="M1407">
            <v>0</v>
          </cell>
          <cell r="N1407">
            <v>0</v>
          </cell>
          <cell r="O1407">
            <v>0</v>
          </cell>
          <cell r="P1407">
            <v>0</v>
          </cell>
          <cell r="Q1407">
            <v>0</v>
          </cell>
          <cell r="R1407">
            <v>0</v>
          </cell>
          <cell r="S1407">
            <v>0</v>
          </cell>
          <cell r="T1407">
            <v>0</v>
          </cell>
          <cell r="U1407">
            <v>0</v>
          </cell>
          <cell r="V1407">
            <v>-2380</v>
          </cell>
          <cell r="W1407">
            <v>0</v>
          </cell>
          <cell r="X1407">
            <v>0</v>
          </cell>
          <cell r="Y1407">
            <v>0</v>
          </cell>
          <cell r="Z1407">
            <v>0</v>
          </cell>
          <cell r="AA1407">
            <v>0</v>
          </cell>
          <cell r="AB1407">
            <v>2380</v>
          </cell>
          <cell r="AC1407">
            <v>0</v>
          </cell>
          <cell r="AD1407">
            <v>0</v>
          </cell>
          <cell r="AE1407">
            <v>0</v>
          </cell>
          <cell r="AF1407">
            <v>0</v>
          </cell>
        </row>
        <row r="1408">
          <cell r="A1408">
            <v>4300011</v>
          </cell>
          <cell r="H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2380</v>
          </cell>
          <cell r="AC1408">
            <v>0</v>
          </cell>
          <cell r="AD1408">
            <v>0</v>
          </cell>
          <cell r="AE1408">
            <v>0</v>
          </cell>
          <cell r="AF1408">
            <v>0</v>
          </cell>
        </row>
      </sheetData>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Details"/>
      <sheetName val="REFNCOMPARE"/>
      <sheetName val="Ref"/>
      <sheetName val="Operating and Capital Scenarios"/>
      <sheetName val="deferred taxes"/>
      <sheetName val="AV"/>
      <sheetName val="Storage"/>
      <sheetName val="RelR"/>
      <sheetName val="Sheet2"/>
      <sheetName val="Allahabad Bank"/>
      <sheetName val="Bank of Baroda"/>
      <sheetName val="BOI"/>
      <sheetName val="Canara"/>
      <sheetName val="Indian"/>
      <sheetName val="IDBI"/>
      <sheetName val="IOB"/>
      <sheetName val="PNB"/>
      <sheetName val="Punjab &amp; Sind"/>
      <sheetName val="SBHyderabad"/>
      <sheetName val="SBI"/>
      <sheetName val="SBMysore"/>
      <sheetName val="SBPatiala"/>
      <sheetName val="SBSaurashtra"/>
      <sheetName val="Union Bank"/>
      <sheetName val="3CD-Ratios-Anx_1"/>
      <sheetName val="Operating_and_Capital_Scenario1"/>
      <sheetName val="deferred_taxes1"/>
      <sheetName val="3CD-Ratios-Anx_"/>
      <sheetName val="Operating_and_Capital_Scenarios"/>
      <sheetName val="deferred_taxes"/>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Year 2020-21"/>
      <sheetName val="Apr 20"/>
      <sheetName val="May 20"/>
      <sheetName val="Jun 20"/>
      <sheetName val="Jul 20"/>
      <sheetName val="Aug 20"/>
      <sheetName val="Sep 20"/>
      <sheetName val="Oct 20"/>
      <sheetName val="Nov 20"/>
      <sheetName val="Dec 20"/>
      <sheetName val="Jan 21"/>
      <sheetName val="Feb 21"/>
      <sheetName val="Mar 21"/>
      <sheetName val="Mar Data 21"/>
      <sheetName val="Feb Data 21"/>
      <sheetName val="Jan Data 21"/>
      <sheetName val="Dec Data 20"/>
      <sheetName val="Nov Data 20"/>
      <sheetName val="Oct Data 20"/>
      <sheetName val="Sep Data 20"/>
      <sheetName val="Aug Data 20"/>
      <sheetName val="Jul Data 20"/>
      <sheetName val="Jun Data 20"/>
      <sheetName val="May Data 20"/>
      <sheetName val="Apr Data 20"/>
      <sheetName val="Year 2021-22"/>
      <sheetName val="Apr 21"/>
      <sheetName val="May 21"/>
      <sheetName val="Jun 21"/>
      <sheetName val="Jul 21"/>
      <sheetName val="Aug 21"/>
      <sheetName val="Sep 21"/>
      <sheetName val="Oct 21"/>
      <sheetName val="Nov 21"/>
      <sheetName val="Dec 21"/>
      <sheetName val="Jan 22"/>
      <sheetName val="Feb 22"/>
      <sheetName val="Mar 22"/>
      <sheetName val="Mar Data 22"/>
      <sheetName val="Feb Data 22"/>
      <sheetName val="Jan Data 22"/>
      <sheetName val="Dec Data 21"/>
      <sheetName val="Nov Data 21"/>
      <sheetName val="Oct Data 21"/>
      <sheetName val="Sep Data 21"/>
      <sheetName val="Aug Data 21"/>
      <sheetName val="Jul Data 21"/>
      <sheetName val="Jun Data 21"/>
      <sheetName val="May Data 21"/>
      <sheetName val="Apr Data 21"/>
      <sheetName val="Apr 22"/>
      <sheetName val="Year 2022-23"/>
      <sheetName val="May 22"/>
      <sheetName val="Jun 22"/>
      <sheetName val="Jul 22"/>
      <sheetName val="Aug 22"/>
      <sheetName val="Sep 22"/>
      <sheetName val="Sep Data 22"/>
      <sheetName val="Aug Data 22"/>
      <sheetName val="Jul Data 22"/>
      <sheetName val="Jun Data 22"/>
      <sheetName val="May Data 22"/>
      <sheetName val="Apr Data 22"/>
      <sheetName val="Cover page"/>
      <sheetName val="Index"/>
      <sheetName val="Net Recovery from Tariff"/>
      <sheetName val="ARR-Summary"/>
      <sheetName val="Historical Sales"/>
      <sheetName val="F1 MSEDCL Yearly"/>
      <sheetName val="Historical No. of Consumers"/>
      <sheetName val="No. of Consumers Projections"/>
      <sheetName val="Historical Load-Demand"/>
      <sheetName val="Load Demand Projection"/>
      <sheetName val="Contract Demand"/>
      <sheetName val="For Proposed Revenue"/>
      <sheetName val="Contract Demand HT"/>
      <sheetName val="Contract Demand LT"/>
      <sheetName val="F1 MSEDCL Excl DF Yearly"/>
      <sheetName val="F1 MSEDCL Excl DF Mon 19-20"/>
      <sheetName val="F1 MSEDCL Excl DF Mon 20-21"/>
      <sheetName val="F1 MSEDCL Excl DF Mon 21-22"/>
      <sheetName val="F1 MSEDCL Excl DF Mon 22-23"/>
      <sheetName val="F1 MSEDCL Excl DF Mon 23-24"/>
      <sheetName val="F1 MSEDCL Excl DF Mon 24-25"/>
      <sheetName val="F1 MSEDCL BWD DF Yearly"/>
      <sheetName val="F1 MSEDCL BWD DF Mon 19-20"/>
      <sheetName val="F1 MSEDCL BWD DF Mon 20-21"/>
      <sheetName val="F1 MSEDCL BWD DF Mon 21-22"/>
      <sheetName val="F1 MSEDCL BWD DF Mon 22-23"/>
      <sheetName val="F1 MSEDCL BWD DF Mon 23-24"/>
      <sheetName val="F1 MSEDCL BWD DF Mon 24-25"/>
      <sheetName val="F1 MSEDCL NGP DF Yearly"/>
      <sheetName val="F1 MSEDCL NGP DF Mon 19-20"/>
      <sheetName val="F1 MSEDCL NGP DF Mon 20-21"/>
      <sheetName val="F1 MSEDCL NGP DF Mon 21-22"/>
      <sheetName val="F1 MSEDCL MLG DF Yearly"/>
      <sheetName val="F1 MSEDCL MLG DF Mon 20-21"/>
      <sheetName val="F1 MSEDCL MLG DF Mon 21-22"/>
      <sheetName val="F1 MSEDCL MLG DF Mon 22-23"/>
      <sheetName val="F1 MSEDCL MLG DF Mon 23-24"/>
      <sheetName val="F1 MSEDCL MLG DF Mon 24-25"/>
      <sheetName val="F1 MSEDCL THN DF Yearly"/>
      <sheetName val="F1 MSEDCL THN DF Mon 20-21"/>
      <sheetName val="F1 MSEDCL THN DF Mon 21-22"/>
      <sheetName val="F1 MSEDCL THN DF Mon 22-23"/>
      <sheetName val="F1 MSEDCL THN DF Mon 23-24"/>
      <sheetName val="F1 MSEDCL THN DF Mon 24-25"/>
      <sheetName val="F1.1"/>
      <sheetName val="F1.2"/>
      <sheetName val="F1.3 FY 19-20"/>
      <sheetName val="F1.3 FY 20-21"/>
      <sheetName val="F1.3 FY 21-22"/>
      <sheetName val="F1.4"/>
      <sheetName val="F1.5"/>
      <sheetName val="F2 FY 2019-20"/>
      <sheetName val="F2 FY 2020-21"/>
      <sheetName val="F2 FY 2021-22"/>
      <sheetName val="F2 FY 2022-23"/>
      <sheetName val="F2 FY 2023-24"/>
      <sheetName val="F2 FY 2024-25"/>
      <sheetName val="F2.1 Power Procurement"/>
      <sheetName val="F2.1 Energy Rate"/>
      <sheetName val="F2.1 Energy Availability"/>
      <sheetName val="F2.2"/>
      <sheetName val="Sharing "/>
      <sheetName val="F3"/>
      <sheetName val="F3.1"/>
      <sheetName val="F3.2"/>
      <sheetName val="F3.3"/>
      <sheetName val="F3.4"/>
      <sheetName val="F4"/>
      <sheetName val="Capex "/>
      <sheetName val="Capitalisation"/>
      <sheetName val="F4.1"/>
      <sheetName val="F4.2"/>
      <sheetName val="F4.3"/>
      <sheetName val="F4.4"/>
      <sheetName val="F5"/>
      <sheetName val="F6"/>
      <sheetName val="F6 A and B"/>
      <sheetName val="F7"/>
      <sheetName val="F8"/>
      <sheetName val="F9"/>
      <sheetName val="F10"/>
      <sheetName val="F11"/>
      <sheetName val="F12"/>
      <sheetName val="F13 FY2019-20"/>
      <sheetName val="F13 FY2020-21"/>
      <sheetName val="F13 FY2021-22"/>
      <sheetName val="F13 FY2022-23 H1"/>
      <sheetName val="MSEDCL Excl DF Yearly_MVAh"/>
      <sheetName val="F13 FY2022-23 H2"/>
      <sheetName val="F13 FY 2022-23_!"/>
      <sheetName val="F13 FY2019-20 H2"/>
      <sheetName val="F13.1 FY2023-24"/>
      <sheetName val="F13.2 FY2024-25"/>
      <sheetName val="F13.2 FY2023-24__"/>
      <sheetName val="F13.3 FY2024-25___"/>
      <sheetName val="F13.4 FY2023-24"/>
      <sheetName val="F13.5 FY2024-25"/>
      <sheetName val="F14.1 FY2023-24"/>
      <sheetName val="F14.2 FY2024-25"/>
      <sheetName val="F15"/>
      <sheetName val="F14.1 FY2023-24___"/>
      <sheetName val="F14.2 FY2024-25__"/>
      <sheetName val="F14.3 FY2022-23"/>
      <sheetName val="F14.5 FY2024-25"/>
      <sheetName val="F16"/>
      <sheetName val="F17"/>
      <sheetName val="F18 Loans"/>
      <sheetName val="F18 MSETCL"/>
      <sheetName val="F18 PGCIL"/>
      <sheetName val="F18 MSPGCL"/>
      <sheetName val="F18 NTPC"/>
      <sheetName val="F18 NPCIL KAPP"/>
      <sheetName val="F18 NPCIL TAPP 1&amp;2"/>
      <sheetName val="F18 NPCIL TAPP 3&amp;4"/>
      <sheetName val="F18 APML 1200"/>
      <sheetName val="F18 APML 440"/>
      <sheetName val="F18 APML 125"/>
      <sheetName val="F18 APML 1320"/>
      <sheetName val="F18 JSW"/>
      <sheetName val="F18 GMR"/>
      <sheetName val="F18 SAI W"/>
      <sheetName val="F18 CGPL"/>
      <sheetName val="F18 RIPL 750"/>
      <sheetName val="F18 RIPL 450"/>
      <sheetName val="F19"/>
      <sheetName val="F20 19-20"/>
      <sheetName val="F20 20-21"/>
      <sheetName val="F20 21-22"/>
      <sheetName val="F21"/>
      <sheetName val="Sheet1"/>
      <sheetName val="Carrying Cost"/>
      <sheetName val="Gap with Carrying Cost"/>
      <sheetName val="Gap Sensitivities"/>
      <sheetName val="Gap Determination"/>
      <sheetName val="Gap Calculation"/>
      <sheetName val="Sheet2"/>
      <sheetName val="ABR Change"/>
      <sheetName val="Proposed Recovery"/>
      <sheetName val="Tariff Hike Input"/>
      <sheetName val="Tariff Philosophy"/>
      <sheetName val="F14.1 FY2020-21 (4%)"/>
      <sheetName val="Existing Tariff"/>
      <sheetName val="ABR Comparison HT"/>
      <sheetName val="ABR Comparison LT"/>
      <sheetName val="ABR Comparison LT -1"/>
      <sheetName val="Input CSS"/>
      <sheetName val="CSS - FY 2023-24"/>
      <sheetName val="CSS - FY 2024-25"/>
      <sheetName val="Wheeling Charges MTR"/>
      <sheetName val="CS Trajectory"/>
      <sheetName val="EC without WC Comparison LT"/>
      <sheetName val="EC without WC Comparison LT -1"/>
      <sheetName val="EC without WC Comparison HT"/>
      <sheetName val="VC incl WC Comparison LT"/>
      <sheetName val="VC incl WC Comparison LT -1"/>
      <sheetName val="VC incl WC Comparison HT"/>
      <sheetName val="FC Comparison LT"/>
      <sheetName val="FC Comparison LT-1"/>
      <sheetName val="FC Comparison HT"/>
      <sheetName val="Rev from CSS"/>
      <sheetName val="Rev from AS"/>
      <sheetName val="Rebate for incremental Consumpt"/>
      <sheetName val="CSS Summary"/>
      <sheetName val="03-04|71"/>
      <sheetName val="03-04|72"/>
      <sheetName val="03-04|74"/>
      <sheetName val="03-04|75"/>
      <sheetName val="03-04|76"/>
      <sheetName val="03-04|77"/>
      <sheetName val="03-04|79"/>
      <sheetName val="03-04|83"/>
      <sheetName val="03-04|Master"/>
      <sheetName val="04REL"/>
      <sheetName val="A 3.7"/>
      <sheetName val="CE"/>
      <sheetName val="201-04REL-Final"/>
      <sheetName val="A_3_7"/>
      <sheetName val="Metro consind updation sheet"/>
      <sheetName val="Dom"/>
      <sheetName val="Daily input"/>
      <sheetName val="Daily report"/>
      <sheetName val="OCM2"/>
      <sheetName val="OCM4"/>
      <sheetName val="OCM1"/>
      <sheetName val="OCM3"/>
      <sheetName val="OCM5"/>
      <sheetName val="OCM7"/>
      <sheetName val="OCM6"/>
      <sheetName val="highlight"/>
      <sheetName val="water"/>
      <sheetName val="AWARD"/>
      <sheetName val="hrawd"/>
      <sheetName val="2000-01"/>
      <sheetName val="Daily_input"/>
      <sheetName val="Daily_report"/>
      <sheetName val="Inputs &amp; Assumption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data"/>
      <sheetName val="Data base Feb 09"/>
      <sheetName val="grid"/>
      <sheetName val="132kv DCDS"/>
      <sheetName val=""/>
      <sheetName val="PACK (B)"/>
      <sheetName val="Salient1"/>
      <sheetName val="Cat_Ser_load"/>
      <sheetName val="Unit_Rate1"/>
      <sheetName val="160MVA_Addl1"/>
      <sheetName val="220KV_FB1"/>
      <sheetName val="315MVA_Addl1"/>
      <sheetName val="Addl_402"/>
      <sheetName val="Addl_201"/>
      <sheetName val="Addl_63_(2)1"/>
      <sheetName val="Data_base_Feb_09"/>
      <sheetName val="132kv_DCDS"/>
      <sheetName val="PACK_(B)"/>
      <sheetName val="STN WISE EMR"/>
      <sheetName val="Inputs"/>
      <sheetName val="A"/>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R_Hrs_ Since Comm"/>
      <sheetName val="ATP"/>
      <sheetName val="UK"/>
      <sheetName val="Scheme Area Details_Block__ C2"/>
      <sheetName val="New33KVSS_E3"/>
      <sheetName val="Prop aug of Ex 33KVSS_E3a"/>
      <sheetName val="Adj.TB"/>
      <sheetName val="Citrix"/>
      <sheetName val="Instruction Sheet"/>
      <sheetName val="Coalmine"/>
      <sheetName val="Basis"/>
      <sheetName val="Unit_Rate2"/>
      <sheetName val="160MVA_Addl2"/>
      <sheetName val="220KV_FB2"/>
      <sheetName val="315MVA_Addl2"/>
      <sheetName val="Addl_403"/>
      <sheetName val="Addl_202"/>
      <sheetName val="Addl_63_(2)2"/>
      <sheetName val="132kv_DCDS1"/>
      <sheetName val="A_3_71"/>
      <sheetName val="Data_base_Feb_091"/>
      <sheetName val="Unit_Rate3"/>
      <sheetName val="160MVA_Addl3"/>
      <sheetName val="220KV_FB3"/>
      <sheetName val="315MVA_Addl3"/>
      <sheetName val="Addl_404"/>
      <sheetName val="Addl_203"/>
      <sheetName val="Addl_63_(2)3"/>
      <sheetName val="132kv_DCDS2"/>
      <sheetName val="A_3_72"/>
      <sheetName val="Data_base_Feb_092"/>
      <sheetName val="SUMMERY"/>
      <sheetName val="Work_sheet"/>
      <sheetName val="dpc cost"/>
      <sheetName val="Survey Status_2"/>
      <sheetName val="% of Elect"/>
      <sheetName val="cap all"/>
      <sheetName val="Lead Statement"/>
      <sheetName val="Detailed Estimate"/>
      <sheetName val="Labour charges"/>
      <sheetName val="A2-02-03"/>
      <sheetName val="all"/>
      <sheetName val="Form-C4"/>
      <sheetName val="RevenueInput"/>
      <sheetName val="cover1"/>
      <sheetName val="Assumptions"/>
      <sheetName val="Gainloss computation FY 09-10"/>
      <sheetName val="Summary"/>
      <sheetName val="Issue sheet"/>
      <sheetName val="Tables_True up FY 09-10"/>
      <sheetName val="Assumption_PwC"/>
      <sheetName val="O&amp;M costs"/>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Temp"/>
      <sheetName val="1997-1998"/>
      <sheetName val="1998-1999"/>
      <sheetName val="1999-2000"/>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Since Comm,"/>
      <sheetName val="History Data"/>
      <sheetName val="Gen.Data 87-97"/>
      <sheetName val="C.F., C.V. &amp; H.R."/>
      <sheetName val="Gen., Coal Factor, Heat Rate"/>
      <sheetName val="SAP-Data"/>
      <sheetName val="Since_Comm,"/>
      <sheetName val="History_Data"/>
      <sheetName val="Gen_Data_87-97"/>
      <sheetName val="C_F_,_C_V__&amp;_H_R_"/>
      <sheetName val="Gen_,_Coal_Factor,_Heat_Rate"/>
      <sheetName val="BHUSAWAL"/>
      <sheetName val="Chandrapur"/>
      <sheetName val="HLY -99-00"/>
      <sheetName val="Hydro Data"/>
      <sheetName val="HLY0001"/>
      <sheetName val="mnthly-chrt"/>
      <sheetName val="purchase"/>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HLY_-99-00"/>
      <sheetName val="Hydro_Data"/>
      <sheetName val="dpc_cost"/>
      <sheetName val="Plant_Availability"/>
      <sheetName val="Bombaybazar(Remark)"/>
      <sheetName val="Discom Details"/>
      <sheetName val="C.S.GENERATION"/>
      <sheetName val="Sch-3"/>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C_S_GENERATION"/>
      <sheetName val="Cash_Flow"/>
      <sheetName val="RAJ"/>
      <sheetName val="DCL AUG 12"/>
      <sheetName val="Index Feb 09"/>
      <sheetName val="General"/>
      <sheetName val="7.11 p1"/>
      <sheetName val="strain"/>
      <sheetName val="HLY_-99-004"/>
      <sheetName val="Hydro_Data4"/>
      <sheetName val="dpc_cost4"/>
      <sheetName val="Plant_Availability4"/>
      <sheetName val="Discom_Details1"/>
      <sheetName val="C_S_GENERATION1"/>
      <sheetName val="Cash_Flow1"/>
      <sheetName val="7_11_p1"/>
      <sheetName val="7_11_p11"/>
      <sheetName val="Discom_Details2"/>
      <sheetName val="C_S_GENERATION2"/>
      <sheetName val="7_11_p12"/>
      <sheetName val="Form-B"/>
      <sheetName val="tb2002 linked"/>
      <sheetName val="sum"/>
      <sheetName val="DPT-PW"/>
      <sheetName val="Factor_sheet"/>
      <sheetName val="Energy_bal"/>
      <sheetName val="4 Annex 1 Basic rate"/>
      <sheetName val="SCF"/>
      <sheetName val="Report"/>
      <sheetName val="Dispatch 2.0"/>
      <sheetName val="DETAILED  BOQ"/>
      <sheetName val="sep01"/>
      <sheetName val="Level_qty"/>
      <sheetName val="Nov_04"/>
      <sheetName val="Dec_04"/>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form_x0000__x0000__x0000__x0000__x0000__x0000__x0000__x0000__x0000__x0000__x0000__x0000__x0000_"/>
      <sheetName val="form?????????????"/>
      <sheetName val="form_x0000_"/>
      <sheetName val="Sept "/>
      <sheetName val="7"/>
      <sheetName val="Feb-06"/>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form_x005f_x0000__x005f_x0000__x005f_x0000__x0000"/>
      <sheetName val="form_x005f_x0000_"/>
      <sheetName val="form?"/>
      <sheetName val="Ag LF"/>
      <sheetName val="Executive Summary -Thermal"/>
      <sheetName val="Stationwise Thermal &amp; Hydel Gen"/>
      <sheetName val="TWELVE"/>
      <sheetName val="form_"/>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First information "/>
      <sheetName val="annexture-g1"/>
      <sheetName val="PART C"/>
      <sheetName val="Part A General"/>
      <sheetName val="feasibility require"/>
      <sheetName val="water_bal"/>
      <sheetName val="Clause 9"/>
      <sheetName val="Loan Position"/>
      <sheetName val="D-3 Detail"/>
      <sheetName val="FIX DATA"/>
      <sheetName val="17(B) govt"/>
      <sheetName val="DLC"/>
      <sheetName val="1.1 Trs. Fai."/>
      <sheetName val="MO EY"/>
      <sheetName val="MO CY"/>
      <sheetName val="F4.2 "/>
      <sheetName val="EDWise4 (7)"/>
      <sheetName val="EDWise4 (6)"/>
      <sheetName val="EDWise4 (5)"/>
      <sheetName val="EDWise4 (4)"/>
      <sheetName val="EDWise4 (3)"/>
      <sheetName val="EDWise4 (2)"/>
      <sheetName val="EDWise5"/>
      <sheetName val="EDWise4"/>
      <sheetName val="div_abtotal 011106 (3)"/>
      <sheetName val="EDWise5(2)"/>
      <sheetName val="MenuSheet"/>
      <sheetName val="EDWise"/>
      <sheetName val="EDWiseTotal CAP R&amp;M"/>
      <sheetName val="EDWise4 (8)"/>
      <sheetName val="Orignal"/>
      <sheetName val="B004 Tariffwise Connected Load"/>
      <sheetName val="tariffwise"/>
      <sheetName val="Wardwise Load"/>
      <sheetName val="Wardwise Consumers"/>
      <sheetName val="Wardwise 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ow r="14">
          <cell r="D14">
            <v>247.44</v>
          </cell>
        </row>
      </sheetData>
      <sheetData sheetId="67">
        <row r="34">
          <cell r="T34">
            <v>106108.87967908704</v>
          </cell>
        </row>
      </sheetData>
      <sheetData sheetId="68"/>
      <sheetData sheetId="69">
        <row r="163">
          <cell r="R163">
            <v>131662.42842447452</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78">
          <cell r="O178">
            <v>91052.780060792866</v>
          </cell>
        </row>
      </sheetData>
      <sheetData sheetId="156">
        <row r="178">
          <cell r="O178">
            <v>93004.111931905354</v>
          </cell>
        </row>
      </sheetData>
      <sheetData sheetId="157"/>
      <sheetData sheetId="158"/>
      <sheetData sheetId="159"/>
      <sheetData sheetId="160"/>
      <sheetData sheetId="161">
        <row r="152">
          <cell r="T152">
            <v>110631.00271069036</v>
          </cell>
        </row>
      </sheetData>
      <sheetData sheetId="162">
        <row r="152">
          <cell r="T152">
            <v>135971.10885138495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ow r="25">
          <cell r="M25">
            <v>743.99739238527104</v>
          </cell>
        </row>
      </sheetData>
      <sheetData sheetId="195">
        <row r="18">
          <cell r="D18">
            <v>21743.202255657608</v>
          </cell>
        </row>
      </sheetData>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ow r="57">
          <cell r="N57">
            <v>121.46841643586042</v>
          </cell>
        </row>
      </sheetData>
      <sheetData sheetId="224">
        <row r="7">
          <cell r="Q7">
            <v>-13.921282610000006</v>
          </cell>
        </row>
      </sheetData>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row r="35">
          <cell r="G35">
            <v>64254.226096970044</v>
          </cell>
          <cell r="H35">
            <v>59093.238057586968</v>
          </cell>
          <cell r="I35">
            <v>63490.540060935658</v>
          </cell>
        </row>
        <row r="44">
          <cell r="G44">
            <v>24259.407938726315</v>
          </cell>
          <cell r="H44">
            <v>16526.511773419461</v>
          </cell>
          <cell r="I44">
            <v>17654.636270525258</v>
          </cell>
        </row>
      </sheetData>
      <sheetData sheetId="238"/>
      <sheetData sheetId="239" refreshError="1"/>
      <sheetData sheetId="240" refreshError="1"/>
      <sheetData sheetId="241" refreshError="1"/>
      <sheetData sheetId="242" refreshError="1"/>
      <sheetData sheetId="243" refreshError="1"/>
      <sheetData sheetId="244" refreshError="1"/>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xml:space="preserve">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
(with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xml:space="preserve"> </v>
          </cell>
        </row>
        <row r="173">
          <cell r="I173" t="str">
            <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xml:space="preserve"> </v>
          </cell>
        </row>
        <row r="186">
          <cell r="I186" t="str">
            <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xml:space="preserve"> </v>
          </cell>
        </row>
        <row r="198">
          <cell r="A198" t="str">
            <v xml:space="preserve"> </v>
          </cell>
          <cell r="B198" t="str">
            <v xml:space="preserve">Foundation work of </v>
          </cell>
          <cell r="C198">
            <v>0</v>
          </cell>
          <cell r="D198">
            <v>0</v>
          </cell>
          <cell r="E198">
            <v>0</v>
          </cell>
          <cell r="F198">
            <v>0</v>
          </cell>
          <cell r="G198">
            <v>0</v>
          </cell>
          <cell r="H198">
            <v>0</v>
          </cell>
          <cell r="I198" t="str">
            <v xml:space="preserve"> </v>
          </cell>
        </row>
        <row r="199">
          <cell r="I199" t="str">
            <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xml:space="preserve">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ow r="38">
          <cell r="A38">
            <v>0</v>
          </cell>
        </row>
      </sheetData>
      <sheetData sheetId="294">
        <row r="38">
          <cell r="A38" t="str">
            <v xml:space="preserve">ESTIMATE FOR INSTALLATION OF ADDITIONAL 1X40MVA 132/33KV TRANSFORMER AT EXISTING EHV SUBSTATION </v>
          </cell>
        </row>
      </sheetData>
      <sheetData sheetId="295">
        <row r="38">
          <cell r="A38" t="str">
            <v xml:space="preserve">ESTIMATE FOR INSTALLATION OF ADDITIONAL 1X40MVA 132/33KV TRANSFORMER AT EXISTING EHV SUBSTATION </v>
          </cell>
        </row>
      </sheetData>
      <sheetData sheetId="296">
        <row r="38">
          <cell r="A38" t="str">
            <v xml:space="preserve">ESTIMATE FOR INSTALLATION OF ADDITIONAL 1X40MVA 132/33KV TRANSFORMER AT EXISTING EHV SUBSTATION </v>
          </cell>
        </row>
      </sheetData>
      <sheetData sheetId="297">
        <row r="38">
          <cell r="A38" t="str">
            <v xml:space="preserve">ESTIMATE FOR INSTALLATION OF ADDITIONAL 1X40MVA 132/33KV TRANSFORMER AT EXISTING EHV SUBSTATION </v>
          </cell>
        </row>
      </sheetData>
      <sheetData sheetId="298">
        <row r="38">
          <cell r="A38" t="str">
            <v xml:space="preserve">ESTIMATE FOR INSTALLATION OF ADDITIONAL 1X40MVA 132/33KV TRANSFORMER AT EXISTING EHV SUBSTATION </v>
          </cell>
        </row>
      </sheetData>
      <sheetData sheetId="299">
        <row r="38">
          <cell r="A38" t="str">
            <v xml:space="preserve">ESTIMATE FOR INSTALLATION OF ADDITIONAL 1X40MVA 132/33KV TRANSFORMER AT EXISTING EHV SUBSTATION </v>
          </cell>
        </row>
      </sheetData>
      <sheetData sheetId="300">
        <row r="38">
          <cell r="A38" t="str">
            <v xml:space="preserve">ESTIMATE FOR INSTALLATION OF ADDITIONAL 1X40MVA 132/33KV TRANSFORMER AT EXISTING EHV SUBSTATION </v>
          </cell>
        </row>
      </sheetData>
      <sheetData sheetId="301">
        <row r="38">
          <cell r="A38" t="str">
            <v xml:space="preserve">ESTIMATE FOR INSTALLATION OF ADDITIONAL 1X40MVA 132/33KV TRANSFORMER AT EXISTING EHV SUBSTATION </v>
          </cell>
        </row>
      </sheetData>
      <sheetData sheetId="302">
        <row r="38">
          <cell r="A38" t="str">
            <v xml:space="preserve">ESTIMATE FOR INSTALLATION OF ADDITIONAL 1X40MVA 132/33KV TRANSFORMER AT EXISTING EHV SUBSTATION </v>
          </cell>
        </row>
      </sheetData>
      <sheetData sheetId="303" refreshError="1"/>
      <sheetData sheetId="304" refreshError="1"/>
      <sheetData sheetId="305" refreshError="1"/>
      <sheetData sheetId="306">
        <row r="38">
          <cell r="A38">
            <v>0</v>
          </cell>
        </row>
      </sheetData>
      <sheetData sheetId="307">
        <row r="38">
          <cell r="A38" t="str">
            <v xml:space="preserve">ESTIMATE FOR INSTALLATION OF ADDITIONAL 1X40MVA 132/33KV TRANSFORMER AT EXISTING EHV SUBSTATION </v>
          </cell>
        </row>
      </sheetData>
      <sheetData sheetId="308">
        <row r="38">
          <cell r="A38" t="str">
            <v xml:space="preserve">ESTIMATE FOR INSTALLATION OF ADDITIONAL 1X40MVA 132/33KV TRANSFORMER AT EXISTING EHV SUBSTATION </v>
          </cell>
        </row>
      </sheetData>
      <sheetData sheetId="309"/>
      <sheetData sheetId="310">
        <row r="38">
          <cell r="A38" t="str">
            <v xml:space="preserve">ESTIMATE FOR INSTALLATION OF ADDITIONAL 1X40MVA 132/33KV TRANSFORMER AT EXISTING EHV SUBSTATION </v>
          </cell>
        </row>
      </sheetData>
      <sheetData sheetId="311"/>
      <sheetData sheetId="312"/>
      <sheetData sheetId="313">
        <row r="38">
          <cell r="A38" t="str">
            <v xml:space="preserve">ESTIMATE FOR INSTALLATION OF ADDITIONAL 1X40MVA 132/33KV TRANSFORMER AT EXISTING EHV SUBSTATION </v>
          </cell>
        </row>
      </sheetData>
      <sheetData sheetId="314"/>
      <sheetData sheetId="315">
        <row r="38">
          <cell r="A38" t="str">
            <v xml:space="preserve">ESTIMATE FOR INSTALLATION OF ADDITIONAL 1X40MVA 132/33KV TRANSFORMER AT EXISTING EHV SUBSTATION </v>
          </cell>
        </row>
      </sheetData>
      <sheetData sheetId="316">
        <row r="38">
          <cell r="A38">
            <v>0</v>
          </cell>
        </row>
      </sheetData>
      <sheetData sheetId="317">
        <row r="38">
          <cell r="A38" t="str">
            <v xml:space="preserve">ESTIMATE FOR INSTALLATION OF ADDITIONAL 1X40MVA 132/33KV TRANSFORMER AT EXISTING EHV SUBSTATION </v>
          </cell>
        </row>
      </sheetData>
      <sheetData sheetId="318"/>
      <sheetData sheetId="319"/>
      <sheetData sheetId="320">
        <row r="38">
          <cell r="A38" t="str">
            <v xml:space="preserve">ESTIMATE FOR INSTALLATION OF ADDITIONAL 1X40MVA 132/33KV TRANSFORMER AT EXISTING EHV SUBSTATION </v>
          </cell>
        </row>
      </sheetData>
      <sheetData sheetId="321"/>
      <sheetData sheetId="322">
        <row r="38">
          <cell r="A38" t="str">
            <v xml:space="preserve">ESTIMATE FOR INSTALLATION OF ADDITIONAL 1X40MVA 132/33KV TRANSFORMER AT EXISTING EHV SUBSTATION </v>
          </cell>
        </row>
      </sheetData>
      <sheetData sheetId="323"/>
      <sheetData sheetId="324">
        <row r="38">
          <cell r="A38" t="str">
            <v xml:space="preserve">ESTIMATE FOR INSTALLATION OF ADDITIONAL 1X40MVA 132/33KV TRANSFORMER AT EXISTING EHV SUBSTATION </v>
          </cell>
        </row>
      </sheetData>
      <sheetData sheetId="325">
        <row r="38">
          <cell r="A38" t="str">
            <v xml:space="preserve">ESTIMATE FOR INSTALLATION OF ADDITIONAL 1X40MVA 132/33KV TRANSFORMER AT EXISTING EHV SUBSTATION </v>
          </cell>
        </row>
      </sheetData>
      <sheetData sheetId="326"/>
      <sheetData sheetId="327">
        <row r="38">
          <cell r="A38" t="str">
            <v xml:space="preserve">ESTIMATE FOR INSTALLATION OF ADDITIONAL 1X40MVA 132/33KV TRANSFORMER AT EXISTING EHV SUBSTATION </v>
          </cell>
        </row>
      </sheetData>
      <sheetData sheetId="328">
        <row r="38">
          <cell r="A38">
            <v>0</v>
          </cell>
        </row>
      </sheetData>
      <sheetData sheetId="329">
        <row r="38">
          <cell r="A38" t="str">
            <v xml:space="preserve">ESTIMATE FOR INSTALLATION OF ADDITIONAL 1X40MVA 132/33KV TRANSFORMER AT EXISTING EHV SUBSTATION </v>
          </cell>
        </row>
      </sheetData>
      <sheetData sheetId="330"/>
      <sheetData sheetId="331"/>
      <sheetData sheetId="332">
        <row r="38">
          <cell r="A38" t="str">
            <v xml:space="preserve">ESTIMATE FOR INSTALLATION OF ADDITIONAL 1X40MVA 132/33KV TRANSFORMER AT EXISTING EHV SUBSTATION </v>
          </cell>
        </row>
      </sheetData>
      <sheetData sheetId="333"/>
      <sheetData sheetId="334">
        <row r="38">
          <cell r="A38" t="str">
            <v xml:space="preserve">ESTIMATE FOR INSTALLATION OF ADDITIONAL 1X40MVA 132/33KV TRANSFORMER AT EXISTING EHV SUBSTATION </v>
          </cell>
        </row>
      </sheetData>
      <sheetData sheetId="335">
        <row r="38">
          <cell r="A38" t="str">
            <v xml:space="preserve">ESTIMATE FOR INSTALLATION OF ADDITIONAL 1X40MVA 132/33KV TRANSFORMER AT EXISTING EHV SUBSTATION </v>
          </cell>
        </row>
      </sheetData>
      <sheetData sheetId="336">
        <row r="38">
          <cell r="A38" t="str">
            <v xml:space="preserve">ESTIMATE FOR INSTALLATION OF ADDITIONAL 1X40MVA 132/33KV TRANSFORMER AT EXISTING EHV SUBSTATION </v>
          </cell>
        </row>
      </sheetData>
      <sheetData sheetId="337">
        <row r="38">
          <cell r="A38" t="str">
            <v xml:space="preserve">ESTIMATE FOR INSTALLATION OF ADDITIONAL 1X40MVA 132/33KV TRANSFORMER AT EXISTING EHV SUBSTATION </v>
          </cell>
        </row>
      </sheetData>
      <sheetData sheetId="338"/>
      <sheetData sheetId="339">
        <row r="38">
          <cell r="A38" t="str">
            <v xml:space="preserve">ESTIMATE FOR INSTALLATION OF ADDITIONAL 1X40MVA 132/33KV TRANSFORMER AT EXISTING EHV SUBSTATION </v>
          </cell>
        </row>
      </sheetData>
      <sheetData sheetId="340"/>
      <sheetData sheetId="341"/>
      <sheetData sheetId="342">
        <row r="38">
          <cell r="A38" t="str">
            <v xml:space="preserve">ESTIMATE FOR INSTALLATION OF ADDITIONAL 1X40MVA 132/33KV TRANSFORMER AT EXISTING EHV SUBSTATION </v>
          </cell>
        </row>
      </sheetData>
      <sheetData sheetId="343"/>
      <sheetData sheetId="344">
        <row r="38">
          <cell r="A38" t="str">
            <v xml:space="preserve">ESTIMATE FOR INSTALLATION OF ADDITIONAL 1X40MVA 132/33KV TRANSFORMER AT EXISTING EHV SUBSTATION </v>
          </cell>
        </row>
      </sheetData>
      <sheetData sheetId="345"/>
      <sheetData sheetId="346">
        <row r="38">
          <cell r="A38" t="str">
            <v xml:space="preserve">ESTIMATE FOR INSTALLATION OF ADDITIONAL 1X40MVA 132/33KV TRANSFORMER AT EXISTING EHV SUBSTATION </v>
          </cell>
        </row>
      </sheetData>
      <sheetData sheetId="347">
        <row r="38">
          <cell r="A38" t="str">
            <v xml:space="preserve">ESTIMATE FOR INSTALLATION OF ADDITIONAL 1X40MVA 132/33KV TRANSFORMER AT EXISTING EHV SUBSTATION </v>
          </cell>
        </row>
      </sheetData>
      <sheetData sheetId="348"/>
      <sheetData sheetId="349">
        <row r="38">
          <cell r="A38" t="str">
            <v xml:space="preserve">ESTIMATE FOR INSTALLATION OF ADDITIONAL 1X40MVA 132/33KV TRANSFORMER AT EXISTING EHV SUBSTATION </v>
          </cell>
        </row>
      </sheetData>
      <sheetData sheetId="350"/>
      <sheetData sheetId="351">
        <row r="38">
          <cell r="A38" t="str">
            <v xml:space="preserve">ESTIMATE FOR INSTALLATION OF ADDITIONAL 1X40MVA 132/33KV TRANSFORMER AT EXISTING EHV SUBSTATION </v>
          </cell>
        </row>
      </sheetData>
      <sheetData sheetId="352"/>
      <sheetData sheetId="353">
        <row r="38">
          <cell r="A38" t="str">
            <v xml:space="preserve">ESTIMATE FOR INSTALLATION OF ADDITIONAL 1X40MVA 132/33KV TRANSFORMER AT EXISTING EHV SUBSTATION </v>
          </cell>
        </row>
      </sheetData>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ow r="38">
          <cell r="A38" t="str">
            <v xml:space="preserve">ESTIMATE FOR INSTALLATION OF ADDITIONAL 1X40MVA 132/33KV TRANSFORMER AT EXISTING EHV SUBSTATION </v>
          </cell>
        </row>
      </sheetData>
      <sheetData sheetId="382"/>
      <sheetData sheetId="383">
        <row r="38">
          <cell r="A38" t="str">
            <v xml:space="preserve">ESTIMATE FOR INSTALLATION OF ADDITIONAL 1X40MVA 132/33KV TRANSFORMER AT EXISTING EHV SUBSTATION </v>
          </cell>
        </row>
      </sheetData>
      <sheetData sheetId="384"/>
      <sheetData sheetId="385"/>
      <sheetData sheetId="386">
        <row r="38">
          <cell r="A38" t="str">
            <v xml:space="preserve">ESTIMATE FOR INSTALLATION OF ADDITIONAL 1X40MVA 132/33KV TRANSFORMER AT EXISTING EHV SUBSTATION </v>
          </cell>
        </row>
      </sheetData>
      <sheetData sheetId="387"/>
      <sheetData sheetId="388">
        <row r="38">
          <cell r="A38" t="str">
            <v xml:space="preserve">ESTIMATE FOR INSTALLATION OF ADDITIONAL 1X40MVA 132/33KV TRANSFORMER AT EXISTING EHV SUBSTATION </v>
          </cell>
        </row>
      </sheetData>
      <sheetData sheetId="389">
        <row r="1">
          <cell r="D1">
            <v>0</v>
          </cell>
        </row>
      </sheetData>
      <sheetData sheetId="390">
        <row r="38">
          <cell r="A38" t="str">
            <v xml:space="preserve">ESTIMATE FOR INSTALLATION OF ADDITIONAL 1X40MVA 132/33KV TRANSFORMER AT EXISTING EHV SUBSTATION </v>
          </cell>
        </row>
      </sheetData>
      <sheetData sheetId="391"/>
      <sheetData sheetId="392"/>
      <sheetData sheetId="393"/>
      <sheetData sheetId="394"/>
      <sheetData sheetId="395">
        <row r="38">
          <cell r="A38" t="str">
            <v xml:space="preserve">ESTIMATE FOR INSTALLATION OF ADDITIONAL 1X40MVA 132/33KV TRANSFORMER AT EXISTING EHV SUBSTATION </v>
          </cell>
        </row>
      </sheetData>
      <sheetData sheetId="396">
        <row r="38">
          <cell r="A38">
            <v>0</v>
          </cell>
        </row>
      </sheetData>
      <sheetData sheetId="397">
        <row r="38">
          <cell r="A38" t="str">
            <v xml:space="preserve">ESTIMATE FOR INSTALLATION OF ADDITIONAL 1X40MVA 132/33KV TRANSFORMER AT EXISTING EHV SUBSTATION </v>
          </cell>
        </row>
      </sheetData>
      <sheetData sheetId="398"/>
      <sheetData sheetId="399" refreshError="1"/>
      <sheetData sheetId="400">
        <row r="38">
          <cell r="A38" t="str">
            <v xml:space="preserve">ESTIMATE FOR INSTALLATION OF ADDITIONAL 1X40MVA 132/33KV TRANSFORMER AT EXISTING EHV SUBSTATION </v>
          </cell>
        </row>
      </sheetData>
      <sheetData sheetId="401" refreshError="1">
        <row r="1">
          <cell r="P1">
            <v>0.72</v>
          </cell>
        </row>
      </sheetData>
      <sheetData sheetId="402" refreshError="1"/>
      <sheetData sheetId="403" refreshError="1">
        <row r="1">
          <cell r="D1">
            <v>0</v>
          </cell>
        </row>
      </sheetData>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3">
          <cell r="B3">
            <v>7.8600000000000003E-2</v>
          </cell>
        </row>
        <row r="4">
          <cell r="B4">
            <v>7.8600000000000003E-2</v>
          </cell>
        </row>
        <row r="5">
          <cell r="B5">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416" refreshError="1"/>
      <sheetData sheetId="417"/>
      <sheetData sheetId="418" refreshError="1"/>
      <sheetData sheetId="419" refreshError="1"/>
      <sheetData sheetId="420" refreshError="1">
        <row r="7">
          <cell r="D7">
            <v>0.1074</v>
          </cell>
          <cell r="E7">
            <v>0.1055</v>
          </cell>
        </row>
        <row r="8">
          <cell r="D8">
            <v>8.1799999999999998E-2</v>
          </cell>
        </row>
        <row r="116">
          <cell r="C116">
            <v>0.11749999999999999</v>
          </cell>
        </row>
      </sheetData>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ow r="30">
          <cell r="V30">
            <v>27.489999999999995</v>
          </cell>
        </row>
      </sheetData>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ow r="30">
          <cell r="V30">
            <v>27.489999999999995</v>
          </cell>
        </row>
      </sheetData>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ow r="1">
          <cell r="D1">
            <v>0</v>
          </cell>
        </row>
      </sheetData>
      <sheetData sheetId="795">
        <row r="1">
          <cell r="D1">
            <v>0</v>
          </cell>
        </row>
      </sheetData>
      <sheetData sheetId="796">
        <row r="1">
          <cell r="D1">
            <v>0</v>
          </cell>
        </row>
      </sheetData>
      <sheetData sheetId="797" refreshError="1"/>
      <sheetData sheetId="798">
        <row r="1">
          <cell r="D1">
            <v>0</v>
          </cell>
        </row>
      </sheetData>
      <sheetData sheetId="799">
        <row r="1">
          <cell r="D1">
            <v>0</v>
          </cell>
        </row>
      </sheetData>
      <sheetData sheetId="800">
        <row r="1">
          <cell r="D1">
            <v>0</v>
          </cell>
        </row>
      </sheetData>
      <sheetData sheetId="801">
        <row r="1">
          <cell r="D1">
            <v>0</v>
          </cell>
        </row>
      </sheetData>
      <sheetData sheetId="802">
        <row r="1">
          <cell r="D1">
            <v>0</v>
          </cell>
        </row>
      </sheetData>
      <sheetData sheetId="803">
        <row r="1">
          <cell r="D1">
            <v>0</v>
          </cell>
        </row>
      </sheetData>
      <sheetData sheetId="804">
        <row r="1">
          <cell r="D1">
            <v>0</v>
          </cell>
        </row>
      </sheetData>
      <sheetData sheetId="805" refreshError="1"/>
      <sheetData sheetId="806" refreshError="1"/>
      <sheetData sheetId="807" refreshError="1"/>
      <sheetData sheetId="808" refreshError="1"/>
      <sheetData sheetId="809" refreshError="1"/>
      <sheetData sheetId="810" refreshError="1"/>
      <sheetData sheetId="811"/>
      <sheetData sheetId="812"/>
      <sheetData sheetId="813"/>
      <sheetData sheetId="814"/>
      <sheetData sheetId="815">
        <row r="1">
          <cell r="D1">
            <v>0</v>
          </cell>
        </row>
      </sheetData>
      <sheetData sheetId="816">
        <row r="1">
          <cell r="D1">
            <v>0</v>
          </cell>
        </row>
      </sheetData>
      <sheetData sheetId="817"/>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ow r="1">
          <cell r="D1">
            <v>0</v>
          </cell>
        </row>
      </sheetData>
      <sheetData sheetId="829" refreshError="1"/>
      <sheetData sheetId="830" refreshError="1"/>
      <sheetData sheetId="831" refreshError="1"/>
      <sheetData sheetId="832" refreshError="1"/>
      <sheetData sheetId="833" refreshError="1"/>
      <sheetData sheetId="834" refreshError="1"/>
      <sheetData sheetId="835"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836" refreshError="1"/>
      <sheetData sheetId="837" refreshError="1"/>
      <sheetData sheetId="838">
        <row r="35">
          <cell r="I35">
            <v>63490.540060935658</v>
          </cell>
        </row>
      </sheetData>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Masters"/>
      <sheetName val="Sheet3"/>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Masters"/>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ow r="30">
          <cell r="V30">
            <v>27.489999999999995</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Fm 3CD"/>
      <sheetName val="Annexure A"/>
      <sheetName val="Annexure B(o)"/>
      <sheetName val="Annexure B"/>
      <sheetName val="Annexure "/>
      <sheetName val="Annexure C"/>
      <sheetName val="Annexure D"/>
      <sheetName val="Annexure D1"/>
      <sheetName val="Annexure Dold"/>
      <sheetName val="Annexure E"/>
      <sheetName val="14(i)"/>
      <sheetName val="Annexure F "/>
      <sheetName val="Annexure G"/>
      <sheetName val="17(e)"/>
      <sheetName val="Annexure H"/>
      <sheetName val="Annexure I"/>
      <sheetName val="Annexure J"/>
      <sheetName val="Annexure K"/>
      <sheetName val="Annexure L"/>
      <sheetName val="Annexure M"/>
      <sheetName val="22(a) "/>
      <sheetName val="Annexure N"/>
      <sheetName val="Annexure O"/>
      <sheetName val="22(b)"/>
      <sheetName val="Annexure P"/>
      <sheetName val="Annexure Q"/>
      <sheetName val="Annexure R"/>
      <sheetName val="Annexure S"/>
      <sheetName val="Annexure T"/>
      <sheetName val="Annexure U"/>
      <sheetName val="Annexure V"/>
      <sheetName val="SALESTAX"/>
      <sheetName val="Ratio Analysis"/>
      <sheetName val="excise trans summary"/>
      <sheetName val="Annex."/>
      <sheetName val="Annexure X"/>
      <sheetName val="22A &amp;Leave Enc"/>
      <sheetName val="Assumption_PwC"/>
      <sheetName val="Assumptions"/>
      <sheetName val="Sheet3"/>
    </sheetNames>
    <sheetDataSet>
      <sheetData sheetId="0" refreshError="1">
        <row r="4">
          <cell r="B4" t="str">
            <v>Assessment Year 2003-04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les for Petition"/>
      <sheetName val="Assumptions"/>
      <sheetName val="Allocation Matrix"/>
      <sheetName val="Rev Proj FY 15-16"/>
      <sheetName val="Input Sheet for MYT"/>
      <sheetName val="Normative O&amp;M"/>
      <sheetName val="O&amp;M for MYT Data"/>
      <sheetName val="Normative Fuel(14-15)"/>
      <sheetName val="Normative Fuel (15-16)"/>
      <sheetName val="Idle Capacity Charges"/>
      <sheetName val="Fuel Cost on Normative Basis"/>
      <sheetName val="O&amp;M inputs"/>
      <sheetName val="Index"/>
      <sheetName val="Bhusawal True up Summary"/>
      <sheetName val="F1 Bhusawal"/>
      <sheetName val="F1.1 Bhusawal"/>
      <sheetName val="F2.1 Bhusawal"/>
      <sheetName val="F2.2 Bhusawal"/>
      <sheetName val="F2.3 Bhusawal"/>
      <sheetName val="F2.4 Bhusawal"/>
      <sheetName val="Bhusawal Actual IOWC"/>
      <sheetName val="F2.8 Bhusawal"/>
      <sheetName val="F3 Bhusawal"/>
      <sheetName val="F3.1 Bhusawal"/>
      <sheetName val="F3.2 Bhusawal"/>
      <sheetName val="F3.2 Bhusawal No. of Employees "/>
      <sheetName val="F3.3 Bhusawal"/>
      <sheetName val="F3.4 Bhusawal"/>
      <sheetName val="F4 Bhusawal"/>
      <sheetName val="F4.1 Bhusawal"/>
      <sheetName val="F4.2 Bhusawal"/>
      <sheetName val="F4.3 Bhusawal"/>
      <sheetName val="F5 Bhusawal 13-14"/>
      <sheetName val="F5 Bhusawal"/>
      <sheetName val="F6 Bhusawal"/>
      <sheetName val="F6 Bhu Other Finance charges"/>
      <sheetName val="F7 Bhusawal"/>
      <sheetName val="F11 Bhusawal"/>
      <sheetName val="F12 Bhusawal"/>
      <sheetName val="Chandrapur True up Summary"/>
      <sheetName val="F1 Chandrapur"/>
      <sheetName val="F1.1 Chandrapur"/>
      <sheetName val="F2.1 Chandrapur"/>
      <sheetName val="F2.2 Chandrapur"/>
      <sheetName val="F2.3 Chandrapur"/>
      <sheetName val="F2.4 Chandrapur"/>
      <sheetName val="ChandrapurActual IOWC"/>
      <sheetName val="F2.8 Chandrapur"/>
      <sheetName val="F3 Chandrapur"/>
      <sheetName val="F3.1 Chandrapur"/>
      <sheetName val="F3.2 Chandrapur"/>
      <sheetName val="F3.2 Chandrapur No. of Employee"/>
      <sheetName val="F3.3 Chandrapur"/>
      <sheetName val="F3.4 Chandrapur"/>
      <sheetName val="F4 Chandrapur"/>
      <sheetName val="F4.1 Chandrapur"/>
      <sheetName val="F4.2 Chandrapur"/>
      <sheetName val="F4.3 Chandrapur"/>
      <sheetName val="F5 Chadrapur"/>
      <sheetName val="F6 Chandrapur"/>
      <sheetName val="F6 Chandr Other finance Charges"/>
      <sheetName val="F7 Chandrapur"/>
      <sheetName val="F11 Chandrapur"/>
      <sheetName val="F12 Chandrapur"/>
      <sheetName val="Parli true up Summary"/>
      <sheetName val=" F1 Parli"/>
      <sheetName val="F1.1 Parli"/>
      <sheetName val="F2.1 Parli"/>
      <sheetName val="F2.2 Parli"/>
      <sheetName val="F2.3 Parli"/>
      <sheetName val="F2.4 Parli"/>
      <sheetName val="Parli Actual IOWC"/>
      <sheetName val="F2.8 Parli"/>
      <sheetName val="F3 Parli"/>
      <sheetName val="F3.1 Parli"/>
      <sheetName val="F3.2 Parli"/>
      <sheetName val="F3.2 Parli No. of Employees"/>
      <sheetName val="F3.3 Parli"/>
      <sheetName val="F3.4 Parli"/>
      <sheetName val="F4 Parli"/>
      <sheetName val="F4.1 Parli"/>
      <sheetName val="F4.2 Parli"/>
      <sheetName val="F4.3 Parli"/>
      <sheetName val="F5 Parli"/>
      <sheetName val="F6 Parli"/>
      <sheetName val="F6 Parli Other finance Charges"/>
      <sheetName val="F7 Parli"/>
      <sheetName val="F11 Parli"/>
      <sheetName val="F12 Parli"/>
      <sheetName val="Khaperkheda True up summary"/>
      <sheetName val="F1 Khaperkheda"/>
      <sheetName val="F1.1 Khaperkheda"/>
      <sheetName val="F2.1 Khaperkheda"/>
      <sheetName val="F2.2 Khaperkheda"/>
      <sheetName val="F2.3 Khaperkheda"/>
      <sheetName val="F2.4 Khaperkheda"/>
      <sheetName val="Khaperkheda Actual IOWC"/>
      <sheetName val="F2.8 Khaperkheda"/>
      <sheetName val="F3 Khaperkheda"/>
      <sheetName val="F3.1 Khapedkheda"/>
      <sheetName val="F3.2 Khaperkheda"/>
      <sheetName val="F3.2 Khaperkheda No of Employee"/>
      <sheetName val="F3.3 Khaperkheda"/>
      <sheetName val="F3.4 Khaperkheda"/>
      <sheetName val="F4 Khaperkheda"/>
      <sheetName val="F4.1 Khaperkheda"/>
      <sheetName val="F4.2 Khaperkheda"/>
      <sheetName val="F4.3 Khaperkheda"/>
      <sheetName val="F5 Khaperkheda"/>
      <sheetName val="F6 Khaperkheda"/>
      <sheetName val="F6 Kha Other Finance Charges"/>
      <sheetName val="F7 Khaperkheda"/>
      <sheetName val="F11 Khaperkheda"/>
      <sheetName val="F12 Khaperkheda"/>
      <sheetName val="Koradi True up summary"/>
      <sheetName val="F1 Koradi"/>
      <sheetName val="F1.1 Koradi"/>
      <sheetName val="F2.1 Koradi"/>
      <sheetName val="F2.2 Koradi "/>
      <sheetName val="F2.3 Koradi"/>
      <sheetName val="F2.4 Koradi"/>
      <sheetName val="Koradi Actual IOWC"/>
      <sheetName val="F2.8 Koradi"/>
      <sheetName val="F3 Koradi"/>
      <sheetName val="F3.1 Koradi"/>
      <sheetName val="F3.2 Koradi"/>
      <sheetName val="F3.2 Koradi No of Employee"/>
      <sheetName val="F3.3 Koradi"/>
      <sheetName val="F3.4 Koradi"/>
      <sheetName val="F4 Koradi "/>
      <sheetName val="F4.1 Koradi "/>
      <sheetName val="F4.2 Koradi "/>
      <sheetName val="F4.3 Koradi"/>
      <sheetName val="F5 Koradi"/>
      <sheetName val="F6 Koradi"/>
      <sheetName val="F6 Koradi Other Finance charges"/>
      <sheetName val="F7 Koradi"/>
      <sheetName val="F11 Koradi"/>
      <sheetName val="F12 Koradi"/>
      <sheetName val="Nashik True up Summary"/>
      <sheetName val="F1 Nashik"/>
      <sheetName val="F1.1 Nashik"/>
      <sheetName val="F2.1 Nashik"/>
      <sheetName val="F2.2 Nashik"/>
      <sheetName val="F2.3 Nashik"/>
      <sheetName val="F2.4 Nashik"/>
      <sheetName val="Nashik Actual IOWC"/>
      <sheetName val="F2.8 Nashik"/>
      <sheetName val="F3 Nashik"/>
      <sheetName val="F3.1 Nashik"/>
      <sheetName val="F3.2 Nashik"/>
      <sheetName val="F3.2 Nashik No. of Employees"/>
      <sheetName val="F3.3 Nashik"/>
      <sheetName val="F3.4 Nashik"/>
      <sheetName val="F4 Nashik"/>
      <sheetName val="F4.1 Nashik"/>
      <sheetName val="F4.2 Nashik"/>
      <sheetName val="F4.3 Nashik"/>
      <sheetName val="F5 Nahik"/>
      <sheetName val="F6 Nashik"/>
      <sheetName val="F6 Nashik Other Finance charges"/>
      <sheetName val="F7 Nashik"/>
      <sheetName val="F11 Nashik"/>
      <sheetName val="F12 Nashik"/>
      <sheetName val="Uran True up Summary"/>
      <sheetName val="F1 Uran"/>
      <sheetName val="F1.1 Uran"/>
      <sheetName val="F2.1 Uran"/>
      <sheetName val="F2.2 Uran"/>
      <sheetName val="F2.3 Uran"/>
      <sheetName val="F2.4 Uran"/>
      <sheetName val="Uran Actual IOWC"/>
      <sheetName val="F2.8 Uran"/>
      <sheetName val="F3 Uran"/>
      <sheetName val="F3.1 Uran"/>
      <sheetName val="F3.2 Uran No. of Employees"/>
      <sheetName val="F3.2 Uran"/>
      <sheetName val="F3.3 Uran"/>
      <sheetName val="F3.4 Uran"/>
      <sheetName val="F4 Uran"/>
      <sheetName val="F4.1 Uran"/>
      <sheetName val="F4.2 Uran"/>
      <sheetName val="F4.3 Uran"/>
      <sheetName val="F5 Uran"/>
      <sheetName val="F6 Uran"/>
      <sheetName val="F6 Uran Other Finance charges"/>
      <sheetName val="F7 Uran"/>
      <sheetName val="F11 Uran"/>
      <sheetName val="F12 Uran"/>
      <sheetName val="Hydro True up Summary"/>
      <sheetName val="F1 Hydro"/>
      <sheetName val="F1.1 Hydro"/>
      <sheetName val="F2.2 Koyna"/>
      <sheetName val="F2.2 Tillari"/>
      <sheetName val="F2.2 Bhira"/>
      <sheetName val="F2.2 Small Hydro"/>
      <sheetName val="F2.2 Ghatghar"/>
      <sheetName val="F2.5 Koyna"/>
      <sheetName val="F2.5 Bhira"/>
      <sheetName val="F2.5 Tillari"/>
      <sheetName val="F2.5 Small Hydro"/>
      <sheetName val="F2.6 Hydro"/>
      <sheetName val="F2.7 Hydro"/>
      <sheetName val="F2.8 Koyna Hydro"/>
      <sheetName val="F2.8 Pune Mini Hydro"/>
      <sheetName val="F2.8 Nashik Mini hydro"/>
      <sheetName val="F3 Hydro"/>
      <sheetName val="F3.1 Hydro"/>
      <sheetName val="F3.2 Koyna"/>
      <sheetName val="F3.2 Tillari"/>
      <sheetName val="F3.2 Bhira"/>
      <sheetName val="F3.2 Small Hydro"/>
      <sheetName val="F3.2 Hydro No. of Employees"/>
      <sheetName val="F3.3 Koyna"/>
      <sheetName val="F3.3 Tillari"/>
      <sheetName val="F3.3 Bhira"/>
      <sheetName val="F3.3 Small Hydro"/>
      <sheetName val="F3.4 Koyna"/>
      <sheetName val="F3.4 Bhira"/>
      <sheetName val="F3.4 Tillari"/>
      <sheetName val="F3.4 Small Hydro"/>
      <sheetName val="F4 Koyna"/>
      <sheetName val="F4.1 Koyna"/>
      <sheetName val="F4.2 Koyna"/>
      <sheetName val="F4.3 Koyna"/>
      <sheetName val="F4 Bhira"/>
      <sheetName val="F4.1 Bhira"/>
      <sheetName val="F4.2 Bhira"/>
      <sheetName val="F4.3 Bhira"/>
      <sheetName val="F4 Tillari"/>
      <sheetName val="F4.1 Tillari"/>
      <sheetName val="F4.2 Tillari"/>
      <sheetName val="F4.3 Tillari"/>
      <sheetName val="F4 Small Hydro(Pune)"/>
      <sheetName val="F4.1 Small Hydro(Pune)"/>
      <sheetName val="F4.2 Small Hydro(Pune)"/>
      <sheetName val="F4.3 Small Hydro(Pune)"/>
      <sheetName val="F4 Small Hydro(Nashik)"/>
      <sheetName val="F4.1 Small Hydro(Nashik)"/>
      <sheetName val="F4.2 Small Hydro(Nashik)"/>
      <sheetName val="F4.3 Small Hydro(Nashik)"/>
      <sheetName val="F5 Koyna"/>
      <sheetName val="F5 Bhira"/>
      <sheetName val="F5 Tillari"/>
      <sheetName val="F5 small hydro"/>
      <sheetName val="GFA weights"/>
      <sheetName val="F6 Koyna"/>
      <sheetName val="F6 Tillari"/>
      <sheetName val="F6 SHP"/>
      <sheetName val="F6 Hydro Other Finance charges"/>
      <sheetName val="F7 Hydro"/>
      <sheetName val="F11 Hydro"/>
      <sheetName val="F12 Hydro"/>
      <sheetName val="Paras 3-4 True up Summary"/>
      <sheetName val="F1 Paras 3-4"/>
      <sheetName val="F1.1 Paras 3-4"/>
      <sheetName val="F2.1 Paras 3-4"/>
      <sheetName val="F2.2 Paeas 3-4"/>
      <sheetName val="F2.3 Paras 3-4"/>
      <sheetName val="F2.4 Paras 3-4"/>
      <sheetName val="Paras 3-4 Actual IOWC"/>
      <sheetName val="F2.8 Paras 3-4"/>
      <sheetName val="F3 Paras 3-4"/>
      <sheetName val="F3.1 Paras 3-4"/>
      <sheetName val="F3.2 Paras 3-4"/>
      <sheetName val="F3.2 Paras 3,4 No .of Employee"/>
      <sheetName val="F3.3 Paras 3-4"/>
      <sheetName val="F3.4 Paras 3-4"/>
      <sheetName val="F4 Paras 3-4"/>
      <sheetName val="F4.1 Paras 3-4"/>
      <sheetName val="F4.2 Paras 3-4"/>
      <sheetName val="F4.3 Paras 3-4"/>
      <sheetName val="F5 Paras 3-4"/>
      <sheetName val="F6 Paras 3-4"/>
      <sheetName val="F6 Paras34Other Finance charges"/>
      <sheetName val="F7 Paras 3-4"/>
      <sheetName val="F11 Paras 3-4"/>
      <sheetName val="F12 Paras 3-4"/>
      <sheetName val="Parli 6-7 True up Summary"/>
      <sheetName val="F1 Parli 6-7"/>
      <sheetName val="F1.1 Parli 6-7"/>
      <sheetName val="F2.1 Parli 6-7"/>
      <sheetName val="F2.2 Parli 6-7"/>
      <sheetName val="F2.3 Parli 6-7"/>
      <sheetName val="F2.4 Parli 6-7"/>
      <sheetName val="Parli 6-7 Actual IOWC"/>
      <sheetName val="F2.8 Parli 6-7"/>
      <sheetName val="F3 Parli 6-7"/>
      <sheetName val="F3.1 Parli 6-7"/>
      <sheetName val="F3.2 Parli 6-7"/>
      <sheetName val="F3.2 Parli 6,7 No. of Employees"/>
      <sheetName val="F3.3 Parli 6-7"/>
      <sheetName val="F3.4 Parli 6-7"/>
      <sheetName val="F4 Parli 6-7"/>
      <sheetName val="F4.1 Parli 6-7"/>
      <sheetName val="F4.2 Parli 6-7"/>
      <sheetName val="F4.3 Parli 6-7"/>
      <sheetName val="F5 Parli 6-7"/>
      <sheetName val="F6 Parli 6-7"/>
      <sheetName val="F6 Parli67OtherFinance charges"/>
      <sheetName val="F7 Parli 6-7"/>
      <sheetName val="F11 Parli 6-7"/>
      <sheetName val="F12 Parli 6-7"/>
      <sheetName val="Kha 5 True up Summary"/>
      <sheetName val="F1 Kha 5 "/>
      <sheetName val="F1.1 Kha 5"/>
      <sheetName val="F2.1 Kha 5"/>
      <sheetName val="F2.2 Kha 5"/>
      <sheetName val="F2.3 Kha 5"/>
      <sheetName val="F2.4 Kha 5"/>
      <sheetName val="Kha 5 Actual IOWC"/>
      <sheetName val="F2.8 kha 5"/>
      <sheetName val="F3 Kha 5"/>
      <sheetName val="F3.1 Kha 5"/>
      <sheetName val="F3.2 Kha 5"/>
      <sheetName val="F3.2 Kha 5 No. of Employees"/>
      <sheetName val="F3.3 Kha 5"/>
      <sheetName val="F3.4 Kha 5"/>
      <sheetName val="F4 Kha 5"/>
      <sheetName val="F4.1 Kha 5"/>
      <sheetName val="F4.2 Kha 5"/>
      <sheetName val="F4.3 Kha 5"/>
      <sheetName val="F5 Kha 5"/>
      <sheetName val="F6 Kha 5"/>
      <sheetName val="F6 Kha 5 Finance charges"/>
      <sheetName val="F7 Kha 5"/>
      <sheetName val="F11 Kha 5"/>
      <sheetName val="F12 Kha 5"/>
      <sheetName val="Bhusawal 4-5 True up Summary"/>
      <sheetName val="F1 Bhusawal 4-5"/>
      <sheetName val="F1.1 Bhusawal 4-5"/>
      <sheetName val="F2.1 Bhusawal 4-5"/>
      <sheetName val="F2.2 Bhusawal 4-5"/>
      <sheetName val="F2.3 Bhusawal 4-5"/>
      <sheetName val="F2.4 Bhusawal 4-5"/>
      <sheetName val="Bhusawal 4-5 Actual IOWC"/>
      <sheetName val="F2.8 Bhusawal 4-5"/>
      <sheetName val="F3 Bhusawal 4-5"/>
      <sheetName val="F3.1 Bhusawal 4-5"/>
      <sheetName val="F3.2 Bhusawal 4-5"/>
      <sheetName val="F3.2Bhusawal 4,5 No.ofEmployees"/>
      <sheetName val="F3.3 Bhusawal 4-5"/>
      <sheetName val="F3.4 Bhusawal 4-5"/>
      <sheetName val="F4 Bhusawal 4-5"/>
      <sheetName val="F4.1 Bhusawal 4-5"/>
      <sheetName val="F4.2 Bhusawal 4-5"/>
      <sheetName val="F4.3 Bhusawal 4-5"/>
      <sheetName val="F5 Bhusawal 4-5"/>
      <sheetName val="F6 Busawal 4-5"/>
      <sheetName val="F6 Bhu45 Other Finance charges"/>
      <sheetName val="F7 Bhusawal 4-5"/>
      <sheetName val="F11 Bhusawal 4-5"/>
      <sheetName val="F12 Bhusawal 4-5"/>
      <sheetName val="F5 Chandrapur 13-14"/>
      <sheetName val="F5 Parli 13-14"/>
      <sheetName val="F5 Khaperkheda 13-14"/>
      <sheetName val="F5 Koradi 13-14"/>
      <sheetName val="F5 Nashik 13-14"/>
      <sheetName val="F5 Uran 13-14"/>
      <sheetName val="F5 Paras 3-4 13-14"/>
      <sheetName val="F5 Parli 6-7 13-14"/>
      <sheetName val="F5 Kha 5 13-14"/>
      <sheetName val="F5 Bhusawal 4-5 13-14"/>
      <sheetName val="Notes"/>
      <sheetName val="Variables"/>
      <sheetName val="a-4"/>
    </sheetNames>
    <sheetDataSet>
      <sheetData sheetId="0"/>
      <sheetData sheetId="1"/>
      <sheetData sheetId="2"/>
      <sheetData sheetId="3">
        <row r="1">
          <cell r="B1">
            <v>0.14050000000000001</v>
          </cell>
        </row>
        <row r="2">
          <cell r="B2">
            <v>0.14050000000000001</v>
          </cell>
        </row>
        <row r="25">
          <cell r="B25">
            <v>0.11199999999999999</v>
          </cell>
        </row>
        <row r="26">
          <cell r="B26">
            <v>0.11199999999999999</v>
          </cell>
        </row>
        <row r="27">
          <cell r="B27">
            <v>0.11199999999999999</v>
          </cell>
        </row>
        <row r="28">
          <cell r="B28">
            <v>0.11199999999999999</v>
          </cell>
        </row>
        <row r="35">
          <cell r="B35">
            <v>5</v>
          </cell>
        </row>
        <row r="36">
          <cell r="B36">
            <v>6</v>
          </cell>
        </row>
        <row r="37">
          <cell r="B37">
            <v>5</v>
          </cell>
        </row>
        <row r="38">
          <cell r="B38">
            <v>19</v>
          </cell>
        </row>
        <row r="39">
          <cell r="B39">
            <v>10</v>
          </cell>
        </row>
        <row r="40">
          <cell r="B40">
            <v>10</v>
          </cell>
        </row>
        <row r="41">
          <cell r="B41">
            <v>5</v>
          </cell>
        </row>
        <row r="42">
          <cell r="B42">
            <v>20</v>
          </cell>
        </row>
        <row r="43">
          <cell r="B43">
            <v>9</v>
          </cell>
        </row>
        <row r="44">
          <cell r="B44">
            <v>9</v>
          </cell>
        </row>
        <row r="45">
          <cell r="B45">
            <v>23</v>
          </cell>
        </row>
        <row r="46">
          <cell r="B46">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25">
          <cell r="E25">
            <v>5.8710474000000001</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Inputs &amp; Assumptions"/>
      <sheetName val="TP15-16"/>
      <sheetName val="TP16-17"/>
      <sheetName val="TP17-18"/>
      <sheetName val="TP 18-19 19-20"/>
      <sheetName val="Fuel Cost Normative 15-16"/>
      <sheetName val="Fuel Cost Normative 16-17"/>
      <sheetName val="Fuel Cost Normative 17-18"/>
      <sheetName val="F12 MSPGCL"/>
      <sheetName val="Bhusawal"/>
      <sheetName val="Bhusawal True up Summary"/>
      <sheetName val="F1(Bhusawal)"/>
      <sheetName val="F1.1(Bhusawal)"/>
      <sheetName val="F2.1(Bhusawal)"/>
      <sheetName val="F2.2(Bhusawal)"/>
      <sheetName val="F2.3(Bhusawal)"/>
      <sheetName val="F2.4(Bhusawal)"/>
      <sheetName val="F2.8(Bhusawal)"/>
      <sheetName val="F3(Bhusawal)"/>
      <sheetName val="F3.1(Bhusawal)"/>
      <sheetName val="F3.2(Bhusawal)"/>
      <sheetName val="F3.3(Bhusawal)"/>
      <sheetName val="F3.4(Bhusawal)"/>
      <sheetName val="F4(Bhusawal)"/>
      <sheetName val="F4.1(Bhusawal)"/>
      <sheetName val="F4.2(Bhusawal)"/>
      <sheetName val="F4.3(Bhusawal)"/>
      <sheetName val="F5(Bhusawal)"/>
      <sheetName val="F6 (Bhusawal)"/>
      <sheetName val="F6 Other Finance charges"/>
      <sheetName val="F7(Bhusawal)"/>
      <sheetName val="F8(Bhusawal)"/>
      <sheetName val="F9(Bhusawal)"/>
      <sheetName val="9.1(Bhusawal)"/>
      <sheetName val="F9.2(Bhusawal)"/>
      <sheetName val="F9.3(Bhusawal)"/>
      <sheetName val="F10(Bhusawal)"/>
      <sheetName val="F11(Bhusawal)"/>
      <sheetName val="F12(Bhusawal)"/>
      <sheetName val="F13(Bhusawal)"/>
      <sheetName val="Bhusawal 4-5"/>
      <sheetName val="Bhusawal 4-5 True up Summary"/>
      <sheetName val="F1(Bhusawal 4-5)"/>
      <sheetName val="F1.1(Bhusawal 4-5)"/>
      <sheetName val="F2.1(Bhusawal 4-5)"/>
      <sheetName val="F2.2(Bhusawal 4-5)"/>
      <sheetName val="F2.3(Bhusawal 4-5)"/>
      <sheetName val="F2.4(Bhusawal 4-5)"/>
      <sheetName val="F2.8(Bhusawal 4-5)"/>
      <sheetName val="F3(Bhusawal 4-5)"/>
      <sheetName val="F3.1(Bhusawal 4-5)"/>
      <sheetName val="F3.2(Bhusawal 4-5)"/>
      <sheetName val="F3.3(Bhusawal 4-5)"/>
      <sheetName val="F3.4(Bhusawal 4-5)"/>
      <sheetName val="F4(Bhusawal 4-5)"/>
      <sheetName val="F4.1(Bhusawal 4-5)"/>
      <sheetName val="F4.2(Bhusawal 4-5)"/>
      <sheetName val="F4.3(Bhusawal 4-5)"/>
      <sheetName val="F5(Bhusawal 4-5)"/>
      <sheetName val="F6 (Bhusawal 4-5)"/>
      <sheetName val="F6 Other Finance char(Bhu 4-5)"/>
      <sheetName val="F7(Bhusawal 4-5)"/>
      <sheetName val="F8(Bhusawal 4-5)"/>
      <sheetName val="F9(Bhusawal 4-5)"/>
      <sheetName val="9.1(Bhusawal 4-5)"/>
      <sheetName val="F9.2(Bhusawal 4-5)"/>
      <sheetName val="F9.3 (Bhusawal 4-5)"/>
      <sheetName val="F10(Bhusawal 4-5)"/>
      <sheetName val="F11(Bhusawal 4-5)"/>
      <sheetName val="F12(Bhusawal 4-5)"/>
      <sheetName val="F13(Bhusawal 4-5)"/>
      <sheetName val="Chandrapur"/>
      <sheetName val="Chandrapur True up Summary"/>
      <sheetName val="F1(Chandrapur)"/>
      <sheetName val="F1.1(Chandrapur)"/>
      <sheetName val="F2.1(Chandrapur)"/>
      <sheetName val="F2.2(Chandrapur)"/>
      <sheetName val="F2.3(Chandrapur)"/>
      <sheetName val="F2.4(Chandrapur)"/>
      <sheetName val="F2.8(Chandrapur)"/>
      <sheetName val="F3(Chandrapur)"/>
      <sheetName val="F3.1(Chandrapur)"/>
      <sheetName val="F3.2(Chandrapur)"/>
      <sheetName val="F3.3(Chandrapur)"/>
      <sheetName val="F3.4(Chandrapur)"/>
      <sheetName val="F4(Chandrapur)"/>
      <sheetName val="F4.1(Chandrapur)"/>
      <sheetName val="F4.3 (Chandrapur)"/>
      <sheetName val="F5(Chandrapur)"/>
      <sheetName val="F6 (Chandrapur)"/>
      <sheetName val="F6 Other Finance charges (Chan)"/>
      <sheetName val="F7(Chandrapur)"/>
      <sheetName val="F8(Chandrapur)"/>
      <sheetName val="F9(Chandrapur)"/>
      <sheetName val="9.1(Chandrapur)"/>
      <sheetName val="F9.2(Chandrapur)"/>
      <sheetName val="F9.3(Chandrapur)"/>
      <sheetName val="F10(Chandrapur)"/>
      <sheetName val="F11(Chandrapur)"/>
      <sheetName val="F12(Chandrapur)"/>
      <sheetName val="F13(Chandrapur)"/>
      <sheetName val="Chandrapur 8-9"/>
      <sheetName val="Chandrapur89 True up Summary "/>
      <sheetName val="F1(Chandrapur 8-9)"/>
      <sheetName val="F1.1(Chandrapur 8-9)"/>
      <sheetName val="F2.1(Chandrapur 8-9)"/>
      <sheetName val="F2.2(Chandrapur 8-9)"/>
      <sheetName val="F2.3(Chandrapur 8-9)"/>
      <sheetName val="F2.4(Chandrapur 8-9)"/>
      <sheetName val="F2.8(Chandrapur 8-9)"/>
      <sheetName val="F3(Chandrapur 8-9)"/>
      <sheetName val="F3.1(Chandrapur 8-9)"/>
      <sheetName val="F3.2(Chandrapur 8-9)"/>
      <sheetName val="F3.3(Chandrapur 8-9)"/>
      <sheetName val="F3.4(Chandrapur 8-9)"/>
      <sheetName val="F4(Chandrapur 8-9)"/>
      <sheetName val="F4.1(Chandrapur 8-9)"/>
      <sheetName val="F4.2(Chandrapur 8-9)"/>
      <sheetName val="F4.3(Chandrapur 8-9)"/>
      <sheetName val="F5 (Chandrapur 8-9)"/>
      <sheetName val="F6 (Chandrapur8 &amp;9)"/>
      <sheetName val="F6 Other Financechar(CSTPS 8-9)"/>
      <sheetName val="F7(Chandrapur 8-9)"/>
      <sheetName val="F8(Chandrapur 8-9)"/>
      <sheetName val="F9(Chandrapur 8-9)"/>
      <sheetName val="9.1(Chandrapur 8-9)"/>
      <sheetName val="F9.2(Chandrapur 8-9)"/>
      <sheetName val="F9.3(Chandrapur 8-9)"/>
      <sheetName val="F10(Chandrapur 8-9)"/>
      <sheetName val="F11(Chandrapur 8-9)"/>
      <sheetName val="F12(Chandrapur 8-9) "/>
      <sheetName val="F13(Chandrapur 8-9)"/>
      <sheetName val="KPKD"/>
      <sheetName val="Khaperkheda True up summary "/>
      <sheetName val="F1(KPKD)"/>
      <sheetName val="F1.1(KPKD)"/>
      <sheetName val="F2.1(KPKD)"/>
      <sheetName val="F2.2(KPKD)"/>
      <sheetName val="F2.3(KPKD)"/>
      <sheetName val="F2.4(KPKD)"/>
      <sheetName val="F2.8(KPKD)"/>
      <sheetName val="F3(KPKD)"/>
      <sheetName val="F3.1(KPKD)"/>
      <sheetName val="F3.2(KPKD)"/>
      <sheetName val="F3.3(KPKD)"/>
      <sheetName val="F3.4(KPKD)"/>
      <sheetName val="F4(KPKD)"/>
      <sheetName val="F4.1 (KPKD)"/>
      <sheetName val="F4.2 (KPKD)"/>
      <sheetName val="F4.3 (KPKD)"/>
      <sheetName val="F5(KPKD)"/>
      <sheetName val="F6 (KPKD)"/>
      <sheetName val="F6 Other Finance charges (KPKD)"/>
      <sheetName val="F7(KPKD)"/>
      <sheetName val="F8(KPKD)"/>
      <sheetName val="F9(KPKD)"/>
      <sheetName val="9.1(KPKD)"/>
      <sheetName val="F9.2(KPKD)"/>
      <sheetName val="F9.3(KPKD)"/>
      <sheetName val="F10(KPKD)"/>
      <sheetName val="F11(KPKD)"/>
      <sheetName val="F12(KPKD)"/>
      <sheetName val="F13(KPKD)"/>
      <sheetName val="KPKD 5"/>
      <sheetName val="Khaperkheda 5 True up summary"/>
      <sheetName val="F1(KPKD 5)"/>
      <sheetName val="F1.1(KPKD 5)"/>
      <sheetName val="F2.1(KPKD 5)"/>
      <sheetName val="F2.2(KPKD 5)"/>
      <sheetName val="F2.3(KPKD 5)"/>
      <sheetName val="F2.4(KPKD 5)"/>
      <sheetName val="F2.8(KPKD 5)"/>
      <sheetName val="F3(KPKD 5)"/>
      <sheetName val="F3.1(KPKD 5)"/>
      <sheetName val="F3.2(KPKD 5)"/>
      <sheetName val="F3.3(KPKD 5)"/>
      <sheetName val="F3.4(KPKD 5)"/>
      <sheetName val="F4(KPKD 5)"/>
      <sheetName val="F4.1 (KPKD 5)"/>
      <sheetName val="F4.2 (KPKD 5)"/>
      <sheetName val="F4.3 (KPKD 5)"/>
      <sheetName val="F5(KPKD 5)"/>
      <sheetName val="F6 (KPKD 5)"/>
      <sheetName val="F6 Other Finance charges(KPKD5)"/>
      <sheetName val="F7(KPKD 5)"/>
      <sheetName val="F8(KPKD 5)"/>
      <sheetName val="F9(KPKD 5)"/>
      <sheetName val="9.1(KPKD 5)"/>
      <sheetName val="F9.2(KPKD 5)"/>
      <sheetName val="F9.3(KPKD 5)"/>
      <sheetName val="F10(KPKD 5)"/>
      <sheetName val="F11(KPKD 5)"/>
      <sheetName val="F12(KPKD 5)"/>
      <sheetName val="F13(KPKD 5)"/>
      <sheetName val="Koradi"/>
      <sheetName val="Koradi True up summary"/>
      <sheetName val="F1(Koradi)"/>
      <sheetName val="F1.1(Koradi)"/>
      <sheetName val="F2.1(Koradi)"/>
      <sheetName val="F2.2(Koradi)"/>
      <sheetName val="F2.3(Koradi)"/>
      <sheetName val="F2.4(Koradi)"/>
      <sheetName val="F2.8(Koradi)"/>
      <sheetName val="F3(Koradi)"/>
      <sheetName val="F3.1(Koradi)"/>
      <sheetName val="F3.2(Koradi)"/>
      <sheetName val="F3.3(Koradi)"/>
      <sheetName val="F3.4(Koradi)"/>
      <sheetName val="F4(Koradi)"/>
      <sheetName val="F4.1(Koradi)"/>
      <sheetName val="F4.2(Koradi)"/>
      <sheetName val="F4.3(Koradi)"/>
      <sheetName val="F5(Koradi)"/>
      <sheetName val="F6 (Koradi)"/>
      <sheetName val="F6 Other Finance charges  "/>
      <sheetName val="F7(Koradi))"/>
      <sheetName val="F8 (Koradi)"/>
      <sheetName val="F9(Koradi)"/>
      <sheetName val="9.1(Koradi)"/>
      <sheetName val="F9.2(Koradi)"/>
      <sheetName val="F9.3(Koradi)"/>
      <sheetName val="F10(Koradi)"/>
      <sheetName val="F11(Koradi)"/>
      <sheetName val="F12(Koradi)"/>
      <sheetName val="F13(Koradi)"/>
      <sheetName val="Koradi 8,9 10"/>
      <sheetName val="Koradi 8,9,10True up summary"/>
      <sheetName val="F1(Koradi 8,9 10)"/>
      <sheetName val="F1.1(Koradi 8,9 10)"/>
      <sheetName val="F2.1(Koradi 8,9 10)"/>
      <sheetName val="F2.2(Koradi 8,9 10)"/>
      <sheetName val="F2.3(Koradi 8,9 10)"/>
      <sheetName val="F2.4(Koradi 8,9 10)"/>
      <sheetName val="F2.8(Koradi 8,9 10)"/>
      <sheetName val="F3(Koradi 8,9 10)"/>
      <sheetName val="F3.1(Koradi 8,9 10)"/>
      <sheetName val="F3.2(Koradi 8,9 10)"/>
      <sheetName val="F3.3(Koradi 8,9 10"/>
      <sheetName val="F3.4(Koradi 8,9 10)"/>
      <sheetName val="F4(Koradi 8,9 10)"/>
      <sheetName val="F4.1(Koradi 8,9,10)"/>
      <sheetName val="F4.2(Koradi 8,9 10)"/>
      <sheetName val="F4.3(Koradi 8,9 10)"/>
      <sheetName val="F5 (Koradi 8,9,10)"/>
      <sheetName val="F6 (Koradi 8,9 10)"/>
      <sheetName val="F6 Othe Financechar(K8,9,10)"/>
      <sheetName val="F7(Koradi 8,9 10)"/>
      <sheetName val="F8(Koradi 8,9 10)"/>
      <sheetName val="F9(Koradi 8,9 10)"/>
      <sheetName val="9.1(Koradi 8,9 10)"/>
      <sheetName val="F9.2(Koradi 8,9 10)"/>
      <sheetName val="F9.3(Koradi 8,9 10)"/>
      <sheetName val="F10(Koradi 8,9 10)"/>
      <sheetName val="F11(Koradi 8,9 10)"/>
      <sheetName val="F12(Koradi 8,9 10)"/>
      <sheetName val="F13(Koradi 8,9 10)"/>
      <sheetName val="Nashik"/>
      <sheetName val="Nashik True up Summary"/>
      <sheetName val="F1(Nashik)"/>
      <sheetName val="F1.1(Nashik)"/>
      <sheetName val="F2.1(Nashik)"/>
      <sheetName val="F2.2(Nashik)"/>
      <sheetName val="F2.3(Nashik)"/>
      <sheetName val="F2.4(Nashik)"/>
      <sheetName val="F2.8(Nashik)"/>
      <sheetName val="F3(Nashik)"/>
      <sheetName val="F3.1(Nashik)"/>
      <sheetName val="F3.2(Nashik)"/>
      <sheetName val="F3.3(Nashik)"/>
      <sheetName val="F3.4(Nashik)"/>
      <sheetName val="F4(Nashik)"/>
      <sheetName val="F4.1(Nashik)"/>
      <sheetName val="F4.2(Nashik)"/>
      <sheetName val="F4.3(Nashik)"/>
      <sheetName val="F5(Nashik)"/>
      <sheetName val="F6(Nashik)"/>
      <sheetName val="F6 Other Financecharges (Nashi)"/>
      <sheetName val="F7(Nashik)"/>
      <sheetName val="F8(Nashik)"/>
      <sheetName val="F9(Nashik)"/>
      <sheetName val="9.1(Nashik)"/>
      <sheetName val="F9.2(Nashik)"/>
      <sheetName val="F9.3(Nashik)"/>
      <sheetName val="F10(Nashik)"/>
      <sheetName val="F11(Nashik)"/>
      <sheetName val="F12(Nashik)"/>
      <sheetName val="F13(Nashik)"/>
      <sheetName val="PRS 3-4"/>
      <sheetName val="PRS 3-4 TRUE UP SUMMARY"/>
      <sheetName val="F1(PRS 3-4)"/>
      <sheetName val="F1.1(PRS 3-4)"/>
      <sheetName val="F2.1(PRS 3-4)"/>
      <sheetName val="F2.2(PRS 3-4)"/>
      <sheetName val="F2.3(PRS 3-4)"/>
      <sheetName val="F2.4(PRS 3-4)"/>
      <sheetName val="F2.8(PRS 3-4)"/>
      <sheetName val="F3(PRS 3-4)"/>
      <sheetName val="F3.1(PRS 3-4)"/>
      <sheetName val="F3.2(PRS 3-4)"/>
      <sheetName val="F3.3(PRS 3-4)"/>
      <sheetName val="F3.4(PRS 3-4)"/>
      <sheetName val="F4(PRS 3-4)"/>
      <sheetName val="F4.1(PRS 3-4)"/>
      <sheetName val="F4.2(PRS 3-4)"/>
      <sheetName val="F4.3(PRS 3-4)"/>
      <sheetName val="F5(PRS 3-4)"/>
      <sheetName val="F6 (Paras)"/>
      <sheetName val="F6 Other Financ charges(prs3-4)"/>
      <sheetName val="F7(PRS 3-4)"/>
      <sheetName val="F8(PRS 3-4)"/>
      <sheetName val="F9(PRS 3-4)"/>
      <sheetName val="9.1(PRS 3-4)"/>
      <sheetName val="F9.2(PRS 3-4)"/>
      <sheetName val="F9.3(PRS 3-4)"/>
      <sheetName val="F10(PRS 3-4)"/>
      <sheetName val="F11(PRS 3-4)"/>
      <sheetName val="F12(PRS 3-4)"/>
      <sheetName val="F13(PRS 3-4)"/>
      <sheetName val="Parli"/>
      <sheetName val="Parli true up Summary"/>
      <sheetName val="F1(Parli)"/>
      <sheetName val="F1.1(Parli)"/>
      <sheetName val="F2.1(Parli)"/>
      <sheetName val="F2.2(Parli)"/>
      <sheetName val="F2.3(Parli)"/>
      <sheetName val="F2.4(Parli)"/>
      <sheetName val="F2.8(Parli)"/>
      <sheetName val="F3(Parli)"/>
      <sheetName val="F3.1(Parli)"/>
      <sheetName val="F3.2(Parli)"/>
      <sheetName val="F3.3(Parli)"/>
      <sheetName val="F3.4(Parli)"/>
      <sheetName val="F4(Parli)"/>
      <sheetName val="F4.1(Parli)"/>
      <sheetName val="F4.2(Parli)"/>
      <sheetName val="F4.3(Parli)"/>
      <sheetName val="F5(Parli)"/>
      <sheetName val="F6 (Parli)"/>
      <sheetName val="F6 Other Finance charges "/>
      <sheetName val="F7(Parli)"/>
      <sheetName val="F8(Parli)"/>
      <sheetName val="F9(Parli)"/>
      <sheetName val="9.1(Parli)"/>
      <sheetName val="F9.2(Parli)"/>
      <sheetName val="F9.3(Parli)"/>
      <sheetName val="F11(Parli)"/>
      <sheetName val="F12(Parli)"/>
      <sheetName val="F13(Parli)"/>
      <sheetName val="Parli 6-7"/>
      <sheetName val="Parli 6-7 true up Summary"/>
      <sheetName val="F1(Parli 6-7)"/>
      <sheetName val="F1.1(Parli 6-7)"/>
      <sheetName val="F2.1(Parli 6-7)"/>
      <sheetName val="F2.2(Parli 6-7)"/>
      <sheetName val="F2.3(Parli 6-7)"/>
      <sheetName val="F2.4(Parli 6-7)"/>
      <sheetName val="F2.8(Parli 6-7)"/>
      <sheetName val="F3(Parli 6-7)"/>
      <sheetName val="F3.1(Parli 6-7)"/>
      <sheetName val="F3.2(Parli 6-7)"/>
      <sheetName val="F3.3(Parli 6-7)"/>
      <sheetName val="F3.4(Parli 6-7)"/>
      <sheetName val="F4(Parli 6-7)"/>
      <sheetName val="F4.1(Parli 6-7)"/>
      <sheetName val="F4.2(Parli 6-7)"/>
      <sheetName val="F4.3(Parli 6-7)"/>
      <sheetName val="F5(Parli 6-7)"/>
      <sheetName val="F6 (Parli 6-7)"/>
      <sheetName val="F6 Other Financ char(Parli6-7)"/>
      <sheetName val="F7(Parli 6-7)"/>
      <sheetName val="F8(Parli 6-7)"/>
      <sheetName val="F9(Parli 6-7)"/>
      <sheetName val="9.1(Parli 6-7)"/>
      <sheetName val="F9.2(Parli 6-7)"/>
      <sheetName val="F9.3(Parli 6-7)"/>
      <sheetName val="F10(Parli 6-7)"/>
      <sheetName val="F11(Parli 6-7)"/>
      <sheetName val="F12(Parli 6-7)"/>
      <sheetName val="F13(Parli 6-7)"/>
      <sheetName val="Parli 8"/>
      <sheetName val="Parli 8 True up Summary "/>
      <sheetName val="F1(Parli 8)"/>
      <sheetName val="F1.1(Parli 8)"/>
      <sheetName val="F2.1(Parli 8)"/>
      <sheetName val="F2.2(Parli 8)"/>
      <sheetName val="F2.3(Parli 8)"/>
      <sheetName val="F2.4(Parli 8)"/>
      <sheetName val="F2.8(Parli 8)"/>
      <sheetName val="F3(Parli 8)"/>
      <sheetName val="F3.1(Parli 8)"/>
      <sheetName val="F3.2(Parli 8)"/>
      <sheetName val="F3.3(Parli 8)"/>
      <sheetName val="F3.4(Parli 8)"/>
      <sheetName val="F4(Parli 8)"/>
      <sheetName val="F4.1(Parli 8)"/>
      <sheetName val="F4.2(Parli 8)"/>
      <sheetName val="F4.3(Parli 8)"/>
      <sheetName val="F5 (Parli 8)"/>
      <sheetName val="F6 (Parli 8)"/>
      <sheetName val="F6 Other Financechar(Parli 8)"/>
      <sheetName val="F7(Parli 8)"/>
      <sheetName val="F8(Parli 8)"/>
      <sheetName val="F9(Parli 8)"/>
      <sheetName val="9.1(Parli 8)"/>
      <sheetName val="F9.2(Parli 8)"/>
      <sheetName val="F9.3(Parli 8)"/>
      <sheetName val="F10(Parli 8)"/>
      <sheetName val="F11(Parli 8)"/>
      <sheetName val="F12(Parli 8)"/>
      <sheetName val="F13(Parli 8)"/>
      <sheetName val="Uran"/>
      <sheetName val="Uran True up Summary"/>
      <sheetName val="F1(Uran)"/>
      <sheetName val="F1.1(Uran)"/>
      <sheetName val="F2.1(Uran)"/>
      <sheetName val="F2.2(Uran)"/>
      <sheetName val="F2.3(Uran)"/>
      <sheetName val="F2.4(Uran)"/>
      <sheetName val="F2.8(Uran)"/>
      <sheetName val="F3(Uran)"/>
      <sheetName val="F3.1(Uran)"/>
      <sheetName val="F3.2(Uran)"/>
      <sheetName val="F3.3(Uran)"/>
      <sheetName val="F3.4(Uran)"/>
      <sheetName val="F4(Uran)"/>
      <sheetName val="F4.1(Uran)"/>
      <sheetName val="F4.2(Uran)"/>
      <sheetName val="F4.3(Uran)"/>
      <sheetName val="F5(Uran)"/>
      <sheetName val="F6(Uran)"/>
      <sheetName val="F6 Other Finance charges (Uran)"/>
      <sheetName val="F7 Uran"/>
      <sheetName val="F8(Uran)"/>
      <sheetName val="F9(Uran)"/>
      <sheetName val="9.1(Uran)"/>
      <sheetName val="F9.2(Uran)"/>
      <sheetName val="F9.3(Uran)"/>
      <sheetName val="F10(Uran)"/>
      <sheetName val="F11(Uran)"/>
      <sheetName val="F12(Uran)"/>
      <sheetName val="F13(Uran)"/>
      <sheetName val="Hydro"/>
      <sheetName val="Hydro True up Summary"/>
      <sheetName val="F1(Hydro)"/>
      <sheetName val="F1(Koyna)"/>
      <sheetName val="F1(Bhira)"/>
      <sheetName val="F1(Tillari)"/>
      <sheetName val="F1(SHPS)"/>
      <sheetName val="F1.1(Koyna)"/>
      <sheetName val="F1.1(Bhira)"/>
      <sheetName val="F1.1(Tillari)"/>
      <sheetName val="F1.1(SHPS)"/>
      <sheetName val="F2.5(Koyna)"/>
      <sheetName val="F2.5(Bhira)"/>
      <sheetName val="F2.5(Tillari)"/>
      <sheetName val="F2.5(SHPS)"/>
      <sheetName val="F2.6(Koyna)"/>
      <sheetName val="F2.6(Bhira)"/>
      <sheetName val="F2.6(Tillari)"/>
      <sheetName val="F2.6(SHPS)"/>
      <sheetName val="F2.7(Hydro) "/>
      <sheetName val="F2.7(Koyna)"/>
      <sheetName val="F2.7(Bhira)"/>
      <sheetName val="F2.7(Tillari)"/>
      <sheetName val="F2.7(SHPS)"/>
      <sheetName val="F2.8(Koyna)"/>
      <sheetName val="F2.8 Bhira"/>
      <sheetName val="F2.8 Tillari"/>
      <sheetName val="F2.8 SHPS(Pune)"/>
      <sheetName val="F3(Hydro)"/>
      <sheetName val="F3(Koyna)"/>
      <sheetName val="F3(Bhira)"/>
      <sheetName val="F3(Tillari)"/>
      <sheetName val="F3(SHPS)"/>
      <sheetName val="F3.2(Hydro)"/>
      <sheetName val="F3.2(Koyna)"/>
      <sheetName val="F3.2(Bhira)"/>
      <sheetName val="F3.2(Tillari)"/>
      <sheetName val="F3.2(SHPS)"/>
      <sheetName val="F3.3(Hydro)"/>
      <sheetName val="F3.3(Koyna)"/>
      <sheetName val="F3.3(Bhira)"/>
      <sheetName val="F3.3(Tillari)"/>
      <sheetName val="F3.3(SHPS)"/>
      <sheetName val="F3.4(Hydro)"/>
      <sheetName val="F3.4(Koyna)"/>
      <sheetName val="F3.4(Bhira)"/>
      <sheetName val="F3.4(Tillari)"/>
      <sheetName val="F3.4(SHPS)"/>
      <sheetName val="F4(Koyna)"/>
      <sheetName val="F4.1(Koyna)"/>
      <sheetName val="F4.2(Koyna)"/>
      <sheetName val="F4(Bhira)"/>
      <sheetName val="F4.1 Bhira"/>
      <sheetName val="F4.2 Bhira"/>
      <sheetName val="F4.3 Bhira"/>
      <sheetName val="F4(Tillari)"/>
      <sheetName val="F4.1 Tillari"/>
      <sheetName val="F4.2 Tillari"/>
      <sheetName val="F4.3 Tillari"/>
      <sheetName val="F4(SHPS)"/>
      <sheetName val="F4.1 Pune SHPS"/>
      <sheetName val="F4.2 Pune SHPS"/>
      <sheetName val="F4.3 Pune SHPS"/>
      <sheetName val="F4.1 Nashik SHPS"/>
      <sheetName val="F4.2 Nashik SHPS"/>
      <sheetName val="F4.3 Nashik SHPS"/>
      <sheetName val="F5(Hydro)"/>
      <sheetName val="F5(Koyna)"/>
      <sheetName val="F5(Bhira)"/>
      <sheetName val="F5(Tillari)"/>
      <sheetName val="F5(SHPS)"/>
      <sheetName val="F6(Hydro)"/>
      <sheetName val="F6(Koyna)"/>
      <sheetName val="F6(Tillari)"/>
      <sheetName val="F6(SHPS)"/>
      <sheetName val="F6 Other Finance charges(Hydro)"/>
      <sheetName val="F6 Other Finance charges(Koyna)"/>
      <sheetName val="F7(Hydro)"/>
      <sheetName val="F7(Koyna)"/>
      <sheetName val="F7(Bhira)"/>
      <sheetName val="F7(Tillari)"/>
      <sheetName val="F7(SHPS)"/>
      <sheetName val="F8 (Hydro)"/>
      <sheetName val="F8 (Koyna)"/>
      <sheetName val="F8 (Bhira)"/>
      <sheetName val="F8 (Tillari)"/>
      <sheetName val="F8 (SHPS)"/>
      <sheetName val="F9(Hydro)"/>
      <sheetName val="F9(Koyna)"/>
      <sheetName val="F9(Bhira)"/>
      <sheetName val="F9(Tillari)"/>
      <sheetName val="F9(SHPS)"/>
      <sheetName val="9.1(Hydro)"/>
      <sheetName val="9.1(Koyna)"/>
      <sheetName val="9.1(Bhira)"/>
      <sheetName val="9.1(Tillari)"/>
      <sheetName val="9.1(SHPS)"/>
      <sheetName val="F9.2(KOYNA)"/>
      <sheetName val="F9.2(BHIRA)"/>
      <sheetName val="F9.2(Tillari) "/>
      <sheetName val="F9.2(SHPS)"/>
      <sheetName val="F9.3(Koyna)"/>
      <sheetName val="F9.3(Bhira)"/>
      <sheetName val="F9.3(Tillari)"/>
      <sheetName val="F9.3(SHPS)"/>
      <sheetName val="F10(Hydro)"/>
      <sheetName val="F10(Koyna)"/>
      <sheetName val="F10(Bhira)"/>
      <sheetName val="F10(Tillari)"/>
      <sheetName val="F10(SHPS)"/>
      <sheetName val="F11(Hydro)"/>
      <sheetName val="F11(Koyna)"/>
      <sheetName val="F11(Bhira)"/>
      <sheetName val="F11(Tillari)"/>
      <sheetName val="F11(SHPS)"/>
      <sheetName val="F12(Hydro)"/>
      <sheetName val="F13(Hydro)"/>
      <sheetName val="FY 15-16"/>
      <sheetName val="FY 16-17"/>
      <sheetName val="Sheet2"/>
    </sheetNames>
    <sheetDataSet>
      <sheetData sheetId="0"/>
      <sheetData sheetId="1"/>
      <sheetData sheetId="2">
        <row r="3">
          <cell r="B3">
            <v>5.7534246575342465</v>
          </cell>
        </row>
        <row r="4">
          <cell r="B4">
            <v>15.296438356164384</v>
          </cell>
        </row>
        <row r="5">
          <cell r="D5">
            <v>9.4246575342465757</v>
          </cell>
        </row>
        <row r="6">
          <cell r="D6">
            <v>18.969863013698628</v>
          </cell>
        </row>
        <row r="7">
          <cell r="D7">
            <v>19.934931506849313</v>
          </cell>
        </row>
        <row r="8">
          <cell r="D8">
            <v>6.0246575342465754</v>
          </cell>
        </row>
        <row r="9">
          <cell r="D9">
            <v>5.0602739726027401</v>
          </cell>
        </row>
        <row r="10">
          <cell r="D10">
            <v>19.217808219178082</v>
          </cell>
        </row>
        <row r="11">
          <cell r="D11">
            <v>8</v>
          </cell>
        </row>
        <row r="12">
          <cell r="D12">
            <v>8</v>
          </cell>
        </row>
        <row r="13">
          <cell r="D13">
            <v>22.054794520547944</v>
          </cell>
        </row>
        <row r="14">
          <cell r="D14">
            <v>23.206849315068496</v>
          </cell>
        </row>
        <row r="16">
          <cell r="G16">
            <v>6.0904109589041093</v>
          </cell>
        </row>
        <row r="17">
          <cell r="G17">
            <v>6.3904109589041092</v>
          </cell>
        </row>
        <row r="18">
          <cell r="G18">
            <v>10.36986301369863</v>
          </cell>
        </row>
        <row r="40">
          <cell r="M40">
            <v>0.14050000000000001</v>
          </cell>
        </row>
        <row r="41">
          <cell r="M41">
            <v>0.10787671232876712</v>
          </cell>
        </row>
        <row r="42">
          <cell r="M42">
            <v>0.10195342465753425</v>
          </cell>
        </row>
        <row r="43">
          <cell r="M43">
            <v>9.4500000000000001E-2</v>
          </cell>
        </row>
        <row r="47">
          <cell r="P47">
            <v>4.2705939682075394E-2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2">
          <cell r="O52">
            <v>10.36</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Index"/>
      <sheetName val="F1 (BSL-3)"/>
      <sheetName val="F1.1(BSL-3)"/>
      <sheetName val="F2.1 (BSL-3)"/>
      <sheetName val="F2.2 (BSL-3)"/>
      <sheetName val="F2.3 (BSL-3)"/>
      <sheetName val="F2.4 (BSL-3)"/>
      <sheetName val="F2.8 (BSL-3)"/>
      <sheetName val="F 2.8 (BSL 3)"/>
      <sheetName val="Trippings FY 17-18"/>
      <sheetName val="F3 (BSL-3)"/>
      <sheetName val="F3.1 (BSL-3)"/>
      <sheetName val="F3.2 (BSL-3)"/>
      <sheetName val="F3.3 (BSL-3)"/>
      <sheetName val="F3.4 (BSL-3)"/>
      <sheetName val="F4 (BSL-3)"/>
      <sheetName val="F4.1 (BSL-3)"/>
      <sheetName val="F4.2 (BSL-3)"/>
      <sheetName val="F4.3 (BSL-3)"/>
      <sheetName val="F5 (BSL-3)"/>
      <sheetName val="F15"/>
      <sheetName val="F6 (Bhusawal 2-3)"/>
      <sheetName val="F6 OFinC(BSL-3)"/>
      <sheetName val="F9 (BSL-3)"/>
      <sheetName val="F7 (BSL-3)"/>
      <sheetName val="F8 (BSL-3)"/>
      <sheetName val="F9.1 (BSL-3)"/>
      <sheetName val="F9.2 (BSL-3)"/>
      <sheetName val="F9.3 (BSL-3)"/>
      <sheetName val="F10 (BSL-3)"/>
      <sheetName val="F11 (BSL-3)"/>
      <sheetName val="F12 (BSL-3)"/>
      <sheetName val="F13 (BSL-3)"/>
    </sheetNames>
    <sheetDataSet>
      <sheetData sheetId="0">
        <row r="45">
          <cell r="N45">
            <v>8.0027397260273965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Index"/>
      <sheetName val="F1 (BSL-3)"/>
      <sheetName val="F1.1(BSL-3)"/>
      <sheetName val="F2.1 (BSL-3)"/>
      <sheetName val="F2.2 (BSL-3)"/>
      <sheetName val="F2.3 (BSL-3)"/>
      <sheetName val="F2.4 (BSL-3)"/>
      <sheetName val="F2.8 (BSL-3)"/>
      <sheetName val="F 2.8 (BSL 3)"/>
      <sheetName val="Trippings FY 17-18"/>
      <sheetName val="F3 (BSL-3)"/>
      <sheetName val="F3.1 (BSL-3)"/>
      <sheetName val="F3.2 (BSL-3)"/>
      <sheetName val="F3.3 (BSL-3)"/>
      <sheetName val="F3.4 (BSL-3)"/>
      <sheetName val="F4 (BSL-3)"/>
      <sheetName val="F4.1 (BSL-3)"/>
      <sheetName val="F4.2 (BSL-3)"/>
      <sheetName val="F4.3 (BSL-3)"/>
      <sheetName val="F5 (BSL-3)"/>
      <sheetName val="F15"/>
      <sheetName val="F6 (Bhusawal 2-3)"/>
      <sheetName val="F6 OFinC(BSL-3)"/>
      <sheetName val="F9 (BSL-3)"/>
      <sheetName val="F7 (BSL-3)"/>
      <sheetName val="F8 (BSL-3)"/>
      <sheetName val="F9.1 (BSL-3)"/>
      <sheetName val="F9.2 (BSL-3)"/>
      <sheetName val="F9.3 (BSL-3)"/>
      <sheetName val="F10 (BSL-3)"/>
      <sheetName val="F11 (BSL-3)"/>
      <sheetName val="F12 (BSL-3)"/>
      <sheetName val="F13 (BSL-3)"/>
    </sheetNames>
    <sheetDataSet>
      <sheetData sheetId="0">
        <row r="45">
          <cell r="N45">
            <v>8.0027397260273965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F5"/>
      <sheetName val="Sheet1"/>
      <sheetName val="F 5(CHN)"/>
      <sheetName val="F 5(BSL)"/>
      <sheetName val="F 5(KPKD)"/>
      <sheetName val="F 5(KRD)"/>
      <sheetName val="F 5(Nashik)"/>
      <sheetName val="F 5(Parli)"/>
      <sheetName val="F 5(Uran)"/>
      <sheetName val="F 5(Parli 6-7)"/>
      <sheetName val="F 5(Paras 3-4)"/>
      <sheetName val="F 5(KPKD 5)"/>
      <sheetName val="F 5(BSL 4-5)"/>
      <sheetName val="F 5(KRD660)"/>
      <sheetName val="F 5(CHN 8-9)"/>
      <sheetName val="F 5(Parli 8)"/>
      <sheetName val="F 5(Hydro)"/>
      <sheetName val="Sheet3"/>
    </sheetNames>
    <sheetDataSet>
      <sheetData sheetId="0"/>
      <sheetData sheetId="1">
        <row r="45">
          <cell r="O45">
            <v>7.0027397260273965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F5"/>
      <sheetName val="Sheet1"/>
      <sheetName val="F 5(CHN)"/>
      <sheetName val="F 5(BSL)"/>
      <sheetName val="F 5(KPKD)"/>
      <sheetName val="F 5(KRD)"/>
      <sheetName val="F 5(Nashik)"/>
      <sheetName val="F 5(Parli)"/>
      <sheetName val="F 5(Uran)"/>
      <sheetName val="F 5(Parli 6-7)"/>
      <sheetName val="F 5(Paras 3-4)"/>
      <sheetName val="F 5(KPKD 5)"/>
      <sheetName val="F 5(BSL 4-5)"/>
      <sheetName val="F 5(KRD660)"/>
      <sheetName val="F 5(CHN 8-9)"/>
      <sheetName val="F 5(Parli 8)"/>
      <sheetName val="F 5(Hydro)"/>
      <sheetName val="Sheet3"/>
    </sheetNames>
    <sheetDataSet>
      <sheetData sheetId="0"/>
      <sheetData sheetId="1">
        <row r="45">
          <cell r="O45">
            <v>7.0027397260273965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
      <sheetName val="2000-01"/>
      <sheetName val="2001-02"/>
      <sheetName val="2002-03"/>
      <sheetName val="2003-04"/>
      <sheetName val="2004-05"/>
      <sheetName val="2005-06"/>
      <sheetName val="2006-07"/>
      <sheetName val="2007-08"/>
      <sheetName val="2008-09"/>
      <sheetName val="Sheet1"/>
      <sheetName val="In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Balance Sheet"/>
      <sheetName val="Profit and Loss"/>
      <sheetName val="Suppl. Info."/>
      <sheetName val="Cashflow"/>
      <sheetName val="macro"/>
      <sheetName val="Upload"/>
      <sheetName val="Commentary"/>
      <sheetName val="ICDN's Received"/>
      <sheetName val="Accr and Prepay"/>
      <sheetName val="Manpower"/>
      <sheetName val="2000-01"/>
    </sheetNames>
    <sheetDataSet>
      <sheetData sheetId="0"/>
      <sheetData sheetId="1" refreshError="1">
        <row r="62">
          <cell r="J62">
            <v>13449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PL"/>
      <sheetName val="Lead CF"/>
      <sheetName val="Lead BS"/>
      <sheetName val="PL_Index"/>
      <sheetName val="PL1"/>
      <sheetName val="PL2"/>
      <sheetName val="PL3"/>
      <sheetName val="PL4"/>
      <sheetName val="PL5"/>
      <sheetName val="PL6-Revenue Bridge"/>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WC_Index"/>
      <sheetName val="WC1"/>
      <sheetName val="WC2"/>
      <sheetName val="FC_Index"/>
      <sheetName val="FC1"/>
      <sheetName val="FC2"/>
      <sheetName val="AG_Index"/>
      <sheetName val="AG1"/>
      <sheetName val="AG2"/>
      <sheetName val="AG3"/>
      <sheetName val="AG4"/>
      <sheetName val="AG5"/>
      <sheetName val="AG6"/>
      <sheetName val="Sheet8S"/>
      <sheetName val="Sheet4S"/>
      <sheetName val="Sheet01S"/>
      <sheetName val="Sheet12S"/>
      <sheetName val="2000-0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A6" t="str">
            <v>Currency:Rsm</v>
          </cell>
          <cell r="E6" t="str">
            <v>end points</v>
          </cell>
          <cell r="F6" t="str">
            <v>blank neg</v>
          </cell>
          <cell r="G6" t="str">
            <v>red neg</v>
          </cell>
          <cell r="H6" t="str">
            <v>grn neg</v>
          </cell>
          <cell r="I6" t="str">
            <v>blank pos</v>
          </cell>
          <cell r="J6" t="str">
            <v>red pos</v>
          </cell>
          <cell r="K6" t="str">
            <v>grn pos</v>
          </cell>
        </row>
        <row r="7">
          <cell r="A7" t="str">
            <v>FY09 Revenue</v>
          </cell>
          <cell r="E7">
            <v>8405.1759999999995</v>
          </cell>
        </row>
        <row r="8">
          <cell r="A8" t="str">
            <v>Industrial PNG - PV</v>
          </cell>
          <cell r="F8">
            <v>0</v>
          </cell>
          <cell r="G8">
            <v>0</v>
          </cell>
          <cell r="H8">
            <v>0</v>
          </cell>
          <cell r="I8">
            <v>5606.0249999999996</v>
          </cell>
          <cell r="J8">
            <v>2799.1510415459989</v>
          </cell>
          <cell r="K8">
            <v>0</v>
          </cell>
        </row>
        <row r="9">
          <cell r="A9" t="str">
            <v>Industrial PNG - VV</v>
          </cell>
          <cell r="F9">
            <v>0</v>
          </cell>
          <cell r="G9">
            <v>0</v>
          </cell>
          <cell r="H9">
            <v>0</v>
          </cell>
          <cell r="I9">
            <v>5606.0249999999996</v>
          </cell>
          <cell r="J9">
            <v>0</v>
          </cell>
          <cell r="K9">
            <v>5581.0111705459985</v>
          </cell>
        </row>
        <row r="10">
          <cell r="A10" t="str">
            <v>Other PNG segment - PV</v>
          </cell>
          <cell r="F10">
            <v>0</v>
          </cell>
          <cell r="G10">
            <v>0</v>
          </cell>
          <cell r="H10">
            <v>0</v>
          </cell>
          <cell r="I10">
            <v>11187.036</v>
          </cell>
          <cell r="J10">
            <v>0</v>
          </cell>
          <cell r="K10">
            <v>7.4050595397975743</v>
          </cell>
        </row>
        <row r="11">
          <cell r="A11" t="str">
            <v>Other PNG segment - VV</v>
          </cell>
          <cell r="F11">
            <v>0</v>
          </cell>
          <cell r="G11">
            <v>0</v>
          </cell>
          <cell r="H11">
            <v>0</v>
          </cell>
          <cell r="I11">
            <v>11194.441000000001</v>
          </cell>
          <cell r="J11">
            <v>0</v>
          </cell>
          <cell r="K11">
            <v>108.63957953191741</v>
          </cell>
        </row>
        <row r="12">
          <cell r="A12" t="str">
            <v>CNG  - PV</v>
          </cell>
          <cell r="F12">
            <v>0</v>
          </cell>
          <cell r="G12">
            <v>0</v>
          </cell>
          <cell r="H12">
            <v>0</v>
          </cell>
          <cell r="I12">
            <v>11284.778</v>
          </cell>
          <cell r="J12">
            <v>18.302668007728577</v>
          </cell>
          <cell r="K12">
            <v>0</v>
          </cell>
        </row>
        <row r="13">
          <cell r="A13" t="str">
            <v>CNG  - VV</v>
          </cell>
          <cell r="F13">
            <v>0</v>
          </cell>
          <cell r="G13">
            <v>0</v>
          </cell>
          <cell r="H13">
            <v>0</v>
          </cell>
          <cell r="I13">
            <v>11284.778</v>
          </cell>
          <cell r="J13">
            <v>0</v>
          </cell>
          <cell r="K13">
            <v>599.19994500772827</v>
          </cell>
        </row>
        <row r="14">
          <cell r="A14" t="str">
            <v>FY10 Revenue</v>
          </cell>
          <cell r="E14">
            <v>11883.978000000001</v>
          </cell>
          <cell r="F14">
            <v>0</v>
          </cell>
          <cell r="G14">
            <v>0</v>
          </cell>
          <cell r="H14">
            <v>0</v>
          </cell>
          <cell r="I14">
            <v>0</v>
          </cell>
          <cell r="J14">
            <v>0</v>
          </cell>
          <cell r="K14">
            <v>0</v>
          </cell>
        </row>
        <row r="15">
          <cell r="A15" t="str">
            <v>Industrial - PV</v>
          </cell>
          <cell r="F15">
            <v>0</v>
          </cell>
          <cell r="G15">
            <v>0</v>
          </cell>
          <cell r="H15">
            <v>0</v>
          </cell>
          <cell r="I15">
            <v>11883.978000000001</v>
          </cell>
          <cell r="J15">
            <v>0</v>
          </cell>
          <cell r="K15">
            <v>1744.8258249846979</v>
          </cell>
        </row>
        <row r="16">
          <cell r="A16" t="str">
            <v>Industrial - VV</v>
          </cell>
          <cell r="F16">
            <v>0</v>
          </cell>
          <cell r="G16">
            <v>0</v>
          </cell>
          <cell r="H16">
            <v>0</v>
          </cell>
          <cell r="I16">
            <v>13628.804</v>
          </cell>
          <cell r="J16">
            <v>0</v>
          </cell>
          <cell r="K16">
            <v>3762.8489450153015</v>
          </cell>
        </row>
        <row r="17">
          <cell r="A17" t="str">
            <v>Other PNG segment - PV</v>
          </cell>
          <cell r="F17">
            <v>0</v>
          </cell>
          <cell r="G17">
            <v>0</v>
          </cell>
          <cell r="H17">
            <v>0</v>
          </cell>
          <cell r="I17">
            <v>17391.652999999998</v>
          </cell>
          <cell r="J17">
            <v>0</v>
          </cell>
          <cell r="K17">
            <v>7.0388676541106268</v>
          </cell>
        </row>
        <row r="18">
          <cell r="A18" t="str">
            <v>Other PNG segment - VV</v>
          </cell>
          <cell r="F18">
            <v>0</v>
          </cell>
          <cell r="G18">
            <v>0</v>
          </cell>
          <cell r="H18">
            <v>0</v>
          </cell>
          <cell r="I18">
            <v>17398.691999999999</v>
          </cell>
          <cell r="J18">
            <v>0</v>
          </cell>
          <cell r="K18">
            <v>245.81202308588939</v>
          </cell>
        </row>
        <row r="19">
          <cell r="A19" t="str">
            <v>CNG  - PV</v>
          </cell>
          <cell r="F19">
            <v>0</v>
          </cell>
          <cell r="G19">
            <v>0</v>
          </cell>
          <cell r="H19">
            <v>0</v>
          </cell>
          <cell r="I19">
            <v>17644.504000000001</v>
          </cell>
          <cell r="J19">
            <v>0</v>
          </cell>
          <cell r="K19">
            <v>262.91937287053116</v>
          </cell>
        </row>
        <row r="20">
          <cell r="A20" t="str">
            <v>CNG  - VV</v>
          </cell>
          <cell r="F20">
            <v>0</v>
          </cell>
          <cell r="G20">
            <v>0</v>
          </cell>
          <cell r="H20">
            <v>0</v>
          </cell>
          <cell r="I20">
            <v>17907.423000000003</v>
          </cell>
          <cell r="J20">
            <v>0</v>
          </cell>
          <cell r="K20">
            <v>640.28400210946882</v>
          </cell>
        </row>
        <row r="21">
          <cell r="A21" t="str">
            <v>FY11 Revenue</v>
          </cell>
          <cell r="E21">
            <v>18547.707000000002</v>
          </cell>
          <cell r="F21">
            <v>0</v>
          </cell>
          <cell r="G21">
            <v>0</v>
          </cell>
          <cell r="H21">
            <v>0</v>
          </cell>
          <cell r="I21">
            <v>0</v>
          </cell>
          <cell r="J21">
            <v>0</v>
          </cell>
          <cell r="K21">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Index"/>
      <sheetName val="Trial Report"/>
      <sheetName val="PL"/>
      <sheetName val="BalanceSheet"/>
      <sheetName val="Sch_BS_Share Capita"/>
      <sheetName val="Sch_BS_Other_Liabilities"/>
      <sheetName val="Sch_BS_Assets"/>
      <sheetName val="Sch_BS_FA"/>
      <sheetName val="Sch_PL_Revenue"/>
      <sheetName val="Sch_PL_Exp"/>
      <sheetName val="Sheet1"/>
      <sheetName val="Sch_BS_Liabilities"/>
      <sheetName val="01-Balance sheet-IGAAP_AdaniEnt"/>
      <sheetName val="PL6-Revenue Bridge"/>
      <sheetName val="CoA"/>
      <sheetName val="ANAL"/>
      <sheetName val="Balance Sheet"/>
      <sheetName val="Masters"/>
    </sheetNames>
    <sheetDataSet>
      <sheetData sheetId="0">
        <row r="9">
          <cell r="E9" t="str">
            <v>CONSO_IGAAP</v>
          </cell>
        </row>
        <row r="15">
          <cell r="E15">
            <v>1</v>
          </cell>
        </row>
        <row r="16">
          <cell r="E16" t="str">
            <v>TOTALADJ</v>
          </cell>
        </row>
        <row r="17">
          <cell r="E17" t="str">
            <v>LC</v>
          </cell>
        </row>
        <row r="18">
          <cell r="E18" t="str">
            <v>F_CLO</v>
          </cell>
        </row>
        <row r="19">
          <cell r="E19" t="str">
            <v>NON_GROUP</v>
          </cell>
        </row>
        <row r="20">
          <cell r="E20" t="str">
            <v>ALL_INTERCO</v>
          </cell>
        </row>
        <row r="21">
          <cell r="E21" t="str">
            <v>YTD</v>
          </cell>
        </row>
        <row r="22">
          <cell r="E22" t="str">
            <v>ALL_SEGMENTS</v>
          </cell>
        </row>
        <row r="23">
          <cell r="E23" t="str">
            <v>V100</v>
          </cell>
        </row>
        <row r="25">
          <cell r="E25" t="str">
            <v>C2000</v>
          </cell>
        </row>
        <row r="26">
          <cell r="E26" t="str">
            <v>2011.JUN</v>
          </cell>
        </row>
        <row r="27">
          <cell r="E27" t="str">
            <v>Property value</v>
          </cell>
        </row>
        <row r="31">
          <cell r="E31" t="str">
            <v>2011.JUN</v>
          </cell>
        </row>
        <row r="32">
          <cell r="E32" t="str">
            <v>MONTH</v>
          </cell>
        </row>
        <row r="33">
          <cell r="E33" t="str">
            <v>3</v>
          </cell>
        </row>
        <row r="34">
          <cell r="E34">
            <v>-12</v>
          </cell>
        </row>
      </sheetData>
      <sheetData sheetId="1">
        <row r="11">
          <cell r="K11" t="str">
            <v>2011.JUN</v>
          </cell>
        </row>
      </sheetData>
      <sheetData sheetId="2"/>
      <sheetData sheetId="3">
        <row r="3">
          <cell r="E3" t="str">
            <v>CONSO_IGAAP</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UD"/>
      <sheetName val="10A"/>
      <sheetName val="80G"/>
      <sheetName val="80_"/>
      <sheetName val="SI"/>
      <sheetName val="EI_MAT"/>
      <sheetName val="FRINGE_BENEFIT_INFO"/>
      <sheetName val="IT_DDTP"/>
      <sheetName val="FSI"/>
      <sheetName val="TR_FA"/>
      <sheetName val="DDT_TDS_TCS"/>
      <sheetName val="Instructions"/>
      <sheetName val="Pre_XML"/>
      <sheetName val="Calculator"/>
      <sheetName val="Setoff"/>
      <sheetName val="PL6-Revenue Bridge"/>
      <sheetName val="Assumption_PwC"/>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4">
          <cell r="B84" t="str">
            <v>01-ANDAMAN AND NICOBAR ISLANDS</v>
          </cell>
        </row>
        <row r="85">
          <cell r="B85" t="str">
            <v>02-ANDHRA PRADESH</v>
          </cell>
        </row>
        <row r="86">
          <cell r="B86" t="str">
            <v>03-ARUNACHAL PRADESH</v>
          </cell>
        </row>
        <row r="87">
          <cell r="B87" t="str">
            <v>04-ASSAM</v>
          </cell>
        </row>
        <row r="88">
          <cell r="B88" t="str">
            <v>05-BIHAR</v>
          </cell>
        </row>
        <row r="89">
          <cell r="B89" t="str">
            <v>06-CHANDIGARH</v>
          </cell>
        </row>
        <row r="90">
          <cell r="B90" t="str">
            <v>07-DADRA AND NAGAR HAVELI</v>
          </cell>
        </row>
        <row r="91">
          <cell r="B91" t="str">
            <v>08-DAMAN AND DIU</v>
          </cell>
        </row>
        <row r="92">
          <cell r="B92" t="str">
            <v>09-DELHI</v>
          </cell>
        </row>
        <row r="93">
          <cell r="B93" t="str">
            <v>10-GOA</v>
          </cell>
        </row>
        <row r="94">
          <cell r="B94" t="str">
            <v>11-GUJARAT</v>
          </cell>
        </row>
        <row r="95">
          <cell r="B95" t="str">
            <v>12-HARYANA</v>
          </cell>
        </row>
        <row r="96">
          <cell r="B96" t="str">
            <v>13-HIMACHAL PRADESH</v>
          </cell>
        </row>
        <row r="97">
          <cell r="B97" t="str">
            <v>14-JAMMU AND KASHMIR</v>
          </cell>
        </row>
        <row r="98">
          <cell r="B98" t="str">
            <v>15-KARNATAKA</v>
          </cell>
        </row>
        <row r="99">
          <cell r="B99" t="str">
            <v>16-KERALA</v>
          </cell>
        </row>
        <row r="100">
          <cell r="B100" t="str">
            <v>17-LAKHSWADEEP</v>
          </cell>
        </row>
        <row r="101">
          <cell r="B101" t="str">
            <v>18-MADHYA PRADESH</v>
          </cell>
        </row>
        <row r="102">
          <cell r="B102" t="str">
            <v>19-MAHARASHTRA</v>
          </cell>
        </row>
        <row r="103">
          <cell r="B103" t="str">
            <v>20-MANIPUR</v>
          </cell>
        </row>
        <row r="104">
          <cell r="B104" t="str">
            <v>21-MEGHALAYA</v>
          </cell>
        </row>
        <row r="105">
          <cell r="B105" t="str">
            <v>22-MIZORAM</v>
          </cell>
        </row>
        <row r="106">
          <cell r="B106" t="str">
            <v>23-NAGALAND</v>
          </cell>
        </row>
        <row r="107">
          <cell r="B107" t="str">
            <v>24-ORISSA</v>
          </cell>
        </row>
        <row r="108">
          <cell r="B108" t="str">
            <v>25-PONDICHERRY</v>
          </cell>
        </row>
        <row r="109">
          <cell r="B109" t="str">
            <v>26-PUNJAB</v>
          </cell>
        </row>
        <row r="110">
          <cell r="B110" t="str">
            <v>27-RAJASTHAN</v>
          </cell>
        </row>
        <row r="111">
          <cell r="B111" t="str">
            <v>28-SIKKIM</v>
          </cell>
        </row>
        <row r="112">
          <cell r="B112" t="str">
            <v>29-TAMILNADU</v>
          </cell>
        </row>
        <row r="113">
          <cell r="B113" t="str">
            <v>30-TRIPURA</v>
          </cell>
        </row>
        <row r="114">
          <cell r="B114" t="str">
            <v>31-UTTAR PRADESH</v>
          </cell>
        </row>
        <row r="115">
          <cell r="B115" t="str">
            <v>32-WEST BENGAL</v>
          </cell>
        </row>
        <row r="116">
          <cell r="B116" t="str">
            <v>33-CHHATISHGARH</v>
          </cell>
        </row>
        <row r="117">
          <cell r="B117" t="str">
            <v>34-UTTARANCHAL</v>
          </cell>
        </row>
        <row r="118">
          <cell r="B118" t="str">
            <v>35-JHARKHAND</v>
          </cell>
        </row>
        <row r="119">
          <cell r="B119" t="str">
            <v>99-FOREIGN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Balance Sheet"/>
      <sheetName val="Sheet1"/>
      <sheetName val="Profit and Loss"/>
      <sheetName val="Cashflow"/>
      <sheetName val="Supplement info"/>
      <sheetName val="Macros"/>
      <sheetName val="Settings"/>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RsCroresBS"/>
      <sheetName val="AD"/>
      <sheetName val="NP"/>
      <sheetName val="SOCIE"/>
      <sheetName val="CFS"/>
      <sheetName val="CFW"/>
      <sheetName val="Consolidation"/>
      <sheetName val="Ind AS 101"/>
      <sheetName val="FI - FV"/>
      <sheetName val="DTL"/>
      <sheetName val="Corp"/>
      <sheetName val="RTB"/>
      <sheetName val="Misc"/>
      <sheetName val="ME"/>
      <sheetName val="Sale Memo"/>
      <sheetName val="Adj"/>
      <sheetName val="Reco"/>
      <sheetName val="Backup101"/>
      <sheetName val="80G"/>
      <sheetName val="Assumptions"/>
    </sheetNames>
    <sheetDataSet>
      <sheetData sheetId="0">
        <row r="4">
          <cell r="I4">
            <v>6.4855</v>
          </cell>
        </row>
      </sheetData>
      <sheetData sheetId="1"/>
      <sheetData sheetId="2"/>
      <sheetData sheetId="3">
        <row r="1">
          <cell r="K1" t="str">
            <v>31.03.2017</v>
          </cell>
          <cell r="L1" t="str">
            <v>31.03.2016</v>
          </cell>
          <cell r="M1" t="str">
            <v>01.04.2015</v>
          </cell>
        </row>
        <row r="2">
          <cell r="K2" t="str">
            <v>2016 - 17</v>
          </cell>
          <cell r="L2" t="str">
            <v>2015 - 16</v>
          </cell>
        </row>
      </sheetData>
      <sheetData sheetId="4"/>
      <sheetData sheetId="5"/>
      <sheetData sheetId="6">
        <row r="10">
          <cell r="B10">
            <v>-2000706814.3555815</v>
          </cell>
        </row>
      </sheetData>
      <sheetData sheetId="7">
        <row r="7">
          <cell r="C7">
            <v>357109970914</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RsCroresBS"/>
      <sheetName val="AD"/>
      <sheetName val="NP"/>
      <sheetName val="SOCIE"/>
      <sheetName val="CFS"/>
      <sheetName val="CFW"/>
      <sheetName val="Consolidation"/>
      <sheetName val="Ind AS 101"/>
      <sheetName val="FI - FV"/>
      <sheetName val="DTL"/>
      <sheetName val="Corp"/>
      <sheetName val="RTB"/>
      <sheetName val="Misc"/>
      <sheetName val="ME"/>
      <sheetName val="Sale Memo"/>
      <sheetName val="Adj"/>
      <sheetName val="Reco"/>
      <sheetName val="Backup101"/>
    </sheetNames>
    <sheetDataSet>
      <sheetData sheetId="0">
        <row r="4">
          <cell r="I4">
            <v>6.4855</v>
          </cell>
        </row>
      </sheetData>
      <sheetData sheetId="1"/>
      <sheetData sheetId="2"/>
      <sheetData sheetId="3">
        <row r="1">
          <cell r="K1" t="str">
            <v>31.03.2017</v>
          </cell>
          <cell r="L1" t="str">
            <v>31.03.2016</v>
          </cell>
          <cell r="M1" t="str">
            <v>01.04.2015</v>
          </cell>
        </row>
        <row r="2">
          <cell r="K2" t="str">
            <v>2016 - 17</v>
          </cell>
          <cell r="L2" t="str">
            <v>2015 - 16</v>
          </cell>
        </row>
      </sheetData>
      <sheetData sheetId="4"/>
      <sheetData sheetId="5"/>
      <sheetData sheetId="6">
        <row r="10">
          <cell r="B10">
            <v>-2000706814.3555815</v>
          </cell>
        </row>
      </sheetData>
      <sheetData sheetId="7">
        <row r="7">
          <cell r="C7">
            <v>357109970914</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ty Results (2)"/>
      <sheetName val="FORMAT"/>
      <sheetName val="Main Bs (2)"/>
      <sheetName val="Outside"/>
      <sheetName val="Outside entry"/>
      <sheetName val="QR-Millions"/>
      <sheetName val="Qrty Results"/>
      <sheetName val="Segmental Report"/>
      <sheetName val="CLBS"/>
      <sheetName val="Main Bs"/>
      <sheetName val="Inter Unit"/>
      <sheetName val="Analysis"/>
      <sheetName val="ratios"/>
      <sheetName val="CashFlow"/>
      <sheetName val="QR-EX_RH"/>
      <sheetName val="Qrty Results (3)"/>
      <sheetName val="QR-EX-OI"/>
      <sheetName val="ASSAY-new"/>
      <sheetName val="zpctb-dta"/>
      <sheetName val="Sheet1"/>
      <sheetName val="Details"/>
      <sheetName val="REFNCOMPARE"/>
      <sheetName val="EESL IN VPCL"/>
      <sheetName val="VPCL-1000"/>
      <sheetName val="Scenarios"/>
      <sheetName val="Title"/>
      <sheetName val="200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M3" t="str">
            <v>(Rs. in Millions)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 val="Title"/>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NP"/>
      <sheetName val="PP"/>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4">
          <cell r="B14">
            <v>0</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C01 (2)"/>
      <sheetName val="DEC01"/>
      <sheetName val="sep01"/>
      <sheetName val="March 01"/>
      <sheetName val="December2k"/>
      <sheetName val="SEPT 2000 (R)"/>
      <sheetName val="SEPT 2000"/>
      <sheetName val="JUNE 2000"/>
      <sheetName val="Dec"/>
      <sheetName val="Sept"/>
      <sheetName val="june"/>
      <sheetName val="March'99"/>
      <sheetName val="VPCL-1000"/>
      <sheetName val="Scenarios"/>
      <sheetName val="COST SHEET WORKING  -vizag"/>
      <sheetName val="extra"/>
      <sheetName val="Controls"/>
      <sheetName val="toggles"/>
      <sheetName val="P&amp;L"/>
      <sheetName val="DEC01_(2)"/>
      <sheetName val="March_01"/>
      <sheetName val="SEPT_2000_(R)"/>
      <sheetName val="SEPT_2000"/>
      <sheetName val="JUNE_2000"/>
      <sheetName val="COST_SHEET_WORKING__-vizag"/>
      <sheetName val="Input"/>
      <sheetName val="calc"/>
      <sheetName val="Main Bs"/>
    </sheetNames>
    <sheetDataSet>
      <sheetData sheetId="0" refreshError="1"/>
      <sheetData sheetId="1" refreshError="1"/>
      <sheetData sheetId="2" refreshError="1"/>
      <sheetData sheetId="3" refreshError="1">
        <row r="1">
          <cell r="A1" t="str">
            <v>ESSAR STEEL LIMITED</v>
          </cell>
        </row>
        <row r="2">
          <cell r="A2" t="str">
            <v>SCHEDULE V AS ON 30.09.2001</v>
          </cell>
        </row>
        <row r="4">
          <cell r="C4" t="str">
            <v>GROSS BLOCK</v>
          </cell>
          <cell r="G4" t="str">
            <v>DEPRECIATION</v>
          </cell>
          <cell r="K4" t="str">
            <v>NET BLOCK</v>
          </cell>
        </row>
        <row r="5">
          <cell r="C5" t="str">
            <v>Balance as on</v>
          </cell>
          <cell r="D5" t="str">
            <v xml:space="preserve">Addition during </v>
          </cell>
          <cell r="E5" t="str">
            <v xml:space="preserve">Deletion during </v>
          </cell>
          <cell r="F5" t="str">
            <v>Balance as on</v>
          </cell>
          <cell r="G5" t="str">
            <v>Balance as on</v>
          </cell>
          <cell r="H5" t="str">
            <v xml:space="preserve">For the </v>
          </cell>
          <cell r="I5" t="str">
            <v>Withdrawls/</v>
          </cell>
          <cell r="J5" t="str">
            <v>Balance as on</v>
          </cell>
          <cell r="K5" t="str">
            <v>Balance as on</v>
          </cell>
          <cell r="L5" t="str">
            <v>Balance as on</v>
          </cell>
        </row>
        <row r="6">
          <cell r="B6" t="str">
            <v>Bus Area</v>
          </cell>
          <cell r="C6" t="str">
            <v>01.04.2001</v>
          </cell>
          <cell r="D6" t="str">
            <v>period</v>
          </cell>
          <cell r="E6" t="str">
            <v>period</v>
          </cell>
          <cell r="F6" t="str">
            <v>30.09.2001</v>
          </cell>
          <cell r="G6" t="str">
            <v>01.04.2001</v>
          </cell>
          <cell r="H6" t="str">
            <v>year</v>
          </cell>
          <cell r="I6" t="str">
            <v>written back</v>
          </cell>
          <cell r="J6" t="str">
            <v>30.09.2001</v>
          </cell>
          <cell r="K6" t="str">
            <v>30.09.2001</v>
          </cell>
          <cell r="L6" t="str">
            <v>31.03.2001</v>
          </cell>
        </row>
        <row r="7">
          <cell r="A7" t="str">
            <v>HBI</v>
          </cell>
        </row>
        <row r="8">
          <cell r="A8" t="str">
            <v>LAND</v>
          </cell>
          <cell r="B8">
            <v>1100</v>
          </cell>
          <cell r="C8">
            <v>15823090.9</v>
          </cell>
          <cell r="F8">
            <v>15823090.9</v>
          </cell>
          <cell r="G8">
            <v>0</v>
          </cell>
          <cell r="J8">
            <v>0</v>
          </cell>
          <cell r="K8">
            <v>15823090.9</v>
          </cell>
          <cell r="L8">
            <v>15823090.9</v>
          </cell>
        </row>
        <row r="9">
          <cell r="A9" t="str">
            <v>BUILDINGS</v>
          </cell>
          <cell r="B9">
            <v>1100</v>
          </cell>
          <cell r="C9">
            <v>319227652.68000001</v>
          </cell>
          <cell r="F9">
            <v>319227652.68000001</v>
          </cell>
          <cell r="G9">
            <v>165467883.11000001</v>
          </cell>
          <cell r="H9">
            <v>5000591</v>
          </cell>
          <cell r="J9">
            <v>170468474.11000001</v>
          </cell>
          <cell r="K9">
            <v>148759178.56999999</v>
          </cell>
          <cell r="L9">
            <v>153759769.56999999</v>
          </cell>
        </row>
        <row r="10">
          <cell r="A10" t="str">
            <v>PLANT &amp; MACHINERY</v>
          </cell>
          <cell r="B10">
            <v>1100</v>
          </cell>
          <cell r="C10">
            <v>8502250247.75</v>
          </cell>
          <cell r="D10">
            <v>80886321</v>
          </cell>
          <cell r="F10">
            <v>8583136568.75</v>
          </cell>
          <cell r="G10">
            <v>4848111145.0500002</v>
          </cell>
          <cell r="H10">
            <v>266337262.19</v>
          </cell>
          <cell r="J10">
            <v>5114448407.2399998</v>
          </cell>
          <cell r="K10">
            <v>3468688161.5100002</v>
          </cell>
          <cell r="L10">
            <v>3654139102.6999998</v>
          </cell>
        </row>
        <row r="11">
          <cell r="A11" t="str">
            <v>FURNITURE &amp; FIXTURE</v>
          </cell>
          <cell r="B11">
            <v>1100</v>
          </cell>
          <cell r="C11">
            <v>12436890.470000001</v>
          </cell>
          <cell r="F11">
            <v>12436890.470000001</v>
          </cell>
          <cell r="G11">
            <v>10556844.18</v>
          </cell>
          <cell r="H11">
            <v>170623</v>
          </cell>
          <cell r="J11">
            <v>10727467.18</v>
          </cell>
          <cell r="K11">
            <v>1709423.290000001</v>
          </cell>
          <cell r="L11">
            <v>1880046.290000001</v>
          </cell>
        </row>
        <row r="12">
          <cell r="A12" t="str">
            <v>OFFICE EQUIPMENT</v>
          </cell>
          <cell r="B12">
            <v>1100</v>
          </cell>
          <cell r="C12">
            <v>25197558.239999998</v>
          </cell>
          <cell r="F12">
            <v>25197558.239999998</v>
          </cell>
          <cell r="G12">
            <v>22121039.68</v>
          </cell>
          <cell r="H12">
            <v>270419</v>
          </cell>
          <cell r="J12">
            <v>22391458.68</v>
          </cell>
          <cell r="K12">
            <v>2806099.5599999987</v>
          </cell>
          <cell r="L12">
            <v>3076518.5599999987</v>
          </cell>
        </row>
        <row r="13">
          <cell r="A13" t="str">
            <v>VEHICLES</v>
          </cell>
          <cell r="B13">
            <v>1100</v>
          </cell>
          <cell r="C13">
            <v>3102311.71</v>
          </cell>
          <cell r="F13">
            <v>3102311.71</v>
          </cell>
          <cell r="G13">
            <v>2782295.04</v>
          </cell>
          <cell r="H13">
            <v>42438</v>
          </cell>
          <cell r="J13">
            <v>2824733.04</v>
          </cell>
          <cell r="K13">
            <v>277578.66999999993</v>
          </cell>
          <cell r="L13">
            <v>320016.66999999993</v>
          </cell>
        </row>
        <row r="14">
          <cell r="A14" t="str">
            <v>SHIPS</v>
          </cell>
          <cell r="B14">
            <v>1100</v>
          </cell>
          <cell r="C14">
            <v>689563031</v>
          </cell>
          <cell r="F14">
            <v>689563031</v>
          </cell>
          <cell r="G14">
            <v>184888702.30000001</v>
          </cell>
          <cell r="H14">
            <v>25302850</v>
          </cell>
          <cell r="J14">
            <v>210191552.30000001</v>
          </cell>
          <cell r="K14">
            <v>479371478.69999999</v>
          </cell>
          <cell r="L14">
            <v>504674328.69999999</v>
          </cell>
        </row>
        <row r="15">
          <cell r="A15" t="str">
            <v>AIRCRAFT</v>
          </cell>
          <cell r="B15">
            <v>1100</v>
          </cell>
          <cell r="C15">
            <v>0</v>
          </cell>
          <cell r="F15">
            <v>0</v>
          </cell>
          <cell r="G15">
            <v>0</v>
          </cell>
          <cell r="J15">
            <v>0</v>
          </cell>
          <cell r="K15">
            <v>0</v>
          </cell>
          <cell r="L15">
            <v>0</v>
          </cell>
        </row>
        <row r="16">
          <cell r="A16" t="str">
            <v>RAILWAY SIDING &amp; WAGONS</v>
          </cell>
          <cell r="B16">
            <v>1100</v>
          </cell>
          <cell r="C16">
            <v>179163743.00999999</v>
          </cell>
          <cell r="F16">
            <v>179163743.00999999</v>
          </cell>
          <cell r="G16">
            <v>61671285.68</v>
          </cell>
          <cell r="H16">
            <v>4266798</v>
          </cell>
          <cell r="J16">
            <v>65938083.68</v>
          </cell>
          <cell r="K16">
            <v>113225659.32999998</v>
          </cell>
          <cell r="L16">
            <v>117492457.32999998</v>
          </cell>
        </row>
        <row r="17">
          <cell r="C17">
            <v>9746764525.7599983</v>
          </cell>
          <cell r="D17">
            <v>80886321</v>
          </cell>
          <cell r="E17">
            <v>0</v>
          </cell>
          <cell r="F17">
            <v>9827650846.7599983</v>
          </cell>
          <cell r="G17">
            <v>5295599195.0400009</v>
          </cell>
          <cell r="H17">
            <v>301390981.19</v>
          </cell>
          <cell r="I17">
            <v>0</v>
          </cell>
          <cell r="J17">
            <v>5596990176.2300005</v>
          </cell>
          <cell r="K17">
            <v>4230660670.5299997</v>
          </cell>
          <cell r="L17">
            <v>4451165330.7199993</v>
          </cell>
        </row>
        <row r="18">
          <cell r="A18" t="str">
            <v>HRC</v>
          </cell>
        </row>
        <row r="19">
          <cell r="A19" t="str">
            <v xml:space="preserve"> LAND</v>
          </cell>
          <cell r="B19">
            <v>1500</v>
          </cell>
          <cell r="C19">
            <v>315389153.70999998</v>
          </cell>
          <cell r="E19">
            <v>159232</v>
          </cell>
          <cell r="F19">
            <v>315229921.70999998</v>
          </cell>
          <cell r="G19">
            <v>0</v>
          </cell>
          <cell r="J19">
            <v>0</v>
          </cell>
          <cell r="K19">
            <v>315229921.70999998</v>
          </cell>
          <cell r="L19">
            <v>315389153.70999998</v>
          </cell>
        </row>
        <row r="20">
          <cell r="A20" t="str">
            <v>BUILDINGS</v>
          </cell>
          <cell r="B20">
            <v>1500</v>
          </cell>
          <cell r="C20">
            <v>4070285083.3099999</v>
          </cell>
          <cell r="D20">
            <v>162946</v>
          </cell>
          <cell r="F20">
            <v>4070448029.3099999</v>
          </cell>
          <cell r="G20">
            <v>1724727022.8700001</v>
          </cell>
          <cell r="H20">
            <v>109221993</v>
          </cell>
          <cell r="J20">
            <v>1833949015.8700001</v>
          </cell>
          <cell r="K20">
            <v>2236499013.4399996</v>
          </cell>
          <cell r="L20">
            <v>2345558060.4399996</v>
          </cell>
        </row>
        <row r="21">
          <cell r="A21" t="str">
            <v>PLANT &amp; MACHINERY</v>
          </cell>
          <cell r="B21">
            <v>1500</v>
          </cell>
          <cell r="C21">
            <v>49626502718.139999</v>
          </cell>
          <cell r="D21">
            <v>9911802</v>
          </cell>
          <cell r="F21">
            <v>49636414520.139999</v>
          </cell>
          <cell r="G21">
            <v>12298017846</v>
          </cell>
          <cell r="H21">
            <v>1637899619</v>
          </cell>
          <cell r="J21">
            <v>13935917465</v>
          </cell>
          <cell r="K21">
            <v>35700497055.139999</v>
          </cell>
          <cell r="L21">
            <v>37328484872.139999</v>
          </cell>
        </row>
        <row r="22">
          <cell r="A22" t="str">
            <v>FURNITURE &amp; FIXTURE</v>
          </cell>
          <cell r="B22">
            <v>1500</v>
          </cell>
          <cell r="C22">
            <v>143125001.62</v>
          </cell>
          <cell r="D22">
            <v>25975</v>
          </cell>
          <cell r="F22">
            <v>143150976.62</v>
          </cell>
          <cell r="G22">
            <v>111692050.62</v>
          </cell>
          <cell r="H22">
            <v>2854410</v>
          </cell>
          <cell r="J22">
            <v>114546460.62</v>
          </cell>
          <cell r="K22">
            <v>28604516</v>
          </cell>
          <cell r="L22">
            <v>31432951</v>
          </cell>
        </row>
        <row r="23">
          <cell r="A23" t="str">
            <v>OFFICE EQUIPMENT</v>
          </cell>
          <cell r="B23">
            <v>1500</v>
          </cell>
          <cell r="C23">
            <v>299067230.81999999</v>
          </cell>
          <cell r="D23">
            <v>3744535</v>
          </cell>
          <cell r="F23">
            <v>302811765.81999999</v>
          </cell>
          <cell r="G23">
            <v>234598630.72999999</v>
          </cell>
          <cell r="H23">
            <v>9735699</v>
          </cell>
          <cell r="J23">
            <v>244334329.72999999</v>
          </cell>
          <cell r="K23">
            <v>58477436.090000004</v>
          </cell>
          <cell r="L23">
            <v>64468600.090000004</v>
          </cell>
        </row>
        <row r="24">
          <cell r="A24" t="str">
            <v>VEHICLES</v>
          </cell>
          <cell r="B24">
            <v>1500</v>
          </cell>
          <cell r="C24">
            <v>41761973.590000004</v>
          </cell>
          <cell r="D24">
            <v>1233431.45</v>
          </cell>
          <cell r="E24">
            <v>4308581</v>
          </cell>
          <cell r="F24">
            <v>38686824.040000007</v>
          </cell>
          <cell r="G24">
            <v>28393348.780000001</v>
          </cell>
          <cell r="H24">
            <v>1883090</v>
          </cell>
          <cell r="I24">
            <v>2188218.06</v>
          </cell>
          <cell r="J24">
            <v>28088220.720000003</v>
          </cell>
          <cell r="K24">
            <v>10598603.320000004</v>
          </cell>
          <cell r="L24">
            <v>13368624.810000002</v>
          </cell>
        </row>
        <row r="25">
          <cell r="A25" t="str">
            <v>SHIPS</v>
          </cell>
          <cell r="C25">
            <v>0</v>
          </cell>
          <cell r="F25">
            <v>0</v>
          </cell>
          <cell r="G25">
            <v>0</v>
          </cell>
          <cell r="J25">
            <v>0</v>
          </cell>
          <cell r="K25">
            <v>0</v>
          </cell>
          <cell r="L25">
            <v>0</v>
          </cell>
        </row>
        <row r="26">
          <cell r="A26" t="str">
            <v>AIRCRAFT</v>
          </cell>
          <cell r="B26">
            <v>1500</v>
          </cell>
          <cell r="C26">
            <v>43471480</v>
          </cell>
          <cell r="F26">
            <v>43471480</v>
          </cell>
          <cell r="G26">
            <v>28710073.91</v>
          </cell>
          <cell r="H26">
            <v>1198950</v>
          </cell>
          <cell r="J26">
            <v>29909023.91</v>
          </cell>
          <cell r="K26">
            <v>13562456.09</v>
          </cell>
          <cell r="L26">
            <v>14761406.09</v>
          </cell>
        </row>
        <row r="27">
          <cell r="A27" t="str">
            <v>RAILWAY SIDING &amp; WAGONS</v>
          </cell>
          <cell r="B27">
            <v>1500</v>
          </cell>
          <cell r="C27">
            <v>129930090.22</v>
          </cell>
          <cell r="F27">
            <v>129930090.22</v>
          </cell>
          <cell r="G27">
            <v>31658165.609999999</v>
          </cell>
          <cell r="H27">
            <v>3329662</v>
          </cell>
          <cell r="J27">
            <v>34987827.609999999</v>
          </cell>
          <cell r="K27">
            <v>94942262.609999999</v>
          </cell>
          <cell r="L27">
            <v>98271924.609999999</v>
          </cell>
        </row>
        <row r="28">
          <cell r="C28">
            <v>54669532731.409996</v>
          </cell>
          <cell r="D28">
            <v>15078689.449999999</v>
          </cell>
          <cell r="E28">
            <v>4467813</v>
          </cell>
          <cell r="F28">
            <v>54680143607.860001</v>
          </cell>
          <cell r="G28">
            <v>14457797138.520002</v>
          </cell>
          <cell r="H28">
            <v>1766123423</v>
          </cell>
          <cell r="I28">
            <v>2188218.06</v>
          </cell>
          <cell r="J28">
            <v>16221732343.460001</v>
          </cell>
          <cell r="K28">
            <v>38458411264.399994</v>
          </cell>
          <cell r="L28">
            <v>40211735592.889992</v>
          </cell>
        </row>
        <row r="29">
          <cell r="A29" t="str">
            <v>CORPORATE</v>
          </cell>
        </row>
        <row r="30">
          <cell r="A30" t="str">
            <v xml:space="preserve"> LAND</v>
          </cell>
          <cell r="C30">
            <v>0</v>
          </cell>
          <cell r="F30">
            <v>0</v>
          </cell>
          <cell r="G30">
            <v>0</v>
          </cell>
          <cell r="J30">
            <v>0</v>
          </cell>
          <cell r="K30">
            <v>0</v>
          </cell>
          <cell r="L30">
            <v>0</v>
          </cell>
        </row>
        <row r="31">
          <cell r="A31" t="str">
            <v>BUILDINGS</v>
          </cell>
          <cell r="B31">
            <v>1900</v>
          </cell>
          <cell r="C31">
            <v>6086179</v>
          </cell>
          <cell r="F31">
            <v>6086179</v>
          </cell>
          <cell r="G31">
            <v>3586069</v>
          </cell>
          <cell r="H31">
            <v>67444</v>
          </cell>
          <cell r="J31">
            <v>3653513</v>
          </cell>
          <cell r="K31">
            <v>2432666</v>
          </cell>
          <cell r="L31">
            <v>2500110</v>
          </cell>
        </row>
        <row r="32">
          <cell r="A32" t="str">
            <v>PLANT &amp; MACHINERY</v>
          </cell>
          <cell r="C32">
            <v>0</v>
          </cell>
          <cell r="F32">
            <v>0</v>
          </cell>
          <cell r="G32">
            <v>0</v>
          </cell>
          <cell r="J32">
            <v>0</v>
          </cell>
          <cell r="K32">
            <v>0</v>
          </cell>
          <cell r="L32">
            <v>0</v>
          </cell>
        </row>
        <row r="33">
          <cell r="A33" t="str">
            <v>FURNITURE &amp; FIXTURE</v>
          </cell>
          <cell r="B33">
            <v>1900</v>
          </cell>
          <cell r="C33">
            <v>18650264.300000001</v>
          </cell>
          <cell r="D33">
            <v>54250</v>
          </cell>
          <cell r="F33">
            <v>18704514.300000001</v>
          </cell>
          <cell r="G33">
            <v>15368792</v>
          </cell>
          <cell r="H33">
            <v>299908</v>
          </cell>
          <cell r="J33">
            <v>15668700</v>
          </cell>
          <cell r="K33">
            <v>3035814.3000000007</v>
          </cell>
          <cell r="L33">
            <v>3281472.3000000007</v>
          </cell>
        </row>
        <row r="34">
          <cell r="A34" t="str">
            <v>OFFICE EQUIPMENT</v>
          </cell>
          <cell r="B34">
            <v>1900</v>
          </cell>
          <cell r="C34">
            <v>19895306.559999999</v>
          </cell>
          <cell r="D34">
            <v>655570</v>
          </cell>
          <cell r="F34">
            <v>20550876.559999999</v>
          </cell>
          <cell r="G34">
            <v>15159783</v>
          </cell>
          <cell r="H34">
            <v>592607</v>
          </cell>
          <cell r="J34">
            <v>15752390</v>
          </cell>
          <cell r="K34">
            <v>4798486.5599999987</v>
          </cell>
          <cell r="L34">
            <v>4735523.5599999987</v>
          </cell>
        </row>
        <row r="35">
          <cell r="A35" t="str">
            <v>VEHICLES</v>
          </cell>
          <cell r="B35">
            <v>1900</v>
          </cell>
          <cell r="C35">
            <v>28326299.68</v>
          </cell>
          <cell r="F35">
            <v>28326299.68</v>
          </cell>
          <cell r="G35">
            <v>15234849</v>
          </cell>
          <cell r="H35">
            <v>1695955</v>
          </cell>
          <cell r="J35">
            <v>16930804</v>
          </cell>
          <cell r="K35">
            <v>11395495.68</v>
          </cell>
          <cell r="L35">
            <v>13091450.68</v>
          </cell>
        </row>
        <row r="36">
          <cell r="A36" t="str">
            <v>SHIPS</v>
          </cell>
          <cell r="C36">
            <v>0</v>
          </cell>
          <cell r="F36">
            <v>0</v>
          </cell>
          <cell r="G36">
            <v>0</v>
          </cell>
          <cell r="J36">
            <v>0</v>
          </cell>
          <cell r="K36">
            <v>0</v>
          </cell>
          <cell r="L36">
            <v>0</v>
          </cell>
        </row>
        <row r="37">
          <cell r="A37" t="str">
            <v>AIRCRAFT</v>
          </cell>
          <cell r="C37">
            <v>0</v>
          </cell>
          <cell r="F37">
            <v>0</v>
          </cell>
          <cell r="G37">
            <v>0</v>
          </cell>
          <cell r="J37">
            <v>0</v>
          </cell>
          <cell r="K37">
            <v>0</v>
          </cell>
          <cell r="L37">
            <v>0</v>
          </cell>
        </row>
        <row r="38">
          <cell r="A38" t="str">
            <v>RAILWAY SIDING &amp; WAGONS</v>
          </cell>
          <cell r="C38">
            <v>0</v>
          </cell>
          <cell r="F38">
            <v>0</v>
          </cell>
          <cell r="G38">
            <v>0</v>
          </cell>
          <cell r="J38">
            <v>0</v>
          </cell>
          <cell r="K38">
            <v>0</v>
          </cell>
          <cell r="L38">
            <v>0</v>
          </cell>
        </row>
        <row r="39">
          <cell r="C39">
            <v>72958049.539999992</v>
          </cell>
          <cell r="D39">
            <v>709820</v>
          </cell>
          <cell r="E39">
            <v>0</v>
          </cell>
          <cell r="F39">
            <v>73667869.539999992</v>
          </cell>
          <cell r="G39">
            <v>49349493</v>
          </cell>
          <cell r="H39">
            <v>2655914</v>
          </cell>
          <cell r="I39">
            <v>0</v>
          </cell>
          <cell r="J39">
            <v>52005407</v>
          </cell>
          <cell r="K39">
            <v>21662462.539999999</v>
          </cell>
          <cell r="L39">
            <v>23608556.539999999</v>
          </cell>
        </row>
        <row r="40">
          <cell r="A40" t="str">
            <v>TOTAL</v>
          </cell>
        </row>
        <row r="41">
          <cell r="A41" t="str">
            <v xml:space="preserve"> LAND</v>
          </cell>
          <cell r="C41">
            <v>331212244.60999995</v>
          </cell>
          <cell r="D41">
            <v>0</v>
          </cell>
          <cell r="E41">
            <v>159232</v>
          </cell>
          <cell r="F41">
            <v>331053012.60999995</v>
          </cell>
          <cell r="G41">
            <v>0</v>
          </cell>
          <cell r="H41">
            <v>0</v>
          </cell>
          <cell r="I41">
            <v>0</v>
          </cell>
          <cell r="J41">
            <v>0</v>
          </cell>
          <cell r="K41">
            <v>331053012.60999995</v>
          </cell>
          <cell r="L41">
            <v>331212244.60999995</v>
          </cell>
        </row>
        <row r="42">
          <cell r="A42" t="str">
            <v>BUILDINGS</v>
          </cell>
          <cell r="C42">
            <v>4395598914.9899998</v>
          </cell>
          <cell r="D42">
            <v>162946</v>
          </cell>
          <cell r="E42">
            <v>0</v>
          </cell>
          <cell r="F42">
            <v>4395761860.9899998</v>
          </cell>
          <cell r="G42">
            <v>1893780974.98</v>
          </cell>
          <cell r="H42">
            <v>114290028</v>
          </cell>
          <cell r="I42">
            <v>0</v>
          </cell>
          <cell r="J42">
            <v>2008071002.98</v>
          </cell>
          <cell r="K42">
            <v>2387690858.0099998</v>
          </cell>
          <cell r="L42">
            <v>2501817940.0099998</v>
          </cell>
        </row>
        <row r="43">
          <cell r="A43" t="str">
            <v>PLANT &amp; MACHINERY</v>
          </cell>
          <cell r="C43">
            <v>58128752965.889999</v>
          </cell>
          <cell r="D43">
            <v>90798123</v>
          </cell>
          <cell r="E43">
            <v>0</v>
          </cell>
          <cell r="F43">
            <v>58219551088.889999</v>
          </cell>
          <cell r="G43">
            <v>17146128991.049999</v>
          </cell>
          <cell r="H43">
            <v>1904236881.1900001</v>
          </cell>
          <cell r="I43">
            <v>0</v>
          </cell>
          <cell r="J43">
            <v>19050365872.239998</v>
          </cell>
          <cell r="K43">
            <v>39169185216.650002</v>
          </cell>
          <cell r="L43">
            <v>40982623974.839996</v>
          </cell>
        </row>
        <row r="44">
          <cell r="A44" t="str">
            <v>FURNITURE &amp; FIXTURE</v>
          </cell>
          <cell r="C44">
            <v>174212156.39000002</v>
          </cell>
          <cell r="D44">
            <v>80225</v>
          </cell>
          <cell r="E44">
            <v>0</v>
          </cell>
          <cell r="F44">
            <v>174292381.39000002</v>
          </cell>
          <cell r="G44">
            <v>137617686.80000001</v>
          </cell>
          <cell r="H44">
            <v>3324941</v>
          </cell>
          <cell r="I44">
            <v>0</v>
          </cell>
          <cell r="J44">
            <v>140942627.80000001</v>
          </cell>
          <cell r="K44">
            <v>33349753.590000004</v>
          </cell>
          <cell r="L44">
            <v>36594469.589999996</v>
          </cell>
        </row>
        <row r="45">
          <cell r="A45" t="str">
            <v>OFFICE EQUIPMENT</v>
          </cell>
          <cell r="C45">
            <v>344160095.62</v>
          </cell>
          <cell r="D45">
            <v>4400105</v>
          </cell>
          <cell r="E45">
            <v>0</v>
          </cell>
          <cell r="F45">
            <v>348560200.62</v>
          </cell>
          <cell r="G45">
            <v>271879453.40999997</v>
          </cell>
          <cell r="H45">
            <v>10598725</v>
          </cell>
          <cell r="I45">
            <v>0</v>
          </cell>
          <cell r="J45">
            <v>282478178.40999997</v>
          </cell>
          <cell r="K45">
            <v>66082022.210000008</v>
          </cell>
          <cell r="L45">
            <v>72280642.210000008</v>
          </cell>
        </row>
        <row r="46">
          <cell r="A46" t="str">
            <v>VEHICLES</v>
          </cell>
          <cell r="C46">
            <v>73190584.980000004</v>
          </cell>
          <cell r="D46">
            <v>1233431.45</v>
          </cell>
          <cell r="E46">
            <v>4308581</v>
          </cell>
          <cell r="F46">
            <v>70115435.430000007</v>
          </cell>
          <cell r="G46">
            <v>46410492.82</v>
          </cell>
          <cell r="H46">
            <v>3621483</v>
          </cell>
          <cell r="I46">
            <v>2188218.06</v>
          </cell>
          <cell r="J46">
            <v>47843757.759999998</v>
          </cell>
          <cell r="K46">
            <v>22271677.670000002</v>
          </cell>
          <cell r="L46">
            <v>26780092.160000004</v>
          </cell>
        </row>
        <row r="47">
          <cell r="A47" t="str">
            <v>SHIPS</v>
          </cell>
          <cell r="C47">
            <v>689563031</v>
          </cell>
          <cell r="D47">
            <v>0</v>
          </cell>
          <cell r="E47">
            <v>0</v>
          </cell>
          <cell r="F47">
            <v>689563031</v>
          </cell>
          <cell r="G47">
            <v>184888702.30000001</v>
          </cell>
          <cell r="H47">
            <v>25302850</v>
          </cell>
          <cell r="I47">
            <v>0</v>
          </cell>
          <cell r="J47">
            <v>210191552.30000001</v>
          </cell>
          <cell r="K47">
            <v>479371478.69999999</v>
          </cell>
          <cell r="L47">
            <v>504674328.69999999</v>
          </cell>
        </row>
        <row r="48">
          <cell r="A48" t="str">
            <v>AIRCRAFT</v>
          </cell>
          <cell r="C48">
            <v>43471480</v>
          </cell>
          <cell r="D48">
            <v>0</v>
          </cell>
          <cell r="E48">
            <v>0</v>
          </cell>
          <cell r="F48">
            <v>43471480</v>
          </cell>
          <cell r="G48">
            <v>28710073.91</v>
          </cell>
          <cell r="H48">
            <v>1198950</v>
          </cell>
          <cell r="I48">
            <v>0</v>
          </cell>
          <cell r="J48">
            <v>29909023.91</v>
          </cell>
          <cell r="K48">
            <v>13562456.09</v>
          </cell>
          <cell r="L48">
            <v>14761406.09</v>
          </cell>
        </row>
        <row r="49">
          <cell r="A49" t="str">
            <v>RAILWAY SIDING &amp; WAGONS</v>
          </cell>
          <cell r="C49">
            <v>309093833.23000002</v>
          </cell>
          <cell r="D49">
            <v>0</v>
          </cell>
          <cell r="E49">
            <v>0</v>
          </cell>
          <cell r="F49">
            <v>309093833.23000002</v>
          </cell>
          <cell r="G49">
            <v>93329451.289999992</v>
          </cell>
          <cell r="H49">
            <v>7596460</v>
          </cell>
          <cell r="I49">
            <v>0</v>
          </cell>
          <cell r="J49">
            <v>100925911.28999999</v>
          </cell>
          <cell r="K49">
            <v>208167921.94</v>
          </cell>
          <cell r="L49">
            <v>215764381.94</v>
          </cell>
        </row>
        <row r="50">
          <cell r="C50">
            <v>64489255306.709991</v>
          </cell>
          <cell r="D50">
            <v>96674830.450000003</v>
          </cell>
          <cell r="E50">
            <v>4467813</v>
          </cell>
          <cell r="F50">
            <v>64581462324.160004</v>
          </cell>
          <cell r="G50">
            <v>19802745826.560005</v>
          </cell>
          <cell r="H50">
            <v>2070170318.1900001</v>
          </cell>
          <cell r="I50">
            <v>2188218.06</v>
          </cell>
          <cell r="J50">
            <v>21870727926.690002</v>
          </cell>
          <cell r="K50">
            <v>42710734397.469994</v>
          </cell>
          <cell r="L50">
            <v>44686509480.149994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02"/>
      <sheetName val="mar02"/>
      <sheetName val="sep02"/>
      <sheetName val="Apr01-Sep02"/>
      <sheetName val="deductions"/>
      <sheetName val="additionsep02"/>
      <sheetName val="SUMMARY02-03"/>
      <sheetName val="01-02 "/>
      <sheetName val="ADDItion0203"/>
      <sheetName val="Sheet1"/>
      <sheetName val="summary01-02"/>
      <sheetName val="deduction"/>
      <sheetName val="addition"/>
      <sheetName val="DEC01"/>
      <sheetName val="summarydec01"/>
      <sheetName val="dec01ded"/>
      <sheetName val="dec01add"/>
      <sheetName val="sep01"/>
      <sheetName val="summary sep01"/>
      <sheetName val="sep01ded"/>
      <sheetName val="sep01add)"/>
      <sheetName val="Masters"/>
      <sheetName val="June_02"/>
      <sheetName val="01-02_"/>
      <sheetName val="summary_sep01"/>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Essar Steel Limited</v>
          </cell>
        </row>
        <row r="2">
          <cell r="B2" t="str">
            <v>Details of sale of fixed Assets during the period Apr -Mar 02</v>
          </cell>
        </row>
        <row r="3">
          <cell r="B3" t="str">
            <v>Doc.No</v>
          </cell>
          <cell r="C3" t="str">
            <v>Cap.date</v>
          </cell>
          <cell r="D3" t="str">
            <v>Name of Item</v>
          </cell>
          <cell r="E3" t="str">
            <v>AstValDate</v>
          </cell>
          <cell r="F3" t="str">
            <v>Acq.Value</v>
          </cell>
          <cell r="G3" t="str">
            <v>Depreciation</v>
          </cell>
        </row>
        <row r="4">
          <cell r="B4" t="str">
            <v>Main number</v>
          </cell>
          <cell r="C4" t="str">
            <v>DocumentNo</v>
          </cell>
          <cell r="D4" t="str">
            <v>Cap.date</v>
          </cell>
          <cell r="E4" t="str">
            <v>Description I</v>
          </cell>
          <cell r="F4" t="str">
            <v>cost</v>
          </cell>
          <cell r="G4" t="str">
            <v>Cum dep.</v>
          </cell>
          <cell r="H4" t="str">
            <v>Sale Value</v>
          </cell>
          <cell r="I4" t="str">
            <v>Profit\loss(-)</v>
          </cell>
        </row>
        <row r="5">
          <cell r="D5" t="str">
            <v>Deactivat.</v>
          </cell>
          <cell r="E5" t="str">
            <v>Description II</v>
          </cell>
        </row>
        <row r="6">
          <cell r="B6" t="str">
            <v>Vehicles</v>
          </cell>
          <cell r="C6" t="str">
            <v>15.05.2001</v>
          </cell>
          <cell r="D6" t="str">
            <v>CD WRITER, SOUND CARD, SPEAKER FOR PURCHASE DEPT.</v>
          </cell>
          <cell r="E6" t="str">
            <v>15.05.2001</v>
          </cell>
          <cell r="F6">
            <v>15000</v>
          </cell>
          <cell r="G6">
            <v>-2285</v>
          </cell>
        </row>
        <row r="7">
          <cell r="B7" t="str">
            <v>B area 1100</v>
          </cell>
        </row>
        <row r="8">
          <cell r="B8">
            <v>330000000004</v>
          </cell>
          <cell r="C8">
            <v>4000087</v>
          </cell>
          <cell r="D8" t="str">
            <v>04.10.1995</v>
          </cell>
          <cell r="E8" t="str">
            <v>GJ-5-FF-1154 MARUTI CAR</v>
          </cell>
          <cell r="F8">
            <v>14642</v>
          </cell>
          <cell r="G8">
            <v>12342.47</v>
          </cell>
          <cell r="H8">
            <v>2271</v>
          </cell>
          <cell r="I8">
            <v>-28.530000000000655</v>
          </cell>
        </row>
        <row r="9">
          <cell r="D9" t="str">
            <v>01.01.2002</v>
          </cell>
          <cell r="E9" t="str">
            <v>6010101-05  MR.PKS.MANI</v>
          </cell>
        </row>
        <row r="10">
          <cell r="B10">
            <v>330000000006</v>
          </cell>
          <cell r="C10">
            <v>4000086</v>
          </cell>
          <cell r="D10" t="str">
            <v>04.10.1995</v>
          </cell>
          <cell r="E10" t="str">
            <v>GJ-5-FF-1154 MARUTI CAR</v>
          </cell>
          <cell r="F10">
            <v>223851</v>
          </cell>
          <cell r="G10">
            <v>188699.2</v>
          </cell>
          <cell r="H10">
            <v>30403</v>
          </cell>
          <cell r="I10">
            <v>-4748.7999999999884</v>
          </cell>
        </row>
        <row r="11">
          <cell r="D11" t="str">
            <v>01.01.2002</v>
          </cell>
          <cell r="E11" t="str">
            <v>6010101-07  MR.PKS.MANI</v>
          </cell>
        </row>
        <row r="12">
          <cell r="B12">
            <v>330000000010</v>
          </cell>
          <cell r="C12">
            <v>4000085</v>
          </cell>
          <cell r="D12" t="str">
            <v>04.10.1995</v>
          </cell>
          <cell r="E12" t="str">
            <v>GJ-5-FF-1154-MARUTI CAR</v>
          </cell>
          <cell r="F12">
            <v>12055</v>
          </cell>
          <cell r="G12">
            <v>10162.58</v>
          </cell>
          <cell r="H12">
            <v>1893</v>
          </cell>
          <cell r="I12">
            <v>0.57999999999992724</v>
          </cell>
        </row>
        <row r="13">
          <cell r="D13" t="str">
            <v>01.01.2002</v>
          </cell>
          <cell r="E13" t="str">
            <v>6010101-11-MR.PKS.MANI</v>
          </cell>
        </row>
        <row r="14">
          <cell r="B14">
            <v>330000000285</v>
          </cell>
          <cell r="C14">
            <v>4000080</v>
          </cell>
          <cell r="D14" t="str">
            <v>01.10.1997</v>
          </cell>
          <cell r="E14" t="str">
            <v>GJ-5-N-7706 MARUTI 1000</v>
          </cell>
          <cell r="F14">
            <v>193857</v>
          </cell>
          <cell r="G14">
            <v>140053</v>
          </cell>
          <cell r="H14">
            <v>53804</v>
          </cell>
          <cell r="I14">
            <v>0</v>
          </cell>
        </row>
        <row r="15">
          <cell r="D15" t="str">
            <v>01.02.2002</v>
          </cell>
          <cell r="E15" t="str">
            <v>USER:CAP S. DAS</v>
          </cell>
        </row>
        <row r="16">
          <cell r="B16">
            <v>2000023</v>
          </cell>
          <cell r="C16" t="str">
            <v>30.04.2001</v>
          </cell>
          <cell r="D16" t="str">
            <v>MULTITECH MODEM 56.3 KBPS</v>
          </cell>
          <cell r="E16" t="str">
            <v>30.04.2001</v>
          </cell>
          <cell r="F16">
            <v>25200</v>
          </cell>
          <cell r="G16">
            <v>-4253</v>
          </cell>
        </row>
        <row r="17">
          <cell r="B17">
            <v>330000000276</v>
          </cell>
          <cell r="C17">
            <v>40000105</v>
          </cell>
          <cell r="D17" t="str">
            <v>01.04.1996</v>
          </cell>
          <cell r="E17" t="str">
            <v>GJ-5-FF-1633-MARUTI CAR Accessories</v>
          </cell>
          <cell r="F17">
            <v>9775</v>
          </cell>
          <cell r="G17">
            <v>8015.75</v>
          </cell>
          <cell r="H17">
            <v>1759.25</v>
          </cell>
          <cell r="I17">
            <v>0</v>
          </cell>
        </row>
        <row r="18">
          <cell r="B18">
            <v>2000023</v>
          </cell>
          <cell r="C18" t="str">
            <v>30.04.2001</v>
          </cell>
          <cell r="D18" t="str">
            <v>01.01.2002</v>
          </cell>
          <cell r="E18" t="str">
            <v xml:space="preserve">  MR.A.TAKOO</v>
          </cell>
          <cell r="F18">
            <v>15800</v>
          </cell>
          <cell r="G18">
            <v>-2667</v>
          </cell>
        </row>
        <row r="19">
          <cell r="B19">
            <v>330000000009</v>
          </cell>
          <cell r="C19">
            <v>40000105</v>
          </cell>
          <cell r="D19" t="str">
            <v>27.11.1995</v>
          </cell>
          <cell r="E19" t="str">
            <v xml:space="preserve">GJ-5-FF-1633-MARUTI CAR </v>
          </cell>
          <cell r="F19">
            <v>221914</v>
          </cell>
          <cell r="G19">
            <v>185539.82</v>
          </cell>
          <cell r="H19">
            <v>66578.33</v>
          </cell>
          <cell r="I19">
            <v>30204.150000000023</v>
          </cell>
        </row>
        <row r="20">
          <cell r="B20">
            <v>2000023</v>
          </cell>
          <cell r="C20" t="str">
            <v>30.04.2001</v>
          </cell>
          <cell r="D20" t="str">
            <v>01.01.2002</v>
          </cell>
          <cell r="E20" t="str">
            <v xml:space="preserve">  MR.A.TAKOO</v>
          </cell>
          <cell r="F20">
            <v>15750</v>
          </cell>
          <cell r="G20">
            <v>-2658</v>
          </cell>
        </row>
        <row r="21">
          <cell r="B21">
            <v>330000000008</v>
          </cell>
          <cell r="C21">
            <v>40000104</v>
          </cell>
          <cell r="D21" t="str">
            <v>27.11.1995</v>
          </cell>
          <cell r="E21" t="str">
            <v>GJ-5-FF-1633-MARUTI CAR Accessories</v>
          </cell>
          <cell r="F21">
            <v>13019</v>
          </cell>
          <cell r="G21">
            <v>10886.58</v>
          </cell>
          <cell r="H21">
            <v>2132.42</v>
          </cell>
          <cell r="I21">
            <v>0</v>
          </cell>
        </row>
        <row r="22">
          <cell r="B22">
            <v>2000023</v>
          </cell>
          <cell r="C22" t="str">
            <v>18.05.2001</v>
          </cell>
          <cell r="D22" t="str">
            <v>02.01.2002</v>
          </cell>
          <cell r="E22" t="str">
            <v xml:space="preserve">  MR.A.TAKOO</v>
          </cell>
          <cell r="F22">
            <v>17472</v>
          </cell>
          <cell r="G22">
            <v>-2604</v>
          </cell>
        </row>
        <row r="24">
          <cell r="B24">
            <v>2000023</v>
          </cell>
          <cell r="C24" t="str">
            <v>18.05.2001</v>
          </cell>
          <cell r="D24" t="str">
            <v>LCD DISPLAY 15"</v>
          </cell>
          <cell r="E24" t="str">
            <v>Total A</v>
          </cell>
          <cell r="F24">
            <v>689113</v>
          </cell>
          <cell r="G24">
            <v>555699.4</v>
          </cell>
          <cell r="H24">
            <v>158841.00000000003</v>
          </cell>
          <cell r="I24">
            <v>25427.400000000034</v>
          </cell>
        </row>
        <row r="26">
          <cell r="B26">
            <v>2000023</v>
          </cell>
          <cell r="C26" t="str">
            <v>31.05.2001</v>
          </cell>
          <cell r="D26" t="str">
            <v>Y2K COMPLIANT SOFTWARE (EPROM)</v>
          </cell>
          <cell r="E26" t="str">
            <v>31.05.2001</v>
          </cell>
          <cell r="F26">
            <v>23400</v>
          </cell>
          <cell r="G26">
            <v>-3154</v>
          </cell>
        </row>
        <row r="27">
          <cell r="B27" t="str">
            <v>B Area 1500</v>
          </cell>
        </row>
        <row r="28">
          <cell r="B28" t="str">
            <v>330000000134</v>
          </cell>
          <cell r="C28">
            <v>4000004</v>
          </cell>
          <cell r="D28" t="str">
            <v>31.10.1994</v>
          </cell>
          <cell r="E28" t="str">
            <v>TN-01-H-8962 PREMIER PADMINI</v>
          </cell>
          <cell r="F28">
            <v>267386</v>
          </cell>
          <cell r="G28">
            <v>232818.86</v>
          </cell>
          <cell r="H28">
            <v>35000</v>
          </cell>
          <cell r="I28">
            <v>432.85999999998603</v>
          </cell>
        </row>
        <row r="29">
          <cell r="D29" t="str">
            <v>31.07.2001</v>
          </cell>
          <cell r="E29" t="str">
            <v>6010103-09-MR.SELVARAJ P.</v>
          </cell>
          <cell r="G29">
            <v>0</v>
          </cell>
        </row>
        <row r="30">
          <cell r="B30" t="str">
            <v>330000000256</v>
          </cell>
          <cell r="C30">
            <v>4000002</v>
          </cell>
          <cell r="D30" t="str">
            <v>05.11.1996</v>
          </cell>
          <cell r="E30" t="str">
            <v>MARUTI ACTG CAR  GJ-5-FF-6270  EN</v>
          </cell>
          <cell r="F30">
            <v>229530</v>
          </cell>
          <cell r="G30">
            <v>171513.94</v>
          </cell>
          <cell r="H30">
            <v>58018</v>
          </cell>
          <cell r="I30">
            <v>1.9400000000023283</v>
          </cell>
        </row>
        <row r="31">
          <cell r="D31" t="str">
            <v>01.07.2001</v>
          </cell>
          <cell r="E31" t="str">
            <v>USER: MR.A.K.DAHIWAL / N.K.MODI</v>
          </cell>
          <cell r="G31">
            <v>0</v>
          </cell>
        </row>
        <row r="32">
          <cell r="B32" t="str">
            <v>330000000291</v>
          </cell>
          <cell r="C32">
            <v>4000000</v>
          </cell>
          <cell r="D32" t="str">
            <v>13.06.1997</v>
          </cell>
          <cell r="E32" t="str">
            <v>Maruti ZEN- GJ-5-PP-185</v>
          </cell>
          <cell r="F32">
            <v>333798.19</v>
          </cell>
          <cell r="G32">
            <v>235394</v>
          </cell>
          <cell r="H32">
            <v>90000</v>
          </cell>
          <cell r="I32">
            <v>-8404.1900000000023</v>
          </cell>
        </row>
        <row r="33">
          <cell r="D33" t="str">
            <v>01.08.2001</v>
          </cell>
          <cell r="E33" t="str">
            <v>User :MR. S. BHATNAGAR</v>
          </cell>
        </row>
        <row r="34">
          <cell r="B34" t="str">
            <v>330000000306</v>
          </cell>
          <cell r="C34">
            <v>4000003</v>
          </cell>
          <cell r="D34" t="str">
            <v>08.05.1997</v>
          </cell>
          <cell r="E34" t="str">
            <v>Maruti 800- GJ-5-PP-6 AC</v>
          </cell>
          <cell r="F34">
            <v>269825.51</v>
          </cell>
          <cell r="G34">
            <v>192626</v>
          </cell>
          <cell r="H34">
            <v>77200</v>
          </cell>
          <cell r="I34">
            <v>0.48999999999068677</v>
          </cell>
        </row>
        <row r="35">
          <cell r="D35" t="str">
            <v>01.08.2001</v>
          </cell>
          <cell r="E35" t="str">
            <v>User : MR.T.K.SUDHARSHAN</v>
          </cell>
          <cell r="G35">
            <v>0</v>
          </cell>
        </row>
        <row r="36">
          <cell r="B36" t="str">
            <v>330000000315</v>
          </cell>
          <cell r="C36">
            <v>2000012</v>
          </cell>
          <cell r="D36" t="str">
            <v>01.04.1998</v>
          </cell>
          <cell r="E36" t="str">
            <v>Maruti GJ-5-N-7832</v>
          </cell>
          <cell r="F36">
            <v>70670</v>
          </cell>
          <cell r="G36">
            <v>43129</v>
          </cell>
          <cell r="H36">
            <v>27520</v>
          </cell>
          <cell r="I36">
            <v>-21</v>
          </cell>
        </row>
        <row r="37">
          <cell r="D37" t="str">
            <v>31.05.2001</v>
          </cell>
          <cell r="E37" t="str">
            <v>USER: MR. K.V.MALLESWARA RAO</v>
          </cell>
        </row>
        <row r="38">
          <cell r="B38" t="str">
            <v>330000000379</v>
          </cell>
          <cell r="C38">
            <v>4000005</v>
          </cell>
          <cell r="D38" t="str">
            <v>03.05.2001</v>
          </cell>
          <cell r="E38" t="str">
            <v>SANTRO LS-HR SURANA-GJ5-AR-1702</v>
          </cell>
          <cell r="F38">
            <v>424645</v>
          </cell>
          <cell r="G38">
            <v>26808</v>
          </cell>
          <cell r="H38">
            <v>265319</v>
          </cell>
          <cell r="I38">
            <v>-132518</v>
          </cell>
        </row>
        <row r="39">
          <cell r="D39" t="str">
            <v>31.07.2001</v>
          </cell>
          <cell r="E39" t="str">
            <v>SANTRO LS-HR SURANA-GJ5-AR-1702</v>
          </cell>
        </row>
        <row r="40">
          <cell r="B40" t="str">
            <v>330000000381</v>
          </cell>
          <cell r="C40">
            <v>1001840</v>
          </cell>
          <cell r="D40" t="str">
            <v>01.04.2001</v>
          </cell>
          <cell r="E40" t="str">
            <v>MARUTI 800 GJ-5-FF-391</v>
          </cell>
          <cell r="F40">
            <v>71779</v>
          </cell>
          <cell r="G40">
            <v>39744</v>
          </cell>
          <cell r="H40">
            <v>32035</v>
          </cell>
          <cell r="I40">
            <v>0</v>
          </cell>
        </row>
        <row r="41">
          <cell r="D41" t="str">
            <v>01.09.2001</v>
          </cell>
          <cell r="E41" t="str">
            <v>USER: MR.P.T.RAO</v>
          </cell>
        </row>
        <row r="42">
          <cell r="B42">
            <v>2000105</v>
          </cell>
          <cell r="C42" t="str">
            <v>13.09.2001</v>
          </cell>
          <cell r="D42" t="str">
            <v>PRINTER,MODEL NO : GS 2415,GODREJ</v>
          </cell>
          <cell r="E42" t="str">
            <v>13.09.2001</v>
          </cell>
          <cell r="F42">
            <v>63116</v>
          </cell>
          <cell r="G42">
            <v>-1245</v>
          </cell>
        </row>
        <row r="43">
          <cell r="B43" t="str">
            <v>330000000261</v>
          </cell>
          <cell r="C43">
            <v>4000008</v>
          </cell>
          <cell r="D43" t="str">
            <v>05.11.1996</v>
          </cell>
          <cell r="E43" t="str">
            <v>MARUTI STD CAR  GJ-5-FF-6247</v>
          </cell>
          <cell r="F43">
            <v>198757</v>
          </cell>
          <cell r="G43">
            <v>151985.26</v>
          </cell>
          <cell r="H43">
            <v>0.01</v>
          </cell>
          <cell r="I43">
            <v>-46771.729999999981</v>
          </cell>
        </row>
        <row r="44">
          <cell r="B44">
            <v>2000144</v>
          </cell>
          <cell r="C44" t="str">
            <v>31.07.2001</v>
          </cell>
          <cell r="D44" t="str">
            <v>30.09.2001</v>
          </cell>
          <cell r="E44" t="str">
            <v>USER: MR.R.M.BHATIA</v>
          </cell>
          <cell r="F44">
            <v>30000</v>
          </cell>
          <cell r="G44">
            <v>-2038</v>
          </cell>
        </row>
        <row r="45">
          <cell r="B45" t="str">
            <v>330000000353</v>
          </cell>
          <cell r="C45">
            <v>4000007</v>
          </cell>
          <cell r="D45" t="str">
            <v>01.04.2000</v>
          </cell>
          <cell r="E45" t="str">
            <v>MARUTI GJ-5-FF-6247-A.C &amp; OTHER ACCORIES</v>
          </cell>
          <cell r="F45">
            <v>35275</v>
          </cell>
          <cell r="G45">
            <v>12508</v>
          </cell>
          <cell r="H45">
            <v>69483</v>
          </cell>
          <cell r="I45">
            <v>46716</v>
          </cell>
        </row>
        <row r="46">
          <cell r="B46">
            <v>2000144</v>
          </cell>
          <cell r="C46" t="str">
            <v>23.07.2001</v>
          </cell>
          <cell r="D46" t="str">
            <v>30.09.2001</v>
          </cell>
          <cell r="E46" t="str">
            <v>USER: MR.R.M.BHATIA</v>
          </cell>
          <cell r="F46">
            <v>234032</v>
          </cell>
          <cell r="G46">
            <v>164493.26</v>
          </cell>
          <cell r="H46">
            <v>69483.009999999995</v>
          </cell>
          <cell r="I46">
            <v>-55.729999999981374</v>
          </cell>
        </row>
        <row r="49">
          <cell r="B49" t="str">
            <v>330000000300</v>
          </cell>
          <cell r="C49">
            <v>4000017</v>
          </cell>
          <cell r="D49" t="str">
            <v>19.05.1997</v>
          </cell>
          <cell r="E49" t="str">
            <v>MARUTI ZEN,GJ-5-FF-9467</v>
          </cell>
          <cell r="F49">
            <v>336731.15</v>
          </cell>
          <cell r="G49">
            <v>244204</v>
          </cell>
          <cell r="H49">
            <v>109017.98</v>
          </cell>
          <cell r="I49">
            <v>16490.829999999958</v>
          </cell>
        </row>
        <row r="50">
          <cell r="D50" t="str">
            <v>30.09.2001</v>
          </cell>
          <cell r="E50" t="str">
            <v>USER:Mr.T SUBRAMANIUM (UGPAWAR)</v>
          </cell>
        </row>
        <row r="51">
          <cell r="B51" t="str">
            <v>330000000300</v>
          </cell>
          <cell r="C51">
            <v>4000018</v>
          </cell>
          <cell r="D51" t="str">
            <v>01.02.1999</v>
          </cell>
          <cell r="E51" t="str">
            <v>MARUTI ZEN,GJ-5-FF-9467</v>
          </cell>
          <cell r="F51">
            <v>9775</v>
          </cell>
          <cell r="G51">
            <v>5295</v>
          </cell>
          <cell r="H51">
            <v>0.01</v>
          </cell>
          <cell r="I51">
            <v>-4479.99</v>
          </cell>
        </row>
        <row r="52">
          <cell r="D52" t="str">
            <v>30.09.2001</v>
          </cell>
          <cell r="E52" t="str">
            <v>USER:Mr.T SUBRAMANIUM (UGPAWAR)</v>
          </cell>
        </row>
        <row r="53">
          <cell r="B53">
            <v>2000223</v>
          </cell>
          <cell r="C53">
            <v>37303</v>
          </cell>
          <cell r="D53" t="str">
            <v>ITSOURCE INDIA PURCHASE OF LAPTOP PC FOR H SHEKAR</v>
          </cell>
          <cell r="E53" t="str">
            <v>16.02.2002</v>
          </cell>
          <cell r="F53">
            <v>346506.15</v>
          </cell>
          <cell r="G53">
            <v>249499</v>
          </cell>
          <cell r="H53">
            <v>109017.98999999999</v>
          </cell>
          <cell r="I53">
            <v>12010.839999999958</v>
          </cell>
        </row>
        <row r="55">
          <cell r="B55" t="str">
            <v>330000000305</v>
          </cell>
          <cell r="C55">
            <v>4000012</v>
          </cell>
          <cell r="D55" t="str">
            <v>28.04.1997</v>
          </cell>
          <cell r="E55" t="str">
            <v>Maruti 800- GJ-5-PP-187 AC</v>
          </cell>
          <cell r="F55">
            <v>229552.15</v>
          </cell>
          <cell r="G55">
            <v>167688</v>
          </cell>
          <cell r="H55">
            <v>63350</v>
          </cell>
          <cell r="I55">
            <v>1485.8500000000058</v>
          </cell>
        </row>
        <row r="56">
          <cell r="D56" t="str">
            <v>30.09.2001</v>
          </cell>
          <cell r="E56" t="str">
            <v>User : MR.MOTILAL CHOUDHARY</v>
          </cell>
        </row>
        <row r="57">
          <cell r="B57" t="str">
            <v>330000000312</v>
          </cell>
          <cell r="C57">
            <v>4000011</v>
          </cell>
          <cell r="D57" t="str">
            <v>02.04.1997</v>
          </cell>
          <cell r="E57" t="str">
            <v>MARUTI STD CAR,GJ-5-FF-3670</v>
          </cell>
          <cell r="F57">
            <v>148108</v>
          </cell>
          <cell r="G57">
            <v>109161</v>
          </cell>
          <cell r="H57">
            <v>46065</v>
          </cell>
          <cell r="I57">
            <v>7118</v>
          </cell>
        </row>
        <row r="58">
          <cell r="D58" t="str">
            <v>30.09.2001</v>
          </cell>
          <cell r="E58" t="str">
            <v>USER:MR.M.M.PALTANWALE</v>
          </cell>
        </row>
        <row r="59">
          <cell r="B59">
            <v>2000234</v>
          </cell>
          <cell r="C59" t="str">
            <v>15.03.2002</v>
          </cell>
          <cell r="D59" t="str">
            <v>WINDOWS 2000 CLIENT LICENSE FOR 25 USERS</v>
          </cell>
          <cell r="E59" t="str">
            <v>15.03.2002</v>
          </cell>
          <cell r="F59">
            <v>35880</v>
          </cell>
          <cell r="G59">
            <v>-668</v>
          </cell>
        </row>
        <row r="60">
          <cell r="B60" t="str">
            <v>330000000331</v>
          </cell>
          <cell r="C60">
            <v>4000019</v>
          </cell>
          <cell r="D60" t="str">
            <v>05.06.1998</v>
          </cell>
          <cell r="E60" t="str">
            <v>MARUTI GJ-5-PP-3024</v>
          </cell>
          <cell r="F60">
            <v>256457</v>
          </cell>
          <cell r="G60">
            <v>159891</v>
          </cell>
          <cell r="H60">
            <v>109138.99</v>
          </cell>
          <cell r="I60">
            <v>12572.989999999991</v>
          </cell>
        </row>
        <row r="61">
          <cell r="B61">
            <v>2000237</v>
          </cell>
          <cell r="C61" t="str">
            <v>24.01.2002</v>
          </cell>
          <cell r="D61" t="str">
            <v>30.09.2001</v>
          </cell>
          <cell r="E61" t="str">
            <v>USER:MR.B.R.BAXI</v>
          </cell>
          <cell r="F61">
            <v>5200</v>
          </cell>
          <cell r="G61">
            <v>-382</v>
          </cell>
        </row>
        <row r="62">
          <cell r="B62" t="str">
            <v>330000000331</v>
          </cell>
          <cell r="C62">
            <v>4000020</v>
          </cell>
          <cell r="D62" t="str">
            <v>07.08.1998</v>
          </cell>
          <cell r="E62" t="str">
            <v>MARUTI GJ-5-PP-3024</v>
          </cell>
          <cell r="F62">
            <v>6992</v>
          </cell>
          <cell r="G62">
            <v>4209</v>
          </cell>
          <cell r="H62">
            <v>0.01</v>
          </cell>
          <cell r="I62">
            <v>-2782.99</v>
          </cell>
        </row>
        <row r="63">
          <cell r="B63">
            <v>2000237</v>
          </cell>
          <cell r="C63" t="str">
            <v>25.01.2002</v>
          </cell>
          <cell r="D63" t="str">
            <v>30.09.2001</v>
          </cell>
          <cell r="E63" t="str">
            <v>USER:MR.B.R.BAXI</v>
          </cell>
          <cell r="F63">
            <v>5200</v>
          </cell>
          <cell r="G63">
            <v>-376</v>
          </cell>
        </row>
        <row r="64">
          <cell r="F64">
            <v>263449</v>
          </cell>
          <cell r="G64">
            <v>164100</v>
          </cell>
          <cell r="H64">
            <v>109139</v>
          </cell>
          <cell r="I64">
            <v>9789.9999999999909</v>
          </cell>
        </row>
        <row r="65">
          <cell r="B65">
            <v>2000237</v>
          </cell>
          <cell r="C65" t="str">
            <v>30.01.2002</v>
          </cell>
          <cell r="D65" t="str">
            <v>PRINTER,DESK JET,COLOUR,HP 850 CR</v>
          </cell>
          <cell r="E65" t="str">
            <v>30.01.2002</v>
          </cell>
          <cell r="F65">
            <v>9350</v>
          </cell>
          <cell r="G65">
            <v>-625</v>
          </cell>
        </row>
        <row r="67">
          <cell r="B67" t="str">
            <v>330000000345</v>
          </cell>
          <cell r="C67">
            <v>4000014</v>
          </cell>
          <cell r="D67" t="str">
            <v>01.04.1999</v>
          </cell>
          <cell r="E67" t="str">
            <v>GJ-5-FF-6617-MARUTI 800 ; USER-P.M.JOSHI</v>
          </cell>
          <cell r="F67">
            <v>139493</v>
          </cell>
          <cell r="G67">
            <v>72770</v>
          </cell>
          <cell r="H67">
            <v>0.01</v>
          </cell>
          <cell r="I67">
            <v>-66722.990000000005</v>
          </cell>
        </row>
        <row r="68">
          <cell r="D68" t="str">
            <v>30.09.2001</v>
          </cell>
          <cell r="E68" t="str">
            <v>USER-P.M.JOSHI</v>
          </cell>
        </row>
        <row r="69">
          <cell r="B69" t="str">
            <v>330000000355</v>
          </cell>
          <cell r="C69">
            <v>4000013</v>
          </cell>
          <cell r="D69" t="str">
            <v>01.04.2000</v>
          </cell>
          <cell r="E69" t="str">
            <v>A.C FOR GJ-5-FF-6617-MARUTI; USER-P.M.JOSHI</v>
          </cell>
          <cell r="F69">
            <v>23000</v>
          </cell>
          <cell r="G69">
            <v>8155</v>
          </cell>
          <cell r="H69">
            <v>42113.99</v>
          </cell>
          <cell r="I69">
            <v>27268.989999999998</v>
          </cell>
        </row>
        <row r="70">
          <cell r="D70" t="str">
            <v>30.09.2001</v>
          </cell>
          <cell r="E70" t="str">
            <v>USER-P.M.JOSHI</v>
          </cell>
        </row>
        <row r="71">
          <cell r="B71">
            <v>2000203</v>
          </cell>
          <cell r="C71" t="str">
            <v>07.11.2001</v>
          </cell>
          <cell r="D71" t="str">
            <v>DESK JET 560 COLOUR INKLET PRINTER,HP</v>
          </cell>
          <cell r="E71" t="str">
            <v>31.12.2001</v>
          </cell>
          <cell r="F71">
            <v>162493</v>
          </cell>
          <cell r="G71">
            <v>80925</v>
          </cell>
          <cell r="H71">
            <v>42114</v>
          </cell>
          <cell r="I71">
            <v>-39454.000000000007</v>
          </cell>
        </row>
        <row r="73">
          <cell r="B73">
            <v>2000203</v>
          </cell>
          <cell r="C73" t="str">
            <v>07.11.2001</v>
          </cell>
          <cell r="D73" t="str">
            <v>UTP CABLE, E.CAT.5,4 PAIR</v>
          </cell>
          <cell r="E73" t="str">
            <v>31.12.2001</v>
          </cell>
          <cell r="F73">
            <v>18254.5</v>
          </cell>
          <cell r="G73">
            <v>-2901</v>
          </cell>
        </row>
        <row r="74">
          <cell r="B74" t="str">
            <v>330000000363</v>
          </cell>
          <cell r="C74">
            <v>4000009</v>
          </cell>
          <cell r="D74" t="str">
            <v>01.12.2000</v>
          </cell>
          <cell r="E74" t="str">
            <v>GJ-5-AR-0058HUNDAI  MR P.PANDE</v>
          </cell>
          <cell r="F74">
            <v>684649</v>
          </cell>
          <cell r="G74">
            <v>138291</v>
          </cell>
          <cell r="H74">
            <v>568010.99</v>
          </cell>
          <cell r="I74">
            <v>21652.989999999991</v>
          </cell>
        </row>
        <row r="75">
          <cell r="B75">
            <v>2000210</v>
          </cell>
          <cell r="C75" t="str">
            <v>31.12.2001</v>
          </cell>
          <cell r="D75" t="str">
            <v>30.09.2001</v>
          </cell>
          <cell r="E75" t="str">
            <v xml:space="preserve">USER-MR. P PANDE </v>
          </cell>
          <cell r="F75">
            <v>9550</v>
          </cell>
          <cell r="G75">
            <v>-952</v>
          </cell>
        </row>
        <row r="76">
          <cell r="B76" t="str">
            <v>330000000363</v>
          </cell>
          <cell r="C76">
            <v>4000010</v>
          </cell>
          <cell r="D76" t="str">
            <v>01.12.2000</v>
          </cell>
          <cell r="E76" t="str">
            <v>GJ-5-AR-0058HUNDAI ACCENT*EXPENSES-</v>
          </cell>
          <cell r="F76">
            <v>15655</v>
          </cell>
          <cell r="G76">
            <v>3162</v>
          </cell>
          <cell r="H76">
            <v>0.01</v>
          </cell>
          <cell r="I76">
            <v>-12492.99</v>
          </cell>
        </row>
        <row r="77">
          <cell r="B77">
            <v>2000210</v>
          </cell>
          <cell r="C77" t="str">
            <v>31.12.2001</v>
          </cell>
          <cell r="D77" t="str">
            <v>30.09.2001</v>
          </cell>
          <cell r="E77" t="str">
            <v xml:space="preserve">USER-MR. P PANDE CHASIS NO </v>
          </cell>
          <cell r="F77">
            <v>11000</v>
          </cell>
          <cell r="G77">
            <v>-1097</v>
          </cell>
        </row>
        <row r="78">
          <cell r="F78">
            <v>700304</v>
          </cell>
          <cell r="G78">
            <v>141453</v>
          </cell>
          <cell r="H78">
            <v>568011</v>
          </cell>
          <cell r="I78">
            <v>9159.9999999999909</v>
          </cell>
        </row>
        <row r="79">
          <cell r="F79">
            <v>4274750.5</v>
          </cell>
          <cell r="G79">
            <v>-524947</v>
          </cell>
        </row>
        <row r="80">
          <cell r="B80" t="str">
            <v>330000000372</v>
          </cell>
          <cell r="C80">
            <v>4000015</v>
          </cell>
          <cell r="D80" t="str">
            <v>29.01.2001</v>
          </cell>
          <cell r="E80" t="str">
            <v>MARUTI*ZEN*GJ*5*AR*766**MR S G WATWAY</v>
          </cell>
          <cell r="F80">
            <v>377984</v>
          </cell>
          <cell r="G80">
            <v>63273</v>
          </cell>
          <cell r="H80">
            <v>127983.99</v>
          </cell>
          <cell r="I80">
            <v>-186727.01</v>
          </cell>
        </row>
        <row r="81">
          <cell r="D81" t="str">
            <v>30.09.2001</v>
          </cell>
          <cell r="E81" t="str">
            <v>CH NO 511286 ENG NO 491523</v>
          </cell>
        </row>
        <row r="82">
          <cell r="B82" t="str">
            <v>330000000372</v>
          </cell>
          <cell r="C82">
            <v>4000016</v>
          </cell>
          <cell r="D82" t="str">
            <v>29.01.2001</v>
          </cell>
          <cell r="E82" t="str">
            <v>MARUTI*ZEN*GJ*5*AR*766*RTO *OCTORI*INSU.</v>
          </cell>
          <cell r="F82">
            <v>45780</v>
          </cell>
          <cell r="G82">
            <v>7663</v>
          </cell>
          <cell r="H82">
            <v>0.01</v>
          </cell>
          <cell r="I82">
            <v>-38116.99</v>
          </cell>
        </row>
        <row r="83">
          <cell r="B83">
            <v>2000002</v>
          </cell>
          <cell r="C83" t="str">
            <v>17.04.2001</v>
          </cell>
          <cell r="D83" t="str">
            <v>30.09.2001</v>
          </cell>
          <cell r="E83" t="str">
            <v>CH NO 511286  USER MR S G WATWAY</v>
          </cell>
          <cell r="F83">
            <v>208000</v>
          </cell>
          <cell r="G83">
            <v>-38067</v>
          </cell>
        </row>
        <row r="84">
          <cell r="F84">
            <v>423764</v>
          </cell>
          <cell r="G84">
            <v>70936</v>
          </cell>
          <cell r="H84">
            <v>127984</v>
          </cell>
          <cell r="I84">
            <v>-224844</v>
          </cell>
        </row>
        <row r="85">
          <cell r="B85">
            <v>32000567</v>
          </cell>
          <cell r="C85" t="str">
            <v>03.05.2001</v>
          </cell>
          <cell r="D85" t="str">
            <v>COMPUTER COMPAQ DP SB FOR MR. J MEHRA AT MUMBAI</v>
          </cell>
          <cell r="E85" t="str">
            <v>03.05.2001</v>
          </cell>
          <cell r="F85">
            <v>58000</v>
          </cell>
          <cell r="G85">
            <v>-9598</v>
          </cell>
        </row>
        <row r="86">
          <cell r="B86" t="str">
            <v>330000000282</v>
          </cell>
          <cell r="C86">
            <v>4000006</v>
          </cell>
          <cell r="D86" t="str">
            <v>01.04.1997</v>
          </cell>
          <cell r="E86" t="str">
            <v>Maruti Car- GJ-5-FF-282*330000000282</v>
          </cell>
          <cell r="F86">
            <v>132738.6</v>
          </cell>
          <cell r="G86">
            <v>97929</v>
          </cell>
          <cell r="H86">
            <v>35111</v>
          </cell>
          <cell r="I86">
            <v>301.39999999999418</v>
          </cell>
        </row>
        <row r="87">
          <cell r="B87">
            <v>32002474</v>
          </cell>
          <cell r="C87" t="str">
            <v>18.07.2001</v>
          </cell>
          <cell r="D87" t="str">
            <v>30.09.2001</v>
          </cell>
          <cell r="E87" t="str">
            <v>DL mali WDV of</v>
          </cell>
          <cell r="F87">
            <v>5200</v>
          </cell>
          <cell r="G87">
            <v>-427</v>
          </cell>
        </row>
      </sheetData>
      <sheetData sheetId="12" refreshError="1">
        <row r="1">
          <cell r="A1" t="str">
            <v>Essar Steel Limited</v>
          </cell>
          <cell r="B1" t="str">
            <v>Essar Steel Limited</v>
          </cell>
        </row>
        <row r="2">
          <cell r="A2" t="str">
            <v>Details of Additions  to Fixed Assets for the period April-Mar 02</v>
          </cell>
          <cell r="B2" t="str">
            <v>Details of sale of fixed Assets during the period Apr -Mar 02</v>
          </cell>
        </row>
        <row r="3">
          <cell r="A3" t="str">
            <v>Main number</v>
          </cell>
          <cell r="B3" t="str">
            <v>Doc.No</v>
          </cell>
          <cell r="C3" t="str">
            <v>Cap.date</v>
          </cell>
          <cell r="D3" t="str">
            <v>Name of Item</v>
          </cell>
          <cell r="E3" t="str">
            <v>AstValDate</v>
          </cell>
          <cell r="F3" t="str">
            <v>Acq.Value</v>
          </cell>
          <cell r="G3" t="str">
            <v>Depreciation</v>
          </cell>
        </row>
        <row r="4">
          <cell r="A4" t="str">
            <v>Off Equip - Computer 1500</v>
          </cell>
          <cell r="B4" t="str">
            <v>Main number</v>
          </cell>
          <cell r="C4" t="str">
            <v>DocumentNo</v>
          </cell>
          <cell r="D4" t="str">
            <v>Cap.date</v>
          </cell>
          <cell r="E4" t="str">
            <v>Description I</v>
          </cell>
          <cell r="F4" t="str">
            <v>cost</v>
          </cell>
          <cell r="G4" t="str">
            <v>Cum dep.</v>
          </cell>
        </row>
        <row r="5">
          <cell r="D5" t="str">
            <v>Deactivat.</v>
          </cell>
          <cell r="E5" t="str">
            <v>Description II</v>
          </cell>
        </row>
        <row r="6">
          <cell r="A6" t="str">
            <v>220000000919</v>
          </cell>
          <cell r="B6">
            <v>2000014</v>
          </cell>
          <cell r="C6" t="str">
            <v>15.05.2001</v>
          </cell>
          <cell r="D6" t="str">
            <v>CD WRITER, SOUND CARD, SPEAKER FOR PURCHASE DEPT.</v>
          </cell>
          <cell r="E6" t="str">
            <v>15.05.2001</v>
          </cell>
          <cell r="F6">
            <v>15000</v>
          </cell>
          <cell r="G6">
            <v>-2285</v>
          </cell>
        </row>
        <row r="7">
          <cell r="B7" t="str">
            <v>B area 1100</v>
          </cell>
        </row>
        <row r="8">
          <cell r="A8" t="str">
            <v>2200000009'22</v>
          </cell>
          <cell r="B8">
            <v>32001811</v>
          </cell>
          <cell r="C8" t="str">
            <v>31.05.2001</v>
          </cell>
          <cell r="D8" t="str">
            <v>PRINTER HP 640C INKJET</v>
          </cell>
          <cell r="E8" t="str">
            <v>31.05.2001</v>
          </cell>
          <cell r="F8">
            <v>5500</v>
          </cell>
          <cell r="G8">
            <v>-741</v>
          </cell>
        </row>
        <row r="9">
          <cell r="D9" t="str">
            <v>01.01.2002</v>
          </cell>
          <cell r="E9" t="str">
            <v>6010101-05  MR.PKS.MANI</v>
          </cell>
        </row>
        <row r="10">
          <cell r="A10" t="str">
            <v>220000000923</v>
          </cell>
          <cell r="B10">
            <v>2000023</v>
          </cell>
          <cell r="C10" t="str">
            <v>21.04.2001</v>
          </cell>
          <cell r="D10" t="str">
            <v>PRINTER HP DESKJET 695 CCI</v>
          </cell>
          <cell r="E10" t="str">
            <v>21.04.2001</v>
          </cell>
          <cell r="F10">
            <v>10600</v>
          </cell>
          <cell r="G10">
            <v>-1893</v>
          </cell>
        </row>
        <row r="11">
          <cell r="D11" t="str">
            <v>01.01.2002</v>
          </cell>
          <cell r="E11" t="str">
            <v>6010101-07  MR.PKS.MANI</v>
          </cell>
        </row>
        <row r="12">
          <cell r="A12" t="str">
            <v>220000000924</v>
          </cell>
          <cell r="B12">
            <v>2000023</v>
          </cell>
          <cell r="C12" t="str">
            <v>21.04.2001</v>
          </cell>
          <cell r="D12" t="str">
            <v>HARD DISC, 1.2GB</v>
          </cell>
          <cell r="E12" t="str">
            <v>21.04.2001</v>
          </cell>
          <cell r="F12">
            <v>20400</v>
          </cell>
          <cell r="G12">
            <v>-3644</v>
          </cell>
        </row>
        <row r="13">
          <cell r="D13" t="str">
            <v>01.01.2002</v>
          </cell>
          <cell r="E13" t="str">
            <v>6010101-11-MR.PKS.MANI</v>
          </cell>
        </row>
        <row r="14">
          <cell r="A14" t="str">
            <v>220000000925</v>
          </cell>
          <cell r="B14">
            <v>2000023</v>
          </cell>
          <cell r="C14" t="str">
            <v>30.04.2001</v>
          </cell>
          <cell r="D14" t="str">
            <v>PRINTER HP DESKJET W/SCANNER ATTACHMENT.</v>
          </cell>
          <cell r="E14" t="str">
            <v>30.04.2001</v>
          </cell>
          <cell r="F14">
            <v>5250</v>
          </cell>
          <cell r="G14">
            <v>-886</v>
          </cell>
        </row>
        <row r="15">
          <cell r="D15" t="str">
            <v>01.02.2002</v>
          </cell>
          <cell r="E15" t="str">
            <v>USER:CAP S. DAS</v>
          </cell>
        </row>
        <row r="16">
          <cell r="A16" t="str">
            <v>220000000926</v>
          </cell>
          <cell r="B16">
            <v>2000023</v>
          </cell>
          <cell r="C16" t="str">
            <v>30.04.2001</v>
          </cell>
          <cell r="D16" t="str">
            <v>MULTITECH MODEM 56.3 KBPS</v>
          </cell>
          <cell r="E16" t="str">
            <v>30.04.2001</v>
          </cell>
          <cell r="F16">
            <v>25200</v>
          </cell>
          <cell r="G16">
            <v>-4253</v>
          </cell>
        </row>
        <row r="17">
          <cell r="B17">
            <v>330000000276</v>
          </cell>
          <cell r="C17">
            <v>40000105</v>
          </cell>
          <cell r="D17" t="str">
            <v>01.04.1996</v>
          </cell>
          <cell r="E17" t="str">
            <v>GJ-5-FF-1633-MARUTI CAR Accessories</v>
          </cell>
          <cell r="F17">
            <v>9775</v>
          </cell>
          <cell r="G17">
            <v>8015.75</v>
          </cell>
        </row>
        <row r="18">
          <cell r="A18" t="str">
            <v>220000000927</v>
          </cell>
          <cell r="B18">
            <v>2000023</v>
          </cell>
          <cell r="C18" t="str">
            <v>30.04.2001</v>
          </cell>
          <cell r="D18" t="str">
            <v>PRINTER HP DESKJET COLOUR 670C</v>
          </cell>
          <cell r="E18" t="str">
            <v>30.04.2001</v>
          </cell>
          <cell r="F18">
            <v>15800</v>
          </cell>
          <cell r="G18">
            <v>-2667</v>
          </cell>
        </row>
        <row r="19">
          <cell r="B19">
            <v>330000000009</v>
          </cell>
          <cell r="C19">
            <v>40000105</v>
          </cell>
          <cell r="D19" t="str">
            <v>27.11.1995</v>
          </cell>
          <cell r="E19" t="str">
            <v xml:space="preserve">GJ-5-FF-1633-MARUTI CAR </v>
          </cell>
          <cell r="F19">
            <v>221914</v>
          </cell>
          <cell r="G19">
            <v>185539.82</v>
          </cell>
        </row>
        <row r="20">
          <cell r="A20" t="str">
            <v>220000000928</v>
          </cell>
          <cell r="B20">
            <v>2000023</v>
          </cell>
          <cell r="C20" t="str">
            <v>30.04.2001</v>
          </cell>
          <cell r="D20" t="str">
            <v>PRINTER HP DESKJET W/SCANNER ATTACHMENT.</v>
          </cell>
          <cell r="E20" t="str">
            <v>30.04.2001</v>
          </cell>
          <cell r="F20">
            <v>15750</v>
          </cell>
          <cell r="G20">
            <v>-2658</v>
          </cell>
        </row>
        <row r="21">
          <cell r="B21">
            <v>330000000008</v>
          </cell>
          <cell r="C21">
            <v>40000104</v>
          </cell>
          <cell r="D21" t="str">
            <v>27.11.1995</v>
          </cell>
          <cell r="E21" t="str">
            <v>GJ-5-FF-1633-MARUTI CAR Accessories</v>
          </cell>
          <cell r="F21">
            <v>13019</v>
          </cell>
          <cell r="G21">
            <v>10886.58</v>
          </cell>
        </row>
        <row r="22">
          <cell r="A22" t="str">
            <v>220000000929</v>
          </cell>
          <cell r="B22">
            <v>2000023</v>
          </cell>
          <cell r="C22" t="str">
            <v>18.05.2001</v>
          </cell>
          <cell r="D22" t="str">
            <v>ANTI VIRUS SOFTWARE</v>
          </cell>
          <cell r="E22" t="str">
            <v>18.05.2001</v>
          </cell>
          <cell r="F22">
            <v>17472</v>
          </cell>
          <cell r="G22">
            <v>-2604</v>
          </cell>
        </row>
        <row r="24">
          <cell r="A24" t="str">
            <v>220000000930</v>
          </cell>
          <cell r="B24">
            <v>2000023</v>
          </cell>
          <cell r="C24" t="str">
            <v>18.05.2001</v>
          </cell>
          <cell r="D24" t="str">
            <v>LCD DISPLAY 15"</v>
          </cell>
          <cell r="E24" t="str">
            <v>18.05.2001</v>
          </cell>
          <cell r="F24">
            <v>106000</v>
          </cell>
          <cell r="G24">
            <v>-15798</v>
          </cell>
        </row>
        <row r="26">
          <cell r="A26" t="str">
            <v>220000000931</v>
          </cell>
          <cell r="B26">
            <v>2000023</v>
          </cell>
          <cell r="C26" t="str">
            <v>31.05.2001</v>
          </cell>
          <cell r="D26" t="str">
            <v>Y2K COMPLIANT SOFTWARE (EPROM)</v>
          </cell>
          <cell r="E26" t="str">
            <v>31.05.2001</v>
          </cell>
          <cell r="F26">
            <v>23400</v>
          </cell>
          <cell r="G26">
            <v>-3154</v>
          </cell>
        </row>
        <row r="27">
          <cell r="B27" t="str">
            <v>B Area 1500</v>
          </cell>
        </row>
        <row r="28">
          <cell r="A28" t="str">
            <v>220000000932</v>
          </cell>
          <cell r="B28">
            <v>2000023</v>
          </cell>
          <cell r="C28" t="str">
            <v>31.05.2001</v>
          </cell>
          <cell r="D28" t="str">
            <v>LAPTOP COMPUTER PENTIUM MMX COLOR LCD</v>
          </cell>
          <cell r="E28" t="str">
            <v>31.05.2001</v>
          </cell>
          <cell r="F28">
            <v>29500</v>
          </cell>
          <cell r="G28">
            <v>-3976</v>
          </cell>
        </row>
        <row r="29">
          <cell r="D29" t="str">
            <v>31.07.2001</v>
          </cell>
          <cell r="E29" t="str">
            <v>6010103-09-MR.SELVARAJ P.</v>
          </cell>
          <cell r="G29">
            <v>0</v>
          </cell>
        </row>
        <row r="30">
          <cell r="A30" t="str">
            <v>220000000933</v>
          </cell>
          <cell r="B30">
            <v>2000023</v>
          </cell>
          <cell r="C30" t="str">
            <v>14.06.2001</v>
          </cell>
          <cell r="D30" t="str">
            <v>PC PENTIUM II PRELOADED 98 WITH MEDIA</v>
          </cell>
          <cell r="E30" t="str">
            <v>14.06.2001</v>
          </cell>
          <cell r="F30">
            <v>55000</v>
          </cell>
          <cell r="G30">
            <v>-6570</v>
          </cell>
        </row>
        <row r="31">
          <cell r="D31" t="str">
            <v>01.07.2001</v>
          </cell>
          <cell r="E31" t="str">
            <v>USER: MR.A.K.DAHIWAL / N.K.MODI</v>
          </cell>
          <cell r="G31">
            <v>0</v>
          </cell>
        </row>
        <row r="32">
          <cell r="A32" t="str">
            <v>220000000934</v>
          </cell>
          <cell r="B32">
            <v>2000023</v>
          </cell>
          <cell r="C32" t="str">
            <v>23.06.2001</v>
          </cell>
          <cell r="D32" t="str">
            <v>PENTIUM II SERVER, 400 Mhz.</v>
          </cell>
          <cell r="E32" t="str">
            <v>23.06.2001</v>
          </cell>
          <cell r="F32">
            <v>1075000</v>
          </cell>
          <cell r="G32">
            <v>-117808</v>
          </cell>
        </row>
        <row r="33">
          <cell r="D33" t="str">
            <v>01.08.2001</v>
          </cell>
          <cell r="E33" t="str">
            <v>User :MR. S. BHATNAGAR</v>
          </cell>
        </row>
        <row r="34">
          <cell r="A34" t="str">
            <v>220000000935</v>
          </cell>
          <cell r="B34">
            <v>2000023</v>
          </cell>
          <cell r="C34" t="str">
            <v>25.06.2001</v>
          </cell>
          <cell r="D34" t="str">
            <v>PENTIUM-III PC FOR CLIENT WITH 64 MB RA</v>
          </cell>
          <cell r="E34" t="str">
            <v>25.06.2001</v>
          </cell>
          <cell r="F34">
            <v>86320</v>
          </cell>
          <cell r="G34">
            <v>-9271</v>
          </cell>
        </row>
        <row r="35">
          <cell r="D35" t="str">
            <v>01.08.2001</v>
          </cell>
          <cell r="E35" t="str">
            <v>User : MR.T.K.SUDHARSHAN</v>
          </cell>
          <cell r="G35">
            <v>0</v>
          </cell>
        </row>
        <row r="36">
          <cell r="A36" t="str">
            <v>220000000936</v>
          </cell>
          <cell r="B36">
            <v>2000023</v>
          </cell>
          <cell r="C36" t="str">
            <v>25.06.2001</v>
          </cell>
          <cell r="D36" t="str">
            <v>PENTIUM-III XEON PC BASED SERVER,512 MB</v>
          </cell>
          <cell r="E36" t="str">
            <v>25.06.2001</v>
          </cell>
          <cell r="F36">
            <v>296400</v>
          </cell>
          <cell r="G36">
            <v>-31833</v>
          </cell>
        </row>
        <row r="37">
          <cell r="D37" t="str">
            <v>31.05.2001</v>
          </cell>
          <cell r="E37" t="str">
            <v>USER: MR. K.V.MALLESWARA RAO</v>
          </cell>
        </row>
        <row r="38">
          <cell r="A38" t="str">
            <v>220000000937</v>
          </cell>
          <cell r="B38">
            <v>2000039</v>
          </cell>
          <cell r="C38" t="str">
            <v>30.04.2001</v>
          </cell>
          <cell r="D38" t="str">
            <v>MySAP.COM START UP PACK SOFTWARE</v>
          </cell>
          <cell r="E38" t="str">
            <v>30.04.2001</v>
          </cell>
          <cell r="F38">
            <v>1521000</v>
          </cell>
          <cell r="G38">
            <v>-256695</v>
          </cell>
        </row>
        <row r="39">
          <cell r="D39" t="str">
            <v>31.07.2001</v>
          </cell>
          <cell r="E39" t="str">
            <v>SANTRO LS-HR SURANA-GJ5-AR-1702</v>
          </cell>
        </row>
        <row r="40">
          <cell r="A40" t="str">
            <v>220000000944</v>
          </cell>
          <cell r="B40">
            <v>32002471</v>
          </cell>
          <cell r="C40" t="str">
            <v>01.07.2001</v>
          </cell>
          <cell r="D40" t="str">
            <v>E.MAIL MODEM - D LINK 56.0 KBPS-HOSPET OFFICE</v>
          </cell>
          <cell r="E40" t="str">
            <v>01.07.2001</v>
          </cell>
          <cell r="F40">
            <v>2800</v>
          </cell>
          <cell r="G40">
            <v>-282</v>
          </cell>
        </row>
        <row r="41">
          <cell r="D41" t="str">
            <v>01.09.2001</v>
          </cell>
          <cell r="E41" t="str">
            <v>USER: MR.P.T.RAO</v>
          </cell>
        </row>
        <row r="42">
          <cell r="A42" t="str">
            <v>220000000946</v>
          </cell>
          <cell r="B42">
            <v>2000105</v>
          </cell>
          <cell r="C42" t="str">
            <v>13.09.2001</v>
          </cell>
          <cell r="D42" t="str">
            <v>PRINTER,MODEL NO : GS 2415,GODREJ</v>
          </cell>
          <cell r="E42" t="str">
            <v>13.09.2001</v>
          </cell>
          <cell r="F42">
            <v>63116</v>
          </cell>
          <cell r="G42">
            <v>-1245</v>
          </cell>
        </row>
        <row r="43">
          <cell r="B43" t="str">
            <v>330000000261</v>
          </cell>
          <cell r="C43">
            <v>4000008</v>
          </cell>
          <cell r="D43" t="str">
            <v>05.11.1996</v>
          </cell>
          <cell r="E43" t="str">
            <v>MARUTI STD CAR  GJ-5-FF-6247</v>
          </cell>
          <cell r="F43">
            <v>198757</v>
          </cell>
          <cell r="G43">
            <v>151985.26</v>
          </cell>
        </row>
        <row r="44">
          <cell r="A44" t="str">
            <v>220000000947</v>
          </cell>
          <cell r="B44">
            <v>2000144</v>
          </cell>
          <cell r="C44" t="str">
            <v>31.07.2001</v>
          </cell>
          <cell r="D44" t="str">
            <v>MICROSOFT PROXY SERVER VER 2.0 SOFTWARE</v>
          </cell>
          <cell r="E44" t="str">
            <v>31.07.2001</v>
          </cell>
          <cell r="F44">
            <v>30000</v>
          </cell>
          <cell r="G44">
            <v>-2038</v>
          </cell>
        </row>
        <row r="45">
          <cell r="B45" t="str">
            <v>330000000353</v>
          </cell>
          <cell r="C45">
            <v>4000007</v>
          </cell>
          <cell r="D45" t="str">
            <v>01.04.2000</v>
          </cell>
          <cell r="E45" t="str">
            <v>MARUTI GJ-5-FF-6247-A.C &amp; OTHER ACCORIES</v>
          </cell>
          <cell r="F45">
            <v>35275</v>
          </cell>
          <cell r="G45">
            <v>12508</v>
          </cell>
        </row>
        <row r="46">
          <cell r="A46" t="str">
            <v>220000000948</v>
          </cell>
          <cell r="B46">
            <v>2000144</v>
          </cell>
          <cell r="C46" t="str">
            <v>23.07.2001</v>
          </cell>
          <cell r="D46" t="str">
            <v>BAR CODE PRINTER DMX 600 CODRA TT8520</v>
          </cell>
          <cell r="E46" t="str">
            <v>23.07.2001</v>
          </cell>
          <cell r="F46">
            <v>38480</v>
          </cell>
          <cell r="G46">
            <v>-2952</v>
          </cell>
        </row>
        <row r="49">
          <cell r="A49" t="str">
            <v>220000000949</v>
          </cell>
          <cell r="B49">
            <v>2000145</v>
          </cell>
          <cell r="C49" t="str">
            <v>31.07.2001</v>
          </cell>
          <cell r="D49" t="str">
            <v>LASER JET PRINTER,MODEL:6M PLUS, HEWLETT</v>
          </cell>
          <cell r="E49" t="str">
            <v>31.07.2001</v>
          </cell>
          <cell r="F49">
            <v>38600</v>
          </cell>
          <cell r="G49">
            <v>-2623</v>
          </cell>
        </row>
        <row r="50">
          <cell r="D50" t="str">
            <v>30.09.2001</v>
          </cell>
          <cell r="E50" t="str">
            <v>USER:Mr.T SUBRAMANIUM (UGPAWAR)</v>
          </cell>
        </row>
        <row r="51">
          <cell r="A51" t="str">
            <v>220000000950</v>
          </cell>
          <cell r="B51">
            <v>2000145</v>
          </cell>
          <cell r="C51" t="str">
            <v>27.07.2001</v>
          </cell>
          <cell r="D51" t="str">
            <v>COLOUR MONITOR, SIZE:15" &amp; SWITH 8 PORT</v>
          </cell>
          <cell r="E51" t="str">
            <v>27.07.2001</v>
          </cell>
          <cell r="F51">
            <v>13450</v>
          </cell>
          <cell r="G51">
            <v>-973</v>
          </cell>
        </row>
        <row r="52">
          <cell r="D52" t="str">
            <v>30.09.2001</v>
          </cell>
          <cell r="E52" t="str">
            <v>USER:Mr.T SUBRAMANIUM (UGPAWAR)</v>
          </cell>
        </row>
        <row r="53">
          <cell r="A53">
            <v>220000000957</v>
          </cell>
          <cell r="B53">
            <v>2000223</v>
          </cell>
          <cell r="C53">
            <v>37303</v>
          </cell>
          <cell r="D53" t="str">
            <v>ITSOURCE INDIA PURCHASE OF LAPTOP PC FOR H SHEKAR</v>
          </cell>
          <cell r="E53" t="str">
            <v>16.02.2002</v>
          </cell>
          <cell r="F53">
            <v>128000</v>
          </cell>
          <cell r="G53">
            <v>-6172</v>
          </cell>
        </row>
        <row r="55">
          <cell r="A55">
            <v>220000000958</v>
          </cell>
          <cell r="B55">
            <v>2000234</v>
          </cell>
          <cell r="C55" t="str">
            <v>21.01.2002</v>
          </cell>
          <cell r="D55" t="str">
            <v>LAPTOP COMPUTER PENTIUM MMX COLOR LCD</v>
          </cell>
          <cell r="E55" t="str">
            <v>21.01.2002</v>
          </cell>
          <cell r="F55">
            <v>87000</v>
          </cell>
          <cell r="G55">
            <v>-6674</v>
          </cell>
        </row>
        <row r="56">
          <cell r="D56" t="str">
            <v>30.09.2001</v>
          </cell>
          <cell r="E56" t="str">
            <v>User : MR.MOTILAL CHOUDHARY</v>
          </cell>
        </row>
        <row r="57">
          <cell r="A57">
            <v>220000000959</v>
          </cell>
          <cell r="B57">
            <v>2000234</v>
          </cell>
          <cell r="C57" t="str">
            <v>15.03.2002</v>
          </cell>
          <cell r="D57" t="str">
            <v>WINDOWS-NT SERVER LICENSE FOR 10 USERS</v>
          </cell>
          <cell r="E57" t="str">
            <v>15.03.2002</v>
          </cell>
          <cell r="F57">
            <v>320000</v>
          </cell>
          <cell r="G57">
            <v>-5962</v>
          </cell>
        </row>
        <row r="58">
          <cell r="D58" t="str">
            <v>30.09.2001</v>
          </cell>
          <cell r="E58" t="str">
            <v>USER:MR.M.M.PALTANWALE</v>
          </cell>
        </row>
        <row r="59">
          <cell r="A59">
            <v>220000000960</v>
          </cell>
          <cell r="B59">
            <v>2000234</v>
          </cell>
          <cell r="C59" t="str">
            <v>15.03.2002</v>
          </cell>
          <cell r="D59" t="str">
            <v>WINDOWS 2000 CLIENT LICENSE FOR 25 USERS</v>
          </cell>
          <cell r="E59" t="str">
            <v>15.03.2002</v>
          </cell>
          <cell r="F59">
            <v>35880</v>
          </cell>
          <cell r="G59">
            <v>-668</v>
          </cell>
        </row>
        <row r="60">
          <cell r="B60" t="str">
            <v>330000000331</v>
          </cell>
          <cell r="C60">
            <v>4000019</v>
          </cell>
          <cell r="D60" t="str">
            <v>05.06.1998</v>
          </cell>
          <cell r="E60" t="str">
            <v>MARUTI GJ-5-PP-3024</v>
          </cell>
          <cell r="F60">
            <v>256457</v>
          </cell>
          <cell r="G60">
            <v>159891</v>
          </cell>
        </row>
        <row r="61">
          <cell r="A61">
            <v>220000000961</v>
          </cell>
          <cell r="B61">
            <v>2000237</v>
          </cell>
          <cell r="C61" t="str">
            <v>24.01.2002</v>
          </cell>
          <cell r="D61" t="str">
            <v>PRINTER,DESK JET,COLOUR,HP 850 CR</v>
          </cell>
          <cell r="E61" t="str">
            <v>24.01.2002</v>
          </cell>
          <cell r="F61">
            <v>5200</v>
          </cell>
          <cell r="G61">
            <v>-382</v>
          </cell>
        </row>
        <row r="62">
          <cell r="B62" t="str">
            <v>330000000331</v>
          </cell>
          <cell r="C62">
            <v>4000020</v>
          </cell>
          <cell r="D62" t="str">
            <v>07.08.1998</v>
          </cell>
          <cell r="E62" t="str">
            <v>MARUTI GJ-5-PP-3024</v>
          </cell>
          <cell r="F62">
            <v>6992</v>
          </cell>
          <cell r="G62">
            <v>4209</v>
          </cell>
        </row>
        <row r="63">
          <cell r="A63">
            <v>220000000962</v>
          </cell>
          <cell r="B63">
            <v>2000237</v>
          </cell>
          <cell r="C63" t="str">
            <v>25.01.2002</v>
          </cell>
          <cell r="D63" t="str">
            <v>PRINTER,DESK JET,COLOUR,HP 850 CR</v>
          </cell>
          <cell r="E63" t="str">
            <v>25.01.2002</v>
          </cell>
          <cell r="F63">
            <v>5200</v>
          </cell>
          <cell r="G63">
            <v>-376</v>
          </cell>
        </row>
        <row r="64">
          <cell r="F64">
            <v>263449</v>
          </cell>
          <cell r="G64">
            <v>164100</v>
          </cell>
        </row>
        <row r="65">
          <cell r="A65">
            <v>220000000963</v>
          </cell>
          <cell r="B65">
            <v>2000237</v>
          </cell>
          <cell r="C65" t="str">
            <v>30.01.2002</v>
          </cell>
          <cell r="D65" t="str">
            <v>PRINTER,DESK JET,COLOUR,HP 850 CR</v>
          </cell>
          <cell r="E65" t="str">
            <v>30.01.2002</v>
          </cell>
          <cell r="F65">
            <v>9350</v>
          </cell>
          <cell r="G65">
            <v>-625</v>
          </cell>
        </row>
        <row r="67">
          <cell r="A67">
            <v>220000000951</v>
          </cell>
          <cell r="B67">
            <v>2000203</v>
          </cell>
          <cell r="C67" t="str">
            <v>24.10.2001</v>
          </cell>
          <cell r="D67" t="str">
            <v>PENTIUM-III PC FOR CLIENT WITH 64 MB RA</v>
          </cell>
          <cell r="E67" t="str">
            <v>31.12.2001</v>
          </cell>
          <cell r="F67">
            <v>51678</v>
          </cell>
          <cell r="G67">
            <v>-9005</v>
          </cell>
        </row>
        <row r="68">
          <cell r="D68" t="str">
            <v>30.09.2001</v>
          </cell>
          <cell r="E68" t="str">
            <v>USER-P.M.JOSHI</v>
          </cell>
        </row>
        <row r="69">
          <cell r="A69">
            <v>220000000952</v>
          </cell>
          <cell r="B69">
            <v>2000203</v>
          </cell>
          <cell r="C69" t="str">
            <v>07.11.2001</v>
          </cell>
          <cell r="D69" t="str">
            <v>LAPTOP COMPUTER PENTIUM MMX COLOR LCD</v>
          </cell>
          <cell r="E69" t="str">
            <v>31.12.2001</v>
          </cell>
          <cell r="F69">
            <v>78500</v>
          </cell>
          <cell r="G69">
            <v>-12474</v>
          </cell>
        </row>
        <row r="70">
          <cell r="D70" t="str">
            <v>30.09.2001</v>
          </cell>
          <cell r="E70" t="str">
            <v>USER-P.M.JOSHI</v>
          </cell>
        </row>
        <row r="71">
          <cell r="A71">
            <v>220000000953</v>
          </cell>
          <cell r="B71">
            <v>2000203</v>
          </cell>
          <cell r="C71" t="str">
            <v>07.11.2001</v>
          </cell>
          <cell r="D71" t="str">
            <v>DESK JET 560 COLOUR INKLET PRINTER,HP</v>
          </cell>
          <cell r="E71" t="str">
            <v>31.12.2001</v>
          </cell>
          <cell r="F71">
            <v>5100</v>
          </cell>
          <cell r="G71">
            <v>-810</v>
          </cell>
        </row>
        <row r="73">
          <cell r="A73">
            <v>220000000954</v>
          </cell>
          <cell r="B73">
            <v>2000203</v>
          </cell>
          <cell r="C73" t="str">
            <v>07.11.2001</v>
          </cell>
          <cell r="D73" t="str">
            <v>UTP CABLE, E.CAT.5,4 PAIR</v>
          </cell>
          <cell r="E73" t="str">
            <v>31.12.2001</v>
          </cell>
          <cell r="F73">
            <v>18254.5</v>
          </cell>
          <cell r="G73">
            <v>-2901</v>
          </cell>
        </row>
        <row r="74">
          <cell r="B74" t="str">
            <v>330000000363</v>
          </cell>
          <cell r="C74">
            <v>4000009</v>
          </cell>
          <cell r="D74" t="str">
            <v>01.12.2000</v>
          </cell>
          <cell r="E74" t="str">
            <v>GJ-5-AR-0058HUNDAI  MR P.PANDE</v>
          </cell>
          <cell r="F74">
            <v>684649</v>
          </cell>
          <cell r="G74">
            <v>138291</v>
          </cell>
        </row>
        <row r="75">
          <cell r="A75">
            <v>220000000955</v>
          </cell>
          <cell r="B75">
            <v>2000210</v>
          </cell>
          <cell r="C75" t="str">
            <v>31.12.2001</v>
          </cell>
          <cell r="D75" t="str">
            <v>PRINTER HP DESKJET 670 C COLOR</v>
          </cell>
          <cell r="E75" t="str">
            <v>31.12.2001</v>
          </cell>
          <cell r="F75">
            <v>9550</v>
          </cell>
          <cell r="G75">
            <v>-952</v>
          </cell>
        </row>
        <row r="76">
          <cell r="B76" t="str">
            <v>330000000363</v>
          </cell>
          <cell r="C76">
            <v>4000010</v>
          </cell>
          <cell r="D76" t="str">
            <v>01.12.2000</v>
          </cell>
          <cell r="E76" t="str">
            <v>GJ-5-AR-0058HUNDAI ACCENT*EXPENSES-</v>
          </cell>
          <cell r="F76">
            <v>15655</v>
          </cell>
          <cell r="G76">
            <v>3162</v>
          </cell>
        </row>
        <row r="77">
          <cell r="A77">
            <v>220000000956</v>
          </cell>
          <cell r="B77">
            <v>2000210</v>
          </cell>
          <cell r="C77" t="str">
            <v>31.12.2001</v>
          </cell>
          <cell r="D77" t="str">
            <v>PRINTER HP DESKJET 670 C COLOR</v>
          </cell>
          <cell r="E77" t="str">
            <v>31.12.2001</v>
          </cell>
          <cell r="F77">
            <v>11000</v>
          </cell>
          <cell r="G77">
            <v>-1097</v>
          </cell>
        </row>
        <row r="78">
          <cell r="F78">
            <v>700304</v>
          </cell>
          <cell r="G78">
            <v>141453</v>
          </cell>
        </row>
        <row r="79">
          <cell r="F79">
            <v>4274750.5</v>
          </cell>
          <cell r="G79">
            <v>-524947</v>
          </cell>
        </row>
        <row r="80">
          <cell r="B80" t="str">
            <v>330000000372</v>
          </cell>
          <cell r="C80">
            <v>4000015</v>
          </cell>
          <cell r="D80" t="str">
            <v>29.01.2001</v>
          </cell>
          <cell r="E80" t="str">
            <v>MARUTI*ZEN*GJ*5*AR*766**MR S G WATWAY</v>
          </cell>
          <cell r="F80">
            <v>377984</v>
          </cell>
          <cell r="G80">
            <v>63273</v>
          </cell>
        </row>
        <row r="81">
          <cell r="D81" t="str">
            <v>30.09.2001</v>
          </cell>
          <cell r="E81" t="str">
            <v>CH NO 511286 ENG NO 491523</v>
          </cell>
        </row>
        <row r="82">
          <cell r="A82" t="str">
            <v>B Area 1900</v>
          </cell>
          <cell r="B82" t="str">
            <v>330000000372</v>
          </cell>
          <cell r="C82">
            <v>4000016</v>
          </cell>
          <cell r="D82" t="str">
            <v>29.01.2001</v>
          </cell>
          <cell r="E82" t="str">
            <v>MARUTI*ZEN*GJ*5*AR*766*RTO *OCTORI*INSU.</v>
          </cell>
          <cell r="F82">
            <v>45780</v>
          </cell>
          <cell r="G82">
            <v>7663</v>
          </cell>
        </row>
        <row r="83">
          <cell r="A83" t="str">
            <v>220000000917</v>
          </cell>
          <cell r="B83">
            <v>2000002</v>
          </cell>
          <cell r="C83" t="str">
            <v>17.04.2001</v>
          </cell>
          <cell r="D83" t="str">
            <v>LAPTOP COMPUTER COMPAQ PRESARIO 1200XL:CORP FIN</v>
          </cell>
          <cell r="E83" t="str">
            <v>17.04.2001</v>
          </cell>
          <cell r="F83">
            <v>208000</v>
          </cell>
          <cell r="G83">
            <v>-38067</v>
          </cell>
        </row>
        <row r="84">
          <cell r="F84">
            <v>423764</v>
          </cell>
          <cell r="G84">
            <v>70936</v>
          </cell>
        </row>
        <row r="85">
          <cell r="A85" t="str">
            <v>220000000918</v>
          </cell>
          <cell r="B85">
            <v>32000567</v>
          </cell>
          <cell r="C85" t="str">
            <v>03.05.2001</v>
          </cell>
          <cell r="D85" t="str">
            <v>COMPUTER COMPAQ DP SB FOR MR. J MEHRA AT MUMBAI</v>
          </cell>
          <cell r="E85" t="str">
            <v>03.05.2001</v>
          </cell>
          <cell r="F85">
            <v>58000</v>
          </cell>
          <cell r="G85">
            <v>-9598</v>
          </cell>
        </row>
        <row r="86">
          <cell r="B86" t="str">
            <v>330000000282</v>
          </cell>
          <cell r="C86">
            <v>4000006</v>
          </cell>
          <cell r="D86" t="str">
            <v>01.04.1997</v>
          </cell>
          <cell r="E86" t="str">
            <v>Maruti Car- GJ-5-FF-282*330000000282</v>
          </cell>
          <cell r="F86">
            <v>132738.6</v>
          </cell>
          <cell r="G86">
            <v>97929</v>
          </cell>
        </row>
        <row r="87">
          <cell r="A87" t="str">
            <v>220000000938</v>
          </cell>
          <cell r="B87">
            <v>32002474</v>
          </cell>
          <cell r="C87" t="str">
            <v>18.07.2001</v>
          </cell>
          <cell r="D87" t="str">
            <v>MULTIMEDIA KIT</v>
          </cell>
          <cell r="E87" t="str">
            <v>18.07.2001</v>
          </cell>
          <cell r="F87">
            <v>5200</v>
          </cell>
          <cell r="G87">
            <v>-427</v>
          </cell>
        </row>
        <row r="89">
          <cell r="A89" t="str">
            <v>220000000945</v>
          </cell>
          <cell r="B89">
            <v>2000057</v>
          </cell>
          <cell r="C89" t="str">
            <v>18.06.2001</v>
          </cell>
          <cell r="D89" t="str">
            <v>PRINTER,COLOUR HP DJ 640C SNO SIPL-THOB9E3QIM</v>
          </cell>
          <cell r="E89" t="str">
            <v>18.06.2001</v>
          </cell>
          <cell r="F89">
            <v>5750</v>
          </cell>
          <cell r="G89">
            <v>-662</v>
          </cell>
        </row>
        <row r="91">
          <cell r="F91">
            <v>276950</v>
          </cell>
          <cell r="G91">
            <v>-48754</v>
          </cell>
        </row>
        <row r="93">
          <cell r="D93" t="str">
            <v xml:space="preserve">Off Equip - Computer </v>
          </cell>
          <cell r="F93">
            <v>4551700.5</v>
          </cell>
          <cell r="G93">
            <v>-573701</v>
          </cell>
        </row>
        <row r="95">
          <cell r="A95" t="str">
            <v>Office Eq.Others</v>
          </cell>
        </row>
        <row r="96">
          <cell r="A96" t="str">
            <v>B Area 1100</v>
          </cell>
        </row>
        <row r="98">
          <cell r="A98">
            <v>230000001220</v>
          </cell>
          <cell r="B98">
            <v>2000152</v>
          </cell>
          <cell r="C98" t="str">
            <v>09.05.2001</v>
          </cell>
          <cell r="D98" t="str">
            <v>MOBILE HAND SET-R.E.BAILEY HBI PLANT</v>
          </cell>
          <cell r="E98" t="str">
            <v>09.05.2001</v>
          </cell>
          <cell r="F98">
            <v>8000</v>
          </cell>
          <cell r="G98">
            <v>-723</v>
          </cell>
        </row>
        <row r="99">
          <cell r="D99" t="str">
            <v>RE Bailey purchase of Mobile Nokia make</v>
          </cell>
        </row>
        <row r="102">
          <cell r="A102" t="str">
            <v>B Area 1500</v>
          </cell>
        </row>
        <row r="104">
          <cell r="A104" t="str">
            <v>230000001075</v>
          </cell>
          <cell r="B104">
            <v>2000001</v>
          </cell>
          <cell r="C104" t="str">
            <v>09.09.2000</v>
          </cell>
          <cell r="D104" t="str">
            <v>MOBILE NOKIA FOR MR. ARUN JANI- PROCUREMENT</v>
          </cell>
          <cell r="E104" t="str">
            <v>09.09.2000</v>
          </cell>
          <cell r="F104">
            <v>4500</v>
          </cell>
          <cell r="G104">
            <v>-295</v>
          </cell>
        </row>
        <row r="106">
          <cell r="A106" t="str">
            <v>230000001183</v>
          </cell>
          <cell r="B106">
            <v>2000001</v>
          </cell>
          <cell r="C106" t="str">
            <v>12.04.2001</v>
          </cell>
          <cell r="D106" t="str">
            <v>MOBILE HANDSET FOR S.NAG/SUKANT BEHRA</v>
          </cell>
          <cell r="E106" t="str">
            <v>12.04.2001</v>
          </cell>
          <cell r="F106">
            <v>13000</v>
          </cell>
          <cell r="G106">
            <v>-852</v>
          </cell>
        </row>
        <row r="108">
          <cell r="A108" t="str">
            <v>230000001185</v>
          </cell>
          <cell r="B108">
            <v>2000004</v>
          </cell>
          <cell r="C108" t="str">
            <v>09.04.2001</v>
          </cell>
          <cell r="D108" t="str">
            <v>MOBILE HANDSET FOR M.K.JOSHI</v>
          </cell>
          <cell r="E108" t="str">
            <v>09.04.2001</v>
          </cell>
          <cell r="F108">
            <v>9700</v>
          </cell>
          <cell r="G108">
            <v>-647</v>
          </cell>
        </row>
        <row r="110">
          <cell r="A110" t="str">
            <v>230000001189</v>
          </cell>
          <cell r="B110">
            <v>2000010</v>
          </cell>
          <cell r="C110" t="str">
            <v>17.04.2001</v>
          </cell>
          <cell r="D110" t="str">
            <v>MOBILE PHONE NOKIA FOR JESSY POTHEN &amp; MANIKANDAN</v>
          </cell>
          <cell r="E110" t="str">
            <v>17.04.2001</v>
          </cell>
          <cell r="F110">
            <v>13100</v>
          </cell>
          <cell r="G110">
            <v>-834</v>
          </cell>
        </row>
        <row r="112">
          <cell r="A112" t="str">
            <v>230000001190</v>
          </cell>
          <cell r="B112">
            <v>2000009</v>
          </cell>
          <cell r="C112" t="str">
            <v>03.05.2001</v>
          </cell>
          <cell r="D112" t="str">
            <v>M0BILE PHONE NOKIA FOR (AS PER LIST)</v>
          </cell>
          <cell r="E112" t="str">
            <v>03.05.2001</v>
          </cell>
          <cell r="F112">
            <v>34200</v>
          </cell>
          <cell r="G112">
            <v>-1968</v>
          </cell>
        </row>
        <row r="114">
          <cell r="A114" t="str">
            <v>230000001191</v>
          </cell>
          <cell r="B114">
            <v>2000011</v>
          </cell>
          <cell r="C114" t="str">
            <v>12.05.2001</v>
          </cell>
          <cell r="D114" t="str">
            <v>M0BILE PHONE NOKIA FOR (AS PER LIST)</v>
          </cell>
          <cell r="E114" t="str">
            <v>12.05.2001</v>
          </cell>
          <cell r="F114">
            <v>22800</v>
          </cell>
          <cell r="G114">
            <v>-1234</v>
          </cell>
        </row>
        <row r="116">
          <cell r="A116" t="str">
            <v>230000001192</v>
          </cell>
          <cell r="B116">
            <v>2000009</v>
          </cell>
          <cell r="C116" t="str">
            <v>03.05.2001</v>
          </cell>
          <cell r="D116" t="str">
            <v>M0BILE PHONE NOKIA FOR (AS PER LIST)</v>
          </cell>
          <cell r="E116" t="str">
            <v>03.05.2001</v>
          </cell>
          <cell r="F116">
            <v>34200</v>
          </cell>
          <cell r="G116">
            <v>-1968</v>
          </cell>
        </row>
        <row r="118">
          <cell r="A118" t="str">
            <v>230000001193</v>
          </cell>
          <cell r="B118">
            <v>2000013</v>
          </cell>
          <cell r="C118" t="str">
            <v>17.05.2001</v>
          </cell>
          <cell r="D118" t="str">
            <v>AQUA GUARD FOR NAND SCHOOL</v>
          </cell>
          <cell r="E118" t="str">
            <v>17.05.2001</v>
          </cell>
          <cell r="F118">
            <v>4956</v>
          </cell>
          <cell r="G118">
            <v>-259</v>
          </cell>
        </row>
        <row r="120">
          <cell r="A120" t="str">
            <v>230000001194</v>
          </cell>
          <cell r="B120">
            <v>2000015</v>
          </cell>
          <cell r="C120" t="str">
            <v>27.04.2001</v>
          </cell>
          <cell r="D120" t="str">
            <v>MOBILE PHONE NOKIA FOR K. SUNIL KUMAR</v>
          </cell>
          <cell r="E120" t="str">
            <v>27.04.2001</v>
          </cell>
          <cell r="F120">
            <v>9588</v>
          </cell>
          <cell r="G120">
            <v>-574</v>
          </cell>
        </row>
        <row r="122">
          <cell r="A122" t="str">
            <v>230000001196</v>
          </cell>
          <cell r="B122">
            <v>2000021</v>
          </cell>
          <cell r="C122" t="str">
            <v>28.04.2001</v>
          </cell>
          <cell r="D122" t="str">
            <v>FAX MACHINE,F-800,MODI XEROX MAKE</v>
          </cell>
          <cell r="E122" t="str">
            <v>28.04.2001</v>
          </cell>
          <cell r="F122">
            <v>10500</v>
          </cell>
          <cell r="G122">
            <v>-624</v>
          </cell>
        </row>
        <row r="124">
          <cell r="A124" t="str">
            <v>230000001197</v>
          </cell>
          <cell r="B124">
            <v>2000027</v>
          </cell>
          <cell r="C124" t="str">
            <v>18.05.2001</v>
          </cell>
          <cell r="D124" t="str">
            <v>HOT &amp; COLD WATER DISPENSER,CAP:20LTRS</v>
          </cell>
          <cell r="E124" t="str">
            <v>18.05.2001</v>
          </cell>
          <cell r="F124">
            <v>11500</v>
          </cell>
          <cell r="G124">
            <v>-596</v>
          </cell>
        </row>
        <row r="126">
          <cell r="A126" t="str">
            <v>230000001198</v>
          </cell>
          <cell r="B126">
            <v>2000065</v>
          </cell>
          <cell r="C126" t="str">
            <v>13.06.2001</v>
          </cell>
          <cell r="D126" t="str">
            <v>MOBILE PHONE K.RANG/SG WAT/NAVIN BH/PALIA</v>
          </cell>
          <cell r="E126" t="str">
            <v>13.06.2001</v>
          </cell>
          <cell r="F126">
            <v>22800</v>
          </cell>
          <cell r="G126">
            <v>-956</v>
          </cell>
        </row>
        <row r="128">
          <cell r="A128" t="str">
            <v>230000001207</v>
          </cell>
          <cell r="B128">
            <v>2000068</v>
          </cell>
          <cell r="C128" t="str">
            <v>27.07.2001</v>
          </cell>
          <cell r="D128" t="str">
            <v>MOBILE HAND SETS N 8210 NOKIA FOR RN GUPTA</v>
          </cell>
          <cell r="E128" t="str">
            <v>27.07.2001</v>
          </cell>
          <cell r="F128">
            <v>14800</v>
          </cell>
          <cell r="G128">
            <v>-372</v>
          </cell>
        </row>
        <row r="130">
          <cell r="A130" t="str">
            <v>230000001209</v>
          </cell>
          <cell r="B130">
            <v>2000072</v>
          </cell>
          <cell r="C130" t="str">
            <v>31.07.2001</v>
          </cell>
          <cell r="D130" t="str">
            <v>MOBILE  HAND SET SIEMENS S-35 FOR RAJAT GUPTA</v>
          </cell>
          <cell r="E130" t="str">
            <v>31.07.2001</v>
          </cell>
          <cell r="F130">
            <v>14858</v>
          </cell>
          <cell r="G130">
            <v>-351</v>
          </cell>
        </row>
        <row r="132">
          <cell r="A132" t="str">
            <v>230000001210</v>
          </cell>
          <cell r="B132">
            <v>2000074</v>
          </cell>
          <cell r="C132" t="str">
            <v>19.07.2001</v>
          </cell>
          <cell r="D132" t="str">
            <v>TATA SPECTRA T-731- FRP FOR SN  PURI CABIN 1102</v>
          </cell>
          <cell r="E132" t="str">
            <v>19.07.2001</v>
          </cell>
          <cell r="F132">
            <v>2495</v>
          </cell>
          <cell r="G132">
            <v>-1248</v>
          </cell>
        </row>
        <row r="134">
          <cell r="A134" t="str">
            <v>230000001213</v>
          </cell>
          <cell r="B134">
            <v>2000100</v>
          </cell>
          <cell r="C134" t="str">
            <v>20.07.2001</v>
          </cell>
          <cell r="D134" t="str">
            <v>MOBILE HANDSET FOR MR COL.KANAN KAT MOD N/5110</v>
          </cell>
          <cell r="E134" t="str">
            <v>20.07.2001</v>
          </cell>
          <cell r="F134">
            <v>4500</v>
          </cell>
          <cell r="G134">
            <v>-125</v>
          </cell>
        </row>
        <row r="136">
          <cell r="A136" t="str">
            <v>230000001216</v>
          </cell>
          <cell r="B136">
            <v>2000101</v>
          </cell>
          <cell r="C136" t="str">
            <v>21.08.2001</v>
          </cell>
          <cell r="D136" t="str">
            <v>PANASONIC 92 MOBILE PHONE FOR PRADEEP SUTHAN</v>
          </cell>
          <cell r="E136" t="str">
            <v>21.08.2001</v>
          </cell>
          <cell r="F136">
            <v>7000</v>
          </cell>
          <cell r="G136">
            <v>-109</v>
          </cell>
        </row>
        <row r="138">
          <cell r="A138">
            <v>230000001233</v>
          </cell>
          <cell r="B138">
            <v>30007700</v>
          </cell>
          <cell r="C138" t="str">
            <v>25.11.2001</v>
          </cell>
          <cell r="D138" t="str">
            <v>MOBILE 3310 nokia KVS GOPAL RAO</v>
          </cell>
          <cell r="E138" t="str">
            <v>25.11.2001</v>
          </cell>
          <cell r="F138">
            <v>6000</v>
          </cell>
          <cell r="G138">
            <v>-290</v>
          </cell>
        </row>
        <row r="140">
          <cell r="A140">
            <v>230000001228</v>
          </cell>
          <cell r="B140">
            <v>2000220</v>
          </cell>
          <cell r="C140" t="str">
            <v>22.11.2001</v>
          </cell>
          <cell r="D140" t="str">
            <v>MOBILE HAND SET 3330 NOKIA</v>
          </cell>
          <cell r="E140" t="str">
            <v>22.11.2001</v>
          </cell>
          <cell r="F140">
            <v>10200</v>
          </cell>
          <cell r="G140">
            <v>-505</v>
          </cell>
        </row>
        <row r="142">
          <cell r="A142">
            <v>230000001230</v>
          </cell>
          <cell r="B142">
            <v>2000222</v>
          </cell>
          <cell r="C142" t="str">
            <v>14.02.2002</v>
          </cell>
          <cell r="D142" t="str">
            <v>MOBILE HAND SET PANASONIC 92 FOR ARUNI MISHRA</v>
          </cell>
          <cell r="E142" t="str">
            <v>14.02.2002</v>
          </cell>
          <cell r="F142">
            <v>6100</v>
          </cell>
          <cell r="G142">
            <v>-107</v>
          </cell>
        </row>
        <row r="144">
          <cell r="A144">
            <v>230000001236</v>
          </cell>
          <cell r="B144">
            <v>2000244</v>
          </cell>
          <cell r="C144" t="str">
            <v>19.03.2002</v>
          </cell>
          <cell r="D144" t="str">
            <v>MOBILE PHONE A-3618 ERICSSON USER MR MAHADEV KUMAR</v>
          </cell>
          <cell r="E144" t="str">
            <v>19.03.2002</v>
          </cell>
          <cell r="F144">
            <v>5406</v>
          </cell>
          <cell r="G144">
            <v>-27</v>
          </cell>
        </row>
        <row r="146">
          <cell r="A146">
            <v>230000001221</v>
          </cell>
          <cell r="B146">
            <v>2000154</v>
          </cell>
          <cell r="C146" t="str">
            <v>04.10.2001</v>
          </cell>
          <cell r="D146" t="str">
            <v>2 LINE CORDLESS PHONE FOR S SHIVRAM RESIDENCE</v>
          </cell>
          <cell r="E146" t="str">
            <v>04.10.2001</v>
          </cell>
          <cell r="F146">
            <v>6800</v>
          </cell>
          <cell r="G146">
            <v>-231</v>
          </cell>
        </row>
        <row r="147">
          <cell r="D147" t="str">
            <v>Applied systems Panasonic TE system for Shivram</v>
          </cell>
        </row>
        <row r="150">
          <cell r="A150">
            <v>230000001222</v>
          </cell>
          <cell r="B150">
            <v>2000153</v>
          </cell>
          <cell r="C150" t="str">
            <v>13.10.2001</v>
          </cell>
          <cell r="D150" t="str">
            <v>REFRIGERATOR SAMSUNG SR 41EMA(W) VGR RESIDENCE</v>
          </cell>
          <cell r="E150" t="str">
            <v>13.10.2001</v>
          </cell>
          <cell r="F150">
            <v>33000</v>
          </cell>
          <cell r="G150">
            <v>-1006</v>
          </cell>
        </row>
        <row r="151">
          <cell r="D151" t="str">
            <v>Vijay sales FRIDGE at VGR's residence MUMBAI</v>
          </cell>
        </row>
        <row r="154">
          <cell r="A154">
            <v>230000001224</v>
          </cell>
          <cell r="B154">
            <v>32005180</v>
          </cell>
          <cell r="C154" t="str">
            <v>01.04.1999</v>
          </cell>
          <cell r="D154" t="str">
            <v>ACQUAGUARD WATER - FILTER-CUM-PURIFIER</v>
          </cell>
          <cell r="E154" t="str">
            <v>01.04.1999</v>
          </cell>
          <cell r="F154">
            <v>4218</v>
          </cell>
          <cell r="G154">
            <v>-3164</v>
          </cell>
        </row>
        <row r="157">
          <cell r="D157" t="str">
            <v>B Area 1500</v>
          </cell>
          <cell r="F157">
            <v>306221</v>
          </cell>
          <cell r="G157">
            <v>-18342</v>
          </cell>
        </row>
        <row r="161">
          <cell r="A161" t="str">
            <v>B Area 1900</v>
          </cell>
        </row>
        <row r="163">
          <cell r="A163" t="str">
            <v>230000001182</v>
          </cell>
          <cell r="B163">
            <v>2000000</v>
          </cell>
          <cell r="C163" t="str">
            <v>31.03.2001</v>
          </cell>
          <cell r="D163" t="str">
            <v>MOBILE HANDSET FOR PANKAJ KUMAR/BALAJI/PRASHANT JAIN</v>
          </cell>
          <cell r="E163" t="str">
            <v>31.03.2001</v>
          </cell>
          <cell r="F163">
            <v>26364</v>
          </cell>
          <cell r="G163">
            <v>-1788</v>
          </cell>
        </row>
        <row r="165">
          <cell r="A165" t="str">
            <v>230000001184</v>
          </cell>
          <cell r="B165">
            <v>2000003</v>
          </cell>
          <cell r="C165" t="str">
            <v>13.04.2001</v>
          </cell>
          <cell r="D165" t="str">
            <v>TELEPHONE INSTRUMENT FOR H.SHEKHAR</v>
          </cell>
          <cell r="E165" t="str">
            <v>13.04.2001</v>
          </cell>
          <cell r="F165">
            <v>3600</v>
          </cell>
          <cell r="G165">
            <v>-1800</v>
          </cell>
        </row>
        <row r="167">
          <cell r="A167" t="str">
            <v>230000001186</v>
          </cell>
          <cell r="B167">
            <v>2000005</v>
          </cell>
          <cell r="C167" t="str">
            <v>10.05.2001</v>
          </cell>
          <cell r="D167" t="str">
            <v>MOBILE PHONE NOKIA FOR J.MEHRA</v>
          </cell>
          <cell r="E167" t="str">
            <v>10.05.2001</v>
          </cell>
          <cell r="F167">
            <v>16500</v>
          </cell>
          <cell r="G167">
            <v>-905</v>
          </cell>
        </row>
        <row r="169">
          <cell r="A169" t="str">
            <v>230000001188</v>
          </cell>
          <cell r="B169">
            <v>32000790</v>
          </cell>
          <cell r="C169" t="str">
            <v>04.05.2001</v>
          </cell>
          <cell r="D169" t="str">
            <v>TELEPHONE INSTRUMENT FOR A.K.MUSSADY</v>
          </cell>
          <cell r="E169" t="str">
            <v>04.05.2001</v>
          </cell>
          <cell r="F169">
            <v>7400</v>
          </cell>
          <cell r="G169">
            <v>-3700</v>
          </cell>
        </row>
        <row r="171">
          <cell r="A171" t="str">
            <v>230000001195</v>
          </cell>
          <cell r="B171">
            <v>2000016</v>
          </cell>
          <cell r="C171" t="str">
            <v>02.06.2001</v>
          </cell>
          <cell r="D171" t="str">
            <v>MOBILE PHONE NOKIA FOR VAHBIZ/GOURAV MERCHANT</v>
          </cell>
          <cell r="E171" t="str">
            <v>02.06.2001</v>
          </cell>
          <cell r="F171">
            <v>18000</v>
          </cell>
          <cell r="G171">
            <v>-830</v>
          </cell>
        </row>
        <row r="173">
          <cell r="A173" t="str">
            <v>230000001199</v>
          </cell>
          <cell r="B173">
            <v>2000066</v>
          </cell>
          <cell r="C173" t="str">
            <v>01.04.2001</v>
          </cell>
          <cell r="D173" t="str">
            <v>MOBILE HANDSET FOR S.L.KAUL (NOKIA 6210)</v>
          </cell>
          <cell r="E173" t="str">
            <v>01.04.2001</v>
          </cell>
          <cell r="F173">
            <v>16388</v>
          </cell>
          <cell r="G173">
            <v>-1143</v>
          </cell>
        </row>
        <row r="175">
          <cell r="A175" t="str">
            <v>230000001208</v>
          </cell>
          <cell r="B175">
            <v>2000073</v>
          </cell>
          <cell r="C175" t="str">
            <v>27.07.2001</v>
          </cell>
          <cell r="D175" t="str">
            <v>MOBILE HANDSET(NOKIA5110) FOR MISS GINA SARA KOSHY</v>
          </cell>
          <cell r="E175" t="str">
            <v>27.07.2001</v>
          </cell>
          <cell r="F175">
            <v>4200</v>
          </cell>
          <cell r="G175">
            <v>-106</v>
          </cell>
        </row>
        <row r="177">
          <cell r="A177" t="str">
            <v>230000001200</v>
          </cell>
          <cell r="B177">
            <v>2000056</v>
          </cell>
          <cell r="C177" t="str">
            <v>16.07.2001</v>
          </cell>
          <cell r="D177" t="str">
            <v>MOBILE HANDSET FOR AKHIL DUTTA/P VINAYENDRA</v>
          </cell>
          <cell r="E177" t="str">
            <v>16.07.2001</v>
          </cell>
          <cell r="F177">
            <v>13400</v>
          </cell>
          <cell r="G177">
            <v>-393</v>
          </cell>
        </row>
        <row r="179">
          <cell r="A179" t="str">
            <v>230000001206</v>
          </cell>
          <cell r="B179">
            <v>2000054</v>
          </cell>
          <cell r="C179" t="str">
            <v>12.07.2001</v>
          </cell>
          <cell r="D179" t="str">
            <v>2 LINE CORDLESS PHONE SNP RESID.MUMBAI PANASONIC</v>
          </cell>
          <cell r="E179" t="str">
            <v>12.07.2001</v>
          </cell>
          <cell r="F179">
            <v>11300</v>
          </cell>
          <cell r="G179">
            <v>-349</v>
          </cell>
        </row>
        <row r="181">
          <cell r="A181" t="str">
            <v>230000001214</v>
          </cell>
          <cell r="B181">
            <v>32003032</v>
          </cell>
          <cell r="C181" t="str">
            <v>10.05.2001</v>
          </cell>
          <cell r="D181" t="str">
            <v>NATIONAL PANASONIC PHOTO COPIES/ FAX MACHINE</v>
          </cell>
          <cell r="E181" t="str">
            <v>10.05.2001</v>
          </cell>
          <cell r="F181">
            <v>20000</v>
          </cell>
          <cell r="G181">
            <v>-1098</v>
          </cell>
        </row>
        <row r="183">
          <cell r="A183" t="str">
            <v>230000001215</v>
          </cell>
          <cell r="B183">
            <v>32003032</v>
          </cell>
          <cell r="C183" t="str">
            <v>10.05.2001</v>
          </cell>
          <cell r="D183" t="str">
            <v>Computer PIII COLOUR MONITOR/HP DJ COLOUR PRINTER</v>
          </cell>
          <cell r="E183" t="str">
            <v>10.05.2001</v>
          </cell>
          <cell r="F183">
            <v>50000</v>
          </cell>
          <cell r="G183">
            <v>-7890</v>
          </cell>
        </row>
        <row r="185">
          <cell r="A185" t="str">
            <v>230000001217</v>
          </cell>
          <cell r="B185">
            <v>32003454</v>
          </cell>
          <cell r="C185" t="str">
            <v>22.09.2001</v>
          </cell>
          <cell r="D185" t="str">
            <v>SPORTS EQUIPMENT(MULTI STATATION)ATGYM ESSAR HOUSE</v>
          </cell>
          <cell r="E185" t="str">
            <v>22.09.2001</v>
          </cell>
          <cell r="F185">
            <v>182268</v>
          </cell>
          <cell r="G185">
            <v>-625</v>
          </cell>
        </row>
        <row r="187">
          <cell r="A187" t="str">
            <v>230000001218</v>
          </cell>
          <cell r="B187">
            <v>30004049</v>
          </cell>
          <cell r="C187" t="str">
            <v>25.07.2001</v>
          </cell>
          <cell r="D187" t="str">
            <v>MOBILE NOKIA 3310 RB SINGH FOR INDORE</v>
          </cell>
          <cell r="E187" t="str">
            <v>25.07.2001</v>
          </cell>
          <cell r="F187">
            <v>9200</v>
          </cell>
          <cell r="G187">
            <v>-238</v>
          </cell>
        </row>
        <row r="189">
          <cell r="A189">
            <v>230000001225</v>
          </cell>
          <cell r="B189">
            <v>2000204</v>
          </cell>
          <cell r="C189" t="str">
            <v>26.11.2001</v>
          </cell>
          <cell r="D189" t="str">
            <v>S SHIVRAM REIMB PUR MOBILE PHONE FM UNIQUE ENTERPR</v>
          </cell>
        </row>
        <row r="190">
          <cell r="D190" t="str">
            <v>MOBILE HAND SET SMSUNG FOR S SHIVRAM KRISHNAN</v>
          </cell>
          <cell r="E190" t="str">
            <v>26.11.2001</v>
          </cell>
          <cell r="F190">
            <v>9562</v>
          </cell>
          <cell r="G190">
            <v>-459</v>
          </cell>
        </row>
        <row r="191">
          <cell r="A191">
            <v>230000001226</v>
          </cell>
          <cell r="B191">
            <v>2000218</v>
          </cell>
          <cell r="C191" t="str">
            <v>21.12.2001</v>
          </cell>
          <cell r="D191" t="str">
            <v>VIJAY SALES MICROWAVE OVER JM'S RESIDENNCE</v>
          </cell>
        </row>
        <row r="192">
          <cell r="D192" t="str">
            <v>MICROWAVE OVEN AT J MEHRA RESIDENCE M/W NNK 561</v>
          </cell>
          <cell r="E192" t="str">
            <v>21.12.2001</v>
          </cell>
          <cell r="F192">
            <v>12500</v>
          </cell>
          <cell r="G192">
            <v>-481</v>
          </cell>
        </row>
        <row r="193">
          <cell r="A193">
            <v>230000001227</v>
          </cell>
          <cell r="B193">
            <v>2000228</v>
          </cell>
          <cell r="C193" t="str">
            <v>23.01.2002</v>
          </cell>
          <cell r="D193" t="str">
            <v>CAREWELL APPLIANCES AC COS FLAT 6 EKEN HOSE BANDRA</v>
          </cell>
        </row>
        <row r="194">
          <cell r="D194" t="str">
            <v>AIR CONDITIONER 1.5TONS LG LWN-1862 WAC EKEN HOUSE</v>
          </cell>
          <cell r="E194" t="str">
            <v>23.01.2002</v>
          </cell>
          <cell r="F194">
            <v>23000</v>
          </cell>
          <cell r="G194">
            <v>-596</v>
          </cell>
        </row>
        <row r="195">
          <cell r="A195">
            <v>230000001228</v>
          </cell>
          <cell r="B195">
            <v>2000220</v>
          </cell>
          <cell r="C195" t="str">
            <v>22.11.2001</v>
          </cell>
          <cell r="D195" t="str">
            <v>BY MR J SHARMA-DELHI OFF*RITU REL*BN 841</v>
          </cell>
        </row>
        <row r="196">
          <cell r="D196" t="str">
            <v>MOBILE HAND SET TELEPHONE FOR P PANDIT</v>
          </cell>
          <cell r="E196" t="str">
            <v>04.01.2002</v>
          </cell>
          <cell r="F196">
            <v>5500</v>
          </cell>
          <cell r="G196">
            <v>-182</v>
          </cell>
        </row>
        <row r="197">
          <cell r="A197">
            <v>230000001232</v>
          </cell>
          <cell r="B197">
            <v>30007661</v>
          </cell>
          <cell r="C197" t="str">
            <v>01.10.2001</v>
          </cell>
          <cell r="D197" t="str">
            <v>G PAI PURCHSE OF NOKIA MOBILE AND ENT EXPS FOR GUS</v>
          </cell>
        </row>
        <row r="198">
          <cell r="D198" t="str">
            <v>MOBILE SET NOKIA 3310 MR GANESH PAI</v>
          </cell>
          <cell r="E198" t="str">
            <v>01.10.2001</v>
          </cell>
          <cell r="F198">
            <v>7000</v>
          </cell>
          <cell r="G198">
            <v>-486</v>
          </cell>
        </row>
        <row r="199">
          <cell r="A199">
            <v>230000001234</v>
          </cell>
          <cell r="B199">
            <v>30007700</v>
          </cell>
          <cell r="C199" t="str">
            <v>25.11.2001</v>
          </cell>
          <cell r="D199" t="str">
            <v>GOPAL RAO PURCHSE OF NOIKA MOBILE</v>
          </cell>
        </row>
        <row r="200">
          <cell r="D200" t="str">
            <v>NOKIA3310 MANISH MOTI,BHARAT TRIVEDI,PANKAJ KULKRN</v>
          </cell>
          <cell r="E200" t="str">
            <v>05.03.2002</v>
          </cell>
          <cell r="F200">
            <v>16500</v>
          </cell>
          <cell r="G200">
            <v>-170</v>
          </cell>
        </row>
        <row r="201">
          <cell r="D201" t="str">
            <v>OFFICE EQUIPMENT</v>
          </cell>
        </row>
        <row r="203">
          <cell r="A203">
            <v>230000001223</v>
          </cell>
          <cell r="B203">
            <v>2000155</v>
          </cell>
          <cell r="C203" t="str">
            <v>19.10.2001</v>
          </cell>
          <cell r="D203" t="str">
            <v>MOBILE HAND SETS N 8210 NOKIA FOR SN PURI</v>
          </cell>
          <cell r="E203" t="str">
            <v>19.10.2001</v>
          </cell>
          <cell r="F203">
            <v>11500</v>
          </cell>
          <cell r="G203">
            <v>-324</v>
          </cell>
        </row>
        <row r="204">
          <cell r="D204" t="str">
            <v>RM Enterprises purchase of MOBILE TEL for MR SNP</v>
          </cell>
        </row>
        <row r="206">
          <cell r="A206" t="str">
            <v>230000001219</v>
          </cell>
          <cell r="B206">
            <v>2000151</v>
          </cell>
          <cell r="C206" t="str">
            <v>06.10.2001</v>
          </cell>
          <cell r="D206" t="str">
            <v>HYDROPNEMATIC SYSTEM MODLE EM-02 MULTI-405*2M(100)</v>
          </cell>
          <cell r="E206" t="str">
            <v>06.10.2001</v>
          </cell>
          <cell r="F206">
            <v>130100</v>
          </cell>
          <cell r="G206">
            <v>-4314</v>
          </cell>
        </row>
        <row r="209">
          <cell r="D209" t="str">
            <v>TOTAL B AREA  1900</v>
          </cell>
          <cell r="F209">
            <v>594282</v>
          </cell>
          <cell r="G209">
            <v>-27877</v>
          </cell>
        </row>
        <row r="211">
          <cell r="D211" t="str">
            <v>Total office eq others</v>
          </cell>
          <cell r="F211">
            <v>900503</v>
          </cell>
          <cell r="G211">
            <v>-46219</v>
          </cell>
        </row>
        <row r="215">
          <cell r="E215" t="str">
            <v>B area 1100</v>
          </cell>
          <cell r="F215">
            <v>8000</v>
          </cell>
          <cell r="G215">
            <v>-723</v>
          </cell>
        </row>
        <row r="216">
          <cell r="D216" t="str">
            <v>Total office equipment</v>
          </cell>
          <cell r="E216" t="str">
            <v>B area 1500</v>
          </cell>
          <cell r="F216">
            <v>4580971.5</v>
          </cell>
          <cell r="G216">
            <v>-543289</v>
          </cell>
        </row>
        <row r="217">
          <cell r="E217" t="str">
            <v>B area 1900</v>
          </cell>
          <cell r="F217">
            <v>871232</v>
          </cell>
          <cell r="G217">
            <v>-76631</v>
          </cell>
        </row>
        <row r="218">
          <cell r="E218" t="str">
            <v>total all BA</v>
          </cell>
          <cell r="F218">
            <v>5460203.5</v>
          </cell>
          <cell r="G218">
            <v>-620643</v>
          </cell>
        </row>
      </sheetData>
      <sheetData sheetId="13" refreshError="1"/>
      <sheetData sheetId="14" refreshError="1"/>
      <sheetData sheetId="15" refreshError="1"/>
      <sheetData sheetId="16" refreshError="1"/>
      <sheetData sheetId="17" refreshError="1">
        <row r="1">
          <cell r="A1" t="str">
            <v>ESSAR STEEL LIMITED</v>
          </cell>
        </row>
        <row r="2">
          <cell r="A2" t="str">
            <v>SCHEDULE V AS ON 30.09.2001</v>
          </cell>
        </row>
        <row r="4">
          <cell r="C4" t="str">
            <v>GROSS BLOCK</v>
          </cell>
          <cell r="G4" t="str">
            <v>DEPRECIATION</v>
          </cell>
          <cell r="K4" t="str">
            <v>NET BLOCK</v>
          </cell>
        </row>
        <row r="5">
          <cell r="C5" t="str">
            <v>Balance as on</v>
          </cell>
          <cell r="D5" t="str">
            <v xml:space="preserve">Addition during </v>
          </cell>
          <cell r="E5" t="str">
            <v xml:space="preserve">Deletion during </v>
          </cell>
          <cell r="F5" t="str">
            <v>Balance as on</v>
          </cell>
          <cell r="G5" t="str">
            <v>Balance as on</v>
          </cell>
          <cell r="H5" t="str">
            <v xml:space="preserve">For the </v>
          </cell>
          <cell r="I5" t="str">
            <v>Withdrawls/</v>
          </cell>
          <cell r="J5" t="str">
            <v>Balance as on</v>
          </cell>
          <cell r="K5" t="str">
            <v>Balance as on</v>
          </cell>
          <cell r="L5" t="str">
            <v>Balance as on</v>
          </cell>
        </row>
        <row r="6">
          <cell r="B6" t="str">
            <v>Bus Area</v>
          </cell>
          <cell r="C6" t="str">
            <v>01.04.2001</v>
          </cell>
          <cell r="D6" t="str">
            <v>period</v>
          </cell>
          <cell r="E6" t="str">
            <v>period</v>
          </cell>
          <cell r="F6" t="str">
            <v>30.09.2001</v>
          </cell>
          <cell r="G6" t="str">
            <v>01.04.2001</v>
          </cell>
          <cell r="H6" t="str">
            <v>year</v>
          </cell>
          <cell r="I6" t="str">
            <v>written back</v>
          </cell>
          <cell r="J6" t="str">
            <v>30.09.2001</v>
          </cell>
          <cell r="K6" t="str">
            <v>30.09.2001</v>
          </cell>
          <cell r="L6" t="str">
            <v>31.03.2001</v>
          </cell>
        </row>
        <row r="7">
          <cell r="A7" t="str">
            <v>HBI</v>
          </cell>
        </row>
        <row r="8">
          <cell r="A8" t="str">
            <v>LAND</v>
          </cell>
          <cell r="B8">
            <v>1100</v>
          </cell>
          <cell r="C8">
            <v>15823090.9</v>
          </cell>
          <cell r="F8">
            <v>15823090.9</v>
          </cell>
          <cell r="G8">
            <v>0</v>
          </cell>
          <cell r="J8">
            <v>0</v>
          </cell>
          <cell r="K8">
            <v>15823090.9</v>
          </cell>
          <cell r="L8">
            <v>15823090.9</v>
          </cell>
        </row>
        <row r="9">
          <cell r="A9" t="str">
            <v>BUILDINGS</v>
          </cell>
          <cell r="B9">
            <v>1100</v>
          </cell>
          <cell r="C9">
            <v>319227652.68000001</v>
          </cell>
          <cell r="F9">
            <v>319227652.68000001</v>
          </cell>
          <cell r="G9">
            <v>165467883.11000001</v>
          </cell>
          <cell r="H9">
            <v>5000591</v>
          </cell>
          <cell r="J9">
            <v>170468474.11000001</v>
          </cell>
          <cell r="K9">
            <v>148759178.56999999</v>
          </cell>
          <cell r="L9">
            <v>153759769.56999999</v>
          </cell>
        </row>
        <row r="10">
          <cell r="A10" t="str">
            <v>PLANT &amp; MACHINERY</v>
          </cell>
          <cell r="B10">
            <v>1100</v>
          </cell>
          <cell r="C10">
            <v>8502250247.75</v>
          </cell>
          <cell r="D10">
            <v>80886321</v>
          </cell>
          <cell r="F10">
            <v>8583136568.75</v>
          </cell>
          <cell r="G10">
            <v>4848111145.0500002</v>
          </cell>
          <cell r="H10">
            <v>266337262.19</v>
          </cell>
          <cell r="J10">
            <v>5114448407.2399998</v>
          </cell>
          <cell r="K10">
            <v>3468688161.5100002</v>
          </cell>
          <cell r="L10">
            <v>3654139102.6999998</v>
          </cell>
        </row>
        <row r="11">
          <cell r="A11" t="str">
            <v>FURNITURE &amp; FIXTURE</v>
          </cell>
          <cell r="B11">
            <v>1100</v>
          </cell>
          <cell r="C11">
            <v>12436890.470000001</v>
          </cell>
          <cell r="F11">
            <v>12436890.470000001</v>
          </cell>
          <cell r="G11">
            <v>10556844.18</v>
          </cell>
          <cell r="H11">
            <v>170623</v>
          </cell>
          <cell r="J11">
            <v>10727467.18</v>
          </cell>
          <cell r="K11">
            <v>1709423.290000001</v>
          </cell>
          <cell r="L11">
            <v>1880046.290000001</v>
          </cell>
        </row>
        <row r="12">
          <cell r="A12" t="str">
            <v>OFFICE EQUIPMENT</v>
          </cell>
          <cell r="B12">
            <v>1100</v>
          </cell>
          <cell r="C12">
            <v>25197558.239999998</v>
          </cell>
          <cell r="F12">
            <v>25197558.239999998</v>
          </cell>
          <cell r="G12">
            <v>22121039.68</v>
          </cell>
          <cell r="H12">
            <v>270419</v>
          </cell>
          <cell r="J12">
            <v>22391458.68</v>
          </cell>
          <cell r="K12">
            <v>2806099.5599999987</v>
          </cell>
          <cell r="L12">
            <v>3076518.5599999987</v>
          </cell>
        </row>
        <row r="13">
          <cell r="A13" t="str">
            <v>VEHICLES</v>
          </cell>
          <cell r="B13">
            <v>1100</v>
          </cell>
          <cell r="C13">
            <v>3102311.71</v>
          </cell>
          <cell r="F13">
            <v>3102311.71</v>
          </cell>
          <cell r="G13">
            <v>2782295.04</v>
          </cell>
          <cell r="H13">
            <v>42438</v>
          </cell>
          <cell r="J13">
            <v>2824733.04</v>
          </cell>
          <cell r="K13">
            <v>277578.66999999993</v>
          </cell>
          <cell r="L13">
            <v>320016.66999999993</v>
          </cell>
        </row>
        <row r="14">
          <cell r="A14" t="str">
            <v>SHIPS</v>
          </cell>
          <cell r="B14">
            <v>1100</v>
          </cell>
          <cell r="C14">
            <v>689563031</v>
          </cell>
          <cell r="F14">
            <v>689563031</v>
          </cell>
          <cell r="G14">
            <v>184888702.30000001</v>
          </cell>
          <cell r="H14">
            <v>25302850</v>
          </cell>
          <cell r="J14">
            <v>210191552.30000001</v>
          </cell>
          <cell r="K14">
            <v>479371478.69999999</v>
          </cell>
          <cell r="L14">
            <v>504674328.69999999</v>
          </cell>
        </row>
        <row r="15">
          <cell r="A15" t="str">
            <v>AIRCRAFT</v>
          </cell>
          <cell r="B15">
            <v>1100</v>
          </cell>
          <cell r="C15">
            <v>0</v>
          </cell>
          <cell r="F15">
            <v>0</v>
          </cell>
          <cell r="G15">
            <v>0</v>
          </cell>
          <cell r="J15">
            <v>0</v>
          </cell>
          <cell r="K15">
            <v>0</v>
          </cell>
          <cell r="L15">
            <v>0</v>
          </cell>
        </row>
        <row r="16">
          <cell r="A16" t="str">
            <v>RAILWAY SIDING &amp; WAGONS</v>
          </cell>
          <cell r="B16">
            <v>1100</v>
          </cell>
          <cell r="C16">
            <v>179163743.00999999</v>
          </cell>
          <cell r="F16">
            <v>179163743.00999999</v>
          </cell>
          <cell r="G16">
            <v>61671285.68</v>
          </cell>
          <cell r="H16">
            <v>4266798</v>
          </cell>
          <cell r="J16">
            <v>65938083.68</v>
          </cell>
          <cell r="K16">
            <v>113225659.32999998</v>
          </cell>
          <cell r="L16">
            <v>117492457.32999998</v>
          </cell>
        </row>
        <row r="17">
          <cell r="C17">
            <v>9746764525.7599983</v>
          </cell>
          <cell r="D17">
            <v>80886321</v>
          </cell>
          <cell r="E17">
            <v>0</v>
          </cell>
          <cell r="F17">
            <v>9827650846.7599983</v>
          </cell>
          <cell r="G17">
            <v>5295599195.0400009</v>
          </cell>
          <cell r="H17">
            <v>301390981.19</v>
          </cell>
          <cell r="I17">
            <v>0</v>
          </cell>
          <cell r="J17">
            <v>5596990176.2300005</v>
          </cell>
          <cell r="K17">
            <v>4230660670.5299997</v>
          </cell>
          <cell r="L17">
            <v>4451165330.7199993</v>
          </cell>
        </row>
        <row r="18">
          <cell r="A18" t="str">
            <v>HRC</v>
          </cell>
        </row>
        <row r="19">
          <cell r="A19" t="str">
            <v xml:space="preserve"> LAND</v>
          </cell>
          <cell r="B19">
            <v>1500</v>
          </cell>
          <cell r="C19">
            <v>315389153.70999998</v>
          </cell>
          <cell r="E19">
            <v>159232</v>
          </cell>
          <cell r="F19">
            <v>315229921.70999998</v>
          </cell>
          <cell r="G19">
            <v>0</v>
          </cell>
          <cell r="J19">
            <v>0</v>
          </cell>
          <cell r="K19">
            <v>315229921.70999998</v>
          </cell>
          <cell r="L19">
            <v>315389153.70999998</v>
          </cell>
        </row>
        <row r="20">
          <cell r="A20" t="str">
            <v>BUILDINGS</v>
          </cell>
          <cell r="B20">
            <v>1500</v>
          </cell>
          <cell r="C20">
            <v>4070285083.3099999</v>
          </cell>
          <cell r="D20">
            <v>162946</v>
          </cell>
          <cell r="F20">
            <v>4070448029.3099999</v>
          </cell>
          <cell r="G20">
            <v>1724727022.8700001</v>
          </cell>
          <cell r="H20">
            <v>109221993</v>
          </cell>
          <cell r="J20">
            <v>1833949015.8700001</v>
          </cell>
          <cell r="K20">
            <v>2236499013.4399996</v>
          </cell>
          <cell r="L20">
            <v>2345558060.4399996</v>
          </cell>
        </row>
        <row r="21">
          <cell r="A21" t="str">
            <v>PLANT &amp; MACHINERY</v>
          </cell>
          <cell r="B21">
            <v>1500</v>
          </cell>
          <cell r="C21">
            <v>49626502718.139999</v>
          </cell>
          <cell r="D21">
            <v>9911802</v>
          </cell>
          <cell r="F21">
            <v>49636414520.139999</v>
          </cell>
          <cell r="G21">
            <v>12298017846</v>
          </cell>
          <cell r="H21">
            <v>1637899619</v>
          </cell>
          <cell r="J21">
            <v>13935917465</v>
          </cell>
          <cell r="K21">
            <v>35700497055.139999</v>
          </cell>
          <cell r="L21">
            <v>37328484872.139999</v>
          </cell>
        </row>
        <row r="22">
          <cell r="A22" t="str">
            <v>FURNITURE &amp; FIXTURE</v>
          </cell>
          <cell r="B22">
            <v>1500</v>
          </cell>
          <cell r="C22">
            <v>143125001.62</v>
          </cell>
          <cell r="D22">
            <v>25975</v>
          </cell>
          <cell r="F22">
            <v>143150976.62</v>
          </cell>
          <cell r="G22">
            <v>111692050.62</v>
          </cell>
          <cell r="H22">
            <v>2854410</v>
          </cell>
          <cell r="J22">
            <v>114546460.62</v>
          </cell>
          <cell r="K22">
            <v>28604516</v>
          </cell>
          <cell r="L22">
            <v>31432951</v>
          </cell>
        </row>
        <row r="23">
          <cell r="A23" t="str">
            <v>OFFICE EQUIPMENT</v>
          </cell>
          <cell r="B23">
            <v>1500</v>
          </cell>
          <cell r="C23">
            <v>299067230.81999999</v>
          </cell>
          <cell r="D23">
            <v>3744535</v>
          </cell>
          <cell r="F23">
            <v>302811765.81999999</v>
          </cell>
          <cell r="G23">
            <v>234598630.72999999</v>
          </cell>
          <cell r="H23">
            <v>9735699</v>
          </cell>
          <cell r="J23">
            <v>244334329.72999999</v>
          </cell>
          <cell r="K23">
            <v>58477436.090000004</v>
          </cell>
          <cell r="L23">
            <v>64468600.090000004</v>
          </cell>
        </row>
        <row r="24">
          <cell r="A24" t="str">
            <v>VEHICLES</v>
          </cell>
          <cell r="B24">
            <v>1500</v>
          </cell>
          <cell r="C24">
            <v>41761973.590000004</v>
          </cell>
          <cell r="D24">
            <v>1233431.45</v>
          </cell>
          <cell r="E24">
            <v>4308581</v>
          </cell>
          <cell r="F24">
            <v>38686824.040000007</v>
          </cell>
          <cell r="G24">
            <v>28393348.780000001</v>
          </cell>
          <cell r="H24">
            <v>1883090</v>
          </cell>
          <cell r="I24">
            <v>2188218.06</v>
          </cell>
          <cell r="J24">
            <v>28088220.720000003</v>
          </cell>
          <cell r="K24">
            <v>10598603.320000004</v>
          </cell>
          <cell r="L24">
            <v>13368624.810000002</v>
          </cell>
        </row>
        <row r="25">
          <cell r="A25" t="str">
            <v>SHIPS</v>
          </cell>
          <cell r="C25">
            <v>0</v>
          </cell>
          <cell r="F25">
            <v>0</v>
          </cell>
          <cell r="G25">
            <v>0</v>
          </cell>
          <cell r="J25">
            <v>0</v>
          </cell>
          <cell r="K25">
            <v>0</v>
          </cell>
          <cell r="L25">
            <v>0</v>
          </cell>
        </row>
        <row r="26">
          <cell r="A26" t="str">
            <v>AIRCRAFT</v>
          </cell>
          <cell r="B26">
            <v>1500</v>
          </cell>
          <cell r="C26">
            <v>43471480</v>
          </cell>
          <cell r="F26">
            <v>43471480</v>
          </cell>
          <cell r="G26">
            <v>28710073.91</v>
          </cell>
          <cell r="H26">
            <v>1198950</v>
          </cell>
          <cell r="J26">
            <v>29909023.91</v>
          </cell>
          <cell r="K26">
            <v>13562456.09</v>
          </cell>
          <cell r="L26">
            <v>14761406.09</v>
          </cell>
        </row>
        <row r="27">
          <cell r="A27" t="str">
            <v>RAILWAY SIDING &amp; WAGONS</v>
          </cell>
          <cell r="B27">
            <v>1500</v>
          </cell>
          <cell r="C27">
            <v>129930090.22</v>
          </cell>
          <cell r="F27">
            <v>129930090.22</v>
          </cell>
          <cell r="G27">
            <v>31658165.609999999</v>
          </cell>
          <cell r="H27">
            <v>3329662</v>
          </cell>
          <cell r="J27">
            <v>34987827.609999999</v>
          </cell>
          <cell r="K27">
            <v>94942262.609999999</v>
          </cell>
          <cell r="L27">
            <v>98271924.609999999</v>
          </cell>
        </row>
        <row r="28">
          <cell r="C28">
            <v>54669532731.409996</v>
          </cell>
          <cell r="D28">
            <v>15078689.449999999</v>
          </cell>
          <cell r="E28">
            <v>4467813</v>
          </cell>
          <cell r="F28">
            <v>54680143607.860001</v>
          </cell>
          <cell r="G28">
            <v>14457797138.520002</v>
          </cell>
          <cell r="H28">
            <v>1766123423</v>
          </cell>
          <cell r="I28">
            <v>2188218.06</v>
          </cell>
          <cell r="J28">
            <v>16221732343.460001</v>
          </cell>
          <cell r="K28">
            <v>38458411264.399994</v>
          </cell>
          <cell r="L28">
            <v>40211735592.889992</v>
          </cell>
        </row>
        <row r="29">
          <cell r="A29" t="str">
            <v>CORPORATE</v>
          </cell>
        </row>
        <row r="30">
          <cell r="A30" t="str">
            <v xml:space="preserve"> LAND</v>
          </cell>
          <cell r="C30">
            <v>0</v>
          </cell>
          <cell r="F30">
            <v>0</v>
          </cell>
          <cell r="G30">
            <v>0</v>
          </cell>
          <cell r="J30">
            <v>0</v>
          </cell>
          <cell r="K30">
            <v>0</v>
          </cell>
          <cell r="L30">
            <v>0</v>
          </cell>
        </row>
        <row r="31">
          <cell r="A31" t="str">
            <v>BUILDINGS</v>
          </cell>
          <cell r="B31">
            <v>1900</v>
          </cell>
          <cell r="C31">
            <v>6086179</v>
          </cell>
          <cell r="F31">
            <v>6086179</v>
          </cell>
          <cell r="G31">
            <v>3586069</v>
          </cell>
          <cell r="H31">
            <v>67444</v>
          </cell>
          <cell r="J31">
            <v>3653513</v>
          </cell>
          <cell r="K31">
            <v>2432666</v>
          </cell>
          <cell r="L31">
            <v>2500110</v>
          </cell>
        </row>
        <row r="32">
          <cell r="A32" t="str">
            <v>PLANT &amp; MACHINERY</v>
          </cell>
          <cell r="C32">
            <v>0</v>
          </cell>
          <cell r="F32">
            <v>0</v>
          </cell>
          <cell r="G32">
            <v>0</v>
          </cell>
          <cell r="J32">
            <v>0</v>
          </cell>
          <cell r="K32">
            <v>0</v>
          </cell>
          <cell r="L32">
            <v>0</v>
          </cell>
        </row>
        <row r="33">
          <cell r="A33" t="str">
            <v>FURNITURE &amp; FIXTURE</v>
          </cell>
          <cell r="B33">
            <v>1900</v>
          </cell>
          <cell r="C33">
            <v>18650264.300000001</v>
          </cell>
          <cell r="D33">
            <v>54250</v>
          </cell>
          <cell r="F33">
            <v>18704514.300000001</v>
          </cell>
          <cell r="G33">
            <v>15368792</v>
          </cell>
          <cell r="H33">
            <v>299908</v>
          </cell>
          <cell r="J33">
            <v>15668700</v>
          </cell>
          <cell r="K33">
            <v>3035814.3000000007</v>
          </cell>
          <cell r="L33">
            <v>3281472.3000000007</v>
          </cell>
        </row>
        <row r="34">
          <cell r="A34" t="str">
            <v>OFFICE EQUIPMENT</v>
          </cell>
          <cell r="B34">
            <v>1900</v>
          </cell>
          <cell r="C34">
            <v>19895306.559999999</v>
          </cell>
          <cell r="D34">
            <v>655570</v>
          </cell>
          <cell r="F34">
            <v>20550876.559999999</v>
          </cell>
          <cell r="G34">
            <v>15159783</v>
          </cell>
          <cell r="H34">
            <v>592607</v>
          </cell>
          <cell r="J34">
            <v>15752390</v>
          </cell>
          <cell r="K34">
            <v>4798486.5599999987</v>
          </cell>
          <cell r="L34">
            <v>4735523.5599999987</v>
          </cell>
        </row>
        <row r="35">
          <cell r="A35" t="str">
            <v>VEHICLES</v>
          </cell>
          <cell r="B35">
            <v>1900</v>
          </cell>
          <cell r="C35">
            <v>28326299.68</v>
          </cell>
          <cell r="F35">
            <v>28326299.68</v>
          </cell>
          <cell r="G35">
            <v>15234849</v>
          </cell>
          <cell r="H35">
            <v>1695955</v>
          </cell>
          <cell r="J35">
            <v>16930804</v>
          </cell>
          <cell r="K35">
            <v>11395495.68</v>
          </cell>
          <cell r="L35">
            <v>13091450.68</v>
          </cell>
        </row>
        <row r="36">
          <cell r="A36" t="str">
            <v>SHIPS</v>
          </cell>
          <cell r="C36">
            <v>0</v>
          </cell>
          <cell r="F36">
            <v>0</v>
          </cell>
          <cell r="G36">
            <v>0</v>
          </cell>
          <cell r="J36">
            <v>0</v>
          </cell>
          <cell r="K36">
            <v>0</v>
          </cell>
          <cell r="L36">
            <v>0</v>
          </cell>
        </row>
        <row r="37">
          <cell r="A37" t="str">
            <v>AIRCRAFT</v>
          </cell>
          <cell r="C37">
            <v>0</v>
          </cell>
          <cell r="F37">
            <v>0</v>
          </cell>
          <cell r="G37">
            <v>0</v>
          </cell>
          <cell r="J37">
            <v>0</v>
          </cell>
          <cell r="K37">
            <v>0</v>
          </cell>
          <cell r="L37">
            <v>0</v>
          </cell>
        </row>
        <row r="38">
          <cell r="A38" t="str">
            <v>RAILWAY SIDING &amp; WAGONS</v>
          </cell>
          <cell r="C38">
            <v>0</v>
          </cell>
          <cell r="F38">
            <v>0</v>
          </cell>
          <cell r="G38">
            <v>0</v>
          </cell>
          <cell r="J38">
            <v>0</v>
          </cell>
          <cell r="K38">
            <v>0</v>
          </cell>
          <cell r="L38">
            <v>0</v>
          </cell>
        </row>
        <row r="39">
          <cell r="C39">
            <v>72958049.539999992</v>
          </cell>
          <cell r="D39">
            <v>709820</v>
          </cell>
          <cell r="E39">
            <v>0</v>
          </cell>
          <cell r="F39">
            <v>73667869.539999992</v>
          </cell>
          <cell r="G39">
            <v>49349493</v>
          </cell>
          <cell r="H39">
            <v>2655914</v>
          </cell>
          <cell r="I39">
            <v>0</v>
          </cell>
          <cell r="J39">
            <v>52005407</v>
          </cell>
          <cell r="K39">
            <v>21662462.539999999</v>
          </cell>
          <cell r="L39">
            <v>23608556.539999999</v>
          </cell>
        </row>
        <row r="40">
          <cell r="A40" t="str">
            <v>TOTAL</v>
          </cell>
        </row>
        <row r="41">
          <cell r="A41" t="str">
            <v xml:space="preserve"> LAND</v>
          </cell>
          <cell r="C41">
            <v>331212244.60999995</v>
          </cell>
          <cell r="D41">
            <v>0</v>
          </cell>
          <cell r="E41">
            <v>159232</v>
          </cell>
          <cell r="F41">
            <v>331053012.60999995</v>
          </cell>
          <cell r="G41">
            <v>0</v>
          </cell>
          <cell r="H41">
            <v>0</v>
          </cell>
          <cell r="I41">
            <v>0</v>
          </cell>
          <cell r="J41">
            <v>0</v>
          </cell>
          <cell r="K41">
            <v>331053012.60999995</v>
          </cell>
          <cell r="L41">
            <v>331212244.60999995</v>
          </cell>
        </row>
        <row r="42">
          <cell r="A42" t="str">
            <v>BUILDINGS</v>
          </cell>
          <cell r="C42">
            <v>4395598914.9899998</v>
          </cell>
          <cell r="D42">
            <v>162946</v>
          </cell>
          <cell r="E42">
            <v>0</v>
          </cell>
          <cell r="F42">
            <v>4395761860.9899998</v>
          </cell>
          <cell r="G42">
            <v>1893780974.98</v>
          </cell>
          <cell r="H42">
            <v>114290028</v>
          </cell>
          <cell r="I42">
            <v>0</v>
          </cell>
          <cell r="J42">
            <v>2008071002.98</v>
          </cell>
          <cell r="K42">
            <v>2387690858.0099998</v>
          </cell>
          <cell r="L42">
            <v>2501817940.0099998</v>
          </cell>
        </row>
        <row r="43">
          <cell r="A43" t="str">
            <v>PLANT &amp; MACHINERY</v>
          </cell>
          <cell r="C43">
            <v>58128752965.889999</v>
          </cell>
          <cell r="D43">
            <v>90798123</v>
          </cell>
          <cell r="E43">
            <v>0</v>
          </cell>
          <cell r="F43">
            <v>58219551088.889999</v>
          </cell>
          <cell r="G43">
            <v>17146128991.049999</v>
          </cell>
          <cell r="H43">
            <v>1904236881.1900001</v>
          </cell>
          <cell r="I43">
            <v>0</v>
          </cell>
          <cell r="J43">
            <v>19050365872.239998</v>
          </cell>
          <cell r="K43">
            <v>39169185216.650002</v>
          </cell>
          <cell r="L43">
            <v>40982623974.839996</v>
          </cell>
        </row>
        <row r="44">
          <cell r="A44" t="str">
            <v>FURNITURE &amp; FIXTURE</v>
          </cell>
          <cell r="C44">
            <v>174212156.39000002</v>
          </cell>
          <cell r="D44">
            <v>80225</v>
          </cell>
          <cell r="E44">
            <v>0</v>
          </cell>
          <cell r="F44">
            <v>174292381.39000002</v>
          </cell>
          <cell r="G44">
            <v>137617686.80000001</v>
          </cell>
          <cell r="H44">
            <v>3324941</v>
          </cell>
          <cell r="I44">
            <v>0</v>
          </cell>
          <cell r="J44">
            <v>140942627.80000001</v>
          </cell>
          <cell r="K44">
            <v>33349753.590000004</v>
          </cell>
          <cell r="L44">
            <v>36594469.589999996</v>
          </cell>
        </row>
        <row r="45">
          <cell r="A45" t="str">
            <v>OFFICE EQUIPMENT</v>
          </cell>
          <cell r="C45">
            <v>344160095.62</v>
          </cell>
          <cell r="D45">
            <v>4400105</v>
          </cell>
          <cell r="E45">
            <v>0</v>
          </cell>
          <cell r="F45">
            <v>348560200.62</v>
          </cell>
          <cell r="G45">
            <v>271879453.40999997</v>
          </cell>
          <cell r="H45">
            <v>10598725</v>
          </cell>
          <cell r="I45">
            <v>0</v>
          </cell>
          <cell r="J45">
            <v>282478178.40999997</v>
          </cell>
          <cell r="K45">
            <v>66082022.210000008</v>
          </cell>
          <cell r="L45">
            <v>72280642.210000008</v>
          </cell>
        </row>
        <row r="46">
          <cell r="A46" t="str">
            <v>VEHICLES</v>
          </cell>
          <cell r="C46">
            <v>73190584.980000004</v>
          </cell>
          <cell r="D46">
            <v>1233431.45</v>
          </cell>
          <cell r="E46">
            <v>4308581</v>
          </cell>
          <cell r="F46">
            <v>70115435.430000007</v>
          </cell>
          <cell r="G46">
            <v>46410492.82</v>
          </cell>
          <cell r="H46">
            <v>3621483</v>
          </cell>
          <cell r="I46">
            <v>2188218.06</v>
          </cell>
          <cell r="J46">
            <v>47843757.759999998</v>
          </cell>
          <cell r="K46">
            <v>22271677.670000002</v>
          </cell>
          <cell r="L46">
            <v>26780092.160000004</v>
          </cell>
        </row>
        <row r="47">
          <cell r="A47" t="str">
            <v>SHIPS</v>
          </cell>
          <cell r="C47">
            <v>689563031</v>
          </cell>
          <cell r="D47">
            <v>0</v>
          </cell>
          <cell r="E47">
            <v>0</v>
          </cell>
          <cell r="F47">
            <v>689563031</v>
          </cell>
          <cell r="G47">
            <v>184888702.30000001</v>
          </cell>
          <cell r="H47">
            <v>25302850</v>
          </cell>
          <cell r="I47">
            <v>0</v>
          </cell>
          <cell r="J47">
            <v>210191552.30000001</v>
          </cell>
          <cell r="K47">
            <v>479371478.69999999</v>
          </cell>
          <cell r="L47">
            <v>504674328.69999999</v>
          </cell>
        </row>
        <row r="48">
          <cell r="A48" t="str">
            <v>AIRCRAFT</v>
          </cell>
          <cell r="C48">
            <v>43471480</v>
          </cell>
          <cell r="D48">
            <v>0</v>
          </cell>
          <cell r="E48">
            <v>0</v>
          </cell>
          <cell r="F48">
            <v>43471480</v>
          </cell>
          <cell r="G48">
            <v>28710073.91</v>
          </cell>
          <cell r="H48">
            <v>1198950</v>
          </cell>
          <cell r="I48">
            <v>0</v>
          </cell>
          <cell r="J48">
            <v>29909023.91</v>
          </cell>
          <cell r="K48">
            <v>13562456.09</v>
          </cell>
          <cell r="L48">
            <v>14761406.09</v>
          </cell>
        </row>
        <row r="49">
          <cell r="A49" t="str">
            <v>RAILWAY SIDING &amp; WAGONS</v>
          </cell>
          <cell r="C49">
            <v>309093833.23000002</v>
          </cell>
          <cell r="D49">
            <v>0</v>
          </cell>
          <cell r="E49">
            <v>0</v>
          </cell>
          <cell r="F49">
            <v>309093833.23000002</v>
          </cell>
          <cell r="G49">
            <v>93329451.289999992</v>
          </cell>
          <cell r="H49">
            <v>7596460</v>
          </cell>
          <cell r="I49">
            <v>0</v>
          </cell>
          <cell r="J49">
            <v>100925911.28999999</v>
          </cell>
          <cell r="K49">
            <v>208167921.94</v>
          </cell>
          <cell r="L49">
            <v>215764381.94</v>
          </cell>
        </row>
        <row r="50">
          <cell r="C50">
            <v>64489255306.709991</v>
          </cell>
          <cell r="D50">
            <v>96674830.450000003</v>
          </cell>
          <cell r="E50">
            <v>4467813</v>
          </cell>
          <cell r="F50">
            <v>64581462324.160004</v>
          </cell>
          <cell r="G50">
            <v>19802745826.560005</v>
          </cell>
          <cell r="H50">
            <v>2070170318.1900001</v>
          </cell>
          <cell r="I50">
            <v>2188218.06</v>
          </cell>
          <cell r="J50">
            <v>21870727926.690002</v>
          </cell>
          <cell r="K50">
            <v>42710734397.469994</v>
          </cell>
          <cell r="L50">
            <v>44686509480.149994</v>
          </cell>
        </row>
      </sheetData>
      <sheetData sheetId="18" refreshError="1"/>
      <sheetData sheetId="19" refreshError="1"/>
      <sheetData sheetId="20" refreshError="1"/>
      <sheetData sheetId="21" refreshError="1"/>
      <sheetData sheetId="22">
        <row r="1">
          <cell r="A1" t="str">
            <v>ESSAR STEEL LIMITED</v>
          </cell>
        </row>
      </sheetData>
      <sheetData sheetId="23"/>
      <sheetData sheetId="24"/>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Assumptions"/>
      <sheetName val="Discom Details"/>
      <sheetName val="A 3.7"/>
      <sheetName val="C.S.GENERATION"/>
      <sheetName val="Cash Flow"/>
      <sheetName val="Sch-3"/>
      <sheetName val="HLY_-99-002"/>
      <sheetName val="Hydro_Data2"/>
      <sheetName val="dpc_cost2"/>
      <sheetName val="Plant_Availability2"/>
      <sheetName val="HLY_-99-001"/>
      <sheetName val="Hydro_Data1"/>
      <sheetName val="dpc_cost1"/>
      <sheetName val="Plant_Availability1"/>
      <sheetName val="all"/>
      <sheetName val="04rel"/>
      <sheetName val="HLY_-99-003"/>
      <sheetName val="Hydro_Data3"/>
      <sheetName val="dpc_cost3"/>
      <sheetName val="Plant_Availability3"/>
      <sheetName val="Discom_Details"/>
      <sheetName val="A_3_7"/>
      <sheetName val="C_S_GENERATION"/>
      <sheetName val="Cash_Flow"/>
      <sheetName val="RAJ"/>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Form-B"/>
      <sheetName val="7_11_p1"/>
      <sheetName val="7_11_p11"/>
      <sheetName val="Discom_Details2"/>
      <sheetName val="A_3_72"/>
      <sheetName val="C_S_GENERATION2"/>
      <sheetName val="7_11_p12"/>
      <sheetName val="4 Annex 1 Basic rate"/>
      <sheetName val="tb2002 linked"/>
      <sheetName val="sum"/>
      <sheetName val="DPT-PW"/>
      <sheetName val="Factor_sheet"/>
      <sheetName val="SCF"/>
      <sheetName val="Report"/>
      <sheetName val="sep01"/>
      <sheetName val="Energy_bal"/>
      <sheetName val="TRP"/>
      <sheetName val="Dom"/>
      <sheetName val="Inputs"/>
      <sheetName val="Feb-06"/>
      <sheetName val="17(B) govt"/>
      <sheetName val="Dispatch 2.0"/>
      <sheetName val="DETAILED  BOQ"/>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D1">
            <v>0</v>
          </cell>
        </row>
      </sheetData>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
          <cell r="D1">
            <v>0</v>
          </cell>
        </row>
      </sheetData>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dpc_cost"/>
      <sheetName val="OCM3"/>
      <sheetName val="deduction"/>
      <sheetName val="addition"/>
      <sheetName val="sep01"/>
      <sheetName val="NP"/>
      <sheetName val="PP"/>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dpc cost"/>
      <sheetName val="SUMMERY"/>
    </sheetNames>
    <sheetDataSet>
      <sheetData sheetId="0">
        <row r="3">
          <cell r="B3">
            <v>7.8600000000000003E-2</v>
          </cell>
        </row>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Inputs &amp; Assumptions"/>
      <sheetName val="TP15-16"/>
      <sheetName val="TP16-17"/>
      <sheetName val="TP17-18"/>
      <sheetName val="TP 18-19 19-20"/>
      <sheetName val="Fuel Cost Normative 15-16"/>
      <sheetName val="Fuel Cost Normative 16-17"/>
      <sheetName val="Fuel Cost Normative 17-18"/>
      <sheetName val="F12 MSPGCL"/>
      <sheetName val="Bhusawal"/>
      <sheetName val="Bhusawal True up Summary"/>
      <sheetName val="F1(Bhusawal)"/>
      <sheetName val="F1.1(Bhusawal)"/>
      <sheetName val="F2.1(Bhusawal)"/>
      <sheetName val="F2.2(Bhusawal)"/>
      <sheetName val="F2.3(Bhusawal)"/>
      <sheetName val="F2.4(Bhusawal)"/>
      <sheetName val="F2.8(Bhusawal)"/>
      <sheetName val="F3(Bhusawal)"/>
      <sheetName val="F3.1(Bhusawal)"/>
      <sheetName val="F3.2(Bhusawal)"/>
      <sheetName val="F3.3(Bhusawal)"/>
      <sheetName val="F3.4(Bhusawal)"/>
      <sheetName val="F4(Bhusawal)"/>
      <sheetName val="F4.1(Bhusawal)"/>
      <sheetName val="F4.2(Bhusawal)"/>
      <sheetName val="F4.3(Bhusawal)"/>
      <sheetName val="F5(Bhusawal)"/>
      <sheetName val="F6 (Bhusawal)"/>
      <sheetName val="F6 Other Finance charges"/>
      <sheetName val="F7(Bhusawal)"/>
      <sheetName val="F8(Bhusawal)"/>
      <sheetName val="F9(Bhusawal)"/>
      <sheetName val="9.1(Bhusawal)"/>
      <sheetName val="F9.2(Bhusawal)"/>
      <sheetName val="F9.3(Bhusawal)"/>
      <sheetName val="F10(Bhusawal)"/>
      <sheetName val="F11(Bhusawal)"/>
      <sheetName val="F12(Bhusawal)"/>
      <sheetName val="F13(Bhusawal)"/>
      <sheetName val="Bhusawal 4-5"/>
      <sheetName val="Bhusawal 4-5 True up Summary"/>
      <sheetName val="F1(Bhusawal 4-5)"/>
      <sheetName val="F1.1(Bhusawal 4-5)"/>
      <sheetName val="F2.1(Bhusawal 4-5)"/>
      <sheetName val="F2.2(Bhusawal 4-5)"/>
      <sheetName val="F2.3(Bhusawal 4-5)"/>
      <sheetName val="F2.4(Bhusawal 4-5)"/>
      <sheetName val="F2.8(Bhusawal 4-5)"/>
      <sheetName val="F3(Bhusawal 4-5)"/>
      <sheetName val="F3.1(Bhusawal 4-5)"/>
      <sheetName val="F3.2(Bhusawal 4-5)"/>
      <sheetName val="F3.3(Bhusawal 4-5)"/>
      <sheetName val="F3.4(Bhusawal 4-5)"/>
      <sheetName val="F4(Bhusawal 4-5)"/>
      <sheetName val="F4.1(Bhusawal 4-5)"/>
      <sheetName val="F4.2(Bhusawal 4-5)"/>
      <sheetName val="F4.3(Bhusawal 4-5)"/>
      <sheetName val="F5(Bhusawal 4-5)"/>
      <sheetName val="F6 (Bhusawal 4-5)"/>
      <sheetName val="F6 Other Finance char(Bhu 4-5)"/>
      <sheetName val="F7(Bhusawal 4-5)"/>
      <sheetName val="F8(Bhusawal 4-5)"/>
      <sheetName val="F9(Bhusawal 4-5)"/>
      <sheetName val="9.1(Bhusawal 4-5)"/>
      <sheetName val="F9.2(Bhusawal 4-5)"/>
      <sheetName val="F9.3 (Bhusawal 4-5)"/>
      <sheetName val="F10(Bhusawal 4-5)"/>
      <sheetName val="F11(Bhusawal 4-5)"/>
      <sheetName val="F12(Bhusawal 4-5)"/>
      <sheetName val="F13(Bhusawal 4-5)"/>
      <sheetName val="Chandrapur"/>
      <sheetName val="Chandrapur True up Summary"/>
      <sheetName val="F1(Chandrapur)"/>
      <sheetName val="F1.1(Chandrapur)"/>
      <sheetName val="F2.1(Chandrapur)"/>
      <sheetName val="F2.2(Chandrapur)"/>
      <sheetName val="F2.3(Chandrapur)"/>
      <sheetName val="F2.4(Chandrapur)"/>
      <sheetName val="F2.8(Chandrapur)"/>
      <sheetName val="F3(Chandrapur)"/>
      <sheetName val="F3.1(Chandrapur)"/>
      <sheetName val="F3.2(Chandrapur)"/>
      <sheetName val="F3.3(Chandrapur)"/>
      <sheetName val="F3.4(Chandrapur)"/>
      <sheetName val="F4(Chandrapur)"/>
      <sheetName val="F4.1(Chandrapur)"/>
      <sheetName val="F4.2(Chandrapur)"/>
      <sheetName val="F4.3 (Chandrapur)"/>
      <sheetName val="F5(Chandrapur)"/>
      <sheetName val="F6 (Chandrapur)"/>
      <sheetName val="F6 Other Finance charges (Chan)"/>
      <sheetName val="F7(Chandrapur)"/>
      <sheetName val="F8(Chandrapur)"/>
      <sheetName val="F9(Chandrapur)"/>
      <sheetName val="9.1(Chandrapur)"/>
      <sheetName val="F9.2(Chandrapur)"/>
      <sheetName val="F9.3(Chandrapur)"/>
      <sheetName val="F10(Chandrapur)"/>
      <sheetName val="F11(Chandrapur)"/>
      <sheetName val="F12(Chandrapur)"/>
      <sheetName val="F13(Chandrapur)"/>
      <sheetName val="Chandrapur 8-9"/>
      <sheetName val="Chandrapur89 True up Summary "/>
      <sheetName val="F1(Chandrapur 8-9)"/>
      <sheetName val="F1.1(Chandrapur 8-9)"/>
      <sheetName val="F2.1(Chandrapur 8-9)"/>
      <sheetName val="F2.2(Chandrapur 8-9)"/>
      <sheetName val="F2.3(Chandrapur 8-9)"/>
      <sheetName val="F2.4(Chandrapur 8-9)"/>
      <sheetName val="F2.8(Chandrapur 8-9)"/>
      <sheetName val="F3(Chandrapur 8-9)"/>
      <sheetName val="F3.1(Chandrapur 8-9)"/>
      <sheetName val="F3.2(Chandrapur 8-9)"/>
      <sheetName val="F3.3(Chandrapur 8-9)"/>
      <sheetName val="F3.4(Chandrapur 8-9)"/>
      <sheetName val="F4(Chandrapur 8-9)"/>
      <sheetName val="F4.1(Chandrapur 8-9)"/>
      <sheetName val="F4.2(Chandrapur 8-9)"/>
      <sheetName val="F4.3(Chandrapur 8-9)"/>
      <sheetName val="F5 (Chandrapur 8-9)"/>
      <sheetName val="F6 (Chandrapur8 &amp;9)"/>
      <sheetName val="F6 Other Financechar(CSTPS 8-9)"/>
      <sheetName val="F7(Chandrapur 8-9)"/>
      <sheetName val="F8(Chandrapur 8-9)"/>
      <sheetName val="F9(Chandrapur 8-9)"/>
      <sheetName val="9.1(Chandrapur 8-9)"/>
      <sheetName val="F9.2(Chandrapur 8-9)"/>
      <sheetName val="F9.3(Chandrapur 8-9)"/>
      <sheetName val="F10(Chandrapur 8-9)"/>
      <sheetName val="F11(Chandrapur 8-9)"/>
      <sheetName val="F12(Chandrapur 8-9) "/>
      <sheetName val="F13(Chandrapur 8-9)"/>
      <sheetName val="KPKD"/>
      <sheetName val="Khaperkheda True up summary "/>
      <sheetName val="F1(KPKD)"/>
      <sheetName val="F1.1(KPKD)"/>
      <sheetName val="F2.1(KPKD)"/>
      <sheetName val="F2.2(KPKD)"/>
      <sheetName val="F2.3(KPKD)"/>
      <sheetName val="F2.4(KPKD)"/>
      <sheetName val="F2.8(KPKD)"/>
      <sheetName val="F3(KPKD)"/>
      <sheetName val="F3.1(KPKD)"/>
      <sheetName val="F3.2(KPKD)"/>
      <sheetName val="F3.3(KPKD)"/>
      <sheetName val="F3.4(KPKD)"/>
      <sheetName val="F4(KPKD)"/>
      <sheetName val="F4.1 (KPKD)"/>
      <sheetName val="F4.2 (KPKD)"/>
      <sheetName val="F4.3 (KPKD)"/>
      <sheetName val="F5(KPKD)"/>
      <sheetName val="F6 (KPKD)"/>
      <sheetName val="F6 Other Finance charges (KPKD)"/>
      <sheetName val="F7(KPKD)"/>
      <sheetName val="F8(KPKD)"/>
      <sheetName val="F9(KPKD)"/>
      <sheetName val="9.1(KPKD)"/>
      <sheetName val="F9.2(KPKD)"/>
      <sheetName val="F9.3(KPKD)"/>
      <sheetName val="F10(KPKD)"/>
      <sheetName val="F11(KPKD)"/>
      <sheetName val="F12(KPKD)"/>
      <sheetName val="F13(KPKD)"/>
      <sheetName val="KPKD 5"/>
      <sheetName val="Khaperkheda 5 True up summary"/>
      <sheetName val="F1(KPKD 5)"/>
      <sheetName val="F1.1(KPKD 5)"/>
      <sheetName val="F2.1(KPKD 5)"/>
      <sheetName val="F2.2(KPKD 5)"/>
      <sheetName val="F2.3(KPKD 5)"/>
      <sheetName val="F2.4(KPKD 5)"/>
      <sheetName val="F2.8(KPKD 5)"/>
      <sheetName val="F3(KPKD 5)"/>
      <sheetName val="F3.1(KPKD 5)"/>
      <sheetName val="F3.2(KPKD 5)"/>
      <sheetName val="F3.3(KPKD 5)"/>
      <sheetName val="F3.4(KPKD 5)"/>
      <sheetName val="F4(KPKD 5)"/>
      <sheetName val="F4.1 (KPKD 5)"/>
      <sheetName val="F4.2 (KPKD 5)"/>
      <sheetName val="F4.3 (KPKD 5)"/>
      <sheetName val="F5(KPKD 5)"/>
      <sheetName val="F6 (KPKD 5)"/>
      <sheetName val="F6 Other Finance charges(KPKD5)"/>
      <sheetName val="F7(KPKD 5)"/>
      <sheetName val="F8(KPKD 5)"/>
      <sheetName val="F9(KPKD 5)"/>
      <sheetName val="9.1(KPKD 5)"/>
      <sheetName val="F9.2(KPKD 5)"/>
      <sheetName val="F9.3(KPKD 5)"/>
      <sheetName val="F10(KPKD 5)"/>
      <sheetName val="F11(KPKD 5)"/>
      <sheetName val="F12(KPKD 5)"/>
      <sheetName val="F13(KPKD 5)"/>
      <sheetName val="Koradi"/>
      <sheetName val="Koradi True up summary"/>
      <sheetName val="F1(Koradi)"/>
      <sheetName val="F1.1(Koradi)"/>
      <sheetName val="F2.1(Koradi)"/>
      <sheetName val="F2.2(Koradi)"/>
      <sheetName val="F2.3(Koradi)"/>
      <sheetName val="F2.4(Koradi)"/>
      <sheetName val="F2.8(Koradi)"/>
      <sheetName val="F3(Koradi)"/>
      <sheetName val="F3.1(Koradi)"/>
      <sheetName val="F3.2(Koradi)"/>
      <sheetName val="F3.3(Koradi)"/>
      <sheetName val="F3.4(Koradi)"/>
      <sheetName val="F4(Koradi)"/>
      <sheetName val="F4.1(Koradi)"/>
      <sheetName val="F4.2(Koradi)"/>
      <sheetName val="F4.3(Koradi)"/>
      <sheetName val="F5(Koradi)"/>
      <sheetName val="F6 (Koradi)"/>
      <sheetName val="F6 Other Finance charges  "/>
      <sheetName val="F7(Koradi))"/>
      <sheetName val="F8 (Koradi)"/>
      <sheetName val="F9(Koradi)"/>
      <sheetName val="9.1(Koradi)"/>
      <sheetName val="F9.2(Koradi)"/>
      <sheetName val="F9.3(Koradi)"/>
      <sheetName val="F10(Koradi)"/>
      <sheetName val="F11(Koradi)"/>
      <sheetName val="F12(Koradi)"/>
      <sheetName val="F13(Koradi)"/>
      <sheetName val="Koradi 8,9 10"/>
      <sheetName val="Koradi 8,9,10True up summary"/>
      <sheetName val="F1(Koradi 8,9 10)"/>
      <sheetName val="F1.1(Koradi 8,9 10)"/>
      <sheetName val="F2.1(Koradi 8,9 10)"/>
      <sheetName val="F2.2(Koradi 8,9 10)"/>
      <sheetName val="F2.3(Koradi 8,9 10)"/>
      <sheetName val="F2.4(Koradi 8,9 10)"/>
      <sheetName val="F2.8(Koradi 8,9 10)"/>
      <sheetName val="F3(Koradi 8,9 10)"/>
      <sheetName val="F3.1(Koradi 8,9 10)"/>
      <sheetName val="F3.2(Koradi 8,9 10)"/>
      <sheetName val="F3.3(Koradi 8,9 10"/>
      <sheetName val="F3.4(Koradi 8,9 10)"/>
      <sheetName val="F4(Koradi 8,9 10)"/>
      <sheetName val="F4.1(Koradi 8,9,10)"/>
      <sheetName val="F4.2(Koradi 8,9 10)"/>
      <sheetName val="F4.3(Koradi 8,9 10)"/>
      <sheetName val="F5 (Koradi 8,9,10)"/>
      <sheetName val="F6 (Koradi 8,9 10)"/>
      <sheetName val="F6 Othe Financechar(K8,9,10)"/>
      <sheetName val="F7(Koradi 8,9 10)"/>
      <sheetName val="F8(Koradi 8,9 10)"/>
      <sheetName val="F9(Koradi 8,9 10)"/>
      <sheetName val="9.1(Koradi 8,9 10)"/>
      <sheetName val="F9.2(Koradi 8,9 10)"/>
      <sheetName val="F9.3(Koradi 8,9 10)"/>
      <sheetName val="F10(Koradi 8,9 10)"/>
      <sheetName val="F11(Koradi 8,9 10)"/>
      <sheetName val="F12(Koradi 8,9 10)"/>
      <sheetName val="F13(Koradi 8,9 10)"/>
      <sheetName val="Nashik"/>
      <sheetName val="Nashik True up Summary"/>
      <sheetName val="F1(Nashik)"/>
      <sheetName val="F1.1(Nashik)"/>
      <sheetName val="F2.1(Nashik)"/>
      <sheetName val="F2.2(Nashik)"/>
      <sheetName val="F2.3(Nashik)"/>
      <sheetName val="F2.4(Nashik)"/>
      <sheetName val="F2.8(Nashik)"/>
      <sheetName val="F3(Nashik)"/>
      <sheetName val="F3.1(Nashik)"/>
      <sheetName val="F3.2(Nashik)"/>
      <sheetName val="F3.3(Nashik)"/>
      <sheetName val="F3.4(Nashik)"/>
      <sheetName val="F4(Nashik)"/>
      <sheetName val="F4.1(Nashik)"/>
      <sheetName val="F4.2(Nashik)"/>
      <sheetName val="F4.3(Nashik)"/>
      <sheetName val="F5(Nashik)"/>
      <sheetName val="F6(Nashik)"/>
      <sheetName val="F6 Other Financecharges (Nashi)"/>
      <sheetName val="F7(Nashik)"/>
      <sheetName val="F8(Nashik)"/>
      <sheetName val="F9(Nashik)"/>
      <sheetName val="9.1(Nashik)"/>
      <sheetName val="F9.2(Nashik)"/>
      <sheetName val="F9.3(Nashik)"/>
      <sheetName val="F10(Nashik)"/>
      <sheetName val="F11(Nashik)"/>
      <sheetName val="F12(Nashik)"/>
      <sheetName val="F13(Nashik)"/>
      <sheetName val="FY 15-16"/>
      <sheetName val="FY 16-17"/>
      <sheetName val="Sheet2"/>
      <sheetName val="PRS 3-4"/>
      <sheetName val="PRS 3-4 TRUE UP SUMMARY"/>
      <sheetName val="F1(PRS 3-4)"/>
      <sheetName val="F1.1(PRS 3-4)"/>
      <sheetName val="F2.1(PRS 3-4)"/>
      <sheetName val="F2.2(PRS 3-4)"/>
      <sheetName val="F2.3(PRS 3-4)"/>
      <sheetName val="F2.4(PRS 3-4)"/>
      <sheetName val="F2.8(PRS 3-4)"/>
      <sheetName val="F3(PRS 3-4)"/>
      <sheetName val="F3.1(PRS 3-4)"/>
      <sheetName val="F3.2(PRS 3-4)"/>
      <sheetName val="F3.3(PRS 3-4)"/>
      <sheetName val="F3.4(PRS 3-4)"/>
      <sheetName val="F4(PRS 3-4)"/>
      <sheetName val="F4.1(PRS 3-4)"/>
      <sheetName val="F4.2(PRS 3-4)"/>
      <sheetName val="F4.3(PRS 3-4)"/>
      <sheetName val="F5(PRS 3-4)"/>
      <sheetName val="F6 (Paras)"/>
      <sheetName val="F6 Other Financ charges(prs3-4)"/>
      <sheetName val="F7(PRS 3-4)"/>
      <sheetName val="F8(PRS 3-4)"/>
      <sheetName val="F9(PRS 3-4)"/>
      <sheetName val="9.1(PRS 3-4)"/>
      <sheetName val="F9.2(PRS 3-4)"/>
      <sheetName val="F9.3(PRS 3-4)"/>
      <sheetName val="F10(PRS 3-4)"/>
      <sheetName val="F11(PRS 3-4)"/>
      <sheetName val="F12(PRS 3-4)"/>
      <sheetName val="F13(PRS 3-4)"/>
      <sheetName val="Parli"/>
      <sheetName val="Parli true up Summary"/>
      <sheetName val="F1(Parli)"/>
      <sheetName val="F1.1(Parli)"/>
      <sheetName val="F2.1(Parli)"/>
      <sheetName val="F2.2(Parli)"/>
      <sheetName val="F2.3(Parli)"/>
      <sheetName val="F2.4(Parli)"/>
      <sheetName val="F2.8(Parli)"/>
      <sheetName val="F3(Parli)"/>
      <sheetName val="F3.1(Parli)"/>
      <sheetName val="F3.2(Parli)"/>
      <sheetName val="F3.3(Parli)"/>
      <sheetName val="F3.4(Parli)"/>
      <sheetName val="F4(Parli)"/>
      <sheetName val="F4.1(Parli)"/>
      <sheetName val="F4.2(Parli)"/>
      <sheetName val="F4.3(Parli)"/>
      <sheetName val="F5(Parli)"/>
      <sheetName val="F6 (Parli)"/>
      <sheetName val="F6 Other Finance charges "/>
      <sheetName val="F7(Parli)"/>
      <sheetName val="F8(Parli)"/>
      <sheetName val="F9(Parli)"/>
      <sheetName val="9.1(Parli)"/>
      <sheetName val="F9.2(Parli)"/>
      <sheetName val="F9.3(Parli)"/>
      <sheetName val="F11(Parli)"/>
      <sheetName val="F12(Parli)"/>
      <sheetName val="F13(Parli)"/>
      <sheetName val="Parli 6-7"/>
      <sheetName val="Parli 6-7 true up Summary"/>
      <sheetName val="F1(Parli 6-7)"/>
      <sheetName val="F1.1(Parli 6-7)"/>
      <sheetName val="F2.1(Parli 6-7)"/>
      <sheetName val="F2.2(Parli 6-7)"/>
      <sheetName val="F2.3(Parli 6-7)"/>
      <sheetName val="F2.4(Parli 6-7)"/>
      <sheetName val="F2.8(Parli 6-7)"/>
      <sheetName val="F3(Parli 6-7)"/>
      <sheetName val="F3.1(Parli 6-7)"/>
      <sheetName val="F3.2(Parli 6-7)"/>
      <sheetName val="F3.3(Parli 6-7)"/>
      <sheetName val="F3.4(Parli 6-7)"/>
      <sheetName val="F4(Parli 6-7)"/>
      <sheetName val="F4.1(Parli 6-7)"/>
      <sheetName val="F4.2(Parli 6-7)"/>
      <sheetName val="F4.3(Parli 6-7)"/>
      <sheetName val="F5(Parli 6-7)"/>
      <sheetName val="F6 (Parli 6-7)"/>
      <sheetName val="F6 Other Financ char(Parli6-7)"/>
      <sheetName val="F7(Parli 6-7)"/>
      <sheetName val="F8(Parli 6-7)"/>
      <sheetName val="F9(Parli 6-7)"/>
      <sheetName val="9.1(Parli 6-7)"/>
      <sheetName val="F9.2(Parli 6-7)"/>
      <sheetName val="F9.3(Parli 6-7)"/>
      <sheetName val="F10(Parli 6-7)"/>
      <sheetName val="F11(Parli 6-7)"/>
      <sheetName val="F12(Parli 6-7)"/>
      <sheetName val="F13(Parli 6-7)"/>
      <sheetName val="Parli 8"/>
      <sheetName val="Parli 8 True up Summary "/>
      <sheetName val="F1(Parli 8)"/>
      <sheetName val="F1.1(Parli 8)"/>
      <sheetName val="F2.1(Parli 8)"/>
      <sheetName val="F2.2(Parli 8)"/>
      <sheetName val="F2.3(Parli 8)"/>
      <sheetName val="F2.4(Parli 8)"/>
      <sheetName val="F2.8(Parli 8)"/>
      <sheetName val="F3(Parli 8)"/>
      <sheetName val="F3.1(Parli 8)"/>
      <sheetName val="F3.2(Parli 8)"/>
      <sheetName val="F3.3(Parli 8)"/>
      <sheetName val="F3.4(Parli 8)"/>
      <sheetName val="F4(Parli 8)"/>
      <sheetName val="F4.1(Parli 8)"/>
      <sheetName val="F4.2(Parli 8)"/>
      <sheetName val="F4.3(Parli 8)"/>
      <sheetName val="F5 (Parli 8)"/>
      <sheetName val="F6 (Parli 8)"/>
      <sheetName val="F6 Other Financechar(Parli 8)"/>
      <sheetName val="F7(Parli 8)"/>
      <sheetName val="F8(Parli 8)"/>
      <sheetName val="F9(Parli 8)"/>
      <sheetName val="9.1(Parli 8)"/>
      <sheetName val="F9.2(Parli 8)"/>
      <sheetName val="F9.3(Parli 8)"/>
      <sheetName val="F10(Parli 8)"/>
      <sheetName val="F11(Parli 8)"/>
      <sheetName val="F12(Parli 8)"/>
      <sheetName val="F13(Parli 8)"/>
      <sheetName val="Uran"/>
      <sheetName val="Uran True up Summary"/>
      <sheetName val="F1(Uran)"/>
      <sheetName val="F1.1(Uran)"/>
      <sheetName val="F2.1(Uran)"/>
      <sheetName val="F2.2(Uran)"/>
      <sheetName val="F2.3(Uran)"/>
      <sheetName val="F2.4(Uran)"/>
      <sheetName val="F2.8(Uran)"/>
      <sheetName val="F3(Uran)"/>
      <sheetName val="F3.1(Uran)"/>
      <sheetName val="F3.2(Uran)"/>
      <sheetName val="F3.3(Uran)"/>
      <sheetName val="F3.4(Uran)"/>
      <sheetName val="F4(Uran)"/>
      <sheetName val="F4.1(Uran)"/>
      <sheetName val="F4.2(Uran)"/>
      <sheetName val="F4.3(Uran)"/>
      <sheetName val="F5(Uran)"/>
      <sheetName val="F6(Uran)"/>
      <sheetName val="F6 Other Finance charges (Uran)"/>
      <sheetName val="F7 Uran"/>
      <sheetName val="F8(Uran)"/>
      <sheetName val="F9(Uran)"/>
      <sheetName val="9.1(Uran)"/>
      <sheetName val="F9.2(Uran)"/>
      <sheetName val="F9.3(Uran)"/>
      <sheetName val="F10(Uran)"/>
      <sheetName val="F11(Uran)"/>
      <sheetName val="F12(Uran)"/>
      <sheetName val="F13(Uran)"/>
    </sheetNames>
    <sheetDataSet>
      <sheetData sheetId="0" refreshError="1"/>
      <sheetData sheetId="1" refreshError="1"/>
      <sheetData sheetId="2" refreshError="1">
        <row r="3">
          <cell r="B3">
            <v>5.7534246575342465</v>
          </cell>
        </row>
        <row r="14">
          <cell r="D14">
            <v>23.206849315068496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Inputs &amp; Assumptions"/>
      <sheetName val="TP15-16"/>
      <sheetName val="TP16-17"/>
      <sheetName val="TP17-18"/>
      <sheetName val="TP 18-19 19-20"/>
      <sheetName val="Fuel Cost Normative 15-16"/>
      <sheetName val="Fuel Cost Normative 16-17"/>
      <sheetName val="Fuel Cost Normative 17-18"/>
      <sheetName val="F12 MSPGCL"/>
      <sheetName val="Bhusawal"/>
      <sheetName val="Bhusawal True up Summary"/>
      <sheetName val="F1(Bhusawal)"/>
      <sheetName val="F1.1(Bhusawal)"/>
      <sheetName val="F2.1(Bhusawal)"/>
      <sheetName val="F2.2(Bhusawal)"/>
      <sheetName val="F2.3(Bhusawal)"/>
      <sheetName val="F2.4(Bhusawal)"/>
      <sheetName val="F2.8(Bhusawal)"/>
      <sheetName val="F3(Bhusawal)"/>
      <sheetName val="F3.1(Bhusawal)"/>
      <sheetName val="F3.2(Bhusawal)"/>
      <sheetName val="F3.3(Bhusawal)"/>
      <sheetName val="F3.4(Bhusawal)"/>
      <sheetName val="F4(Bhusawal)"/>
      <sheetName val="F4.1(Bhusawal)"/>
      <sheetName val="F4.2(Bhusawal)"/>
      <sheetName val="F4.3(Bhusawal)"/>
      <sheetName val="F5(Bhusawal)"/>
      <sheetName val="F6 (Bhusawal)"/>
      <sheetName val="F6 Other Finance charges"/>
      <sheetName val="F7(Bhusawal)"/>
      <sheetName val="F8(Bhusawal)"/>
      <sheetName val="F9(Bhusawal)"/>
      <sheetName val="9.1(Bhusawal)"/>
      <sheetName val="F9.2(Bhusawal)"/>
      <sheetName val="F9.3(Bhusawal)"/>
      <sheetName val="F10(Bhusawal)"/>
      <sheetName val="F11(Bhusawal)"/>
      <sheetName val="F12(Bhusawal)"/>
      <sheetName val="F13(Bhusawal)"/>
      <sheetName val="Bhusawal 4-5"/>
      <sheetName val="Bhusawal 4-5 True up Summary"/>
      <sheetName val="F1(Bhusawal 4-5)"/>
      <sheetName val="F1.1(Bhusawal 4-5)"/>
      <sheetName val="F2.1(Bhusawal 4-5)"/>
      <sheetName val="F2.2(Bhusawal 4-5)"/>
      <sheetName val="F2.3(Bhusawal 4-5)"/>
      <sheetName val="F2.4(Bhusawal 4-5)"/>
      <sheetName val="F2.8(Bhusawal 4-5)"/>
      <sheetName val="F3(Bhusawal 4-5)"/>
      <sheetName val="F3.1(Bhusawal 4-5)"/>
      <sheetName val="F3.2(Bhusawal 4-5)"/>
      <sheetName val="F3.3(Bhusawal 4-5)"/>
      <sheetName val="F3.4(Bhusawal 4-5)"/>
      <sheetName val="F4(Bhusawal 4-5)"/>
      <sheetName val="F4.1(Bhusawal 4-5)"/>
      <sheetName val="F4.2(Bhusawal 4-5)"/>
      <sheetName val="F4.3(Bhusawal 4-5)"/>
      <sheetName val="F5(Bhusawal 4-5)"/>
      <sheetName val="F6 (Bhusawal 4-5)"/>
      <sheetName val="F6 Other Finance char(Bhu 4-5)"/>
      <sheetName val="F7(Bhusawal 4-5)"/>
      <sheetName val="F8(Bhusawal 4-5)"/>
      <sheetName val="F9(Bhusawal 4-5)"/>
      <sheetName val="9.1(Bhusawal 4-5)"/>
      <sheetName val="F9.2(Bhusawal 4-5)"/>
      <sheetName val="F9.3 (Bhusawal 4-5)"/>
      <sheetName val="F10(Bhusawal 4-5)"/>
      <sheetName val="F11(Bhusawal 4-5)"/>
      <sheetName val="F12(Bhusawal 4-5)"/>
      <sheetName val="F13(Bhusawal 4-5)"/>
      <sheetName val="Chandrapur"/>
      <sheetName val="Chandrapur True up Summary"/>
      <sheetName val="F1(Chandrapur)"/>
      <sheetName val="F1.1(Chandrapur)"/>
      <sheetName val="F2.1(Chandrapur)"/>
      <sheetName val="F2.2(Chandrapur)"/>
      <sheetName val="F2.3(Chandrapur)"/>
      <sheetName val="F2.4(Chandrapur)"/>
      <sheetName val="F2.8(Chandrapur)"/>
      <sheetName val="F3(Chandrapur)"/>
      <sheetName val="F3.1(Chandrapur)"/>
      <sheetName val="F3.2(Chandrapur)"/>
      <sheetName val="F3.3(Chandrapur)"/>
      <sheetName val="F3.4(Chandrapur)"/>
      <sheetName val="F4(Chandrapur)"/>
      <sheetName val="F4.1(Chandrapur)"/>
      <sheetName val="F4.2(Chandrapur)"/>
      <sheetName val="F4.3 (Chandrapur)"/>
      <sheetName val="F5(Chandrapur)"/>
      <sheetName val="F6 (Chandrapur)"/>
      <sheetName val="F6 Other Finance charges (Chan)"/>
      <sheetName val="F7(Chandrapur)"/>
      <sheetName val="F8(Chandrapur)"/>
      <sheetName val="F9(Chandrapur)"/>
      <sheetName val="9.1(Chandrapur)"/>
      <sheetName val="F9.2(Chandrapur)"/>
      <sheetName val="F9.3(Chandrapur)"/>
      <sheetName val="F10(Chandrapur)"/>
      <sheetName val="F11(Chandrapur)"/>
      <sheetName val="F12(Chandrapur)"/>
      <sheetName val="F13(Chandrapur)"/>
      <sheetName val="Chandrapur 8-9"/>
      <sheetName val="Chandrapur89 True up Summary "/>
      <sheetName val="F1(Chandrapur 8-9)"/>
      <sheetName val="F1.1(Chandrapur 8-9)"/>
      <sheetName val="F2.1(Chandrapur 8-9)"/>
      <sheetName val="F2.2(Chandrapur 8-9)"/>
      <sheetName val="F2.3(Chandrapur 8-9)"/>
      <sheetName val="F2.4(Chandrapur 8-9)"/>
      <sheetName val="F2.8(Chandrapur 8-9)"/>
      <sheetName val="F3(Chandrapur 8-9)"/>
      <sheetName val="F3.1(Chandrapur 8-9)"/>
      <sheetName val="F3.2(Chandrapur 8-9)"/>
      <sheetName val="F3.3(Chandrapur 8-9)"/>
      <sheetName val="F3.4(Chandrapur 8-9)"/>
      <sheetName val="F4(Chandrapur 8-9)"/>
      <sheetName val="F4.1(Chandrapur 8-9)"/>
      <sheetName val="F4.2(Chandrapur 8-9)"/>
      <sheetName val="F4.3(Chandrapur 8-9)"/>
      <sheetName val="F5 (Chandrapur 8-9)"/>
      <sheetName val="F6 (Chandrapur8 &amp;9)"/>
      <sheetName val="F6 Other Financechar(CSTPS 8-9)"/>
      <sheetName val="F7(Chandrapur 8-9)"/>
      <sheetName val="F8(Chandrapur 8-9)"/>
      <sheetName val="F9(Chandrapur 8-9)"/>
      <sheetName val="9.1(Chandrapur 8-9)"/>
      <sheetName val="F9.2(Chandrapur 8-9)"/>
      <sheetName val="F9.3(Chandrapur 8-9)"/>
      <sheetName val="F10(Chandrapur 8-9)"/>
      <sheetName val="F11(Chandrapur 8-9)"/>
      <sheetName val="F12(Chandrapur 8-9) "/>
      <sheetName val="F13(Chandrapur 8-9)"/>
      <sheetName val="KPKD"/>
      <sheetName val="Khaperkheda True up summary "/>
      <sheetName val="F1(KPKD)"/>
      <sheetName val="F1.1(KPKD)"/>
      <sheetName val="F2.1(KPKD)"/>
      <sheetName val="F2.2(KPKD)"/>
      <sheetName val="F2.3(KPKD)"/>
      <sheetName val="F2.4(KPKD)"/>
      <sheetName val="F2.8(KPKD)"/>
      <sheetName val="F3(KPKD)"/>
      <sheetName val="F3.1(KPKD)"/>
      <sheetName val="F3.2(KPKD)"/>
      <sheetName val="F3.3(KPKD)"/>
      <sheetName val="F3.4(KPKD)"/>
      <sheetName val="F4(KPKD)"/>
      <sheetName val="F4.1 (KPKD)"/>
      <sheetName val="F4.2 (KPKD)"/>
      <sheetName val="F4.3 (KPKD)"/>
      <sheetName val="F5(KPKD)"/>
      <sheetName val="F6 (KPKD)"/>
      <sheetName val="F6 Other Finance charges (KPKD)"/>
      <sheetName val="F7(KPKD)"/>
      <sheetName val="F8(KPKD)"/>
      <sheetName val="F9(KPKD)"/>
      <sheetName val="9.1(KPKD)"/>
      <sheetName val="F9.2(KPKD)"/>
      <sheetName val="F9.3(KPKD)"/>
      <sheetName val="F10(KPKD)"/>
      <sheetName val="F11(KPKD)"/>
      <sheetName val="F12(KPKD)"/>
      <sheetName val="F13(KPKD)"/>
      <sheetName val="KPKD 5"/>
      <sheetName val="Khaperkheda 5 True up summary"/>
      <sheetName val="F1(KPKD 5)"/>
      <sheetName val="F1.1(KPKD 5)"/>
      <sheetName val="F2.1(KPKD 5)"/>
      <sheetName val="F2.2(KPKD 5)"/>
      <sheetName val="F2.3(KPKD 5)"/>
      <sheetName val="F2.4(KPKD 5)"/>
      <sheetName val="F2.8(KPKD 5)"/>
      <sheetName val="F3(KPKD 5)"/>
      <sheetName val="F3.1(KPKD 5)"/>
      <sheetName val="F3.2(KPKD 5)"/>
      <sheetName val="F3.3(KPKD 5)"/>
      <sheetName val="F3.4(KPKD 5)"/>
      <sheetName val="F4(KPKD 5)"/>
      <sheetName val="F4.1 (KPKD 5)"/>
      <sheetName val="F4.2 (KPKD 5)"/>
      <sheetName val="F4.3 (KPKD 5)"/>
      <sheetName val="F5(KPKD 5)"/>
      <sheetName val="F6 (KPKD 5)"/>
      <sheetName val="F6 Other Finance charges(KPKD5)"/>
      <sheetName val="F7(KPKD 5)"/>
      <sheetName val="F8(KPKD 5)"/>
      <sheetName val="F9(KPKD 5)"/>
      <sheetName val="9.1(KPKD 5)"/>
      <sheetName val="F9.2(KPKD 5)"/>
      <sheetName val="F9.3(KPKD 5)"/>
      <sheetName val="F10(KPKD 5)"/>
      <sheetName val="F11(KPKD 5)"/>
      <sheetName val="F12(KPKD 5)"/>
      <sheetName val="F13(KPKD 5)"/>
      <sheetName val="Koradi"/>
      <sheetName val="Koradi True up summary"/>
      <sheetName val="F1(Koradi)"/>
      <sheetName val="F1.1(Koradi)"/>
      <sheetName val="F2.1(Koradi)"/>
      <sheetName val="F2.2(Koradi)"/>
      <sheetName val="F2.3(Koradi)"/>
      <sheetName val="F2.4(Koradi)"/>
      <sheetName val="F2.8(Koradi)"/>
      <sheetName val="F3(Koradi)"/>
      <sheetName val="F3.1(Koradi)"/>
      <sheetName val="F3.2(Koradi)"/>
      <sheetName val="F3.3(Koradi)"/>
      <sheetName val="F3.4(Koradi)"/>
      <sheetName val="F4(Koradi)"/>
      <sheetName val="F4.1(Koradi)"/>
      <sheetName val="F4.2(Koradi)"/>
      <sheetName val="F4.3(Koradi)"/>
      <sheetName val="F5(Koradi)"/>
      <sheetName val="F6 (Koradi)"/>
      <sheetName val="F6 Other Finance charges  "/>
      <sheetName val="F7(Koradi))"/>
      <sheetName val="F8 (Koradi)"/>
      <sheetName val="F9(Koradi)"/>
      <sheetName val="9.1(Koradi)"/>
      <sheetName val="F9.2(Koradi)"/>
      <sheetName val="F9.3(Koradi)"/>
      <sheetName val="F10(Koradi)"/>
      <sheetName val="F11(Koradi)"/>
      <sheetName val="F12(Koradi)"/>
      <sheetName val="F13(Koradi)"/>
      <sheetName val="Koradi 8,9 10"/>
      <sheetName val="Koradi 8,9,10True up summary"/>
      <sheetName val="F1(Koradi 8,9 10)"/>
      <sheetName val="F1.1(Koradi 8,9 10)"/>
      <sheetName val="F2.1(Koradi 8,9 10)"/>
      <sheetName val="F2.2(Koradi 8,9 10)"/>
      <sheetName val="F2.3(Koradi 8,9 10)"/>
      <sheetName val="F2.4(Koradi 8,9 10)"/>
      <sheetName val="F2.8(Koradi 8,9 10)"/>
      <sheetName val="F3(Koradi 8,9 10)"/>
      <sheetName val="F3.1(Koradi 8,9 10)"/>
      <sheetName val="F3.2(Koradi 8,9 10)"/>
      <sheetName val="F3.3(Koradi 8,9 10"/>
      <sheetName val="F3.4(Koradi 8,9 10)"/>
      <sheetName val="F4(Koradi 8,9 10)"/>
      <sheetName val="F4.1(Koradi 8,9,10)"/>
      <sheetName val="F4.2(Koradi 8,9 10)"/>
      <sheetName val="F4.3(Koradi 8,9 10)"/>
      <sheetName val="F5 (Koradi 8,9,10)"/>
      <sheetName val="F6 (Koradi 8,9 10)"/>
      <sheetName val="F6 Othe Financechar(K8,9,10)"/>
      <sheetName val="F7(Koradi 8,9 10)"/>
      <sheetName val="F8(Koradi 8,9 10)"/>
      <sheetName val="F9(Koradi 8,9 10)"/>
      <sheetName val="9.1(Koradi 8,9 10)"/>
      <sheetName val="F9.2(Koradi 8,9 10)"/>
      <sheetName val="F9.3(Koradi 8,9 10)"/>
      <sheetName val="F10(Koradi 8,9 10)"/>
      <sheetName val="F11(Koradi 8,9 10)"/>
      <sheetName val="F12(Koradi 8,9 10)"/>
      <sheetName val="F13(Koradi 8,9 10)"/>
      <sheetName val="Nashik"/>
      <sheetName val="Nashik True up Summary"/>
      <sheetName val="F1(Nashik)"/>
      <sheetName val="F1.1(Nashik)"/>
      <sheetName val="F2.1(Nashik)"/>
      <sheetName val="F2.2(Nashik)"/>
      <sheetName val="F2.3(Nashik)"/>
      <sheetName val="F2.4(Nashik)"/>
      <sheetName val="F2.8(Nashik)"/>
      <sheetName val="F3(Nashik)"/>
      <sheetName val="F3.1(Nashik)"/>
      <sheetName val="F3.2(Nashik)"/>
      <sheetName val="F3.3(Nashik)"/>
      <sheetName val="F3.4(Nashik)"/>
      <sheetName val="F4(Nashik)"/>
      <sheetName val="F4.1(Nashik)"/>
      <sheetName val="F4.2(Nashik)"/>
      <sheetName val="F4.3(Nashik)"/>
      <sheetName val="F5(Nashik)"/>
      <sheetName val="F6(Nashik)"/>
      <sheetName val="F6 Other Financecharges (Nashi)"/>
      <sheetName val="F7(Nashik)"/>
      <sheetName val="F8(Nashik)"/>
      <sheetName val="F9(Nashik)"/>
      <sheetName val="9.1(Nashik)"/>
      <sheetName val="F9.2(Nashik)"/>
      <sheetName val="F9.3(Nashik)"/>
      <sheetName val="F10(Nashik)"/>
      <sheetName val="F11(Nashik)"/>
      <sheetName val="F12(Nashik)"/>
      <sheetName val="F13(Nashik)"/>
      <sheetName val="FY 15-16"/>
      <sheetName val="FY 16-17"/>
      <sheetName val="Sheet2"/>
      <sheetName val="PRS 3-4"/>
      <sheetName val="PRS 3-4 TRUE UP SUMMARY"/>
      <sheetName val="F1(PRS 3-4)"/>
      <sheetName val="F1.1(PRS 3-4)"/>
      <sheetName val="F2.1(PRS 3-4)"/>
      <sheetName val="F2.2(PRS 3-4)"/>
      <sheetName val="F2.3(PRS 3-4)"/>
      <sheetName val="F2.4(PRS 3-4)"/>
      <sheetName val="F2.8(PRS 3-4)"/>
      <sheetName val="F3(PRS 3-4)"/>
      <sheetName val="F3.1(PRS 3-4)"/>
      <sheetName val="F3.2(PRS 3-4)"/>
      <sheetName val="F3.3(PRS 3-4)"/>
      <sheetName val="F3.4(PRS 3-4)"/>
      <sheetName val="F4(PRS 3-4)"/>
      <sheetName val="F4.1(PRS 3-4)"/>
      <sheetName val="F4.2(PRS 3-4)"/>
      <sheetName val="F4.3(PRS 3-4)"/>
      <sheetName val="F5(PRS 3-4)"/>
      <sheetName val="F6 (Paras)"/>
      <sheetName val="F6 Other Financ charges(prs3-4)"/>
      <sheetName val="F7(PRS 3-4)"/>
      <sheetName val="F8(PRS 3-4)"/>
      <sheetName val="F9(PRS 3-4)"/>
      <sheetName val="9.1(PRS 3-4)"/>
      <sheetName val="F9.2(PRS 3-4)"/>
      <sheetName val="F9.3(PRS 3-4)"/>
      <sheetName val="F10(PRS 3-4)"/>
      <sheetName val="F11(PRS 3-4)"/>
      <sheetName val="F12(PRS 3-4)"/>
      <sheetName val="F13(PRS 3-4)"/>
      <sheetName val="Parli"/>
      <sheetName val="Parli true up Summary"/>
      <sheetName val="F1(Parli)"/>
      <sheetName val="F1.1(Parli)"/>
      <sheetName val="F2.1(Parli)"/>
      <sheetName val="F2.2(Parli)"/>
      <sheetName val="F2.3(Parli)"/>
      <sheetName val="F2.4(Parli)"/>
      <sheetName val="F2.8(Parli)"/>
      <sheetName val="F3(Parli)"/>
      <sheetName val="F3.1(Parli)"/>
      <sheetName val="F3.2(Parli)"/>
      <sheetName val="F3.3(Parli)"/>
      <sheetName val="F3.4(Parli)"/>
      <sheetName val="F4(Parli)"/>
      <sheetName val="F4.1(Parli)"/>
      <sheetName val="F4.2(Parli)"/>
      <sheetName val="F4.3(Parli)"/>
      <sheetName val="F5(Parli)"/>
      <sheetName val="F6 (Parli)"/>
      <sheetName val="F6 Other Finance charges "/>
      <sheetName val="F7(Parli)"/>
      <sheetName val="F8(Parli)"/>
      <sheetName val="F9(Parli)"/>
      <sheetName val="9.1(Parli)"/>
      <sheetName val="F9.2(Parli)"/>
      <sheetName val="F9.3(Parli)"/>
      <sheetName val="F11(Parli)"/>
      <sheetName val="F12(Parli)"/>
      <sheetName val="F13(Parli)"/>
      <sheetName val="Parli 6-7"/>
      <sheetName val="Parli 6-7 true up Summary"/>
      <sheetName val="F1(Parli 6-7)"/>
      <sheetName val="F1.1(Parli 6-7)"/>
      <sheetName val="F2.1(Parli 6-7)"/>
      <sheetName val="F2.2(Parli 6-7)"/>
      <sheetName val="F2.3(Parli 6-7)"/>
      <sheetName val="F2.4(Parli 6-7)"/>
      <sheetName val="F2.8(Parli 6-7)"/>
      <sheetName val="F3(Parli 6-7)"/>
      <sheetName val="F3.1(Parli 6-7)"/>
      <sheetName val="F3.2(Parli 6-7)"/>
      <sheetName val="F3.3(Parli 6-7)"/>
      <sheetName val="F3.4(Parli 6-7)"/>
      <sheetName val="F4(Parli 6-7)"/>
      <sheetName val="F4.1(Parli 6-7)"/>
      <sheetName val="F4.2(Parli 6-7)"/>
      <sheetName val="F4.3(Parli 6-7)"/>
      <sheetName val="F5(Parli 6-7)"/>
      <sheetName val="F6 (Parli 6-7)"/>
      <sheetName val="F6 Other Financ char(Parli6-7)"/>
      <sheetName val="F7(Parli 6-7)"/>
      <sheetName val="F8(Parli 6-7)"/>
      <sheetName val="F9(Parli 6-7)"/>
      <sheetName val="9.1(Parli 6-7)"/>
      <sheetName val="F9.2(Parli 6-7)"/>
      <sheetName val="F9.3(Parli 6-7)"/>
      <sheetName val="F10(Parli 6-7)"/>
      <sheetName val="F11(Parli 6-7)"/>
      <sheetName val="F12(Parli 6-7)"/>
      <sheetName val="F13(Parli 6-7)"/>
      <sheetName val="Parli 8"/>
      <sheetName val="Parli 8 True up Summary "/>
      <sheetName val="F1(Parli 8)"/>
      <sheetName val="F1.1(Parli 8)"/>
      <sheetName val="F2.1(Parli 8)"/>
      <sheetName val="F2.2(Parli 8)"/>
      <sheetName val="F2.3(Parli 8)"/>
      <sheetName val="F2.4(Parli 8)"/>
      <sheetName val="F2.8(Parli 8)"/>
      <sheetName val="F3(Parli 8)"/>
      <sheetName val="F3.1(Parli 8)"/>
      <sheetName val="F3.2(Parli 8)"/>
      <sheetName val="F3.3(Parli 8)"/>
      <sheetName val="F3.4(Parli 8)"/>
      <sheetName val="F4(Parli 8)"/>
      <sheetName val="F4.1(Parli 8)"/>
      <sheetName val="F4.2(Parli 8)"/>
      <sheetName val="F4.3(Parli 8)"/>
      <sheetName val="F5 (Parli 8)"/>
      <sheetName val="F6 (Parli 8)"/>
      <sheetName val="F6 Other Financechar(Parli 8)"/>
      <sheetName val="F7(Parli 8)"/>
      <sheetName val="F8(Parli 8)"/>
      <sheetName val="F9(Parli 8)"/>
      <sheetName val="9.1(Parli 8)"/>
      <sheetName val="F9.2(Parli 8)"/>
      <sheetName val="F9.3(Parli 8)"/>
      <sheetName val="F10(Parli 8)"/>
      <sheetName val="F11(Parli 8)"/>
      <sheetName val="F12(Parli 8)"/>
      <sheetName val="F13(Parli 8)"/>
      <sheetName val="Uran"/>
      <sheetName val="Uran True up Summary"/>
      <sheetName val="F1(Uran)"/>
      <sheetName val="F1.1(Uran)"/>
      <sheetName val="F2.1(Uran)"/>
      <sheetName val="F2.2(Uran)"/>
      <sheetName val="F2.3(Uran)"/>
      <sheetName val="F2.4(Uran)"/>
      <sheetName val="F2.8(Uran)"/>
      <sheetName val="F3(Uran)"/>
      <sheetName val="F3.1(Uran)"/>
      <sheetName val="F3.2(Uran)"/>
      <sheetName val="F3.3(Uran)"/>
      <sheetName val="F3.4(Uran)"/>
      <sheetName val="F4(Uran)"/>
      <sheetName val="F4.1(Uran)"/>
      <sheetName val="F4.2(Uran)"/>
      <sheetName val="F4.3(Uran)"/>
      <sheetName val="F5(Uran)"/>
      <sheetName val="F6(Uran)"/>
      <sheetName val="F6 Other Finance charges (Uran)"/>
      <sheetName val="F7 Uran"/>
      <sheetName val="F8(Uran)"/>
      <sheetName val="F9(Uran)"/>
      <sheetName val="9.1(Uran)"/>
      <sheetName val="F9.2(Uran)"/>
      <sheetName val="F9.3(Uran)"/>
      <sheetName val="F10(Uran)"/>
      <sheetName val="F11(Uran)"/>
      <sheetName val="F12(Uran)"/>
      <sheetName val="F13(Uran)"/>
    </sheetNames>
    <sheetDataSet>
      <sheetData sheetId="0" refreshError="1"/>
      <sheetData sheetId="1" refreshError="1"/>
      <sheetData sheetId="2" refreshError="1">
        <row r="3">
          <cell r="B3">
            <v>5.7534246575342465</v>
          </cell>
        </row>
        <row r="14">
          <cell r="D14">
            <v>23.206849315068496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TRUE UP SUMMARY (PARAS)"/>
      <sheetName val="F1 (PARAS)"/>
      <sheetName val="F 2.1 (PARAS)"/>
      <sheetName val="F 2.2 (PARAS)"/>
      <sheetName val="F 2.3 (PARAS)"/>
      <sheetName val="F 2.8 (PARAS)"/>
      <sheetName val="F3.1(PARAS)"/>
      <sheetName val="F3.2 (PARAS)"/>
      <sheetName val="F3.3 (PARAS)"/>
      <sheetName val="F3.4 (PARAS)"/>
      <sheetName val="F 5 (PARAS)"/>
      <sheetName val="F6 (PARAS)"/>
      <sheetName val="F6 OFinC(PARAS)"/>
      <sheetName val="F7 (PARAS)"/>
    </sheetNames>
    <sheetDataSet>
      <sheetData sheetId="0">
        <row r="52">
          <cell r="N52">
            <v>17.215068493150682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TRUE UP SUMMARY (PARAS)"/>
      <sheetName val="F1 (PARAS)"/>
      <sheetName val="F 2.1 (PARAS)"/>
      <sheetName val="F 2.2 (PARAS)"/>
      <sheetName val="F 2.3 (PARAS)"/>
      <sheetName val="F 2.8 (PARAS)"/>
      <sheetName val="F3.1(PARAS)"/>
      <sheetName val="F3.2 (PARAS)"/>
      <sheetName val="F3.3 (PARAS)"/>
      <sheetName val="F3.4 (PARAS)"/>
      <sheetName val="F 5 (PARAS)"/>
      <sheetName val="F6 (PARAS)"/>
      <sheetName val="F6 OFinC(PARAS)"/>
      <sheetName val="F7 (PARAS)"/>
    </sheetNames>
    <sheetDataSet>
      <sheetData sheetId="0">
        <row r="52">
          <cell r="N52">
            <v>17.215068493150682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4"/>
      <sheetName val="Linking sheet"/>
      <sheetName val="BALSHT"/>
      <sheetName val="SCH"/>
      <sheetName val="Analysis"/>
      <sheetName val="Debtors-GEB"/>
      <sheetName val="GEB"/>
      <sheetName val="Unsec"/>
      <sheetName val="Cons"/>
      <sheetName val="Schedulev V"/>
      <sheetName val="L&amp;A"/>
      <sheetName val="Drs-GEB"/>
      <sheetName val="Curr_liab"/>
      <sheetName val="Int0304"/>
      <sheetName val="Cash Flow"/>
      <sheetName val="Abstract"/>
      <sheetName val="Perfhigh"/>
      <sheetName val="Sheet2"/>
      <sheetName val="creditors1"/>
      <sheetName val="Sheet1"/>
      <sheetName val="Checklist"/>
      <sheetName val="Sheet3 (2)"/>
      <sheetName val="UGPIPING"/>
      <sheetName val="download"/>
      <sheetName val="Linking_sheet"/>
      <sheetName val="Schedulev_V"/>
      <sheetName val="Cash_Flow"/>
      <sheetName val="Sheet3_(2)"/>
      <sheetName val="Vendor Data"/>
      <sheetName val="fcl"/>
      <sheetName val="DCF"/>
      <sheetName val="Inputs &amp; Assumptions"/>
      <sheetName val="Main Bs"/>
      <sheetName val="BSSEP04"/>
      <sheetName val="ECL"/>
      <sheetName val="EPLHAZIRA"/>
      <sheetName val="Linking_sheet1"/>
      <sheetName val="Schedulev_V1"/>
      <sheetName val="Cash_Flow1"/>
      <sheetName val="Sheet3_(2)1"/>
      <sheetName val="Vendor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SCHEDULES ATTACHED TO AND FORMING PART OF THE FINANCIAL STATEMENTS</v>
          </cell>
        </row>
        <row r="4">
          <cell r="B4" t="str">
            <v>SCHEDULE V</v>
          </cell>
        </row>
        <row r="5">
          <cell r="B5" t="str">
            <v>FIXED ASSETS</v>
          </cell>
        </row>
        <row r="6">
          <cell r="L6" t="str">
            <v>Rs. ' Lacs</v>
          </cell>
        </row>
        <row r="7">
          <cell r="C7" t="str">
            <v>GROSS BLOCK</v>
          </cell>
          <cell r="G7" t="str">
            <v>DEPRECIATION</v>
          </cell>
          <cell r="K7" t="str">
            <v>NET BLOCK</v>
          </cell>
        </row>
        <row r="8">
          <cell r="B8" t="str">
            <v>DESCRIPTION</v>
          </cell>
          <cell r="C8" t="str">
            <v>Balance as on</v>
          </cell>
          <cell r="D8" t="str">
            <v>Additions</v>
          </cell>
          <cell r="E8" t="str">
            <v>Deletions/Adjustments</v>
          </cell>
          <cell r="F8" t="str">
            <v>Balance as on</v>
          </cell>
          <cell r="G8" t="str">
            <v>Balance as on</v>
          </cell>
          <cell r="H8" t="str">
            <v xml:space="preserve">For the year  </v>
          </cell>
          <cell r="I8" t="str">
            <v>Withdrawals / Adjustments</v>
          </cell>
          <cell r="J8" t="str">
            <v>Balance as on</v>
          </cell>
          <cell r="K8" t="str">
            <v>Balance as on</v>
          </cell>
          <cell r="L8" t="str">
            <v>Balance as on</v>
          </cell>
        </row>
        <row r="9">
          <cell r="B9" t="str">
            <v>OF ASSETS</v>
          </cell>
          <cell r="C9" t="str">
            <v>01.04.2004</v>
          </cell>
          <cell r="D9" t="str">
            <v xml:space="preserve">during the year </v>
          </cell>
          <cell r="E9" t="str">
            <v>during the year *</v>
          </cell>
          <cell r="F9" t="str">
            <v>30.09.04</v>
          </cell>
          <cell r="G9" t="str">
            <v>01.04.2004</v>
          </cell>
          <cell r="I9" t="str">
            <v>during the year</v>
          </cell>
          <cell r="J9" t="str">
            <v>30.09.04</v>
          </cell>
          <cell r="K9" t="str">
            <v>30.09.04</v>
          </cell>
          <cell r="L9" t="str">
            <v>31.03.2004</v>
          </cell>
        </row>
        <row r="11">
          <cell r="B11" t="str">
            <v xml:space="preserve">Land-Freehold   </v>
          </cell>
          <cell r="C11">
            <v>700</v>
          </cell>
          <cell r="D11">
            <v>0</v>
          </cell>
          <cell r="E11">
            <v>0</v>
          </cell>
          <cell r="F11">
            <v>700</v>
          </cell>
          <cell r="G11">
            <v>0</v>
          </cell>
          <cell r="H11">
            <v>0</v>
          </cell>
          <cell r="I11">
            <v>0</v>
          </cell>
          <cell r="J11">
            <v>0</v>
          </cell>
          <cell r="K11">
            <v>700</v>
          </cell>
          <cell r="L11">
            <v>700</v>
          </cell>
        </row>
        <row r="13">
          <cell r="B13" t="str">
            <v xml:space="preserve">Buildings </v>
          </cell>
          <cell r="C13">
            <v>2822</v>
          </cell>
          <cell r="D13">
            <v>0</v>
          </cell>
          <cell r="E13">
            <v>0</v>
          </cell>
          <cell r="F13">
            <v>2822</v>
          </cell>
          <cell r="G13">
            <v>569</v>
          </cell>
          <cell r="H13">
            <v>45</v>
          </cell>
          <cell r="I13">
            <v>0</v>
          </cell>
          <cell r="J13">
            <v>614</v>
          </cell>
          <cell r="K13">
            <v>2208</v>
          </cell>
          <cell r="L13">
            <v>2253</v>
          </cell>
        </row>
        <row r="15">
          <cell r="B15" t="str">
            <v xml:space="preserve">Plant &amp; Machinery </v>
          </cell>
          <cell r="C15">
            <v>216232</v>
          </cell>
          <cell r="D15">
            <v>2108</v>
          </cell>
          <cell r="E15">
            <v>5</v>
          </cell>
          <cell r="F15">
            <v>218335</v>
          </cell>
          <cell r="G15">
            <v>74146</v>
          </cell>
          <cell r="H15">
            <v>5766</v>
          </cell>
          <cell r="I15">
            <v>2</v>
          </cell>
          <cell r="J15">
            <v>79910</v>
          </cell>
          <cell r="K15">
            <v>138425</v>
          </cell>
          <cell r="L15">
            <v>142086</v>
          </cell>
        </row>
        <row r="17">
          <cell r="B17" t="str">
            <v>Furniture &amp; Fixtures</v>
          </cell>
          <cell r="C17">
            <v>105</v>
          </cell>
          <cell r="D17">
            <v>4</v>
          </cell>
          <cell r="E17">
            <v>0</v>
          </cell>
          <cell r="F17">
            <v>109</v>
          </cell>
          <cell r="G17">
            <v>43</v>
          </cell>
          <cell r="H17">
            <v>3</v>
          </cell>
          <cell r="I17">
            <v>0</v>
          </cell>
          <cell r="J17">
            <v>46</v>
          </cell>
          <cell r="K17">
            <v>63</v>
          </cell>
          <cell r="L17">
            <v>62</v>
          </cell>
        </row>
        <row r="19">
          <cell r="B19" t="str">
            <v>Vehicles</v>
          </cell>
          <cell r="C19">
            <v>61</v>
          </cell>
          <cell r="D19">
            <v>34</v>
          </cell>
          <cell r="E19">
            <v>5</v>
          </cell>
          <cell r="F19">
            <v>90</v>
          </cell>
          <cell r="G19">
            <v>13</v>
          </cell>
          <cell r="H19">
            <v>3</v>
          </cell>
          <cell r="I19">
            <v>1</v>
          </cell>
          <cell r="J19">
            <v>15</v>
          </cell>
          <cell r="K19">
            <v>75</v>
          </cell>
          <cell r="L19">
            <v>48</v>
          </cell>
        </row>
        <row r="21">
          <cell r="B21" t="str">
            <v>Aircraft</v>
          </cell>
          <cell r="C21">
            <v>526</v>
          </cell>
          <cell r="D21">
            <v>0</v>
          </cell>
          <cell r="E21">
            <v>0</v>
          </cell>
          <cell r="F21">
            <v>526</v>
          </cell>
          <cell r="G21">
            <v>262</v>
          </cell>
          <cell r="H21">
            <v>15</v>
          </cell>
          <cell r="I21">
            <v>0</v>
          </cell>
          <cell r="J21">
            <v>277</v>
          </cell>
          <cell r="K21">
            <v>249</v>
          </cell>
          <cell r="L21">
            <v>264</v>
          </cell>
        </row>
        <row r="23">
          <cell r="B23" t="str">
            <v>TOTAL</v>
          </cell>
          <cell r="C23">
            <v>220446</v>
          </cell>
          <cell r="D23">
            <v>2146</v>
          </cell>
          <cell r="E23">
            <v>10</v>
          </cell>
          <cell r="F23">
            <v>222582</v>
          </cell>
          <cell r="G23">
            <v>75033</v>
          </cell>
          <cell r="H23">
            <v>5832</v>
          </cell>
          <cell r="I23">
            <v>3</v>
          </cell>
          <cell r="J23">
            <v>80862</v>
          </cell>
          <cell r="K23">
            <v>141720</v>
          </cell>
          <cell r="L23">
            <v>145413</v>
          </cell>
        </row>
        <row r="25">
          <cell r="B25" t="str">
            <v>PREVIOUS YEAR</v>
          </cell>
          <cell r="C25">
            <v>224394</v>
          </cell>
          <cell r="D25">
            <v>24</v>
          </cell>
          <cell r="E25">
            <v>539</v>
          </cell>
          <cell r="F25">
            <v>223879</v>
          </cell>
          <cell r="G25">
            <v>57257</v>
          </cell>
          <cell r="H25">
            <v>5936</v>
          </cell>
          <cell r="I25">
            <v>7</v>
          </cell>
          <cell r="J25">
            <v>63186</v>
          </cell>
          <cell r="K25">
            <v>160693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FA- Template"/>
      <sheetName val="Inter-Functional"/>
      <sheetName val="Error Sheet"/>
      <sheetName val="Print FA Note"/>
      <sheetName val="Additional Info"/>
      <sheetName val="FA Final"/>
      <sheetName val="FA_Crores"/>
      <sheetName val="Reco"/>
      <sheetName val="Inter-Transfer"/>
      <sheetName val="Balance Life"/>
      <sheetName val="Assumptions"/>
    </sheetNames>
    <sheetDataSet>
      <sheetData sheetId="0">
        <row r="14">
          <cell r="C14" t="str">
            <v>HPCL_Consolidation</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Top sheet"/>
      <sheetName val="4.Grouping - Balance Sheet(mio)"/>
      <sheetName val="3.Grouping - Profit &amp; Loss(mio)"/>
      <sheetName val="5. Journal entries."/>
      <sheetName val="6A. Geographical Sales"/>
      <sheetName val="Control Sheet"/>
      <sheetName val="1. ROM"/>
      <sheetName val="6B. Other income"/>
      <sheetName val="7. Investments"/>
      <sheetName val="7A.Profit on sale of investmt"/>
      <sheetName val="8. Borrowings"/>
      <sheetName val="8A. Acc &amp; buy cr."/>
      <sheetName val="9. Loans given &amp; ICDs"/>
      <sheetName val="10. Cash flow info"/>
      <sheetName val="Open Note Summary"/>
      <sheetName val="10A. Forex-cash flow"/>
      <sheetName val="11. Tax Details"/>
      <sheetName val="12. Tangible assets"/>
      <sheetName val="12A. Investment properties"/>
      <sheetName val="13. Intangible assets "/>
      <sheetName val="14. Contingent and commitments"/>
      <sheetName val="15. RPT"/>
      <sheetName val="16.IC-RP list"/>
      <sheetName val="TB Consolidated"/>
      <sheetName val="17. Provisions"/>
      <sheetName val="18. Leases"/>
      <sheetName val="19. Employee Benefits"/>
      <sheetName val="20. IAS 11 disclosure"/>
      <sheetName val="21. Fair value &amp; liquiditiy"/>
      <sheetName val="22. Currency risk"/>
      <sheetName val="23. Actual interest rates"/>
      <sheetName val="24. Interest &amp; commodity risk"/>
      <sheetName val="25. Credit risk"/>
      <sheetName val="26. Level wise FAFL"/>
      <sheetName val="Ledger upto Mar,12"/>
      <sheetName val="FGO MAR 2012"/>
      <sheetName val="Guarantee com EPL TO GS"/>
      <sheetName val="FGO 31-3-11 "/>
      <sheetName val="Updated ledger"/>
      <sheetName val="Sheet1"/>
      <sheetName val="Query Sheet"/>
      <sheetName val="Cover"/>
      <sheetName val="index"/>
      <sheetName val="m&amp;a"/>
      <sheetName val="BS"/>
      <sheetName val="P&amp;L"/>
      <sheetName val="equity"/>
      <sheetName val="Cashflow"/>
      <sheetName val="Schedule"/>
      <sheetName val="TB"/>
      <sheetName val="Notes in IFRS"/>
      <sheetName val="EPL Dubai"/>
      <sheetName val="EPL Oman"/>
      <sheetName val="EPL Korea Division"/>
      <sheetName val="TB KSA"/>
      <sheetName val="FGO corporate gurantee"/>
      <sheetName val="Adoption of new standards"/>
      <sheetName val="TB with op.balance"/>
      <sheetName val="Non Cash"/>
      <sheetName val="Sheet3"/>
      <sheetName val="EPL Saudi"/>
      <sheetName val="Sheet2"/>
      <sheetName val="Sheet4"/>
      <sheetName val="RPT"/>
      <sheetName val="Cons"/>
      <sheetName val="sep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C6" t="str">
            <v>1. Essar Global Fund Limited (FKA Essar Global Limited)</v>
          </cell>
        </row>
        <row r="8">
          <cell r="C8" t="str">
            <v>2. Essar Global Assets Limited</v>
          </cell>
        </row>
        <row r="9">
          <cell r="C9" t="str">
            <v>3. Crystal Air Holdings Ltd</v>
          </cell>
        </row>
        <row r="10">
          <cell r="C10" t="str">
            <v>4. White Springs Holdings Ltd</v>
          </cell>
        </row>
        <row r="11">
          <cell r="C11" t="str">
            <v>5. Star Flight Express Ltd</v>
          </cell>
        </row>
        <row r="12">
          <cell r="C12" t="str">
            <v>6. Highrise Holdings Limited</v>
          </cell>
        </row>
        <row r="13">
          <cell r="C13" t="str">
            <v>7. Rosegem Enterprises Ltd</v>
          </cell>
        </row>
        <row r="14">
          <cell r="C14" t="str">
            <v>8. Bright Sapphire Ltd</v>
          </cell>
        </row>
        <row r="15">
          <cell r="C15" t="str">
            <v>9. Alias Enterprise Ltd</v>
          </cell>
        </row>
        <row r="16">
          <cell r="C16" t="str">
            <v>10. Global Oceanic Services Ltd</v>
          </cell>
        </row>
        <row r="17">
          <cell r="C17" t="str">
            <v xml:space="preserve">. </v>
          </cell>
        </row>
        <row r="18">
          <cell r="C18" t="str">
            <v>. B. Energy Sector</v>
          </cell>
        </row>
        <row r="19">
          <cell r="C19" t="str">
            <v>11. Essar Energy PLC</v>
          </cell>
        </row>
        <row r="20">
          <cell r="C20" t="str">
            <v>12. Essar Energy Services (UK) Limited</v>
          </cell>
        </row>
        <row r="21">
          <cell r="C21" t="str">
            <v>13. Essar Energy Services (Mauritius) Limited</v>
          </cell>
        </row>
        <row r="22">
          <cell r="C22" t="str">
            <v>14. Essar Energy Investment Limited</v>
          </cell>
        </row>
        <row r="23">
          <cell r="C23" t="str">
            <v>15. Essar Oil Limited</v>
          </cell>
        </row>
        <row r="24">
          <cell r="C24" t="str">
            <v>16. Essar Oil &amp; Gas Ltd (FKA Vadinar Oil)</v>
          </cell>
        </row>
        <row r="25">
          <cell r="C25" t="str">
            <v>17. Essar Oil (UK) Limited</v>
          </cell>
        </row>
        <row r="26">
          <cell r="C26" t="str">
            <v>18. Essar Energy Holdings Limited</v>
          </cell>
        </row>
        <row r="27">
          <cell r="C27" t="str">
            <v>19. Essar Oil Holdings Limited</v>
          </cell>
        </row>
        <row r="28">
          <cell r="C28" t="str">
            <v>20. Essar Oil Cyprus Limited (FKA Star Saphire Enterprises Limited)</v>
          </cell>
        </row>
        <row r="29">
          <cell r="C29" t="str">
            <v>21. Essar Oil GMBH</v>
          </cell>
        </row>
        <row r="30">
          <cell r="C30" t="str">
            <v>22. Entep Properties Limited (Joint Venture)</v>
          </cell>
        </row>
        <row r="31">
          <cell r="C31" t="str">
            <v>23. Essar Exploration &amp; Production Limited</v>
          </cell>
        </row>
        <row r="32">
          <cell r="C32" t="str">
            <v>24. Essar Exploration &amp; Production Limited, Nigeria</v>
          </cell>
        </row>
        <row r="33">
          <cell r="C33" t="str">
            <v>25. Essar Exploration &amp; Production (India) Limited</v>
          </cell>
        </row>
        <row r="34">
          <cell r="C34" t="str">
            <v>26. Kenya Petroleum Refinery Limited (Joint Venture)</v>
          </cell>
        </row>
        <row r="35">
          <cell r="C35" t="str">
            <v>27. Essar Energy Overseas Limited</v>
          </cell>
        </row>
        <row r="36">
          <cell r="C36" t="str">
            <v>28. Essar Petroleum (East Africa) Limited</v>
          </cell>
        </row>
        <row r="37">
          <cell r="C37" t="str">
            <v xml:space="preserve">. </v>
          </cell>
        </row>
        <row r="38">
          <cell r="C38" t="str">
            <v>. Rest of the Energy group</v>
          </cell>
        </row>
        <row r="39">
          <cell r="C39" t="str">
            <v>29. Essar Chemicals Limited</v>
          </cell>
        </row>
        <row r="40">
          <cell r="C40" t="str">
            <v>30. Essar Gujarat Petrochemicals Limited</v>
          </cell>
        </row>
        <row r="41">
          <cell r="C41" t="str">
            <v>31. Essar Oil International Limited AG</v>
          </cell>
        </row>
        <row r="42">
          <cell r="C42" t="str">
            <v>32. Essar Oil Stanlow Limited</v>
          </cell>
        </row>
        <row r="43">
          <cell r="C43" t="str">
            <v>33. Essar Oil Mauritius Limited (FKA Pitney Mauritius Holdings Limited)</v>
          </cell>
        </row>
        <row r="44">
          <cell r="C44" t="str">
            <v xml:space="preserve">. </v>
          </cell>
        </row>
        <row r="45">
          <cell r="C45" t="str">
            <v>. C. Power Sector</v>
          </cell>
        </row>
        <row r="46">
          <cell r="C46" t="str">
            <v>34. Essar Power Limited</v>
          </cell>
        </row>
        <row r="47">
          <cell r="C47" t="str">
            <v>35. Essar Power MP Limited</v>
          </cell>
        </row>
        <row r="48">
          <cell r="C48" t="str">
            <v>36. Mahan Coal Limited ( Joint Venture )</v>
          </cell>
        </row>
        <row r="49">
          <cell r="C49" t="str">
            <v>37. Essar Power Transmission Company Limited</v>
          </cell>
        </row>
        <row r="50">
          <cell r="C50" t="str">
            <v>38. Essar Power (Jharkhand) Limited</v>
          </cell>
        </row>
        <row r="51">
          <cell r="C51" t="str">
            <v>39. Essar Power Gujarat Limited</v>
          </cell>
        </row>
        <row r="52">
          <cell r="C52" t="str">
            <v>40. PT Essar Minerals Indonesia</v>
          </cell>
        </row>
        <row r="53">
          <cell r="C53" t="str">
            <v>41. PT Bara Pratma Indonesia</v>
          </cell>
        </row>
        <row r="54">
          <cell r="C54" t="str">
            <v>42. PT Manoor Bultan Lestari Indonesia</v>
          </cell>
        </row>
        <row r="55">
          <cell r="C55" t="str">
            <v>43. Bhander Power Limited</v>
          </cell>
        </row>
        <row r="56">
          <cell r="C56" t="str">
            <v>44. Essar Power Orissa Limited</v>
          </cell>
        </row>
        <row r="57">
          <cell r="C57" t="str">
            <v>45. Essar Power Hazira Limited</v>
          </cell>
        </row>
        <row r="58">
          <cell r="C58" t="str">
            <v>46. Vadinar Power Company Limited</v>
          </cell>
        </row>
        <row r="60">
          <cell r="C60" t="str">
            <v>C. Energy Business</v>
          </cell>
        </row>
        <row r="61">
          <cell r="C61" t="str">
            <v>49. Algoma Power B.V.</v>
          </cell>
        </row>
        <row r="62">
          <cell r="C62" t="str">
            <v>50. Essar Power Distribution Company Limited</v>
          </cell>
        </row>
        <row r="63">
          <cell r="C63" t="str">
            <v>51. Ambeshwar Engineering Pvt Ltd (Joint Venture)</v>
          </cell>
        </row>
        <row r="64">
          <cell r="C64" t="str">
            <v>52. Essar Power Nepal Holdings Limited</v>
          </cell>
        </row>
        <row r="65">
          <cell r="C65" t="str">
            <v>53. Western Nepal Hydropower Pvt. Ltd. (Joint venture)</v>
          </cell>
        </row>
        <row r="66">
          <cell r="C66" t="str">
            <v xml:space="preserve">. </v>
          </cell>
        </row>
        <row r="67">
          <cell r="C67" t="str">
            <v>. Rest of Power Group</v>
          </cell>
        </row>
        <row r="68">
          <cell r="C68" t="str">
            <v>54. Essar Power Salaya Limited</v>
          </cell>
        </row>
        <row r="69">
          <cell r="C69" t="str">
            <v>55. Essar Electirc Power Development Corporation Limited</v>
          </cell>
        </row>
        <row r="70">
          <cell r="C70" t="str">
            <v>56. Essar Power Tamilnadu Limited</v>
          </cell>
        </row>
        <row r="71">
          <cell r="C71" t="str">
            <v>57. Essar Power Overseas Limited</v>
          </cell>
        </row>
        <row r="72">
          <cell r="C72" t="str">
            <v>58. Essar Power &amp; Minerals S.A. Limited</v>
          </cell>
        </row>
        <row r="73">
          <cell r="C73" t="str">
            <v>59. Essar Recursos Minerals de Mozambique Limitada</v>
          </cell>
        </row>
        <row r="74">
          <cell r="C74" t="str">
            <v>60. Essar Minerals FZE</v>
          </cell>
        </row>
        <row r="75">
          <cell r="C75" t="str">
            <v>61. Navbharat Power Private Limited</v>
          </cell>
        </row>
        <row r="76">
          <cell r="C76" t="str">
            <v>62. Rampiya Coal Mines &amp; Energy Private Limited (Joint Venture)</v>
          </cell>
        </row>
        <row r="77">
          <cell r="C77" t="str">
            <v>63. Essar Power Holdings Limited</v>
          </cell>
        </row>
        <row r="78">
          <cell r="C78" t="str">
            <v>64. Essar Power Hazira Holdings Limited</v>
          </cell>
        </row>
        <row r="79">
          <cell r="C79" t="str">
            <v>65. Essar Power (East Africa) Limited</v>
          </cell>
        </row>
        <row r="80">
          <cell r="C80" t="str">
            <v>66. Essar Wind Power Private Limited</v>
          </cell>
        </row>
        <row r="81">
          <cell r="C81" t="str">
            <v>67. Eastern Nepal Hydropower Pvt. Ltd. (Joint venture)</v>
          </cell>
        </row>
        <row r="82">
          <cell r="C82" t="str">
            <v>68. Satyam Urja Pvt Ltd. (Joint Venture)</v>
          </cell>
        </row>
        <row r="84">
          <cell r="C84" t="str">
            <v>D. Power Business</v>
          </cell>
        </row>
        <row r="85">
          <cell r="C85" t="str">
            <v>69. Essar Steel India Limited (FKA Essar Steel Limited)</v>
          </cell>
        </row>
        <row r="86">
          <cell r="C86" t="str">
            <v>70. Essar Steel Trading FZE</v>
          </cell>
        </row>
        <row r="87">
          <cell r="C87" t="str">
            <v>71. Essar Steel Middle East FZE</v>
          </cell>
        </row>
        <row r="88">
          <cell r="C88" t="str">
            <v>72. Essar Steel Processing FZCO</v>
          </cell>
        </row>
        <row r="89">
          <cell r="C89" t="str">
            <v>73. Essar Steel Co-operatief U.A.</v>
          </cell>
        </row>
        <row r="90">
          <cell r="C90" t="str">
            <v>74. Essar Steel International B.V.</v>
          </cell>
        </row>
        <row r="91">
          <cell r="C91" t="str">
            <v>75. Essar Steel Processing &amp; Distribution UK Ltd.</v>
          </cell>
        </row>
        <row r="92">
          <cell r="C92" t="str">
            <v>76. Essar Steel Processing &amp; Distribution Italia S.R.L.</v>
          </cell>
        </row>
        <row r="93">
          <cell r="C93" t="str">
            <v>77. Essar Steel Processing &amp; Distribution Iberia S.L.</v>
          </cell>
        </row>
        <row r="94">
          <cell r="C94" t="str">
            <v>78. Essar Steel GMBH</v>
          </cell>
        </row>
        <row r="95">
          <cell r="C95" t="str">
            <v>79. Essar Steel N.V.</v>
          </cell>
        </row>
        <row r="96">
          <cell r="C96" t="str">
            <v>80. Essar Steel Processing Vietnam Co. Ltd</v>
          </cell>
        </row>
        <row r="97">
          <cell r="C97" t="str">
            <v>81. US Holding B.V.</v>
          </cell>
        </row>
        <row r="98">
          <cell r="C98" t="str">
            <v>82. PT Essar Indonesia</v>
          </cell>
        </row>
        <row r="99">
          <cell r="C99" t="str">
            <v>83. Essar Steel Algoma USA</v>
          </cell>
        </row>
        <row r="100">
          <cell r="C100" t="str">
            <v>84. Algoma Holdings Cooperatief U.A.</v>
          </cell>
        </row>
        <row r="101">
          <cell r="C101" t="str">
            <v>85. Algoma Holdings B.V.</v>
          </cell>
        </row>
        <row r="102">
          <cell r="C102" t="str">
            <v>86. Essar Steel Algoma Inc</v>
          </cell>
        </row>
        <row r="103">
          <cell r="C103" t="str">
            <v>87. Cannelton Iron Ore Company</v>
          </cell>
        </row>
        <row r="104">
          <cell r="C104" t="str">
            <v>88. Essar Steel Minnesota LLC</v>
          </cell>
        </row>
        <row r="105">
          <cell r="C105" t="str">
            <v>89. Trinity Parent Corporation</v>
          </cell>
        </row>
        <row r="106">
          <cell r="C106" t="str">
            <v>90. Trinity Coal Corporation</v>
          </cell>
        </row>
        <row r="107">
          <cell r="C107" t="str">
            <v>91. Trinity Coal Partners LLC</v>
          </cell>
        </row>
        <row r="108">
          <cell r="C108" t="str">
            <v>92. Bear Fork Resources LLC</v>
          </cell>
        </row>
        <row r="109">
          <cell r="C109" t="str">
            <v>93. Deep Water Resources LLC</v>
          </cell>
        </row>
        <row r="110">
          <cell r="C110" t="str">
            <v>94. Levisa Fork Resources LLC</v>
          </cell>
        </row>
        <row r="111">
          <cell r="C111" t="str">
            <v>95. North Springs Resources LLC</v>
          </cell>
        </row>
        <row r="112">
          <cell r="C112" t="str">
            <v>96. Little Elk Mining Company LLC</v>
          </cell>
        </row>
        <row r="113">
          <cell r="C113" t="str">
            <v>97. Banner Coal Terminal LLC</v>
          </cell>
        </row>
        <row r="114">
          <cell r="C114" t="str">
            <v>98. Hughes Creek Terminal LLC</v>
          </cell>
        </row>
        <row r="115">
          <cell r="C115" t="str">
            <v>99. Trinity RMG Holdings LLC</v>
          </cell>
        </row>
        <row r="116">
          <cell r="C116" t="str">
            <v>100. RMG INC</v>
          </cell>
        </row>
        <row r="117">
          <cell r="C117" t="str">
            <v>101. Falcon Resources LLC</v>
          </cell>
        </row>
        <row r="118">
          <cell r="C118" t="str">
            <v>102. Prater Branch Resources LLC</v>
          </cell>
        </row>
        <row r="119">
          <cell r="C119" t="str">
            <v>103. Trinity Coal Marketing LLC</v>
          </cell>
        </row>
        <row r="120">
          <cell r="C120" t="str">
            <v>104. Frasure Creek Mining LLC</v>
          </cell>
        </row>
        <row r="121">
          <cell r="C121" t="str">
            <v>105. Essar Steel Offshore Limited</v>
          </cell>
        </row>
        <row r="122">
          <cell r="C122" t="str">
            <v>106. Essar Minerals Limited</v>
          </cell>
        </row>
        <row r="124">
          <cell r="C124" t="str">
            <v>D. Projects Business</v>
          </cell>
        </row>
        <row r="125">
          <cell r="C125" t="str">
            <v>109. Essar Minerals INC</v>
          </cell>
        </row>
        <row r="126">
          <cell r="C126" t="str">
            <v xml:space="preserve">. </v>
          </cell>
        </row>
        <row r="127">
          <cell r="C127" t="str">
            <v>. Rest of Steel Group</v>
          </cell>
        </row>
        <row r="128">
          <cell r="C128" t="str">
            <v>110. Essar Steel Mauritius Limited</v>
          </cell>
        </row>
        <row r="129">
          <cell r="C129" t="str">
            <v>111. Essar Steel Asia Holdings Limited (FKA Essar Resources Mauritius Ltd)</v>
          </cell>
        </row>
        <row r="130">
          <cell r="C130" t="str">
            <v>112. Essar Steel Algoma Cooperatief U.A (FKA Essar Resources Cooperatief U.A.)</v>
          </cell>
        </row>
        <row r="131">
          <cell r="C131" t="str">
            <v>113. 0915599 B.C.  LTD. (FKA Essar Resources Inc)</v>
          </cell>
        </row>
        <row r="132">
          <cell r="C132" t="str">
            <v>114. Essar Steel Minnesota Cooperatief U.A. (FKA Essar Steel Algoma Cooperatief U.A)</v>
          </cell>
        </row>
        <row r="133">
          <cell r="C133" t="str">
            <v>115. Essar Steel Chattisgarh Limited (Call Option)</v>
          </cell>
        </row>
        <row r="134">
          <cell r="C134" t="str">
            <v>116. Essar Steel Limited (FKA Essar Steel Holdings Limited)</v>
          </cell>
        </row>
        <row r="135">
          <cell r="C135" t="str">
            <v>117. Essar Steel (UAE) Limited (FKA PT Essar (UAE) Limited</v>
          </cell>
        </row>
        <row r="136">
          <cell r="C136" t="str">
            <v>118. Steel Trading Mauritius Ltd</v>
          </cell>
        </row>
        <row r="137">
          <cell r="C137" t="str">
            <v xml:space="preserve">. </v>
          </cell>
        </row>
        <row r="139">
          <cell r="C139" t="str">
            <v>E. Ports Business</v>
          </cell>
        </row>
        <row r="140">
          <cell r="C140" t="str">
            <v>120. Essar Africa Steel Holdings Limited</v>
          </cell>
        </row>
        <row r="141">
          <cell r="C141" t="str">
            <v>121. Essar Africa Minerals Holdings Limited</v>
          </cell>
        </row>
        <row r="142">
          <cell r="C142" t="str">
            <v xml:space="preserve">. </v>
          </cell>
        </row>
        <row r="143">
          <cell r="C143" t="str">
            <v>. Rest of Essar Africa</v>
          </cell>
        </row>
        <row r="144">
          <cell r="C144" t="str">
            <v>122. Essar Africa Infrastructure Holdings Limited</v>
          </cell>
        </row>
        <row r="145">
          <cell r="C145" t="str">
            <v>123. Essar Ports Africa FZE</v>
          </cell>
        </row>
        <row r="146">
          <cell r="C146" t="str">
            <v>124. Essar Infrastructure Africa Limited</v>
          </cell>
        </row>
        <row r="148">
          <cell r="C148" t="str">
            <v>F. Shipping Business</v>
          </cell>
        </row>
        <row r="149">
          <cell r="C149" t="str">
            <v>. D. Project Sector</v>
          </cell>
        </row>
        <row r="150">
          <cell r="C150" t="str">
            <v>126. Essar Project (India) Limited</v>
          </cell>
        </row>
        <row r="151">
          <cell r="C151" t="str">
            <v>127. Essar Offshore Subsea Limited</v>
          </cell>
        </row>
        <row r="152">
          <cell r="C152" t="str">
            <v xml:space="preserve">. </v>
          </cell>
        </row>
        <row r="153">
          <cell r="C153" t="str">
            <v>. Rest of Projects Sector</v>
          </cell>
        </row>
        <row r="154">
          <cell r="C154" t="str">
            <v>128. Essar Projects Limited</v>
          </cell>
        </row>
        <row r="155">
          <cell r="C155" t="str">
            <v>129. Essar Construction Overseas Limited</v>
          </cell>
        </row>
        <row r="156">
          <cell r="C156" t="str">
            <v>130. Essar Projects PNG Limited</v>
          </cell>
        </row>
        <row r="157">
          <cell r="C157" t="str">
            <v>131. Essar Project Management Company Ltd</v>
          </cell>
        </row>
        <row r="158">
          <cell r="C158" t="str">
            <v>132. Essar Construction Limited, UAE</v>
          </cell>
        </row>
        <row r="159">
          <cell r="C159" t="str">
            <v>133. Krios Holdings PTE. Ltd</v>
          </cell>
        </row>
        <row r="160">
          <cell r="C160" t="str">
            <v>134. Kadmos Holdings PTE. Ltd</v>
          </cell>
        </row>
        <row r="161">
          <cell r="C161" t="str">
            <v>135. Essar Projects Singapore PTE. Ltd</v>
          </cell>
        </row>
        <row r="162">
          <cell r="C162" t="str">
            <v>136. Essar Road Projects Limited</v>
          </cell>
        </row>
        <row r="163">
          <cell r="C163" t="str">
            <v>137. Tirunelweli Wind Farms Limited</v>
          </cell>
        </row>
        <row r="164">
          <cell r="C164" t="str">
            <v>138. Lucknow Varanasi Tollways Private Limited</v>
          </cell>
        </row>
        <row r="165">
          <cell r="C165" t="str">
            <v>139. Essar Projects UK Limited</v>
          </cell>
        </row>
        <row r="166">
          <cell r="C166" t="str">
            <v>140. PT Essar Projects Indonesia</v>
          </cell>
        </row>
        <row r="167">
          <cell r="C167" t="str">
            <v>141. Essar Projects Middle East FZE, Dubai</v>
          </cell>
        </row>
        <row r="168">
          <cell r="C168" t="str">
            <v>142. Essar Projects (USA) LLC</v>
          </cell>
        </row>
        <row r="169">
          <cell r="C169" t="str">
            <v>143. Essar Projects Gabon SA</v>
          </cell>
        </row>
        <row r="170">
          <cell r="C170" t="str">
            <v>144. Essar Projects East Africa Limited</v>
          </cell>
        </row>
        <row r="171">
          <cell r="C171" t="str">
            <v>145. Essar Projects Saudi Company Limited</v>
          </cell>
        </row>
        <row r="172">
          <cell r="C172" t="str">
            <v xml:space="preserve">. </v>
          </cell>
        </row>
        <row r="173">
          <cell r="C173" t="str">
            <v>. F. Ports Sector</v>
          </cell>
        </row>
        <row r="174">
          <cell r="C174" t="str">
            <v>146. Essar Ports Limited</v>
          </cell>
        </row>
        <row r="175">
          <cell r="C175" t="str">
            <v>147. Vadinar Oil Terminal Limited</v>
          </cell>
        </row>
        <row r="176">
          <cell r="C176" t="str">
            <v>148. Vadinar Ports &amp; Terminal Limited</v>
          </cell>
        </row>
        <row r="177">
          <cell r="C177" t="str">
            <v>149. Essar Bulk Terminal (Salaya) Limited</v>
          </cell>
        </row>
        <row r="178">
          <cell r="C178" t="str">
            <v>150. Essar Bulk Terminal Limited</v>
          </cell>
        </row>
        <row r="179">
          <cell r="C179" t="str">
            <v>151. Essar Bulk Terminal Paradip Limited</v>
          </cell>
        </row>
        <row r="180">
          <cell r="C180" t="str">
            <v>152. Essar Bulk Terminal Beira Mocambique Limitada</v>
          </cell>
        </row>
        <row r="181">
          <cell r="C181" t="str">
            <v>153. Essar Multi User Coal Terminal Beira Mocambique Limitada</v>
          </cell>
        </row>
        <row r="182">
          <cell r="C182" t="str">
            <v xml:space="preserve">. </v>
          </cell>
        </row>
        <row r="183">
          <cell r="C183" t="str">
            <v>. Rest of Ports Sector</v>
          </cell>
        </row>
        <row r="184">
          <cell r="C184" t="str">
            <v>154. Essar Paradip Terminals Limited</v>
          </cell>
        </row>
        <row r="185">
          <cell r="C185" t="str">
            <v xml:space="preserve">. </v>
          </cell>
        </row>
        <row r="186">
          <cell r="C186" t="str">
            <v>. E. Shipping Sector</v>
          </cell>
        </row>
        <row r="187">
          <cell r="C187" t="str">
            <v>155. Essar Shipping Limited</v>
          </cell>
        </row>
        <row r="188">
          <cell r="C188" t="str">
            <v>156. Energy Transportation International Limited</v>
          </cell>
        </row>
        <row r="189">
          <cell r="C189" t="str">
            <v>157. Energy II Limited</v>
          </cell>
        </row>
        <row r="190">
          <cell r="C190" t="str">
            <v>158. Essar Oilfields Services Limited</v>
          </cell>
        </row>
        <row r="191">
          <cell r="C191" t="str">
            <v>159. Essar Oilfields Services India Limited</v>
          </cell>
        </row>
        <row r="192">
          <cell r="C192" t="str">
            <v>160. Varada Drilling One Pte Ltd</v>
          </cell>
        </row>
        <row r="193">
          <cell r="C193" t="str">
            <v>161. Varada Drilling Two Pte Ltd</v>
          </cell>
        </row>
        <row r="194">
          <cell r="C194" t="str">
            <v>162. Essar Shipping &amp; Logistics Limited</v>
          </cell>
        </row>
        <row r="195">
          <cell r="C195" t="str">
            <v>163. Essar Shipping (Cyprus) Limited</v>
          </cell>
        </row>
        <row r="196">
          <cell r="C196" t="str">
            <v>164. Essar Logistics Limited</v>
          </cell>
        </row>
        <row r="197">
          <cell r="C197" t="str">
            <v xml:space="preserve">. </v>
          </cell>
        </row>
        <row r="198">
          <cell r="C198" t="str">
            <v>. I. Realty Sector</v>
          </cell>
        </row>
        <row r="199">
          <cell r="C199" t="str">
            <v>165. Equinox Capital Limited</v>
          </cell>
        </row>
        <row r="200">
          <cell r="C200" t="str">
            <v>166. Equinox Realty Holdings Limited</v>
          </cell>
        </row>
        <row r="201">
          <cell r="C201" t="str">
            <v>167. Equinox Business Parks Limited</v>
          </cell>
        </row>
        <row r="202">
          <cell r="C202" t="str">
            <v>168. Equinox Business Parks Pvt Limited</v>
          </cell>
        </row>
        <row r="203">
          <cell r="C203" t="str">
            <v>169. Equinox Technoparks Limited</v>
          </cell>
        </row>
        <row r="204">
          <cell r="C204" t="str">
            <v>170. Aegis Peoplesupport Realty Corporation</v>
          </cell>
        </row>
        <row r="205">
          <cell r="C205" t="str">
            <v>171. Equinox Malls Limited</v>
          </cell>
        </row>
        <row r="206">
          <cell r="C206" t="str">
            <v>172. Yojna Realties Private Limited</v>
          </cell>
        </row>
        <row r="207">
          <cell r="C207" t="str">
            <v>173. Ibrox Real Estate Development Private Limited</v>
          </cell>
        </row>
        <row r="208">
          <cell r="C208" t="str">
            <v>174. Bhargava Properties Private Limited</v>
          </cell>
        </row>
        <row r="209">
          <cell r="C209" t="str">
            <v xml:space="preserve">175. Samarjit Land Development Pvt Ltd , India </v>
          </cell>
        </row>
        <row r="210">
          <cell r="C210" t="str">
            <v>176. Tradition Construction Private Limited (Under Liquidation)</v>
          </cell>
        </row>
        <row r="211">
          <cell r="C211" t="str">
            <v>177. Equinox Realty &amp; Infrastructure Private Limited</v>
          </cell>
        </row>
        <row r="212">
          <cell r="C212" t="str">
            <v>178. Equinox Estates &amp; Facility Management Pvt Limited</v>
          </cell>
        </row>
        <row r="214">
          <cell r="C214" t="str">
            <v>J. Realty Business</v>
          </cell>
        </row>
        <row r="215">
          <cell r="C215" t="str">
            <v xml:space="preserve">. </v>
          </cell>
        </row>
        <row r="216">
          <cell r="C216" t="str">
            <v>. The Mobile Store</v>
          </cell>
        </row>
        <row r="217">
          <cell r="C217" t="str">
            <v>180. The Mobile Store Services (Mauritius) Limited</v>
          </cell>
        </row>
        <row r="218">
          <cell r="C218" t="str">
            <v>181. The MobileStore Services Private Limited</v>
          </cell>
        </row>
        <row r="219">
          <cell r="C219" t="str">
            <v xml:space="preserve">. </v>
          </cell>
        </row>
        <row r="220">
          <cell r="C220" t="str">
            <v>. G. Telecom</v>
          </cell>
        </row>
        <row r="221">
          <cell r="C221" t="str">
            <v>182. Essar Telecom Ltd</v>
          </cell>
        </row>
        <row r="222">
          <cell r="C222" t="str">
            <v>183. Essar Communication Holdings Limited</v>
          </cell>
        </row>
        <row r="223">
          <cell r="C223" t="str">
            <v>184. Essar East Africa Telecom Limited</v>
          </cell>
        </row>
        <row r="224">
          <cell r="C224" t="str">
            <v>185. Namington Limited</v>
          </cell>
        </row>
        <row r="225">
          <cell r="C225" t="str">
            <v>186. Essar Telecom Kenya Holding Limited</v>
          </cell>
        </row>
        <row r="226">
          <cell r="C226" t="str">
            <v>187. Essar Telecom Kenya Limited</v>
          </cell>
        </row>
        <row r="227">
          <cell r="C227" t="str">
            <v>188. East Africa Tower Company Limited</v>
          </cell>
        </row>
        <row r="228">
          <cell r="C228" t="str">
            <v xml:space="preserve">. </v>
          </cell>
        </row>
        <row r="229">
          <cell r="C229" t="str">
            <v>. H. BPO</v>
          </cell>
        </row>
        <row r="230">
          <cell r="C230" t="str">
            <v>189. AGC Holdings Limited (FKA Essar Service Holdings Limited)</v>
          </cell>
        </row>
        <row r="232">
          <cell r="C232" t="str">
            <v>K. Others</v>
          </cell>
        </row>
        <row r="233">
          <cell r="C233" t="str">
            <v>192. AGC Networks Pte. Ltd. (FKA Aegis Tech  Singapore Pte Ltd, Singapore)</v>
          </cell>
        </row>
        <row r="234">
          <cell r="C234" t="str">
            <v>193. AGC Networks Inc</v>
          </cell>
        </row>
        <row r="235">
          <cell r="C235" t="str">
            <v>194. Aegis Aspire Consultancy Services Limited</v>
          </cell>
        </row>
        <row r="236">
          <cell r="C236" t="str">
            <v>195. Global Vantedge Private Limited</v>
          </cell>
        </row>
        <row r="237">
          <cell r="C237" t="str">
            <v>196. Aegis Tech Limited</v>
          </cell>
        </row>
        <row r="238">
          <cell r="C238" t="str">
            <v>197. Highband Communications Pvt Ltd</v>
          </cell>
        </row>
        <row r="239">
          <cell r="C239" t="str">
            <v>198. Aegis BPO Services (Gurgaon) Limited</v>
          </cell>
        </row>
        <row r="240">
          <cell r="C240" t="str">
            <v>199. Aegis Limited</v>
          </cell>
        </row>
        <row r="241">
          <cell r="C241" t="str">
            <v>200. Essar Services (Mauritius)</v>
          </cell>
        </row>
        <row r="242">
          <cell r="C242" t="str">
            <v>201. Aegis USA INC</v>
          </cell>
        </row>
        <row r="243">
          <cell r="C243" t="str">
            <v>202. Aegis People Support Inc (FKA  People Support (Philippines), Inc)</v>
          </cell>
        </row>
        <row r="244">
          <cell r="C244" t="str">
            <v>203. Aegis Philippines Inc (FKA Aegis BPO Technology Solutions Inc)</v>
          </cell>
        </row>
        <row r="245">
          <cell r="C245" t="str">
            <v>204. Aegis Communication Group LLC</v>
          </cell>
        </row>
        <row r="246">
          <cell r="C246" t="str">
            <v>205. Aegis Receivable Management Inc(Formerly known as Global Vantedge Inc)</v>
          </cell>
        </row>
        <row r="247">
          <cell r="C247" t="str">
            <v>206. Aegis Netherlands Holding Cooperatief U.A.</v>
          </cell>
        </row>
        <row r="248">
          <cell r="C248" t="str">
            <v>207. Aegis Netherlands II BV</v>
          </cell>
        </row>
        <row r="249">
          <cell r="C249" t="str">
            <v>208. Aegis BPO Services Australia Holding Pty Limited</v>
          </cell>
        </row>
        <row r="250">
          <cell r="C250" t="str">
            <v>209. Aegis BPO Services Australia Pty Limited</v>
          </cell>
        </row>
        <row r="251">
          <cell r="C251" t="str">
            <v>210. UCMS Group Pty Limited</v>
          </cell>
        </row>
        <row r="252">
          <cell r="C252" t="str">
            <v>211. Martin Dawes Telecommunications Pty Limited</v>
          </cell>
        </row>
        <row r="253">
          <cell r="C253" t="str">
            <v>212. Aegis Services Australia Pty Ltd ( F.K.A UCMS Pty Ltd)</v>
          </cell>
        </row>
        <row r="254">
          <cell r="C254" t="str">
            <v xml:space="preserve">213. Aegis Tech Pty Ltd, Australia (F.K.A UCMS Solutions Pty Ltd) </v>
          </cell>
        </row>
        <row r="255">
          <cell r="C255" t="str">
            <v>214. Aegis New Zealand Limted (FKA Aegis Tech Limited)</v>
          </cell>
        </row>
        <row r="256">
          <cell r="C256" t="str">
            <v>215. Multiple Stories Pty Limited</v>
          </cell>
        </row>
        <row r="257">
          <cell r="C257" t="str">
            <v xml:space="preserve">216. Aegis Employment Services Pty Ltd (F.K.A UCMS Employment Services Pty Ltd) </v>
          </cell>
        </row>
        <row r="258">
          <cell r="C258" t="str">
            <v>217. Partnership Australia Pty Limited</v>
          </cell>
        </row>
        <row r="259">
          <cell r="C259" t="str">
            <v>218. Services Queensland Partnership  ( Associate )</v>
          </cell>
        </row>
        <row r="260">
          <cell r="C260" t="str">
            <v>219. Queensland Partnerships Group (LG Shared Services) Pty Ltd (Joint Venture )</v>
          </cell>
        </row>
        <row r="261">
          <cell r="C261" t="str">
            <v>220. Main Street 741 Pty Limited</v>
          </cell>
        </row>
        <row r="262">
          <cell r="C262" t="str">
            <v>221. Aegis Outsourcing South Africa (Pty) Ltd (FKA Aegis BPO Holdings (South Africa)(Pty) Limited)</v>
          </cell>
        </row>
        <row r="263">
          <cell r="C263" t="str">
            <v>222. Actionline De Argentina S.A</v>
          </cell>
        </row>
        <row r="264">
          <cell r="C264" t="str">
            <v>223. Aegis Argentina S.A. (FKA Sur Contact Centre S.A)</v>
          </cell>
        </row>
        <row r="265">
          <cell r="C265" t="str">
            <v xml:space="preserve">224. Aegis Outsourcing UK Ltd (FKA Aegis BPO (UK) Ltd) </v>
          </cell>
        </row>
        <row r="266">
          <cell r="C266" t="str">
            <v>225. Aegis Peru S.A.C</v>
          </cell>
        </row>
        <row r="267">
          <cell r="C267" t="str">
            <v>226. Aegis BPO (Costa Rica) SRL</v>
          </cell>
        </row>
        <row r="268">
          <cell r="C268" t="str">
            <v xml:space="preserve">227. Aegis Services Philippines Inc </v>
          </cell>
        </row>
        <row r="269">
          <cell r="C269" t="str">
            <v>228. Aegis Global Services FZ LLC</v>
          </cell>
        </row>
        <row r="270">
          <cell r="C270" t="str">
            <v xml:space="preserve">229. Aegis  Services Lanka Pvt Limited. </v>
          </cell>
        </row>
        <row r="271">
          <cell r="C271" t="str">
            <v>230. Contact Care Company (Associate)</v>
          </cell>
        </row>
        <row r="272">
          <cell r="C272" t="str">
            <v xml:space="preserve">. </v>
          </cell>
        </row>
        <row r="273">
          <cell r="C273" t="str">
            <v>. Rest of Others</v>
          </cell>
        </row>
        <row r="274">
          <cell r="C274" t="str">
            <v>231. Essar Infrastructure Limited</v>
          </cell>
        </row>
        <row r="275">
          <cell r="C275" t="str">
            <v>232. Essar Concessions Limited (FKA Essar Infrastructure Limited)</v>
          </cell>
        </row>
        <row r="276">
          <cell r="C276" t="str">
            <v>233. Essar Port Holdings Mauritius Limited</v>
          </cell>
        </row>
        <row r="277">
          <cell r="C277" t="str">
            <v>234. Essar Projects Holdings Mauritius Limited</v>
          </cell>
        </row>
        <row r="278">
          <cell r="C278" t="str">
            <v>235. Essar Minerals Holdings Limited</v>
          </cell>
        </row>
        <row r="279">
          <cell r="C279" t="str">
            <v>236. Essar Mineral Resources Limited</v>
          </cell>
        </row>
        <row r="280">
          <cell r="C280" t="str">
            <v>237. Essar Minas De Mozambique Limitada ( Joint Venture )</v>
          </cell>
        </row>
        <row r="281">
          <cell r="C281" t="str">
            <v>238. Essar Global Services Limited, Mauritius</v>
          </cell>
        </row>
        <row r="282">
          <cell r="C282" t="str">
            <v>239. Essar Global Services FZE, UAE</v>
          </cell>
        </row>
        <row r="283">
          <cell r="C283" t="str">
            <v>240. Caladium Limited</v>
          </cell>
        </row>
        <row r="284">
          <cell r="C284" t="str">
            <v>241. Essar Exploration and Production South East Asia Limited</v>
          </cell>
        </row>
        <row r="285">
          <cell r="C285" t="str">
            <v>242. Peak Trading Overseas Limited (FKA Essar Trading Overseas Limited (FKA Essar Portfolio Limited (FKA Essar Infratel Limited)))</v>
          </cell>
        </row>
        <row r="286">
          <cell r="C286" t="str">
            <v>243. Essar Global Services Limited, UK</v>
          </cell>
        </row>
        <row r="287">
          <cell r="C287" t="str">
            <v>244. Essar Capital Holdings Limited</v>
          </cell>
        </row>
        <row r="288">
          <cell r="C288" t="str">
            <v>245. Infotech Capital Limited</v>
          </cell>
        </row>
        <row r="289">
          <cell r="C289" t="str">
            <v>246. Essar Real Estate Limited</v>
          </cell>
        </row>
        <row r="290">
          <cell r="C290" t="str">
            <v>247. Myron Trading Overseas Limited (FKA Essar Steel Marvel Mauritius Limited)</v>
          </cell>
        </row>
        <row r="291">
          <cell r="C291" t="str">
            <v>248. Essar Infrastructure Mauritius Limited</v>
          </cell>
        </row>
        <row r="326">
          <cell r="C326" t="str">
            <v>Other related parties</v>
          </cell>
        </row>
        <row r="328">
          <cell r="C328" t="str">
            <v>1. Copper canyon holdings limited</v>
          </cell>
        </row>
        <row r="329">
          <cell r="C329" t="str">
            <v>2. Kettle river holdings limited</v>
          </cell>
        </row>
        <row r="330">
          <cell r="C330" t="str">
            <v>3. Telecom holdings cayman limited</v>
          </cell>
        </row>
        <row r="331">
          <cell r="C331" t="str">
            <v>4. Essar communications (mauritius) limited</v>
          </cell>
        </row>
        <row r="332">
          <cell r="C332" t="str">
            <v>5. Essar communications limited</v>
          </cell>
        </row>
        <row r="333">
          <cell r="C333" t="str">
            <v>6. Essar com limited</v>
          </cell>
        </row>
        <row r="334">
          <cell r="C334" t="str">
            <v>7. Essar us mauritius holdings limited</v>
          </cell>
        </row>
        <row r="335">
          <cell r="C335" t="str">
            <v>8. Essar global services limited, mauritius</v>
          </cell>
        </row>
        <row r="336">
          <cell r="C336" t="str">
            <v>9. Essar global services fze</v>
          </cell>
        </row>
        <row r="337">
          <cell r="C337" t="str">
            <v>10. Essar global services limited, mauritius</v>
          </cell>
        </row>
        <row r="338">
          <cell r="C338" t="str">
            <v>11. Essar lng ltd.</v>
          </cell>
        </row>
        <row r="339">
          <cell r="C339" t="str">
            <v>12. Essar energy services ltd.</v>
          </cell>
        </row>
        <row r="340">
          <cell r="C340" t="str">
            <v>13. Essar information technology ltd.</v>
          </cell>
        </row>
        <row r="341">
          <cell r="C341" t="str">
            <v>14. Aegis bpo services (gurgaon) ltd.</v>
          </cell>
        </row>
        <row r="342">
          <cell r="C342" t="str">
            <v>15. Essar biofuels ltd.</v>
          </cell>
        </row>
        <row r="343">
          <cell r="C343" t="str">
            <v>16. Essar capital finance pvt ltd.</v>
          </cell>
        </row>
        <row r="344">
          <cell r="C344" t="str">
            <v>17. Essar capital holdings (india) ltd.</v>
          </cell>
        </row>
        <row r="345">
          <cell r="C345" t="str">
            <v>18. Essar capital ltd.</v>
          </cell>
        </row>
        <row r="346">
          <cell r="C346" t="str">
            <v>19. Essar heavy engineering services ltd.</v>
          </cell>
        </row>
        <row r="347">
          <cell r="C347" t="str">
            <v>20. Essar investments ltd.</v>
          </cell>
        </row>
        <row r="348">
          <cell r="C348" t="str">
            <v>21. Essar power jamnagar ltd.</v>
          </cell>
        </row>
        <row r="349">
          <cell r="C349" t="str">
            <v>22. Essar procurement services ltd.</v>
          </cell>
        </row>
        <row r="350">
          <cell r="C350" t="str">
            <v>23. Essar retail outlets ltd.</v>
          </cell>
        </row>
        <row r="351">
          <cell r="C351" t="str">
            <v>24. Essar satvision ltd.</v>
          </cell>
        </row>
        <row r="352">
          <cell r="C352" t="str">
            <v>25. Essar securities ltd.</v>
          </cell>
        </row>
        <row r="353">
          <cell r="C353" t="str">
            <v>26. Essar wind farms ltd.</v>
          </cell>
        </row>
        <row r="354">
          <cell r="C354" t="str">
            <v>27. Frontier leasing and finance ltd.</v>
          </cell>
        </row>
        <row r="355">
          <cell r="C355" t="str">
            <v>28. Girishan traders pvt ltd.</v>
          </cell>
        </row>
        <row r="356">
          <cell r="C356" t="str">
            <v>29. Global supplies (india) ltd.</v>
          </cell>
        </row>
        <row r="357">
          <cell r="C357" t="str">
            <v>30. Highband communications pvt ltd.</v>
          </cell>
        </row>
        <row r="358">
          <cell r="C358" t="str">
            <v>31. Imperial consultants &amp; sec. Pvt. Ltd. (essar holdings limited)</v>
          </cell>
        </row>
        <row r="359">
          <cell r="C359" t="str">
            <v>32. India securities ltd.</v>
          </cell>
        </row>
        <row r="360">
          <cell r="C360" t="str">
            <v>33. Ipsha commercial (india) ltd</v>
          </cell>
        </row>
        <row r="361">
          <cell r="C361" t="str">
            <v>34. S k commercials india ltd</v>
          </cell>
        </row>
        <row r="362">
          <cell r="C362" t="str">
            <v>35. Paprika media pvt ltd.</v>
          </cell>
        </row>
        <row r="363">
          <cell r="C363" t="str">
            <v>36. Essar infrastructure projects ltd.</v>
          </cell>
        </row>
        <row r="364">
          <cell r="C364" t="str">
            <v>37. Essar utility projects ltd.</v>
          </cell>
        </row>
        <row r="365">
          <cell r="C365" t="str">
            <v>38. Essar road projects ltd.</v>
          </cell>
        </row>
        <row r="366">
          <cell r="C366" t="str">
            <v>39. Futura travels ltd.</v>
          </cell>
        </row>
        <row r="367">
          <cell r="C367" t="str">
            <v>40. Essar education ltd.</v>
          </cell>
        </row>
        <row r="368">
          <cell r="C368" t="str">
            <v>41. Bansari agro tech pvt ltd.</v>
          </cell>
        </row>
        <row r="369">
          <cell r="C369" t="str">
            <v>42. Deccan horticulture pvt ltd.</v>
          </cell>
        </row>
        <row r="370">
          <cell r="C370" t="str">
            <v>43. Essar agrotech ltd.</v>
          </cell>
        </row>
        <row r="371">
          <cell r="C371" t="str">
            <v>44. Fresh greens pvt ltd.</v>
          </cell>
        </row>
        <row r="372">
          <cell r="C372" t="str">
            <v>45. Green agri farms pvt ltd.</v>
          </cell>
        </row>
        <row r="373">
          <cell r="C373" t="str">
            <v>46. Highland horticulture pvt ltd.</v>
          </cell>
        </row>
        <row r="374">
          <cell r="C374" t="str">
            <v>47. Indrayani flortech pvt ltd.</v>
          </cell>
        </row>
        <row r="375">
          <cell r="C375" t="str">
            <v>48. Indrayani horticulture pvt ltd.</v>
          </cell>
        </row>
        <row r="376">
          <cell r="C376" t="str">
            <v>49. Indus greens pvt ltd.</v>
          </cell>
        </row>
        <row r="377">
          <cell r="C377" t="str">
            <v>50. Indus horticulture pvt ltd.</v>
          </cell>
        </row>
        <row r="378">
          <cell r="C378" t="str">
            <v>51. Kamshet floritech pvt ltd.</v>
          </cell>
        </row>
        <row r="379">
          <cell r="C379" t="str">
            <v>52. Karthik agro farms pvt ltd.</v>
          </cell>
        </row>
        <row r="380">
          <cell r="C380" t="str">
            <v>53. Maval agrotech pvt ltd.</v>
          </cell>
        </row>
        <row r="381">
          <cell r="C381" t="str">
            <v>54. Nane flortech pvt ltd.</v>
          </cell>
        </row>
        <row r="382">
          <cell r="C382" t="str">
            <v>55. Nane maval farms pvt ltd.</v>
          </cell>
        </row>
        <row r="383">
          <cell r="C383" t="str">
            <v>56. Prajkta agro vision pvt ltd.</v>
          </cell>
        </row>
        <row r="384">
          <cell r="C384" t="str">
            <v>57. Pratik agro herbals pvt ltd.</v>
          </cell>
        </row>
        <row r="385">
          <cell r="C385" t="str">
            <v>58. Ajitesh estates pvt ltd.</v>
          </cell>
        </row>
        <row r="386">
          <cell r="C386" t="str">
            <v>59. Arkay holdings ltd</v>
          </cell>
        </row>
        <row r="387">
          <cell r="C387" t="str">
            <v>60. Bansari investment and finance pvt ltd.</v>
          </cell>
        </row>
        <row r="388">
          <cell r="C388" t="str">
            <v>61. Bhargava agro foods pvt ltd.</v>
          </cell>
        </row>
        <row r="389">
          <cell r="C389" t="str">
            <v>62. Bhargava estates pvt ltd.</v>
          </cell>
        </row>
        <row r="390">
          <cell r="C390" t="str">
            <v>63. Bhargava properties pvt ltd.</v>
          </cell>
        </row>
        <row r="391">
          <cell r="C391" t="str">
            <v>64. Blue arcade properties pvt ltd.</v>
          </cell>
        </row>
        <row r="392">
          <cell r="C392" t="str">
            <v>65. Chandrabhal constructions pvt ltd.</v>
          </cell>
        </row>
        <row r="393">
          <cell r="C393" t="str">
            <v>66. Chandrabhal estate development pvt ltd.</v>
          </cell>
        </row>
        <row r="394">
          <cell r="C394" t="str">
            <v>67. Chandrabhal properties pvt ltd.</v>
          </cell>
        </row>
        <row r="395">
          <cell r="C395" t="str">
            <v>68. Chandrabhal realty pvt ltd.</v>
          </cell>
        </row>
        <row r="396">
          <cell r="C396" t="str">
            <v>69. Downtown securities pvt ltd.</v>
          </cell>
        </row>
        <row r="397">
          <cell r="C397" t="str">
            <v>70. Dwarka farms pvt ltd.</v>
          </cell>
        </row>
        <row r="398">
          <cell r="C398" t="str">
            <v>71. Dwarka realties pvt ltd.</v>
          </cell>
        </row>
        <row r="399">
          <cell r="C399" t="str">
            <v>72. Edwell park properties pvt ltd.</v>
          </cell>
        </row>
        <row r="400">
          <cell r="C400" t="str">
            <v>73. Equinox realty pvt ltd.</v>
          </cell>
        </row>
        <row r="401">
          <cell r="C401" t="str">
            <v>74. Essar house ltd.</v>
          </cell>
        </row>
        <row r="402">
          <cell r="C402" t="str">
            <v>75. Essar infrastructure services ltd</v>
          </cell>
        </row>
        <row r="403">
          <cell r="C403" t="str">
            <v>76. Essar properties gujarat pvt ltd.</v>
          </cell>
        </row>
        <row r="404">
          <cell r="C404" t="str">
            <v>77. Essar properties ltd.</v>
          </cell>
        </row>
        <row r="405">
          <cell r="C405" t="str">
            <v>78. Golden merchandisers pvt ltd.</v>
          </cell>
        </row>
        <row r="406">
          <cell r="C406" t="str">
            <v>79. Golsil exim pvt ltd.</v>
          </cell>
        </row>
        <row r="407">
          <cell r="C407" t="str">
            <v>80. Ibrox constructions pvt ltd.</v>
          </cell>
        </row>
        <row r="408">
          <cell r="C408" t="str">
            <v>81. Ibrox properties pvt ltd.</v>
          </cell>
        </row>
        <row r="409">
          <cell r="C409" t="str">
            <v>82. Ibrox realty pvt ltd.</v>
          </cell>
        </row>
        <row r="410">
          <cell r="C410" t="str">
            <v>83. Jindal combines pvt ltd</v>
          </cell>
        </row>
        <row r="411">
          <cell r="C411" t="str">
            <v>84. Kanak communications pvt ltd.</v>
          </cell>
        </row>
        <row r="412">
          <cell r="C412" t="str">
            <v>85. Kartik estates pvt ltd</v>
          </cell>
        </row>
        <row r="413">
          <cell r="C413" t="str">
            <v>86. Kirti mercantile pvt.ltd.</v>
          </cell>
        </row>
        <row r="414">
          <cell r="C414" t="str">
            <v>87. Kirti properties pvt ltd.</v>
          </cell>
        </row>
        <row r="415">
          <cell r="C415" t="str">
            <v>88. Kirti realties and farms pvt ltd.</v>
          </cell>
        </row>
        <row r="416">
          <cell r="C416" t="str">
            <v>89. Marvel mines &amp; minerals pvt ltd</v>
          </cell>
        </row>
        <row r="417">
          <cell r="C417" t="str">
            <v>90. Nartika farms &amp; estates pvt ltd.</v>
          </cell>
        </row>
        <row r="418">
          <cell r="C418" t="str">
            <v>91. Neel kamal traders pvt ltd</v>
          </cell>
        </row>
        <row r="419">
          <cell r="C419" t="str">
            <v>92. New ambi trading and investments pvt ltd.</v>
          </cell>
        </row>
        <row r="420">
          <cell r="C420" t="str">
            <v>93. Nirmit estate pvt ltd</v>
          </cell>
        </row>
        <row r="421">
          <cell r="C421" t="str">
            <v>94. Pama properties pvt ltd.</v>
          </cell>
        </row>
        <row r="422">
          <cell r="C422" t="str">
            <v>95. Paprika properties india pvt ltd.</v>
          </cell>
        </row>
        <row r="423">
          <cell r="C423" t="str">
            <v>96. Prajesh investments pvt ltd.</v>
          </cell>
        </row>
        <row r="424">
          <cell r="C424" t="str">
            <v>97. Prajesh marketing ltd</v>
          </cell>
        </row>
        <row r="425">
          <cell r="C425" t="str">
            <v>98. Prajkta estates pvt ltd.</v>
          </cell>
        </row>
        <row r="426">
          <cell r="C426" t="str">
            <v>99. Pratik estates pvt ltd.</v>
          </cell>
        </row>
        <row r="427">
          <cell r="C427" t="str">
            <v>100. Samarjit estates pvt ltd</v>
          </cell>
        </row>
        <row r="428">
          <cell r="C428" t="str">
            <v>101. Samarjit investments pvt ltd.</v>
          </cell>
        </row>
        <row r="429">
          <cell r="C429" t="str">
            <v>102. Samarjit land development pvt ltd.</v>
          </cell>
        </row>
        <row r="430">
          <cell r="C430" t="str">
            <v>103. Samarjit realties &amp; farms pvt ltd.</v>
          </cell>
        </row>
        <row r="431">
          <cell r="C431" t="str">
            <v>104. Sangam agro acres pvt ltd.</v>
          </cell>
        </row>
        <row r="432">
          <cell r="C432" t="str">
            <v>105. Sangam agro greens pvt ltd.</v>
          </cell>
        </row>
        <row r="433">
          <cell r="C433" t="str">
            <v>106. Sangam cultivators pvt ltd.</v>
          </cell>
        </row>
        <row r="434">
          <cell r="C434" t="str">
            <v>107. Sasmita investments ltd.</v>
          </cell>
        </row>
        <row r="435">
          <cell r="C435" t="str">
            <v>108. Sg chemicals and dyes trading ltd.</v>
          </cell>
        </row>
        <row r="436">
          <cell r="C436" t="str">
            <v>109. Shining star traders pvt ltd</v>
          </cell>
        </row>
        <row r="437">
          <cell r="C437" t="str">
            <v>110. Silicon valley properties pvt ltd.</v>
          </cell>
        </row>
        <row r="438">
          <cell r="C438" t="str">
            <v>111. Sinter keramos &amp; composites pvt ltd</v>
          </cell>
        </row>
        <row r="439">
          <cell r="C439" t="str">
            <v>112. Sridhar realty &amp; infrastructures pvt ltd.</v>
          </cell>
        </row>
        <row r="440">
          <cell r="C440" t="str">
            <v>113. Srijan investments ltd.</v>
          </cell>
        </row>
        <row r="441">
          <cell r="C441" t="str">
            <v>114. Supreme transport and traders ltd.</v>
          </cell>
        </row>
        <row r="442">
          <cell r="C442" t="str">
            <v>115. Swarna ganga holdings  &amp; estate. Development. Pvt.ltd.</v>
          </cell>
        </row>
        <row r="443">
          <cell r="C443" t="str">
            <v>116. Trikaya cultivations pvt ltd.</v>
          </cell>
        </row>
        <row r="444">
          <cell r="C444" t="str">
            <v>117. Trikaya farms pvt ltd.</v>
          </cell>
        </row>
        <row r="445">
          <cell r="C445" t="str">
            <v>118. Vadinar properties ltd.</v>
          </cell>
        </row>
        <row r="446">
          <cell r="C446" t="str">
            <v>119. Yash hotels pvt ltd</v>
          </cell>
        </row>
        <row r="447">
          <cell r="C447" t="str">
            <v>120. Yojna estates pvt ltd.</v>
          </cell>
        </row>
        <row r="448">
          <cell r="C448" t="str">
            <v>121. The mobilestore ltd.</v>
          </cell>
        </row>
        <row r="449">
          <cell r="C449" t="str">
            <v>122. Essar retail holdings ltd.</v>
          </cell>
        </row>
        <row r="450">
          <cell r="C450" t="str">
            <v>123. Essar steel karnataka ltd.</v>
          </cell>
        </row>
        <row r="451">
          <cell r="C451" t="str">
            <v>124. Essar steel hypermarts ltd.</v>
          </cell>
        </row>
        <row r="452">
          <cell r="C452" t="str">
            <v>125. Essar steel chhattisgarh ltd.</v>
          </cell>
        </row>
        <row r="453">
          <cell r="C453" t="str">
            <v>126. Essar steel jharkhand ltd.</v>
          </cell>
        </row>
        <row r="454">
          <cell r="C454" t="str">
            <v>127. Essar teleholdings ltd.</v>
          </cell>
        </row>
        <row r="455">
          <cell r="C455" t="str">
            <v>128. Ringtel communications ltd.</v>
          </cell>
        </row>
        <row r="456">
          <cell r="C456" t="str">
            <v>129. Essar telecom infrastructure holdings overseas pvt ltd.</v>
          </cell>
        </row>
        <row r="457">
          <cell r="C457" t="str">
            <v>130. Essar telecom tower holdings ltd.</v>
          </cell>
        </row>
        <row r="458">
          <cell r="C458" t="str">
            <v>131. Ortus infratel and holdings pvt ltd.</v>
          </cell>
        </row>
        <row r="459">
          <cell r="C459" t="str">
            <v>132. Ethl communications holdings ltd.</v>
          </cell>
        </row>
        <row r="460">
          <cell r="C460" t="str">
            <v>133. Essar telecommunications holdings pvt ltd.</v>
          </cell>
        </row>
        <row r="461">
          <cell r="C461" t="str">
            <v>134. Essar telecom holdings overseas pvt ltd.</v>
          </cell>
        </row>
        <row r="462">
          <cell r="C462" t="str">
            <v>135. Karthik financial services ltd.</v>
          </cell>
        </row>
        <row r="463">
          <cell r="C463" t="str">
            <v>136. Kroner investments ltd.</v>
          </cell>
        </row>
        <row r="464">
          <cell r="C464" t="str">
            <v>137. Girishan investment ltd.</v>
          </cell>
        </row>
        <row r="465">
          <cell r="C465" t="str">
            <v>138. Global commodities trading ltd.</v>
          </cell>
        </row>
        <row r="466">
          <cell r="C466" t="str">
            <v>139. Maval farms pvt ltd.</v>
          </cell>
        </row>
        <row r="467">
          <cell r="C467" t="str">
            <v>140. Sasmita realties pvt ltd.</v>
          </cell>
        </row>
        <row r="468">
          <cell r="C468" t="str">
            <v>141. Thakkars investment pvt ltd.</v>
          </cell>
        </row>
        <row r="469">
          <cell r="C469" t="str">
            <v>142. Impact retail pvt ltd.</v>
          </cell>
        </row>
        <row r="470">
          <cell r="C470" t="str">
            <v>143. Reclamme commercial securities limited (merged with eil)</v>
          </cell>
        </row>
        <row r="471">
          <cell r="C471" t="str">
            <v>144. Trikaya investments limited (merged with eil)</v>
          </cell>
        </row>
        <row r="472">
          <cell r="C472" t="str">
            <v>145. Ethl communications (mauritius) limited.</v>
          </cell>
        </row>
        <row r="473">
          <cell r="C473" t="str">
            <v>146. Prjakta finance and trading limited (merged with eil)</v>
          </cell>
        </row>
        <row r="474">
          <cell r="C474" t="str">
            <v>147. Essar Concessions India Limited</v>
          </cell>
        </row>
        <row r="475">
          <cell r="C475" t="str">
            <v>148. Essar oil limited employees' provident fund trust</v>
          </cell>
        </row>
        <row r="476">
          <cell r="C476" t="str">
            <v>149. Essar shipping, ports and logistics limited employees' provident fund trust</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A. Checklist"/>
      <sheetName val="1B. Control Sheet"/>
      <sheetName val="2. Top sheet"/>
      <sheetName val="3.Grouping - Profit &amp; Loss(mio)"/>
      <sheetName val="4.Grouping - Balance Sheet(mio)"/>
      <sheetName val="5. Journal entries."/>
      <sheetName val="6.Cash Flow"/>
      <sheetName val="7. Reco"/>
      <sheetName val="8. Break up of other income"/>
      <sheetName val="9. Cash flow info"/>
      <sheetName val="10. Adjuted EBIDTA"/>
      <sheetName val="10. Geographical Sales"/>
      <sheetName val="11. Tax Details"/>
      <sheetName val="12. Tangible assets"/>
      <sheetName val="13. Intangible assets "/>
      <sheetName val="14. Investments"/>
      <sheetName val="15. Inventory"/>
      <sheetName val="16. Borrowings"/>
      <sheetName val="17. Risk Management"/>
      <sheetName val="18. Fair value of FA and FL"/>
      <sheetName val="19. Currency wise of FA and FL"/>
      <sheetName val="20. RPT"/>
      <sheetName val="IC-RP list"/>
      <sheetName val="21. Forex"/>
      <sheetName val="22. Trade Receivables"/>
      <sheetName val="23. Qty Infor"/>
      <sheetName val="23. Contingent and commitments"/>
      <sheetName val="23 a. Export obli and cap com"/>
      <sheetName val="24. Provisions"/>
      <sheetName val="26.Profit on sale of investment"/>
      <sheetName val="25. Leases"/>
      <sheetName val="27. ROM"/>
      <sheetName val="25. Professional Fees"/>
      <sheetName val="28. Covenant Compliance"/>
      <sheetName val="Instruction"/>
      <sheetName val="deduction"/>
      <sheetName val="addition"/>
      <sheetName val="sep0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C4" t="str">
            <v>Essar Global Limited</v>
          </cell>
        </row>
        <row r="6">
          <cell r="C6" t="str">
            <v>A. Steel Sector</v>
          </cell>
        </row>
        <row r="7">
          <cell r="C7" t="str">
            <v>Essar Steel Limited, Mauritius (FKA Essar Steel Holdings Limited)</v>
          </cell>
        </row>
        <row r="8">
          <cell r="C8" t="str">
            <v>Essar Steel Limited, India</v>
          </cell>
        </row>
        <row r="9">
          <cell r="C9" t="str">
            <v>Essar Steel Trading FZE</v>
          </cell>
        </row>
        <row r="10">
          <cell r="C10" t="str">
            <v>Essar Steel Middle East FZE</v>
          </cell>
        </row>
        <row r="11">
          <cell r="C11" t="str">
            <v>Essar Steel Offshore Limited ( Get Potential Limited )</v>
          </cell>
        </row>
        <row r="12">
          <cell r="C12" t="str">
            <v>Essar Minerals Limited ( FKA Essar Mining Limited )</v>
          </cell>
        </row>
        <row r="13">
          <cell r="C13" t="str">
            <v>Essar Mineral Cooperatief U.A.</v>
          </cell>
        </row>
        <row r="14">
          <cell r="C14" t="str">
            <v>Essar Minerals Canada Limited</v>
          </cell>
        </row>
        <row r="15">
          <cell r="C15" t="str">
            <v>Essar Minerals INC</v>
          </cell>
        </row>
        <row r="16">
          <cell r="C16" t="str">
            <v>Trinity Parent Corporation</v>
          </cell>
        </row>
        <row r="17">
          <cell r="C17" t="str">
            <v>Trinity Coal Corporation</v>
          </cell>
        </row>
        <row r="18">
          <cell r="C18" t="str">
            <v>Trinity Coal Partners LLC</v>
          </cell>
        </row>
        <row r="19">
          <cell r="C19" t="str">
            <v>Bear Fork Resources LLC</v>
          </cell>
        </row>
        <row r="20">
          <cell r="C20" t="str">
            <v>Deep Water Resources LLC</v>
          </cell>
        </row>
        <row r="21">
          <cell r="C21" t="str">
            <v>Levisa Fork Resources LLC</v>
          </cell>
        </row>
        <row r="22">
          <cell r="C22" t="str">
            <v>North Springs Resources LLC</v>
          </cell>
        </row>
        <row r="23">
          <cell r="C23" t="str">
            <v>Little Elk Mining Company LLC</v>
          </cell>
        </row>
        <row r="24">
          <cell r="C24" t="str">
            <v>Banner Coal Terminal LLC</v>
          </cell>
        </row>
        <row r="25">
          <cell r="C25" t="str">
            <v>Hughes Creek Terminal LLC</v>
          </cell>
        </row>
        <row r="26">
          <cell r="C26" t="str">
            <v>Trinity Coal Marketing LLC</v>
          </cell>
        </row>
        <row r="27">
          <cell r="C27" t="str">
            <v>Frasure Creek Mining LLC</v>
          </cell>
        </row>
        <row r="28">
          <cell r="C28" t="str">
            <v>Falcon Resources LLC</v>
          </cell>
        </row>
        <row r="29">
          <cell r="C29" t="str">
            <v>Prater Branch Resources LLC</v>
          </cell>
        </row>
        <row r="30">
          <cell r="C30" t="str">
            <v>Trinity RMG Holdings LLC</v>
          </cell>
        </row>
        <row r="31">
          <cell r="C31" t="str">
            <v>RMG INC</v>
          </cell>
        </row>
        <row r="32">
          <cell r="C32" t="str">
            <v>Essar Minerals (Guyana) Inc ( Under Liquidation )</v>
          </cell>
        </row>
        <row r="33">
          <cell r="C33" t="str">
            <v>Essar Steel Overseas Limited</v>
          </cell>
        </row>
        <row r="34">
          <cell r="C34" t="str">
            <v>Essar Steel Processing FZCO</v>
          </cell>
        </row>
        <row r="35">
          <cell r="C35" t="str">
            <v>Essar Steel Co-operatief U.A.</v>
          </cell>
        </row>
        <row r="36">
          <cell r="C36" t="str">
            <v>Essar Steel International B.V.</v>
          </cell>
        </row>
        <row r="37">
          <cell r="C37" t="str">
            <v>Essar Steel Processing &amp; Distribution UK Ltd. (FKA Servo Steel Limited, UK)</v>
          </cell>
        </row>
        <row r="38">
          <cell r="C38" t="str">
            <v>PT Essar (UAE) Limited</v>
          </cell>
        </row>
        <row r="39">
          <cell r="C39" t="str">
            <v>Essar Steel Processing &amp; Distribution Italia S.R.L.</v>
          </cell>
        </row>
        <row r="40">
          <cell r="C40" t="str">
            <v>Essar Steel N.V.</v>
          </cell>
        </row>
        <row r="41">
          <cell r="C41" t="str">
            <v>Essar Steel GMBH</v>
          </cell>
        </row>
        <row r="42">
          <cell r="C42" t="str">
            <v>Essar Steel Processing &amp; Distribution Iberia S.L.</v>
          </cell>
        </row>
        <row r="43">
          <cell r="C43" t="str">
            <v>Essar Resources Mauritius Limited (FKA Essar Steel India Limited)</v>
          </cell>
        </row>
        <row r="44">
          <cell r="C44" t="str">
            <v>Essar Steel Processing Vietnam Co, Ltd</v>
          </cell>
        </row>
        <row r="45">
          <cell r="C45" t="str">
            <v>Algoma Holdings Cooperatief U.A.</v>
          </cell>
        </row>
        <row r="46">
          <cell r="C46" t="str">
            <v>Algoma Holdings B.V.</v>
          </cell>
        </row>
        <row r="47">
          <cell r="C47" t="str">
            <v>Essar Steel Algoma Inc</v>
          </cell>
        </row>
        <row r="48">
          <cell r="C48" t="str">
            <v>Es Finance KFT (Under liquidation)</v>
          </cell>
        </row>
        <row r="49">
          <cell r="C49" t="str">
            <v>US Holding B.V. (FKA ES Holding BV )</v>
          </cell>
        </row>
        <row r="50">
          <cell r="C50" t="str">
            <v>Essar Steel Minnesota LLC</v>
          </cell>
        </row>
        <row r="51">
          <cell r="C51" t="str">
            <v>PT Essar Indonesia, Indonesia (Call Option)</v>
          </cell>
        </row>
        <row r="52">
          <cell r="C52" t="str">
            <v>Gallop Holdings LLC</v>
          </cell>
        </row>
        <row r="54">
          <cell r="C54" t="str">
            <v>B. Minerals Sector</v>
          </cell>
        </row>
        <row r="55">
          <cell r="C55" t="str">
            <v>Essar Minerals Holdings Limited</v>
          </cell>
        </row>
        <row r="56">
          <cell r="C56" t="str">
            <v>Essar Mineral Resources Limited</v>
          </cell>
        </row>
        <row r="57">
          <cell r="C57" t="str">
            <v>Essar Minas De Mozambique Limitada ( Joint Venture )</v>
          </cell>
        </row>
        <row r="59">
          <cell r="C59" t="str">
            <v>C. Energy Sector</v>
          </cell>
        </row>
        <row r="60">
          <cell r="C60" t="str">
            <v>Essar Energy PLC</v>
          </cell>
        </row>
        <row r="61">
          <cell r="C61" t="str">
            <v>Essar Energy Services (UK) Limited</v>
          </cell>
        </row>
        <row r="62">
          <cell r="C62" t="str">
            <v>Essar Energy Services (Mauritius) Limited</v>
          </cell>
        </row>
        <row r="63">
          <cell r="C63" t="str">
            <v>Essar Energy Investment Limited</v>
          </cell>
        </row>
        <row r="64">
          <cell r="C64" t="str">
            <v>Essar Oil and Gas Limited (FKA Vadinar Oil)</v>
          </cell>
        </row>
        <row r="65">
          <cell r="C65" t="str">
            <v>Essar Oil Limited</v>
          </cell>
        </row>
        <row r="66">
          <cell r="C66" t="str">
            <v>Pitney Mauritius Holdings Limited</v>
          </cell>
        </row>
        <row r="67">
          <cell r="C67" t="str">
            <v>Essar Energy Holdings Limited</v>
          </cell>
        </row>
        <row r="68">
          <cell r="C68" t="str">
            <v>Essar Chemicals Limited</v>
          </cell>
        </row>
        <row r="69">
          <cell r="C69" t="str">
            <v>Essar Gujarat Petrochemicals Limited</v>
          </cell>
        </row>
        <row r="70">
          <cell r="C70" t="str">
            <v>Essar Energy Overseas Limited</v>
          </cell>
        </row>
        <row r="71">
          <cell r="C71" t="str">
            <v>Kenya Petroleum Refinery Limited ( Joint Venture )</v>
          </cell>
        </row>
        <row r="72">
          <cell r="C72" t="str">
            <v>Essar Petroleum (East Africa) Limited</v>
          </cell>
        </row>
        <row r="73">
          <cell r="C73" t="str">
            <v>Essar Exploration &amp; Production Limited</v>
          </cell>
        </row>
        <row r="74">
          <cell r="C74" t="str">
            <v>Essar Exploration &amp; Production Limited, Nigeria</v>
          </cell>
        </row>
        <row r="75">
          <cell r="C75" t="str">
            <v>Essar Exploration &amp; Production (India) Limited</v>
          </cell>
        </row>
        <row r="76">
          <cell r="C76" t="str">
            <v>Essar Oil Holdings Limited (FKA Algreat Limited)</v>
          </cell>
        </row>
        <row r="77">
          <cell r="C77" t="str">
            <v>Star Sapphire Enterprises Limited</v>
          </cell>
        </row>
        <row r="78">
          <cell r="C78" t="str">
            <v>Essar Oil International AG</v>
          </cell>
        </row>
        <row r="79">
          <cell r="C79" t="str">
            <v>Essar Oil (UK) Limited</v>
          </cell>
        </row>
        <row r="80">
          <cell r="C80" t="str">
            <v>Essar Oil GMBH</v>
          </cell>
        </row>
        <row r="81">
          <cell r="C81" t="str">
            <v>Essar Oil Stanlow Limited</v>
          </cell>
        </row>
        <row r="83">
          <cell r="C83" t="str">
            <v>D. Power Sector</v>
          </cell>
        </row>
        <row r="84">
          <cell r="C84" t="str">
            <v>Essar Power Holdings Limited</v>
          </cell>
        </row>
        <row r="85">
          <cell r="C85" t="str">
            <v>Essar Power Limited</v>
          </cell>
        </row>
        <row r="86">
          <cell r="C86" t="str">
            <v>Bhander Power Limited</v>
          </cell>
        </row>
        <row r="87">
          <cell r="C87" t="str">
            <v>Essar Power Salaya Limited</v>
          </cell>
        </row>
        <row r="88">
          <cell r="C88" t="str">
            <v>Essar Power Orissa Limited</v>
          </cell>
        </row>
        <row r="89">
          <cell r="C89" t="str">
            <v>Essar Power Tamilnadu Limited</v>
          </cell>
        </row>
        <row r="90">
          <cell r="C90" t="str">
            <v>Essar Power (Jharkhand) Limited</v>
          </cell>
        </row>
        <row r="91">
          <cell r="C91" t="str">
            <v>Vadinar Power Company Limited</v>
          </cell>
        </row>
        <row r="92">
          <cell r="C92" t="str">
            <v>Essar Power Chattisgarh Limited</v>
          </cell>
        </row>
        <row r="93">
          <cell r="C93" t="str">
            <v>Essar Power Hazira Limited</v>
          </cell>
        </row>
        <row r="94">
          <cell r="C94" t="str">
            <v>Essar Electirc Power Development Corporation Limited</v>
          </cell>
        </row>
        <row r="95">
          <cell r="C95" t="str">
            <v>Essar Power Gujarat Limited</v>
          </cell>
        </row>
        <row r="96">
          <cell r="C96" t="str">
            <v>Mahan Coal Limited ( Joint Venture )</v>
          </cell>
        </row>
        <row r="97">
          <cell r="C97" t="str">
            <v>Essar Power Transmission Company Limited</v>
          </cell>
        </row>
        <row r="98">
          <cell r="C98" t="str">
            <v>Essar Power Madhya Pradesh Limited</v>
          </cell>
        </row>
        <row r="99">
          <cell r="C99" t="str">
            <v>Essar Power Overseas Limited</v>
          </cell>
        </row>
        <row r="100">
          <cell r="C100" t="str">
            <v>Essar Power &amp; Minerals S.A. Limited</v>
          </cell>
        </row>
        <row r="101">
          <cell r="C101" t="str">
            <v>Essar Minerals FZE</v>
          </cell>
        </row>
        <row r="102">
          <cell r="C102" t="str">
            <v>PT Essar Minerals Indonesia</v>
          </cell>
        </row>
        <row r="103">
          <cell r="C103" t="str">
            <v>PT Bara Pratma Indonesia</v>
          </cell>
        </row>
        <row r="104">
          <cell r="C104" t="str">
            <v>PT Manoor Bultan Lestari Indonesia</v>
          </cell>
        </row>
        <row r="105">
          <cell r="C105" t="str">
            <v>Essar Recursos Minerals de Mozambique Limitada</v>
          </cell>
        </row>
        <row r="106">
          <cell r="C106" t="str">
            <v>Navbharat Power Private Limited</v>
          </cell>
        </row>
        <row r="107">
          <cell r="C107" t="str">
            <v>Rampiya Coal Mines &amp; Energy Private Limited (Joint Venture)</v>
          </cell>
        </row>
        <row r="108">
          <cell r="C108" t="str">
            <v>Essar Power Solar Limited</v>
          </cell>
        </row>
        <row r="109">
          <cell r="C109" t="str">
            <v>Essar Power Distribution Company Limited</v>
          </cell>
        </row>
        <row r="110">
          <cell r="C110" t="str">
            <v>Algoma Power Coopertaief U.A.</v>
          </cell>
        </row>
        <row r="111">
          <cell r="C111" t="str">
            <v>Algoma Power B.V.</v>
          </cell>
        </row>
        <row r="112">
          <cell r="C112" t="str">
            <v>Essar Power Canada Limited</v>
          </cell>
        </row>
        <row r="113">
          <cell r="C113" t="str">
            <v>Main Street 736 (Proprietary) Limited</v>
          </cell>
        </row>
        <row r="114">
          <cell r="C114" t="str">
            <v>Essar Power Nepal Holdings Limited</v>
          </cell>
        </row>
        <row r="115">
          <cell r="C115" t="str">
            <v>Essar Power (East Africa) Limited</v>
          </cell>
        </row>
        <row r="116">
          <cell r="C116" t="str">
            <v>Essar Power Hazira Holdings Limited (Fka Hazira Power 2 ( FKA Hazira Steel 2 ))</v>
          </cell>
        </row>
        <row r="117">
          <cell r="C117" t="str">
            <v>Essar Wind Power Private Limited</v>
          </cell>
        </row>
        <row r="119">
          <cell r="C119" t="str">
            <v>E. Shipping &amp; Ports Sector</v>
          </cell>
        </row>
        <row r="120">
          <cell r="C120" t="str">
            <v>Essar Shipping &amp; Logistics Limited</v>
          </cell>
        </row>
        <row r="121">
          <cell r="C121" t="str">
            <v>Essar Shipping (Cyprus) Limited</v>
          </cell>
        </row>
        <row r="122">
          <cell r="C122" t="str">
            <v>Essar Shipping &amp; Logistics (Panama) Inc.</v>
          </cell>
        </row>
        <row r="123">
          <cell r="C123" t="str">
            <v>Essar Ports Limited</v>
          </cell>
        </row>
        <row r="124">
          <cell r="C124" t="str">
            <v>Essar Shipping Limited</v>
          </cell>
        </row>
        <row r="125">
          <cell r="C125" t="str">
            <v>Essar Oilfields Services Limited</v>
          </cell>
        </row>
        <row r="126">
          <cell r="C126" t="str">
            <v>Essar Oilfields Services India Limited</v>
          </cell>
        </row>
        <row r="127">
          <cell r="C127" t="str">
            <v>Energy Transportation International Limited</v>
          </cell>
        </row>
        <row r="128">
          <cell r="C128" t="str">
            <v>Energy II Limited</v>
          </cell>
        </row>
        <row r="129">
          <cell r="C129" t="str">
            <v>Essar Bulk Terminal Limited</v>
          </cell>
        </row>
        <row r="130">
          <cell r="C130" t="str">
            <v>Essar Bulk Terminal (Salaya) Limited</v>
          </cell>
        </row>
        <row r="131">
          <cell r="C131" t="str">
            <v>Vadinar Oil Terminal Limited</v>
          </cell>
        </row>
        <row r="132">
          <cell r="C132" t="str">
            <v>Vadinar Ports &amp; Terminal Limited</v>
          </cell>
        </row>
        <row r="133">
          <cell r="C133" t="str">
            <v>Essar Paradip Terminals Limited</v>
          </cell>
        </row>
        <row r="134">
          <cell r="C134" t="str">
            <v>Essar Logistic Limited</v>
          </cell>
        </row>
        <row r="135">
          <cell r="C135" t="str">
            <v>Essar Bulk Terminal Paradip Limited</v>
          </cell>
        </row>
        <row r="137">
          <cell r="C137" t="str">
            <v>F. Telecom</v>
          </cell>
        </row>
        <row r="138">
          <cell r="C138" t="str">
            <v xml:space="preserve">Essar Telecom Ltd (FKA Telecom Network Solutions Ltd) </v>
          </cell>
        </row>
        <row r="139">
          <cell r="C139" t="str">
            <v>Essar Communication Holdings Limited</v>
          </cell>
        </row>
        <row r="140">
          <cell r="C140" t="str">
            <v>Essar Telecom India Limited (F.K.A. Essar Communications Cambodia Limited)</v>
          </cell>
        </row>
        <row r="141">
          <cell r="C141" t="str">
            <v>Essar East Africa Telecom Limited (FKA as Essar Homes Ltd)</v>
          </cell>
        </row>
        <row r="142">
          <cell r="C142" t="str">
            <v>Essar Telecom Kenya Holding Limited (FKA Essar Telecom kenya Ltd)</v>
          </cell>
        </row>
        <row r="143">
          <cell r="C143" t="str">
            <v xml:space="preserve">Essar Wireless International </v>
          </cell>
        </row>
        <row r="144">
          <cell r="C144" t="str">
            <v>Essar Telecom Kenya Limited (F.K.A. Econet Wireless Kenya)</v>
          </cell>
        </row>
        <row r="145">
          <cell r="C145" t="str">
            <v>Namington Limited</v>
          </cell>
        </row>
        <row r="146">
          <cell r="C146" t="str">
            <v>Essar Telecom (Uganda) Limited</v>
          </cell>
        </row>
        <row r="147">
          <cell r="C147" t="str">
            <v>Telecom Holding (Mauritius) Limited</v>
          </cell>
        </row>
        <row r="148">
          <cell r="C148" t="str">
            <v>Kanyan Telecommunication (Uganda) Limited</v>
          </cell>
        </row>
        <row r="149">
          <cell r="C149" t="str">
            <v>Essar Telecom USA Limited</v>
          </cell>
        </row>
        <row r="151">
          <cell r="C151" t="str">
            <v>G. BPO</v>
          </cell>
        </row>
        <row r="152">
          <cell r="C152" t="str">
            <v>Essar Service Holding Limited</v>
          </cell>
        </row>
        <row r="153">
          <cell r="C153" t="str">
            <v>AGC Networks Limited</v>
          </cell>
        </row>
        <row r="154">
          <cell r="C154" t="str">
            <v>Global Connect Australia Pty Limited</v>
          </cell>
        </row>
        <row r="155">
          <cell r="C155" t="str">
            <v>AGC Networks Pte Limited</v>
          </cell>
        </row>
        <row r="156">
          <cell r="C156" t="str">
            <v>Global Vantedge Private Limited</v>
          </cell>
        </row>
        <row r="157">
          <cell r="C157" t="str">
            <v>Aegis Aspire Consultancy Services Limited</v>
          </cell>
        </row>
        <row r="158">
          <cell r="C158" t="str">
            <v>Aegis Limited (FKA Aegis BPO Services Limited)</v>
          </cell>
        </row>
        <row r="159">
          <cell r="C159" t="str">
            <v>Aegis Tech Ltd</v>
          </cell>
        </row>
        <row r="160">
          <cell r="C160" t="str">
            <v xml:space="preserve">Aegis BPO (UK) Ltd (Formerly Global Vantedge UK Ltd) </v>
          </cell>
        </row>
        <row r="161">
          <cell r="C161" t="str">
            <v xml:space="preserve">Essar Services (Mauritius) (Formerly known as World Focus) </v>
          </cell>
        </row>
        <row r="162">
          <cell r="C162" t="str">
            <v>Aegis USA INC (FKA People Support Inc</v>
          </cell>
        </row>
        <row r="163">
          <cell r="C163" t="str">
            <v>Aegis People Support Inc</v>
          </cell>
        </row>
        <row r="164">
          <cell r="C164" t="str">
            <v>Aegis BPO and Technology Solutions, Inc</v>
          </cell>
        </row>
        <row r="165">
          <cell r="C165" t="str">
            <v>Aspire PeopleSolution Inc</v>
          </cell>
        </row>
        <row r="166">
          <cell r="C166" t="str">
            <v>Aegis BPO (Costa Rica) SRL</v>
          </cell>
        </row>
        <row r="167">
          <cell r="C167" t="str">
            <v>People Support Guatemala Y Compania Limitada</v>
          </cell>
        </row>
        <row r="168">
          <cell r="C168" t="str">
            <v>Aegis Communication Group LLC</v>
          </cell>
        </row>
        <row r="169">
          <cell r="C169" t="str">
            <v>Aegis Receivable Management Inc (Aegis Rapid Text Inc is merged with Aegis Receivable Management Inc)</v>
          </cell>
        </row>
        <row r="170">
          <cell r="C170" t="str">
            <v>Aegis Netherlands Holding Cooperatief U.A.</v>
          </cell>
        </row>
        <row r="171">
          <cell r="C171" t="str">
            <v xml:space="preserve">Aegis Netherlands II BV (Aegis Netherlands I BV merged with Aegis Netherland II BV) </v>
          </cell>
        </row>
        <row r="172">
          <cell r="C172" t="str">
            <v>Main Street 741 Pty Limited</v>
          </cell>
        </row>
        <row r="173">
          <cell r="C173" t="str">
            <v>Aegis BPO Holdings (South Africa)(Pty) Limited (FKA CCN Group Pty Ltd, South Africa )</v>
          </cell>
        </row>
        <row r="174">
          <cell r="C174" t="str">
            <v>Aegis BPO Services Australia Holding Pty Limited</v>
          </cell>
        </row>
        <row r="175">
          <cell r="C175" t="str">
            <v>Aegis BPO Services Australia Pty Limited</v>
          </cell>
        </row>
        <row r="176">
          <cell r="C176" t="str">
            <v>UCMS Group Limited</v>
          </cell>
        </row>
        <row r="177">
          <cell r="C177" t="str">
            <v>Martin Dawes Telecommunications Pty Limited</v>
          </cell>
        </row>
        <row r="178">
          <cell r="C178" t="str">
            <v>Aegis Services Australia Pty Ltd ( F.K.A UCMS Pty Ltd)</v>
          </cell>
        </row>
        <row r="179">
          <cell r="C179" t="str">
            <v>Aegis Employment Services Pty Ltd</v>
          </cell>
        </row>
        <row r="180">
          <cell r="C180" t="str">
            <v>Diversity @ Work Pty Ltd, Australia</v>
          </cell>
        </row>
        <row r="181">
          <cell r="C181" t="str">
            <v xml:space="preserve">Aegis Tech Pty Ltd, Australia (F.K.A UCMS Solutions Pty Ltd) </v>
          </cell>
        </row>
        <row r="182">
          <cell r="C182" t="str">
            <v>Partnership Australia Pty Limited</v>
          </cell>
        </row>
        <row r="183">
          <cell r="C183" t="str">
            <v>UCMS Management Pty Limited ( Joint Venture )</v>
          </cell>
        </row>
        <row r="184">
          <cell r="C184" t="str">
            <v>Queensland Group Partnership Pty Limited ( Joint Venture )</v>
          </cell>
        </row>
        <row r="185">
          <cell r="C185" t="str">
            <v>Multiple Stories Pty Limited</v>
          </cell>
        </row>
        <row r="186">
          <cell r="C186" t="str">
            <v>Aegis Tech Limited</v>
          </cell>
        </row>
        <row r="187">
          <cell r="C187" t="str">
            <v xml:space="preserve">Aegis Services Philippines Inc </v>
          </cell>
        </row>
        <row r="188">
          <cell r="C188" t="str">
            <v>Actionline De Argentina S.A (Consolidated accounts)</v>
          </cell>
        </row>
        <row r="189">
          <cell r="C189" t="str">
            <v>Sur Contact Centre S.A</v>
          </cell>
        </row>
        <row r="190">
          <cell r="C190" t="str">
            <v xml:space="preserve">Aegis Services Lanka (Pvt) Ltd, Sri Lanka (F.K.A Ismart Timex Pvt Ltd) </v>
          </cell>
        </row>
        <row r="191">
          <cell r="C191" t="str">
            <v>Contact Centre Company (Associate)</v>
          </cell>
        </row>
        <row r="192">
          <cell r="C192" t="str">
            <v>Aegis Global Services FZ LLC</v>
          </cell>
        </row>
        <row r="194">
          <cell r="C194" t="str">
            <v>H. Project Sector</v>
          </cell>
        </row>
        <row r="195">
          <cell r="C195" t="str">
            <v>Essar Projects Limited</v>
          </cell>
        </row>
        <row r="196">
          <cell r="C196" t="str">
            <v>Essar Project (India) Limited</v>
          </cell>
        </row>
        <row r="197">
          <cell r="C197" t="str">
            <v>Essar Offshore Subsea Limited</v>
          </cell>
        </row>
        <row r="198">
          <cell r="C198" t="str">
            <v>Essar Construction Overseas Limited</v>
          </cell>
        </row>
        <row r="199">
          <cell r="C199" t="str">
            <v>Essar Projects PNG Limited</v>
          </cell>
        </row>
        <row r="200">
          <cell r="C200" t="str">
            <v>Krios Holdings PTE. Ltd</v>
          </cell>
        </row>
        <row r="201">
          <cell r="C201" t="str">
            <v>Kadmos Holdings PTE. Ltd</v>
          </cell>
        </row>
        <row r="202">
          <cell r="C202" t="str">
            <v>Essar Projects Singapore PTE. Ltd</v>
          </cell>
        </row>
        <row r="203">
          <cell r="C203" t="str">
            <v>Essar Construction Limited, UAE</v>
          </cell>
        </row>
        <row r="204">
          <cell r="C204" t="str">
            <v>Essar Project Management Company Ltd</v>
          </cell>
        </row>
        <row r="205">
          <cell r="C205" t="str">
            <v>Professional Equipments Suppliers Limited (Associate)</v>
          </cell>
        </row>
        <row r="206">
          <cell r="C206" t="str">
            <v>Global Supplies FZE (Associate)</v>
          </cell>
        </row>
        <row r="208">
          <cell r="C208" t="str">
            <v>I. Real Estate Sector</v>
          </cell>
        </row>
        <row r="209">
          <cell r="C209" t="str">
            <v>Essar Real Estate Limited</v>
          </cell>
        </row>
        <row r="210">
          <cell r="C210" t="str">
            <v>Essar SEZ Hazira Limited</v>
          </cell>
        </row>
        <row r="212">
          <cell r="C212" t="str">
            <v>J. Realty Sector</v>
          </cell>
        </row>
        <row r="213">
          <cell r="C213" t="str">
            <v>Equinox Capital Limited (FKA Preferred Choice UK)</v>
          </cell>
        </row>
        <row r="214">
          <cell r="C214" t="str">
            <v>Equinox Realty Holdings Limited</v>
          </cell>
        </row>
        <row r="215">
          <cell r="C215" t="str">
            <v>Equinox Business Parks Limited</v>
          </cell>
        </row>
        <row r="216">
          <cell r="C216" t="str">
            <v>Equinox Technoparks Limited (FKA Essar Technoparks Ltd)</v>
          </cell>
        </row>
        <row r="217">
          <cell r="C217" t="str">
            <v>Aegis People Support Realty Corporation</v>
          </cell>
        </row>
        <row r="218">
          <cell r="C218" t="str">
            <v>Equinox Business Parks Private Limited</v>
          </cell>
        </row>
        <row r="219">
          <cell r="C219" t="str">
            <v>Equinox Malls Limited (FKA Essar Malls Limited)</v>
          </cell>
        </row>
        <row r="220">
          <cell r="C220" t="str">
            <v>Yojna Realties Private Limited</v>
          </cell>
        </row>
        <row r="221">
          <cell r="C221" t="str">
            <v>Equinox Destination Limited (FKA Essar Destinations Ltd)</v>
          </cell>
        </row>
        <row r="222">
          <cell r="C222" t="str">
            <v>Equinox Realty &amp; Infrastructure Private Limited</v>
          </cell>
        </row>
        <row r="223">
          <cell r="C223" t="str">
            <v>Equinox Estates &amp; Facility Management Pvt Limited</v>
          </cell>
        </row>
        <row r="224">
          <cell r="C224" t="str">
            <v>Equinox Townships Limited</v>
          </cell>
        </row>
        <row r="225">
          <cell r="C225" t="str">
            <v>Essar Parks Limited ( F.K.A Vadehra Properties Ltd)</v>
          </cell>
        </row>
        <row r="226">
          <cell r="C226" t="str">
            <v>Ibrox Real Estate Development Private Limited</v>
          </cell>
        </row>
        <row r="227">
          <cell r="C227" t="str">
            <v>Tradition Constructions Private Limited ( Under liquidation )</v>
          </cell>
        </row>
        <row r="229">
          <cell r="C229" t="str">
            <v>K. Others</v>
          </cell>
        </row>
        <row r="230">
          <cell r="C230" t="str">
            <v>Essar Africa Holdings Limited</v>
          </cell>
        </row>
        <row r="231">
          <cell r="C231" t="str">
            <v>Essar Infrastructure Africa Limited, Nigeria</v>
          </cell>
        </row>
        <row r="232">
          <cell r="C232" t="str">
            <v>Essar Bulk Terminal Beira Mocambique Limitada</v>
          </cell>
        </row>
        <row r="233">
          <cell r="C233" t="str">
            <v>Essar Africa Infrastructure Holdings Limited</v>
          </cell>
        </row>
        <row r="234">
          <cell r="C234" t="str">
            <v>Essar Infrastructure Zimbabwe Private Limited</v>
          </cell>
        </row>
        <row r="235">
          <cell r="C235" t="str">
            <v>Essar Africa Steel Holdings Limited</v>
          </cell>
        </row>
        <row r="236">
          <cell r="C236" t="str">
            <v>Essar Africa Minerals Holdings Limited</v>
          </cell>
        </row>
        <row r="237">
          <cell r="C237" t="str">
            <v>The Mobile Store Services (Mauritius) Limited</v>
          </cell>
        </row>
        <row r="238">
          <cell r="C238" t="str">
            <v>The Mobile Store Services Private Limited, India</v>
          </cell>
        </row>
        <row r="239">
          <cell r="C239" t="str">
            <v>Essar Capital Holdings Limited</v>
          </cell>
        </row>
        <row r="240">
          <cell r="C240" t="str">
            <v>Essar Motorworks Holdings Limited</v>
          </cell>
        </row>
        <row r="241">
          <cell r="C241" t="str">
            <v>Essar Global Services Limited</v>
          </cell>
        </row>
        <row r="242">
          <cell r="C242" t="str">
            <v>Infotech Capital Limited</v>
          </cell>
        </row>
        <row r="243">
          <cell r="C243" t="str">
            <v>Essar Infrastructure Limited</v>
          </cell>
        </row>
        <row r="244">
          <cell r="C244" t="str">
            <v>Essar Ports Holdings Mauritius Limited</v>
          </cell>
        </row>
        <row r="245">
          <cell r="C245" t="str">
            <v>Essar Projects Holdings Mauritius Limited</v>
          </cell>
        </row>
        <row r="246">
          <cell r="C246" t="str">
            <v>Essar Concessions Limited</v>
          </cell>
        </row>
        <row r="247">
          <cell r="C247" t="str">
            <v>Caladium Limited</v>
          </cell>
        </row>
        <row r="248">
          <cell r="C248" t="str">
            <v>Essar Exploration and Production South East Asia Limited</v>
          </cell>
        </row>
        <row r="249">
          <cell r="C249" t="str">
            <v>Essar Tower Holdings Limited</v>
          </cell>
        </row>
        <row r="250">
          <cell r="C250" t="str">
            <v>Essar Infratel Holding Limited</v>
          </cell>
        </row>
        <row r="251">
          <cell r="C251" t="str">
            <v>Essar Infratel Limited</v>
          </cell>
        </row>
        <row r="258">
          <cell r="C258" t="str">
            <v>Other related parties</v>
          </cell>
        </row>
        <row r="260">
          <cell r="C260" t="str">
            <v>Copper canyon holdings limited</v>
          </cell>
        </row>
        <row r="261">
          <cell r="C261" t="str">
            <v>Kettle river holdings limited</v>
          </cell>
        </row>
        <row r="262">
          <cell r="C262" t="str">
            <v>Telecom holdings cayman limited</v>
          </cell>
        </row>
        <row r="263">
          <cell r="C263" t="str">
            <v>Essar communications (mauritius) limited</v>
          </cell>
        </row>
        <row r="264">
          <cell r="C264" t="str">
            <v>Essar communications limited</v>
          </cell>
        </row>
        <row r="265">
          <cell r="C265" t="str">
            <v>Essar com limited</v>
          </cell>
        </row>
        <row r="266">
          <cell r="C266" t="str">
            <v>Essar us mauritius holdings limited</v>
          </cell>
        </row>
        <row r="267">
          <cell r="C267" t="str">
            <v>Essar global services limited, mauritius</v>
          </cell>
        </row>
        <row r="268">
          <cell r="C268" t="str">
            <v>Essar global services fze</v>
          </cell>
        </row>
        <row r="269">
          <cell r="C269" t="str">
            <v>Essar global services limited, mauritius</v>
          </cell>
        </row>
        <row r="270">
          <cell r="C270" t="str">
            <v>Essar lng ltd.</v>
          </cell>
        </row>
        <row r="271">
          <cell r="C271" t="str">
            <v>Essar energy services ltd.</v>
          </cell>
        </row>
        <row r="272">
          <cell r="C272" t="str">
            <v>Essar information technology ltd.</v>
          </cell>
        </row>
        <row r="273">
          <cell r="C273" t="str">
            <v>Aegis bpo services (gurgaon) ltd.</v>
          </cell>
        </row>
        <row r="274">
          <cell r="C274" t="str">
            <v>Essar biofuels ltd.</v>
          </cell>
        </row>
        <row r="275">
          <cell r="C275" t="str">
            <v>Essar capital finance pvt ltd.</v>
          </cell>
        </row>
        <row r="276">
          <cell r="C276" t="str">
            <v>Essar capital holdings (india) ltd.</v>
          </cell>
        </row>
        <row r="277">
          <cell r="C277" t="str">
            <v>Essar capital ltd.</v>
          </cell>
        </row>
        <row r="278">
          <cell r="C278" t="str">
            <v>Essar heavy engineering services ltd.</v>
          </cell>
        </row>
        <row r="279">
          <cell r="C279" t="str">
            <v>Essar investments ltd.</v>
          </cell>
        </row>
        <row r="280">
          <cell r="C280" t="str">
            <v>Essar power jamnagar ltd.</v>
          </cell>
        </row>
        <row r="281">
          <cell r="C281" t="str">
            <v>Essar procurement services ltd.</v>
          </cell>
        </row>
        <row r="282">
          <cell r="C282" t="str">
            <v>Essar retail outlets ltd.</v>
          </cell>
        </row>
        <row r="283">
          <cell r="C283" t="str">
            <v>Essar satvision ltd.</v>
          </cell>
        </row>
        <row r="284">
          <cell r="C284" t="str">
            <v>Essar securities ltd.</v>
          </cell>
        </row>
        <row r="285">
          <cell r="C285" t="str">
            <v>Essar wind farms ltd.</v>
          </cell>
        </row>
        <row r="286">
          <cell r="C286" t="str">
            <v>Frontier leasing and finance ltd.</v>
          </cell>
        </row>
        <row r="287">
          <cell r="C287" t="str">
            <v>Girishan traders pvt ltd.</v>
          </cell>
        </row>
        <row r="288">
          <cell r="C288" t="str">
            <v>Global supplies (india) ltd.</v>
          </cell>
        </row>
        <row r="289">
          <cell r="C289" t="str">
            <v>Highband communications pvt ltd.</v>
          </cell>
        </row>
        <row r="290">
          <cell r="C290" t="str">
            <v>Imperial consultants &amp; sec. Pvt. Ltd. (essar holdings limited)</v>
          </cell>
        </row>
        <row r="291">
          <cell r="C291" t="str">
            <v>India securities ltd.</v>
          </cell>
        </row>
        <row r="292">
          <cell r="C292" t="str">
            <v>Ipsha commercial (india) ltd</v>
          </cell>
        </row>
        <row r="293">
          <cell r="C293" t="str">
            <v>S k commercials india ltd</v>
          </cell>
        </row>
        <row r="294">
          <cell r="C294" t="str">
            <v>Paprika media pvt ltd.</v>
          </cell>
        </row>
        <row r="295">
          <cell r="C295" t="str">
            <v>Essar infrastructure projects ltd.</v>
          </cell>
        </row>
        <row r="296">
          <cell r="C296" t="str">
            <v>Essar utility projects ltd.</v>
          </cell>
        </row>
        <row r="297">
          <cell r="C297" t="str">
            <v>Essar road projects ltd.</v>
          </cell>
        </row>
        <row r="298">
          <cell r="C298" t="str">
            <v>Futura travels ltd.</v>
          </cell>
        </row>
        <row r="299">
          <cell r="C299" t="str">
            <v>Essar education ltd.</v>
          </cell>
        </row>
        <row r="300">
          <cell r="C300" t="str">
            <v>Bansari agro tech pvt ltd.</v>
          </cell>
        </row>
        <row r="301">
          <cell r="C301" t="str">
            <v>Deccan horticulture pvt ltd.</v>
          </cell>
        </row>
        <row r="302">
          <cell r="C302" t="str">
            <v>Essar agrotech ltd.</v>
          </cell>
        </row>
        <row r="303">
          <cell r="C303" t="str">
            <v>Fresh greens pvt ltd.</v>
          </cell>
        </row>
        <row r="304">
          <cell r="C304" t="str">
            <v>Green agri farms pvt ltd.</v>
          </cell>
        </row>
        <row r="305">
          <cell r="C305" t="str">
            <v>Highland horticulture pvt ltd.</v>
          </cell>
        </row>
        <row r="306">
          <cell r="C306" t="str">
            <v>Indrayani flortech pvt ltd.</v>
          </cell>
        </row>
        <row r="307">
          <cell r="C307" t="str">
            <v>Indrayani horticulture pvt ltd.</v>
          </cell>
        </row>
        <row r="308">
          <cell r="C308" t="str">
            <v>Indus greens pvt ltd.</v>
          </cell>
        </row>
        <row r="309">
          <cell r="C309" t="str">
            <v>Indus horticulture pvt ltd.</v>
          </cell>
        </row>
        <row r="310">
          <cell r="C310" t="str">
            <v>Kamshet floritech pvt ltd.</v>
          </cell>
        </row>
        <row r="311">
          <cell r="C311" t="str">
            <v>Karthik agro farms pvt ltd.</v>
          </cell>
        </row>
        <row r="312">
          <cell r="C312" t="str">
            <v>Maval agrotech pvt ltd.</v>
          </cell>
        </row>
        <row r="313">
          <cell r="C313" t="str">
            <v>Nane flortech pvt ltd.</v>
          </cell>
        </row>
        <row r="314">
          <cell r="C314" t="str">
            <v>Nane maval farms pvt ltd.</v>
          </cell>
        </row>
        <row r="315">
          <cell r="C315" t="str">
            <v>Prajkta agro vision pvt ltd.</v>
          </cell>
        </row>
        <row r="316">
          <cell r="C316" t="str">
            <v>Pratik agro herbals pvt ltd.</v>
          </cell>
        </row>
        <row r="317">
          <cell r="C317" t="str">
            <v>Ajitesh estates pvt ltd.</v>
          </cell>
        </row>
        <row r="318">
          <cell r="C318" t="str">
            <v>Arkay holdings ltd</v>
          </cell>
        </row>
        <row r="319">
          <cell r="C319" t="str">
            <v>Bansari investment and finance pvt ltd.</v>
          </cell>
        </row>
        <row r="320">
          <cell r="C320" t="str">
            <v>Bhargava agro foods pvt ltd.</v>
          </cell>
        </row>
        <row r="321">
          <cell r="C321" t="str">
            <v>Bhargava estates pvt ltd.</v>
          </cell>
        </row>
        <row r="322">
          <cell r="C322" t="str">
            <v>Bhargava properties pvt ltd.</v>
          </cell>
        </row>
        <row r="323">
          <cell r="C323" t="str">
            <v>Blue arcade properties pvt ltd.</v>
          </cell>
        </row>
        <row r="324">
          <cell r="C324" t="str">
            <v>Chandrabhal constructions pvt ltd.</v>
          </cell>
        </row>
        <row r="325">
          <cell r="C325" t="str">
            <v>Chandrabhal estate development pvt ltd.</v>
          </cell>
        </row>
        <row r="326">
          <cell r="C326" t="str">
            <v>Chandrabhal properties pvt ltd.</v>
          </cell>
        </row>
        <row r="327">
          <cell r="C327" t="str">
            <v>Chandrabhal realty pvt ltd.</v>
          </cell>
        </row>
        <row r="328">
          <cell r="C328" t="str">
            <v>Downtown securities pvt ltd.</v>
          </cell>
        </row>
        <row r="329">
          <cell r="C329" t="str">
            <v>Dwarka farms pvt ltd.</v>
          </cell>
        </row>
        <row r="330">
          <cell r="C330" t="str">
            <v>Dwarka realties pvt ltd.</v>
          </cell>
        </row>
        <row r="331">
          <cell r="C331" t="str">
            <v>Edwell park properties pvt ltd.</v>
          </cell>
        </row>
        <row r="332">
          <cell r="C332" t="str">
            <v>Equinox realty pvt ltd.</v>
          </cell>
        </row>
        <row r="333">
          <cell r="C333" t="str">
            <v>Essar house ltd.</v>
          </cell>
        </row>
        <row r="334">
          <cell r="C334" t="str">
            <v>Essar infrastructure services ltd</v>
          </cell>
        </row>
        <row r="335">
          <cell r="C335" t="str">
            <v>Essar properties gujarat pvt ltd.</v>
          </cell>
        </row>
        <row r="336">
          <cell r="C336" t="str">
            <v>Essar properties ltd.</v>
          </cell>
        </row>
        <row r="337">
          <cell r="C337" t="str">
            <v>Golden merchandisers pvt ltd.</v>
          </cell>
        </row>
        <row r="338">
          <cell r="C338" t="str">
            <v>Golsil exim pvt ltd.</v>
          </cell>
        </row>
        <row r="339">
          <cell r="C339" t="str">
            <v>Ibrox constructions pvt ltd.</v>
          </cell>
        </row>
        <row r="340">
          <cell r="C340" t="str">
            <v>Ibrox properties pvt ltd.</v>
          </cell>
        </row>
        <row r="341">
          <cell r="C341" t="str">
            <v>Ibrox realty pvt ltd.</v>
          </cell>
        </row>
        <row r="342">
          <cell r="C342" t="str">
            <v>Jindal combines pvt ltd</v>
          </cell>
        </row>
        <row r="343">
          <cell r="C343" t="str">
            <v>Kanak communications pvt ltd.</v>
          </cell>
        </row>
        <row r="344">
          <cell r="C344" t="str">
            <v>Kartik estates pvt ltd</v>
          </cell>
        </row>
        <row r="345">
          <cell r="C345" t="str">
            <v>Kirti mercantile pvt.ltd.</v>
          </cell>
        </row>
        <row r="346">
          <cell r="C346" t="str">
            <v>Kirti properties pvt ltd.</v>
          </cell>
        </row>
        <row r="347">
          <cell r="C347" t="str">
            <v>Kirti realties and farms pvt ltd.</v>
          </cell>
        </row>
        <row r="348">
          <cell r="C348" t="str">
            <v>Marvel mines &amp; minerals pvt ltd</v>
          </cell>
        </row>
        <row r="349">
          <cell r="C349" t="str">
            <v>Nartika farms &amp; estates pvt ltd.</v>
          </cell>
        </row>
        <row r="350">
          <cell r="C350" t="str">
            <v>Neel kamal traders pvt ltd</v>
          </cell>
        </row>
        <row r="351">
          <cell r="C351" t="str">
            <v>New ambi trading and investments pvt ltd.</v>
          </cell>
        </row>
        <row r="352">
          <cell r="C352" t="str">
            <v>Nirmit estate pvt ltd</v>
          </cell>
        </row>
        <row r="353">
          <cell r="C353" t="str">
            <v>Pama properties pvt ltd.</v>
          </cell>
        </row>
        <row r="354">
          <cell r="C354" t="str">
            <v>Paprika properties india pvt ltd.</v>
          </cell>
        </row>
        <row r="355">
          <cell r="C355" t="str">
            <v>Prajesh investments pvt ltd.</v>
          </cell>
        </row>
        <row r="356">
          <cell r="C356" t="str">
            <v>Prajesh marketing ltd</v>
          </cell>
        </row>
        <row r="357">
          <cell r="C357" t="str">
            <v>Prajkta estates pvt ltd.</v>
          </cell>
        </row>
        <row r="358">
          <cell r="C358" t="str">
            <v>Pratik estates pvt ltd.</v>
          </cell>
        </row>
        <row r="359">
          <cell r="C359" t="str">
            <v>Samarjit estates pvt ltd</v>
          </cell>
        </row>
        <row r="360">
          <cell r="C360" t="str">
            <v>Samarjit investments pvt ltd.</v>
          </cell>
        </row>
        <row r="361">
          <cell r="C361" t="str">
            <v>Samarjit land development pvt ltd.</v>
          </cell>
        </row>
        <row r="362">
          <cell r="C362" t="str">
            <v>Samarjit realties &amp; farms pvt ltd.</v>
          </cell>
        </row>
        <row r="363">
          <cell r="C363" t="str">
            <v>Sangam agro acres pvt ltd.</v>
          </cell>
        </row>
        <row r="364">
          <cell r="C364" t="str">
            <v>Sangam agro greens pvt ltd.</v>
          </cell>
        </row>
        <row r="365">
          <cell r="C365" t="str">
            <v>Sangam cultivators pvt ltd.</v>
          </cell>
        </row>
        <row r="366">
          <cell r="C366" t="str">
            <v>Sasmita investments ltd.</v>
          </cell>
        </row>
        <row r="367">
          <cell r="C367" t="str">
            <v>Sg chemicals and dyes trading ltd.</v>
          </cell>
        </row>
        <row r="368">
          <cell r="C368" t="str">
            <v>Shining star traders pvt ltd</v>
          </cell>
        </row>
        <row r="369">
          <cell r="C369" t="str">
            <v>Silicon valley properties pvt ltd.</v>
          </cell>
        </row>
        <row r="370">
          <cell r="C370" t="str">
            <v>Sinter keramos &amp; composites pvt ltd</v>
          </cell>
        </row>
        <row r="371">
          <cell r="C371" t="str">
            <v>Sridhar realty &amp; infrastructures pvt ltd.</v>
          </cell>
        </row>
        <row r="372">
          <cell r="C372" t="str">
            <v>Srijan investments ltd.</v>
          </cell>
        </row>
        <row r="373">
          <cell r="C373" t="str">
            <v>Supreme transport and traders ltd.</v>
          </cell>
        </row>
        <row r="374">
          <cell r="C374" t="str">
            <v>Swarna ganga holdings  &amp; estate. Development. Pvt.ltd.</v>
          </cell>
        </row>
        <row r="375">
          <cell r="C375" t="str">
            <v>Trikaya cultivations pvt ltd.</v>
          </cell>
        </row>
        <row r="376">
          <cell r="C376" t="str">
            <v>Trikaya farms pvt ltd.</v>
          </cell>
        </row>
        <row r="377">
          <cell r="C377" t="str">
            <v>Vadinar properties ltd.</v>
          </cell>
        </row>
        <row r="378">
          <cell r="C378" t="str">
            <v>Yash hotels pvt ltd</v>
          </cell>
        </row>
        <row r="379">
          <cell r="C379" t="str">
            <v>Yojna estates pvt ltd.</v>
          </cell>
        </row>
        <row r="380">
          <cell r="C380" t="str">
            <v>The mobilestore ltd.</v>
          </cell>
        </row>
        <row r="381">
          <cell r="C381" t="str">
            <v>Essar retail holdings ltd.</v>
          </cell>
        </row>
        <row r="382">
          <cell r="C382" t="str">
            <v>Essar steel karnataka ltd.</v>
          </cell>
        </row>
        <row r="383">
          <cell r="C383" t="str">
            <v>Essar steel hypermarts ltd.</v>
          </cell>
        </row>
        <row r="384">
          <cell r="C384" t="str">
            <v>Essar steel chhattisgarh ltd.</v>
          </cell>
        </row>
        <row r="385">
          <cell r="C385" t="str">
            <v>Essar steel jharkhand ltd.</v>
          </cell>
        </row>
        <row r="386">
          <cell r="C386" t="str">
            <v>Essar teleholdings ltd.</v>
          </cell>
        </row>
        <row r="387">
          <cell r="C387" t="str">
            <v>Ringtel communications ltd.</v>
          </cell>
        </row>
        <row r="388">
          <cell r="C388" t="str">
            <v>Essar telecom infrastructure holdings overseas pvt ltd.</v>
          </cell>
        </row>
        <row r="389">
          <cell r="C389" t="str">
            <v>Essar telecom tower holdings ltd.</v>
          </cell>
        </row>
        <row r="390">
          <cell r="C390" t="str">
            <v>Ortus infratel and holdings pvt ltd.</v>
          </cell>
        </row>
        <row r="391">
          <cell r="C391" t="str">
            <v>Ethl communications holdings ltd.</v>
          </cell>
        </row>
        <row r="392">
          <cell r="C392" t="str">
            <v>Essar telecommunications holdings pvt ltd.</v>
          </cell>
        </row>
        <row r="393">
          <cell r="C393" t="str">
            <v>Essar telecom holdings overseas pvt ltd.</v>
          </cell>
        </row>
        <row r="394">
          <cell r="C394" t="str">
            <v>Karthik financial services ltd.</v>
          </cell>
        </row>
        <row r="395">
          <cell r="C395" t="str">
            <v>Kroner investments ltd.</v>
          </cell>
        </row>
        <row r="396">
          <cell r="C396" t="str">
            <v>Girishan investment ltd.</v>
          </cell>
        </row>
        <row r="397">
          <cell r="C397" t="str">
            <v>Global commodities trading ltd.</v>
          </cell>
        </row>
        <row r="398">
          <cell r="C398" t="str">
            <v>Maval farms pvt ltd.</v>
          </cell>
        </row>
        <row r="399">
          <cell r="C399" t="str">
            <v>Sasmita realties pvt ltd.</v>
          </cell>
        </row>
        <row r="400">
          <cell r="C400" t="str">
            <v>Thakkars investment pvt ltd.</v>
          </cell>
        </row>
        <row r="401">
          <cell r="C401" t="str">
            <v>Impact retail pvt ltd.</v>
          </cell>
        </row>
        <row r="402">
          <cell r="C402" t="str">
            <v>Reclamme commercial securities limited (merged with eil)</v>
          </cell>
        </row>
        <row r="403">
          <cell r="C403" t="str">
            <v>Trikaya investments limited (merged with eil)</v>
          </cell>
        </row>
        <row r="404">
          <cell r="C404" t="str">
            <v>Ethl communications (mauritius) limited.</v>
          </cell>
        </row>
        <row r="405">
          <cell r="C405" t="str">
            <v>Prjakta finance and trading limited (merged with eil)</v>
          </cell>
        </row>
        <row r="406">
          <cell r="C406" t="str">
            <v>Essar oil limited employees' provident fund trust</v>
          </cell>
        </row>
        <row r="407">
          <cell r="C407" t="str">
            <v>Essar shipping, ports and logistics limited employees' provident fund trust</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file -LGN Payments"/>
      <sheetName val="Interest NI-balance"/>
      <sheetName val="Invoice Status"/>
      <sheetName val="Cash out overview"/>
      <sheetName val="x-rate"/>
      <sheetName val="LGN Payments per CY"/>
      <sheetName val="LGN Payments 03-03"/>
      <sheetName val="LGN Payments 06-03"/>
      <sheetName val="LGN Payments 09-03"/>
      <sheetName val="LGN Payments 31-12-02"/>
      <sheetName val="LGN Payments 25-08-02"/>
      <sheetName val="LGN Payments 21-04-02"/>
      <sheetName val="Payments 28-02-02"/>
      <sheetName val="Payments 31-12-01"/>
      <sheetName val="Payments 30-10-01"/>
      <sheetName val="Payments 31-03-01"/>
      <sheetName val="Payments 28-02-01"/>
      <sheetName val="Payments 31-12-00"/>
      <sheetName val="Payments per fiscal year"/>
      <sheetName val="Interest 30-11-01 not PA 7%"/>
      <sheetName val="Interest 30-11-01 not PA LIBOR"/>
      <sheetName val="Interest 31-07-01"/>
      <sheetName val="Interest 31-03-01"/>
      <sheetName val=" Interest 31-12-00 7%"/>
      <sheetName val="LGN Payments"/>
      <sheetName val="Payments by ABB LGN"/>
      <sheetName val=" Interest 7%"/>
      <sheetName val="Interest 31-03"/>
      <sheetName val="Interest 31-07"/>
      <sheetName val="Payments 30-10"/>
      <sheetName val="Payments 31-03"/>
      <sheetName val="Payments 28-02"/>
      <sheetName val="Payments 31-12"/>
      <sheetName val=" Interest on Payments LGN"/>
      <sheetName val="Sheet1"/>
      <sheetName val="LGN Payments 12-03"/>
      <sheetName val="LGN Payments 09-03 (2)"/>
      <sheetName val="LGN Payments per CY (2)"/>
      <sheetName val="310480 as on 311207"/>
      <sheetName val="main_file_-LGN_Payments"/>
      <sheetName val="Interest_NI-balance"/>
      <sheetName val="Invoice_Status"/>
      <sheetName val="Cash_out_overview"/>
      <sheetName val="LGN_Payments_per_CY"/>
      <sheetName val="LGN_Payments_03-03"/>
      <sheetName val="LGN_Payments_06-03"/>
      <sheetName val="LGN_Payments_09-03"/>
      <sheetName val="LGN_Payments_31-12-02"/>
      <sheetName val="LGN_Payments_25-08-02"/>
      <sheetName val="LGN_Payments_21-04-02"/>
      <sheetName val="Payments_28-02-02"/>
      <sheetName val="Payments_31-12-01"/>
      <sheetName val="Payments_30-10-01"/>
      <sheetName val="Payments_31-03-01"/>
      <sheetName val="Payments_28-02-01"/>
      <sheetName val="Payments_31-12-00"/>
      <sheetName val="Payments_per_fiscal_year"/>
      <sheetName val="Interest_30-11-01_not_PA_7%"/>
      <sheetName val="Interest_30-11-01_not_PA_LIBOR"/>
      <sheetName val="Interest_31-07-01"/>
      <sheetName val="Interest_31-03-01"/>
      <sheetName val="_Interest_31-12-00_7%"/>
      <sheetName val="LGN_Payments"/>
      <sheetName val="Payments_by_ABB_LGN"/>
      <sheetName val="_Interest_7%"/>
      <sheetName val="Interest_31-03"/>
      <sheetName val="Interest_31-07"/>
      <sheetName val="Payments_30-10"/>
      <sheetName val="Payments_31-03"/>
      <sheetName val="Payments_28-02"/>
      <sheetName val="Payments_31-12"/>
      <sheetName val="_Interest_on_Payments_LGN"/>
      <sheetName val="LGN_Payments_12-03"/>
      <sheetName val="LGN_Payments_09-03_(2)"/>
      <sheetName val="LGN_Payments_per_CY_(2)"/>
      <sheetName val="main_file_-LGN_Payments1"/>
      <sheetName val="Interest_NI-balance1"/>
      <sheetName val="Invoice_Status1"/>
      <sheetName val="Cash_out_overview1"/>
      <sheetName val="LGN_Payments_per_CY1"/>
      <sheetName val="LGN_Payments_03-031"/>
      <sheetName val="LGN_Payments_06-031"/>
      <sheetName val="LGN_Payments_09-031"/>
      <sheetName val="LGN_Payments_31-12-021"/>
      <sheetName val="LGN_Payments_25-08-021"/>
      <sheetName val="LGN_Payments_21-04-021"/>
      <sheetName val="Payments_28-02-021"/>
      <sheetName val="Payments_31-12-011"/>
      <sheetName val="Payments_30-10-011"/>
      <sheetName val="Payments_31-03-011"/>
      <sheetName val="Payments_28-02-011"/>
      <sheetName val="Payments_31-12-001"/>
      <sheetName val="Payments_per_fiscal_year1"/>
      <sheetName val="Interest_30-11-01_not_PA_7%1"/>
      <sheetName val="Interest_30-11-01_not_PA_LIBOR1"/>
      <sheetName val="Interest_31-07-011"/>
      <sheetName val="Interest_31-03-011"/>
      <sheetName val="_Interest_31-12-00_7%1"/>
      <sheetName val="LGN_Payments1"/>
      <sheetName val="Payments_by_ABB_LGN1"/>
      <sheetName val="_Interest_7%1"/>
      <sheetName val="Interest_31-031"/>
      <sheetName val="Interest_31-071"/>
      <sheetName val="Payments_30-101"/>
      <sheetName val="Payments_31-031"/>
      <sheetName val="Payments_28-021"/>
      <sheetName val="Payments_31-121"/>
      <sheetName val="_Interest_on_Payments_LGN1"/>
      <sheetName val="LGN_Payments_12-031"/>
      <sheetName val="LGN_Payments_09-03_(2)1"/>
      <sheetName val="LGN_Payments_per_CY_(2)1"/>
      <sheetName val="main_file_-LGN_Payments2"/>
      <sheetName val="Interest_NI-balance2"/>
      <sheetName val="Invoice_Status2"/>
      <sheetName val="Cash_out_overview2"/>
      <sheetName val="LGN_Payments_per_CY2"/>
      <sheetName val="LGN_Payments_03-032"/>
      <sheetName val="LGN_Payments_06-032"/>
      <sheetName val="LGN_Payments_09-032"/>
      <sheetName val="LGN_Payments_31-12-022"/>
      <sheetName val="LGN_Payments_25-08-022"/>
      <sheetName val="LGN_Payments_21-04-022"/>
      <sheetName val="Payments_28-02-022"/>
      <sheetName val="Payments_31-12-012"/>
      <sheetName val="Payments_30-10-012"/>
      <sheetName val="Payments_31-03-012"/>
      <sheetName val="Payments_28-02-012"/>
      <sheetName val="Payments_31-12-002"/>
      <sheetName val="Payments_per_fiscal_year2"/>
      <sheetName val="Interest_30-11-01_not_PA_7%2"/>
      <sheetName val="Interest_30-11-01_not_PA_LIBOR2"/>
      <sheetName val="Interest_31-07-012"/>
      <sheetName val="Interest_31-03-012"/>
      <sheetName val="_Interest_31-12-00_7%2"/>
      <sheetName val="LGN_Payments2"/>
      <sheetName val="Payments_by_ABB_LGN2"/>
      <sheetName val="_Interest_7%2"/>
      <sheetName val="Interest_31-032"/>
      <sheetName val="Interest_31-072"/>
      <sheetName val="Payments_30-102"/>
      <sheetName val="Payments_31-032"/>
      <sheetName val="Payments_28-022"/>
      <sheetName val="Payments_31-122"/>
      <sheetName val="_Interest_on_Payments_LGN2"/>
      <sheetName val="LGN_Payments_12-032"/>
      <sheetName val="LGN_Payments_09-03_(2)2"/>
      <sheetName val="LGN_Payments_per_CY_(2)2"/>
      <sheetName val="main_file_-LGN_Payments3"/>
      <sheetName val="Interest_NI-balance3"/>
      <sheetName val="Invoice_Status3"/>
      <sheetName val="Cash_out_overview3"/>
      <sheetName val="LGN_Payments_per_CY3"/>
      <sheetName val="LGN_Payments_03-033"/>
      <sheetName val="LGN_Payments_06-033"/>
      <sheetName val="LGN_Payments_09-033"/>
      <sheetName val="LGN_Payments_31-12-023"/>
      <sheetName val="LGN_Payments_25-08-023"/>
      <sheetName val="LGN_Payments_21-04-023"/>
      <sheetName val="Payments_28-02-023"/>
      <sheetName val="Payments_31-12-013"/>
      <sheetName val="Payments_30-10-013"/>
      <sheetName val="Payments_31-03-013"/>
      <sheetName val="Payments_28-02-013"/>
      <sheetName val="Payments_31-12-003"/>
      <sheetName val="Payments_per_fiscal_year3"/>
      <sheetName val="Interest_30-11-01_not_PA_7%3"/>
      <sheetName val="Interest_30-11-01_not_PA_LIBOR3"/>
      <sheetName val="Interest_31-07-013"/>
      <sheetName val="Interest_31-03-013"/>
      <sheetName val="_Interest_31-12-00_7%3"/>
      <sheetName val="LGN_Payments3"/>
      <sheetName val="Payments_by_ABB_LGN3"/>
      <sheetName val="_Interest_7%3"/>
      <sheetName val="Interest_31-033"/>
      <sheetName val="Interest_31-073"/>
      <sheetName val="Payments_30-103"/>
      <sheetName val="Payments_31-033"/>
      <sheetName val="Payments_28-023"/>
      <sheetName val="Payments_31-123"/>
      <sheetName val="_Interest_on_Payments_LGN3"/>
      <sheetName val="LGN_Payments_12-033"/>
      <sheetName val="LGN_Payments_09-03_(2)3"/>
      <sheetName val="LGN_Payments_per_CY_(2)3"/>
      <sheetName val="310480_as_on_311207"/>
      <sheetName val="eol updtd ledger 1002"/>
      <sheetName val="BS"/>
      <sheetName val="x_rate"/>
      <sheetName val="Interest 30_11_01 not PA 7_"/>
      <sheetName val="Amortization Table"/>
      <sheetName val="UGPIPING"/>
      <sheetName val="Scenarios"/>
      <sheetName val="Ass"/>
      <sheetName val="Fin Statements"/>
      <sheetName val="Operational"/>
      <sheetName val="Esc"/>
      <sheetName val="Construction"/>
      <sheetName val="Term Loans"/>
      <sheetName val="Depn"/>
      <sheetName val="Financing"/>
      <sheetName val="Summary"/>
      <sheetName val="合成単価作成・-BLDG"/>
      <sheetName val="main_file_-LGN_Payments4"/>
      <sheetName val="Interest_NI-balance4"/>
      <sheetName val="Invoice_Status4"/>
      <sheetName val="Cash_out_overview4"/>
      <sheetName val="LGN_Payments_per_CY4"/>
      <sheetName val="LGN_Payments_03-034"/>
      <sheetName val="LGN_Payments_06-034"/>
      <sheetName val="LGN_Payments_09-034"/>
      <sheetName val="LGN_Payments_31-12-024"/>
      <sheetName val="LGN_Payments_25-08-024"/>
      <sheetName val="LGN_Payments_21-04-024"/>
      <sheetName val="Payments_28-02-024"/>
      <sheetName val="Payments_31-12-014"/>
      <sheetName val="Payments_30-10-014"/>
      <sheetName val="Payments_31-03-014"/>
      <sheetName val="Payments_28-02-014"/>
      <sheetName val="Payments_31-12-004"/>
      <sheetName val="Payments_per_fiscal_year4"/>
      <sheetName val="Interest_30-11-01_not_PA_7%4"/>
      <sheetName val="Interest_30-11-01_not_PA_LIBOR4"/>
      <sheetName val="Interest_31-07-014"/>
      <sheetName val="Interest_31-03-014"/>
      <sheetName val="_Interest_31-12-00_7%4"/>
      <sheetName val="LGN_Payments4"/>
      <sheetName val="Payments_by_ABB_LGN4"/>
      <sheetName val="_Interest_7%4"/>
      <sheetName val="Interest_31-034"/>
      <sheetName val="Interest_31-074"/>
      <sheetName val="Payments_30-104"/>
      <sheetName val="Payments_31-034"/>
      <sheetName val="Payments_28-024"/>
      <sheetName val="Payments_31-124"/>
      <sheetName val="_Interest_on_Payments_LGN4"/>
      <sheetName val="LGN_Payments_12-034"/>
      <sheetName val="LGN_Payments_09-03_(2)4"/>
      <sheetName val="LGN_Payments_per_CY_(2)4"/>
      <sheetName val="310480_as_on_3112071"/>
      <sheetName val="eol_updtd_ledger_1002"/>
      <sheetName val="Interest_30_11_01_not_PA_7_"/>
      <sheetName val="Amortization_Table"/>
      <sheetName val="Fin_Statements"/>
      <sheetName val="Term_Loans"/>
      <sheetName val="16.IC-RP list"/>
      <sheetName val="dpc cost"/>
      <sheetName val="SUMMERY"/>
      <sheetName val=""/>
    </sheetNames>
    <sheetDataSet>
      <sheetData sheetId="0" refreshError="1"/>
      <sheetData sheetId="1" refreshError="1"/>
      <sheetData sheetId="2">
        <row r="2">
          <cell r="A2" t="str">
            <v>AUD</v>
          </cell>
        </row>
      </sheetData>
      <sheetData sheetId="3">
        <row r="151">
          <cell r="E151">
            <v>-30000</v>
          </cell>
        </row>
      </sheetData>
      <sheetData sheetId="4"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row r="11">
          <cell r="A11" t="str">
            <v>EURO</v>
          </cell>
          <cell r="B11">
            <v>0.90756040000000004</v>
          </cell>
        </row>
      </sheetData>
      <sheetData sheetId="5">
        <row r="151">
          <cell r="E151">
            <v>-30000</v>
          </cell>
        </row>
      </sheetData>
      <sheetData sheetId="6">
        <row r="151">
          <cell r="E151">
            <v>-30000</v>
          </cell>
        </row>
      </sheetData>
      <sheetData sheetId="7">
        <row r="151">
          <cell r="E151">
            <v>-30000</v>
          </cell>
        </row>
      </sheetData>
      <sheetData sheetId="8">
        <row r="151">
          <cell r="E151">
            <v>-30000</v>
          </cell>
        </row>
      </sheetData>
      <sheetData sheetId="9">
        <row r="151">
          <cell r="E151">
            <v>-30000</v>
          </cell>
        </row>
      </sheetData>
      <sheetData sheetId="10">
        <row r="151">
          <cell r="E151">
            <v>-30000</v>
          </cell>
        </row>
      </sheetData>
      <sheetData sheetId="11">
        <row r="151">
          <cell r="E151">
            <v>-30000</v>
          </cell>
        </row>
      </sheetData>
      <sheetData sheetId="12">
        <row r="151">
          <cell r="E151">
            <v>-30000</v>
          </cell>
        </row>
      </sheetData>
      <sheetData sheetId="13">
        <row r="151">
          <cell r="E151">
            <v>-30000</v>
          </cell>
        </row>
      </sheetData>
      <sheetData sheetId="14">
        <row r="151">
          <cell r="E151">
            <v>-30000</v>
          </cell>
        </row>
      </sheetData>
      <sheetData sheetId="15">
        <row r="151">
          <cell r="E151">
            <v>-30000</v>
          </cell>
        </row>
      </sheetData>
      <sheetData sheetId="16">
        <row r="151">
          <cell r="E151">
            <v>-30000</v>
          </cell>
        </row>
      </sheetData>
      <sheetData sheetId="17">
        <row r="151">
          <cell r="E151">
            <v>-30000</v>
          </cell>
        </row>
      </sheetData>
      <sheetData sheetId="18">
        <row r="151">
          <cell r="E151">
            <v>-30000</v>
          </cell>
        </row>
      </sheetData>
      <sheetData sheetId="19" refreshError="1">
        <row r="151">
          <cell r="E151">
            <v>-30000</v>
          </cell>
        </row>
        <row r="152">
          <cell r="E152">
            <v>-140171.78</v>
          </cell>
        </row>
      </sheetData>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ow r="2">
          <cell r="A2" t="str">
            <v>AUD</v>
          </cell>
        </row>
      </sheetData>
      <sheetData sheetId="146">
        <row r="2">
          <cell r="A2" t="str">
            <v>AUD</v>
          </cell>
        </row>
      </sheetData>
      <sheetData sheetId="147">
        <row r="2">
          <cell r="A2" t="str">
            <v>AUD</v>
          </cell>
        </row>
      </sheetData>
      <sheetData sheetId="148">
        <row r="2">
          <cell r="A2" t="str">
            <v>AUD</v>
          </cell>
        </row>
      </sheetData>
      <sheetData sheetId="149">
        <row r="2">
          <cell r="A2" t="str">
            <v>AUD</v>
          </cell>
        </row>
      </sheetData>
      <sheetData sheetId="150">
        <row r="2">
          <cell r="A2" t="str">
            <v>AUD</v>
          </cell>
        </row>
      </sheetData>
      <sheetData sheetId="151">
        <row r="2">
          <cell r="A2" t="str">
            <v>AUD</v>
          </cell>
        </row>
      </sheetData>
      <sheetData sheetId="152">
        <row r="2">
          <cell r="A2" t="str">
            <v>AUD</v>
          </cell>
        </row>
      </sheetData>
      <sheetData sheetId="153">
        <row r="2">
          <cell r="A2" t="str">
            <v>AUD</v>
          </cell>
        </row>
      </sheetData>
      <sheetData sheetId="154">
        <row r="2">
          <cell r="A2" t="str">
            <v>AUD</v>
          </cell>
        </row>
      </sheetData>
      <sheetData sheetId="155">
        <row r="2">
          <cell r="A2" t="str">
            <v>AUD</v>
          </cell>
        </row>
      </sheetData>
      <sheetData sheetId="156">
        <row r="2">
          <cell r="A2" t="str">
            <v>AUD</v>
          </cell>
        </row>
      </sheetData>
      <sheetData sheetId="157">
        <row r="2">
          <cell r="A2" t="str">
            <v>AUD</v>
          </cell>
        </row>
      </sheetData>
      <sheetData sheetId="158">
        <row r="151">
          <cell r="E151">
            <v>-30000</v>
          </cell>
        </row>
      </sheetData>
      <sheetData sheetId="159">
        <row r="151">
          <cell r="E151">
            <v>-30000</v>
          </cell>
        </row>
      </sheetData>
      <sheetData sheetId="160">
        <row r="151">
          <cell r="E151">
            <v>-30000</v>
          </cell>
        </row>
      </sheetData>
      <sheetData sheetId="161">
        <row r="151">
          <cell r="E151">
            <v>-30000</v>
          </cell>
        </row>
      </sheetData>
      <sheetData sheetId="162">
        <row r="151">
          <cell r="E151">
            <v>-30000</v>
          </cell>
        </row>
      </sheetData>
      <sheetData sheetId="163">
        <row r="151">
          <cell r="E151">
            <v>-30000</v>
          </cell>
        </row>
      </sheetData>
      <sheetData sheetId="164">
        <row r="151">
          <cell r="E151">
            <v>-30000</v>
          </cell>
        </row>
      </sheetData>
      <sheetData sheetId="165">
        <row r="151">
          <cell r="E151">
            <v>-30000</v>
          </cell>
        </row>
      </sheetData>
      <sheetData sheetId="166">
        <row r="151">
          <cell r="E151">
            <v>-30000</v>
          </cell>
        </row>
      </sheetData>
      <sheetData sheetId="167">
        <row r="151">
          <cell r="E151">
            <v>-30000</v>
          </cell>
        </row>
      </sheetData>
      <sheetData sheetId="168">
        <row r="151">
          <cell r="E151">
            <v>-30000</v>
          </cell>
        </row>
      </sheetData>
      <sheetData sheetId="169">
        <row r="151">
          <cell r="E151">
            <v>-30000</v>
          </cell>
        </row>
      </sheetData>
      <sheetData sheetId="170">
        <row r="151">
          <cell r="E151">
            <v>-30000</v>
          </cell>
        </row>
      </sheetData>
      <sheetData sheetId="171">
        <row r="151">
          <cell r="E151">
            <v>-30000</v>
          </cell>
        </row>
      </sheetData>
      <sheetData sheetId="172">
        <row r="151">
          <cell r="E151">
            <v>-30000</v>
          </cell>
        </row>
      </sheetData>
      <sheetData sheetId="173">
        <row r="151">
          <cell r="E151">
            <v>-30000</v>
          </cell>
        </row>
      </sheetData>
      <sheetData sheetId="174">
        <row r="151">
          <cell r="E151">
            <v>-30000</v>
          </cell>
        </row>
      </sheetData>
      <sheetData sheetId="175">
        <row r="151">
          <cell r="E151">
            <v>-30000</v>
          </cell>
        </row>
      </sheetData>
      <sheetData sheetId="176">
        <row r="151">
          <cell r="E151">
            <v>-30000</v>
          </cell>
        </row>
      </sheetData>
      <sheetData sheetId="177">
        <row r="151">
          <cell r="E151">
            <v>-30000</v>
          </cell>
        </row>
      </sheetData>
      <sheetData sheetId="178">
        <row r="151">
          <cell r="E151">
            <v>-30000</v>
          </cell>
        </row>
      </sheetData>
      <sheetData sheetId="179">
        <row r="151">
          <cell r="E151">
            <v>-30000</v>
          </cell>
        </row>
      </sheetData>
      <sheetData sheetId="180">
        <row r="151">
          <cell r="E151">
            <v>-30000</v>
          </cell>
        </row>
      </sheetData>
      <sheetData sheetId="181">
        <row r="151">
          <cell r="E151">
            <v>-30000</v>
          </cell>
        </row>
      </sheetData>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ow r="151">
          <cell r="E151">
            <v>-30000</v>
          </cell>
        </row>
      </sheetData>
      <sheetData sheetId="202">
        <row r="2">
          <cell r="A2" t="str">
            <v>AUD</v>
          </cell>
        </row>
      </sheetData>
      <sheetData sheetId="203">
        <row r="2">
          <cell r="A2" t="str">
            <v>AUD</v>
          </cell>
        </row>
      </sheetData>
      <sheetData sheetId="204">
        <row r="2">
          <cell r="A2" t="str">
            <v>AUD</v>
          </cell>
        </row>
      </sheetData>
      <sheetData sheetId="205">
        <row r="151">
          <cell r="E151">
            <v>-30000</v>
          </cell>
        </row>
      </sheetData>
      <sheetData sheetId="206">
        <row r="2">
          <cell r="A2" t="str">
            <v>AUD</v>
          </cell>
        </row>
      </sheetData>
      <sheetData sheetId="207">
        <row r="151">
          <cell r="E151">
            <v>-30000</v>
          </cell>
        </row>
      </sheetData>
      <sheetData sheetId="208">
        <row r="151">
          <cell r="E151">
            <v>-30000</v>
          </cell>
        </row>
      </sheetData>
      <sheetData sheetId="209">
        <row r="2">
          <cell r="A2" t="str">
            <v>AUD</v>
          </cell>
        </row>
      </sheetData>
      <sheetData sheetId="210">
        <row r="151">
          <cell r="E151">
            <v>-30000</v>
          </cell>
        </row>
      </sheetData>
      <sheetData sheetId="211">
        <row r="151">
          <cell r="E151">
            <v>-30000</v>
          </cell>
        </row>
      </sheetData>
      <sheetData sheetId="212">
        <row r="2">
          <cell r="A2" t="str">
            <v>AUD</v>
          </cell>
        </row>
      </sheetData>
      <sheetData sheetId="213">
        <row r="151">
          <cell r="E151">
            <v>-30000</v>
          </cell>
        </row>
      </sheetData>
      <sheetData sheetId="214">
        <row r="151">
          <cell r="E151">
            <v>-30000</v>
          </cell>
        </row>
      </sheetData>
      <sheetData sheetId="215">
        <row r="2">
          <cell r="A2" t="str">
            <v>AUD</v>
          </cell>
        </row>
      </sheetData>
      <sheetData sheetId="216">
        <row r="151">
          <cell r="E151">
            <v>-30000</v>
          </cell>
        </row>
      </sheetData>
      <sheetData sheetId="217">
        <row r="151">
          <cell r="E151">
            <v>-30000</v>
          </cell>
        </row>
      </sheetData>
      <sheetData sheetId="218">
        <row r="151">
          <cell r="E151">
            <v>-30000</v>
          </cell>
        </row>
      </sheetData>
      <sheetData sheetId="219">
        <row r="151">
          <cell r="E151">
            <v>-30000</v>
          </cell>
        </row>
      </sheetData>
      <sheetData sheetId="220">
        <row r="151">
          <cell r="E151">
            <v>-30000</v>
          </cell>
        </row>
      </sheetData>
      <sheetData sheetId="221">
        <row r="151">
          <cell r="E151">
            <v>-30000</v>
          </cell>
        </row>
      </sheetData>
      <sheetData sheetId="222">
        <row r="151">
          <cell r="E151">
            <v>-30000</v>
          </cell>
        </row>
      </sheetData>
      <sheetData sheetId="223">
        <row r="151">
          <cell r="E151">
            <v>-30000</v>
          </cell>
        </row>
      </sheetData>
      <sheetData sheetId="224">
        <row r="151">
          <cell r="E151">
            <v>-30000</v>
          </cell>
        </row>
      </sheetData>
      <sheetData sheetId="225">
        <row r="151">
          <cell r="E151">
            <v>-30000</v>
          </cell>
        </row>
      </sheetData>
      <sheetData sheetId="226">
        <row r="151">
          <cell r="E151">
            <v>-30000</v>
          </cell>
        </row>
      </sheetData>
      <sheetData sheetId="227">
        <row r="151">
          <cell r="E151">
            <v>-30000</v>
          </cell>
        </row>
      </sheetData>
      <sheetData sheetId="228">
        <row r="151">
          <cell r="E151">
            <v>-30000</v>
          </cell>
        </row>
      </sheetData>
      <sheetData sheetId="229">
        <row r="151">
          <cell r="E151">
            <v>-30000</v>
          </cell>
        </row>
      </sheetData>
      <sheetData sheetId="230">
        <row r="151">
          <cell r="E151">
            <v>-30000</v>
          </cell>
        </row>
      </sheetData>
      <sheetData sheetId="231">
        <row r="151">
          <cell r="E151">
            <v>-30000</v>
          </cell>
        </row>
      </sheetData>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Koradi"/>
      <sheetName val="F1(Kor) "/>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Koyna)"/>
      <sheetName val="F5.4(Koyna)"/>
      <sheetName val="F5.3(PuneHydro)"/>
      <sheetName val="F5.4(PuneHydro)"/>
      <sheetName val="F5.3(NasikHydro)"/>
      <sheetName val="F5.4(NasikHydro)"/>
      <sheetName val="F6(Hydro)"/>
      <sheetName val="F11(Hydro)"/>
      <sheetName val="F12(Hydro)"/>
      <sheetName val="ARR"/>
      <sheetName val="Interest &amp; RoE"/>
      <sheetName val="Dep."/>
      <sheetName val="O&amp;M"/>
      <sheetName val="Int. on WC"/>
      <sheetName val="Fuel Cost"/>
      <sheetName val="Generation"/>
      <sheetName val="Fuel Cost for Upcoming Units"/>
      <sheetName val="Actual Tariff"/>
      <sheetName val="Working Sheet"/>
      <sheetName val="Summary_ARR"/>
      <sheetName val="Summary_tariff"/>
      <sheetName val="Fuel Cost existing"/>
      <sheetName val="Fuel Cost upcoming"/>
      <sheetName val="O&amp;M Proj"/>
      <sheetName val="Fixed Charges"/>
      <sheetName val="Sheet4"/>
      <sheetName val="IOWC"/>
      <sheetName val="NTI"/>
      <sheetName val="Normative Repayment"/>
      <sheetName val="Fixed Charge_Paras 3"/>
      <sheetName val="Fixed Charge_Parli 6"/>
      <sheetName val="Fixed Charge_Paras 4"/>
      <sheetName val="Fixed Charge_Parli 7"/>
      <sheetName val="kpkd - 5"/>
      <sheetName val="Upcoming Units_ARR"/>
      <sheetName val="Sheet8"/>
      <sheetName val="IC-RP list"/>
      <sheetName val="Level_qty"/>
    </sheetNames>
    <sheetDataSet>
      <sheetData sheetId="0">
        <row r="3">
          <cell r="B3">
            <v>0.13</v>
          </cell>
        </row>
      </sheetData>
      <sheetData sheetId="1"/>
      <sheetData sheetId="2"/>
      <sheetData sheetId="3"/>
      <sheetData sheetId="4"/>
      <sheetData sheetId="5">
        <row r="23">
          <cell r="M23">
            <v>2186.5833447348468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K23">
            <v>1753.0960911071761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
      <sheetName val="form_x0000_"/>
      <sheetName val="04REL"/>
      <sheetName val="Sept "/>
      <sheetName val="7"/>
      <sheetName val="Salient1"/>
      <sheetName val="Labour charges"/>
      <sheetName val="RAJ"/>
      <sheetName val="Feb-06"/>
      <sheetName val="Inputs"/>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____________"/>
      <sheetName val="form_x0000__x0000__x0000__x0000"/>
      <sheetName val="Assumptions"/>
      <sheetName val="Interest 30-11-01 not PA 7%"/>
      <sheetName val="x-rate"/>
      <sheetName val="form???_x0000"/>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_x0000__x0000__x0000"/>
      <sheetName val="Assumptions"/>
      <sheetName val="form?????????????"/>
      <sheetName val="form_x0000_"/>
      <sheetName val="04REL"/>
      <sheetName val="Sept "/>
      <sheetName val="7"/>
      <sheetName val="Salient1"/>
      <sheetName val="Labour charges"/>
      <sheetName val="RAJ"/>
      <sheetName val="Feb-06"/>
      <sheetName val="Inputs"/>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Interest 30-11-01 not PA 7%"/>
      <sheetName val="x-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1.2004"/>
      <sheetName val="RIM  list as on 01.11.04"/>
      <sheetName val="Key"/>
      <sheetName val="2-Part"/>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
      <sheetName val="form_x0000_"/>
      <sheetName val="04REL"/>
      <sheetName val="Sept "/>
      <sheetName val="7"/>
      <sheetName val="Salient1"/>
      <sheetName val="Labour charges"/>
      <sheetName val="RAJ"/>
      <sheetName val="Feb-06"/>
      <sheetName val="Inputs"/>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____________"/>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deduction"/>
      <sheetName val="addition"/>
      <sheetName val="fcl"/>
      <sheetName val="Opinion"/>
      <sheetName val="List of Vendors"/>
      <sheetName val="Assumptions"/>
      <sheetName val="16.IC-RP list"/>
    </sheetNames>
    <sheetDataSet>
      <sheetData sheetId="0"/>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-83934350</v>
          </cell>
          <cell r="G4">
            <v>0</v>
          </cell>
          <cell r="H4">
            <v>-83934350</v>
          </cell>
          <cell r="I4">
            <v>0</v>
          </cell>
          <cell r="J4">
            <v>-83934350</v>
          </cell>
          <cell r="K4">
            <v>0</v>
          </cell>
        </row>
        <row r="5">
          <cell r="F5">
            <v>0</v>
          </cell>
          <cell r="G5">
            <v>0</v>
          </cell>
          <cell r="H5">
            <v>0</v>
          </cell>
          <cell r="I5">
            <v>0</v>
          </cell>
          <cell r="J5">
            <v>0</v>
          </cell>
          <cell r="K5">
            <v>0</v>
          </cell>
        </row>
        <row r="7">
          <cell r="F7">
            <v>2043291910.6700001</v>
          </cell>
          <cell r="G7">
            <v>0</v>
          </cell>
          <cell r="H7">
            <v>2043291910.6700001</v>
          </cell>
          <cell r="I7">
            <v>0</v>
          </cell>
          <cell r="J7">
            <v>2043291910.6700001</v>
          </cell>
          <cell r="K7">
            <v>0</v>
          </cell>
        </row>
        <row r="8">
          <cell r="F8">
            <v>2043291910.6700001</v>
          </cell>
          <cell r="G8">
            <v>0</v>
          </cell>
          <cell r="H8">
            <v>2043291910.6700001</v>
          </cell>
          <cell r="I8">
            <v>0</v>
          </cell>
          <cell r="J8">
            <v>2043291910.6700001</v>
          </cell>
          <cell r="K8">
            <v>0</v>
          </cell>
        </row>
        <row r="9">
          <cell r="F9">
            <v>2043334473</v>
          </cell>
          <cell r="G9">
            <v>0</v>
          </cell>
          <cell r="H9">
            <v>2043334473</v>
          </cell>
          <cell r="I9">
            <v>0</v>
          </cell>
          <cell r="J9">
            <v>2043334473</v>
          </cell>
          <cell r="K9">
            <v>0</v>
          </cell>
        </row>
        <row r="10">
          <cell r="F10">
            <v>0</v>
          </cell>
          <cell r="G10">
            <v>0</v>
          </cell>
          <cell r="H10">
            <v>0</v>
          </cell>
          <cell r="I10">
            <v>0</v>
          </cell>
          <cell r="J10">
            <v>0</v>
          </cell>
          <cell r="K10">
            <v>0</v>
          </cell>
        </row>
        <row r="12">
          <cell r="F12">
            <v>5039253116.7700005</v>
          </cell>
          <cell r="G12">
            <v>0</v>
          </cell>
          <cell r="H12">
            <v>5039253116.7700005</v>
          </cell>
          <cell r="I12">
            <v>0</v>
          </cell>
          <cell r="J12">
            <v>5039253116.7700005</v>
          </cell>
          <cell r="K12">
            <v>0</v>
          </cell>
        </row>
        <row r="13">
          <cell r="F13">
            <v>121840505</v>
          </cell>
          <cell r="G13">
            <v>0</v>
          </cell>
          <cell r="H13">
            <v>121840505</v>
          </cell>
          <cell r="I13">
            <v>0</v>
          </cell>
          <cell r="J13">
            <v>121840505</v>
          </cell>
          <cell r="K13">
            <v>0</v>
          </cell>
        </row>
        <row r="14">
          <cell r="F14">
            <v>310777863.79000002</v>
          </cell>
          <cell r="G14">
            <v>0</v>
          </cell>
          <cell r="H14">
            <v>310777863.79000002</v>
          </cell>
          <cell r="I14">
            <v>0</v>
          </cell>
          <cell r="J14">
            <v>310777863.79000002</v>
          </cell>
          <cell r="K14">
            <v>0</v>
          </cell>
        </row>
        <row r="15">
          <cell r="F15">
            <v>15569965</v>
          </cell>
          <cell r="G15">
            <v>0</v>
          </cell>
          <cell r="H15">
            <v>15569965</v>
          </cell>
          <cell r="I15">
            <v>0</v>
          </cell>
          <cell r="J15">
            <v>15569965</v>
          </cell>
          <cell r="K15">
            <v>0</v>
          </cell>
        </row>
        <row r="16">
          <cell r="F16">
            <v>5487441450.5600004</v>
          </cell>
          <cell r="G16">
            <v>0</v>
          </cell>
          <cell r="H16">
            <v>5487441450.5600004</v>
          </cell>
          <cell r="I16">
            <v>0</v>
          </cell>
          <cell r="J16">
            <v>5487441450.5600004</v>
          </cell>
          <cell r="K16">
            <v>0</v>
          </cell>
        </row>
        <row r="17">
          <cell r="F17">
            <v>7530733361.2300005</v>
          </cell>
          <cell r="G17">
            <v>0</v>
          </cell>
          <cell r="H17">
            <v>7530733361.2300005</v>
          </cell>
          <cell r="I17">
            <v>0</v>
          </cell>
          <cell r="J17">
            <v>7530733361.2300005</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3150</v>
          </cell>
          <cell r="G21">
            <v>0</v>
          </cell>
          <cell r="H21">
            <v>3150</v>
          </cell>
          <cell r="I21">
            <v>0</v>
          </cell>
          <cell r="J21">
            <v>3150</v>
          </cell>
          <cell r="K21">
            <v>0</v>
          </cell>
        </row>
        <row r="22">
          <cell r="F22">
            <v>7875</v>
          </cell>
          <cell r="G22">
            <v>0</v>
          </cell>
          <cell r="H22">
            <v>7875</v>
          </cell>
          <cell r="I22">
            <v>0</v>
          </cell>
          <cell r="J22">
            <v>7875</v>
          </cell>
          <cell r="K22">
            <v>0</v>
          </cell>
        </row>
        <row r="23">
          <cell r="F23">
            <v>9333</v>
          </cell>
          <cell r="G23">
            <v>0</v>
          </cell>
          <cell r="H23">
            <v>9333</v>
          </cell>
          <cell r="I23">
            <v>0</v>
          </cell>
          <cell r="J23">
            <v>9333</v>
          </cell>
          <cell r="K23">
            <v>0</v>
          </cell>
        </row>
        <row r="24">
          <cell r="F24">
            <v>0</v>
          </cell>
          <cell r="G24">
            <v>0</v>
          </cell>
          <cell r="H24">
            <v>0</v>
          </cell>
          <cell r="I24">
            <v>0</v>
          </cell>
          <cell r="J24">
            <v>0</v>
          </cell>
          <cell r="K24">
            <v>0</v>
          </cell>
        </row>
        <row r="25">
          <cell r="F25">
            <v>30400</v>
          </cell>
          <cell r="G25">
            <v>0</v>
          </cell>
          <cell r="H25">
            <v>30400</v>
          </cell>
          <cell r="I25">
            <v>0</v>
          </cell>
          <cell r="J25">
            <v>30400</v>
          </cell>
          <cell r="K25">
            <v>0</v>
          </cell>
        </row>
        <row r="26">
          <cell r="F26">
            <v>-2700</v>
          </cell>
          <cell r="G26">
            <v>0</v>
          </cell>
          <cell r="H26">
            <v>-2700</v>
          </cell>
          <cell r="I26">
            <v>0</v>
          </cell>
          <cell r="J26">
            <v>-2700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6800</v>
          </cell>
          <cell r="G30">
            <v>0</v>
          </cell>
          <cell r="H30">
            <v>6800</v>
          </cell>
          <cell r="I30">
            <v>0</v>
          </cell>
          <cell r="J30">
            <v>6800</v>
          </cell>
          <cell r="K30">
            <v>0</v>
          </cell>
        </row>
        <row r="31">
          <cell r="F31">
            <v>5455134876</v>
          </cell>
          <cell r="G31">
            <v>0</v>
          </cell>
          <cell r="H31">
            <v>5455134876</v>
          </cell>
          <cell r="I31">
            <v>0</v>
          </cell>
          <cell r="J31">
            <v>5455134876</v>
          </cell>
          <cell r="K31">
            <v>0</v>
          </cell>
        </row>
        <row r="32">
          <cell r="F32">
            <v>4357837563</v>
          </cell>
          <cell r="G32">
            <v>0</v>
          </cell>
          <cell r="H32">
            <v>4357837563</v>
          </cell>
          <cell r="I32">
            <v>0</v>
          </cell>
          <cell r="J32">
            <v>4357837563</v>
          </cell>
          <cell r="K32">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IV "/>
      <sheetName val="51-CAPITAL 2003-04"/>
      <sheetName val="CREDIT NOTE - Q3 (2)"/>
      <sheetName val="Trial Balance - Dec 2005 AUDIT"/>
      <sheetName val="EPS 2001-2002"/>
      <sheetName val="EPS 2002-2003"/>
      <sheetName val="FIXED ASSETS SCH IV -june 2005 "/>
      <sheetName val="FIXED ASSETS SCH IV -Sept 2005 "/>
      <sheetName val="DTA _ MAT SEP 05"/>
      <sheetName val="FIXED ASSETS SCH IV - MARCH 06"/>
      <sheetName val="CREDIT NOTE - Q3"/>
      <sheetName val="MISC"/>
      <sheetName val="F. ASSTS  DEP SCH -IT  2004-05 "/>
      <sheetName val="CLARF"/>
      <sheetName val="Notes on Accts MAR 06- Point 14"/>
      <sheetName val="Notes MAR 06- Point 14 (cont)"/>
      <sheetName val="RELATED PARTY INFO"/>
      <sheetName val=" Geo Segment 2005-06"/>
      <sheetName val="Segment P&amp;L MAR06 WKGS"/>
      <sheetName val="Segment BS MAR06 WKGS"/>
      <sheetName val="Interest Sum - MAR 06 GL RECO "/>
      <sheetName val=" Related Party  MAR 2006 "/>
      <sheetName val="Notes on Accts - Point 23"/>
      <sheetName val="Sheet1"/>
      <sheetName val="Trial Balance - MARCH 2006"/>
      <sheetName val="P&amp;L  - Mar 2006"/>
      <sheetName val="Cash Flow  2005_2006"/>
      <sheetName val="Balance Sheet - March 2006"/>
      <sheetName val="IT DEP 0506 "/>
      <sheetName val="DTA _ MAT MAR 06 "/>
      <sheetName val="Cash Flow  DEC 2005 "/>
      <sheetName val=" Geo Segment DEC 2005"/>
      <sheetName val="POINT NO. 14  Geo Segment 0405"/>
      <sheetName val="POINT NO.15 Related Party 0405 "/>
      <sheetName val="Cash Flow  2004_2005"/>
      <sheetName val=" Related Party "/>
      <sheetName val=" Related Party  (2)"/>
      <sheetName val="EPS 2"/>
      <sheetName val="EPS 1"/>
      <sheetName val="Sheet4"/>
      <sheetName val="CASH&amp;BANK"/>
      <sheetName val="DEBTORS"/>
      <sheetName val="INVENTORIES"/>
      <sheetName val="LOANS &amp; ADV"/>
      <sheetName val="Sheet3"/>
      <sheetName val="HBI NCD"/>
      <sheetName val="Links"/>
      <sheetName val="A 3.7"/>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I2">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as per GAAP"/>
      <sheetName val="Op BS as per IND AS"/>
      <sheetName val="Profit And Loss"/>
      <sheetName val="Note 1 - 2"/>
      <sheetName val="Note 3"/>
      <sheetName val="Note 4 - 10"/>
      <sheetName val="Other Equity"/>
      <sheetName val="Note 7"/>
      <sheetName val="Note7.1"/>
      <sheetName val="Note 11 - 13"/>
      <sheetName val="Cash Flow"/>
      <sheetName val="Int 234B &amp; 234C"/>
      <sheetName val="Notes "/>
      <sheetName val="Share Capital"/>
      <sheetName val="Reserves &amp; Surplus"/>
      <sheetName val="Long-Term Borrowings"/>
      <sheetName val="Other Long Term Liabilities"/>
      <sheetName val="Long Term Provisions"/>
      <sheetName val="Short-Term Borrowings "/>
      <sheetName val="Other Current Liabilities"/>
      <sheetName val="Short Term Provisions"/>
      <sheetName val="NCA-Lng trm loans &amp; adv "/>
      <sheetName val="NCA-Other nca"/>
      <sheetName val="Current Investments"/>
      <sheetName val="Inventories"/>
      <sheetName val="Trade Receivables"/>
      <sheetName val="Cash and cash equivalents"/>
      <sheetName val="Short term loans and adv"/>
      <sheetName val="Other Curr Assets"/>
      <sheetName val="Cont liabilities and commitment"/>
      <sheetName val="Revenue From operation"/>
      <sheetName val="Other Income"/>
      <sheetName val="Finance Cost"/>
      <sheetName val="P &amp; L Comparison with Old SchVI"/>
      <sheetName val="Balance Sheet"/>
      <sheetName val="Sheet1 (2)"/>
      <sheetName val="Links"/>
      <sheetName val="Instr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K2" t="str">
            <v>Yes</v>
          </cell>
        </row>
        <row r="3">
          <cell r="K3" t="str">
            <v>No</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OM"/>
      <sheetName val="2. Top sheet"/>
      <sheetName val="3.Grouping - Profit &amp; Loss(mio)"/>
      <sheetName val="4.Grouping - Balance Sheet(mio)"/>
      <sheetName val="5. Journal entries."/>
      <sheetName val="6. Other income"/>
      <sheetName val="7. Investments"/>
      <sheetName val="7A.Profit on sale of investmt"/>
      <sheetName val="8. Borrowings"/>
      <sheetName val="9. Loans given"/>
      <sheetName val="10. Cash flow info"/>
      <sheetName val="Index"/>
      <sheetName val="11. Tax Details"/>
      <sheetName val="12. Tangible assets"/>
      <sheetName val="13. Intangible assets "/>
      <sheetName val="14. Forex"/>
      <sheetName val="15. Currency wise of FA and FL"/>
      <sheetName val="16. Fair value of FA and FL"/>
      <sheetName val="17. Contingencies &amp; commitments"/>
      <sheetName val="18. IAS 11 disclosure"/>
      <sheetName val="P&amp;L"/>
      <sheetName val="BS"/>
      <sheetName val="equity"/>
      <sheetName val="Cash Flow"/>
      <sheetName val="Notes to Accounts"/>
      <sheetName val="TB Consolidated"/>
      <sheetName val="EPL Dubai"/>
      <sheetName val="EPL Korea Division"/>
      <sheetName val="FGO corporate gurantee"/>
      <sheetName val="1B. Control Sheet"/>
      <sheetName val="Trial Balance - MARCH 2006"/>
      <sheetName val="IC-RP list"/>
    </sheetNames>
    <sheetDataSet>
      <sheetData sheetId="0" refreshError="1"/>
      <sheetData sheetId="1" refreshError="1"/>
      <sheetData sheetId="2" refreshError="1">
        <row r="1">
          <cell r="C1">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9"/>
      <sheetName val="CLause 12"/>
      <sheetName val="CLause 14"/>
      <sheetName val="CLause 14(i)"/>
      <sheetName val="CLause 14(ii)"/>
      <sheetName val="CLause 17(d)"/>
      <sheetName val="CLause 17(h)"/>
      <sheetName val="CLause 18"/>
      <sheetName val="Clause 21"/>
      <sheetName val="Clause 24"/>
      <sheetName val="CLause 27"/>
      <sheetName val="CLause 28"/>
      <sheetName val="Clause 32"/>
      <sheetName val="Long-Term Borrowings"/>
      <sheetName val="Interest 30-11-01 not PA 7%"/>
      <sheetName val="x-rate"/>
    </sheetNames>
    <sheetDataSet>
      <sheetData sheetId="0" refreshError="1">
        <row r="4">
          <cell r="A4" t="str">
            <v>Assessment Year 2002-2003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Params"/>
      <sheetName val="Computation"/>
      <sheetName val="BLOCK"/>
      <sheetName val="BS"/>
      <sheetName val="IE"/>
      <sheetName val="SCH A&amp;B"/>
      <sheetName val="SCH C"/>
      <sheetName val="TDS LIST"/>
      <sheetName val="Capital Accounts"/>
      <sheetName val="Drivers Salary"/>
      <sheetName val="LOAN CHART"/>
      <sheetName val="Workings (2)"/>
      <sheetName val="Workings"/>
      <sheetName val="Links"/>
      <sheetName val="Clause 9"/>
      <sheetName val="3.Grouping - Profit &amp; Loss(mio)"/>
      <sheetName val="Assumptions"/>
    </sheetNames>
    <sheetDataSet>
      <sheetData sheetId="0" refreshError="1"/>
      <sheetData sheetId="1" refreshError="1">
        <row r="1">
          <cell r="B1" t="str">
            <v>Sampat &amp; Mehta (Regd.)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r-1"/>
      <sheetName val="insur-2 (closed)"/>
      <sheetName val="pa-mtly"/>
      <sheetName val="po log ssb"/>
      <sheetName val="po log ssb incl cc"/>
      <sheetName val="recon"/>
      <sheetName val="data-g"/>
      <sheetName val="graph"/>
      <sheetName val="x-rate"/>
      <sheetName val="Est. Outflows"/>
      <sheetName val="Settlements"/>
      <sheetName val="ON HOLD - PA &amp; 2.7"/>
      <sheetName val="Sheet2"/>
      <sheetName val="Input"/>
      <sheetName val="sum"/>
      <sheetName val="Sheet3 (2)"/>
      <sheetName val="a-4"/>
      <sheetName val="insur-2_(closed)"/>
      <sheetName val="po_log_ssb"/>
      <sheetName val="po_log_ssb_incl_cc"/>
      <sheetName val="Est__Outflows"/>
      <sheetName val="ON_HOLD_-_PA_&amp;_2_7"/>
      <sheetName val="FUEL_&amp;_LOSS"/>
      <sheetName val="insur-2_(closed)1"/>
      <sheetName val="po_log_ssb1"/>
      <sheetName val="po_log_ssb_incl_cc1"/>
      <sheetName val="Est__Outflows1"/>
      <sheetName val="ON_HOLD_-_PA_&amp;_2_71"/>
      <sheetName val="insur-2_(closed)2"/>
      <sheetName val="po_log_ssb2"/>
      <sheetName val="po_log_ssb_incl_cc2"/>
      <sheetName val="Est__Outflows2"/>
      <sheetName val="ON_HOLD_-_PA_&amp;_2_72"/>
      <sheetName val="insur-2_(closed)3"/>
      <sheetName val="po_log_ssb3"/>
      <sheetName val="po_log_ssb_incl_cc3"/>
      <sheetName val="Est__Outflows3"/>
      <sheetName val="ON_HOLD_-_PA_&amp;_2_73"/>
      <sheetName val="Sheet3_(2)"/>
      <sheetName val="Links"/>
      <sheetName val="1612.01AN(7) - Niep Tds Summary"/>
      <sheetName val="diff on tic &amp; po"/>
      <sheetName val="insur-2"/>
      <sheetName val="retention"/>
      <sheetName val="PO-BH"/>
      <sheetName val="77S(O)"/>
      <sheetName val="310480 as on 311207"/>
      <sheetName val="diff_on_tic_&amp;_po"/>
      <sheetName val="diff_on_tic_&amp;_po1"/>
      <sheetName val="diff_on_tic_&amp;_po2"/>
      <sheetName val="insur-2_(closed)4"/>
      <sheetName val="po_log_ssb4"/>
      <sheetName val="po_log_ssb_incl_cc4"/>
      <sheetName val="Est__Outflows4"/>
      <sheetName val="ON_HOLD_-_PA_&amp;_2_74"/>
      <sheetName val="Sheet3_(2)1"/>
      <sheetName val="diff_on_tic_&amp;_po3"/>
      <sheetName val="310480_as_on_311207"/>
      <sheetName val="1612_01AN(7)_-_Niep_Tds_Summary"/>
      <sheetName val="Marh__Prfl_01"/>
      <sheetName val="Params"/>
      <sheetName val="A 3.7"/>
    </sheetNames>
    <sheetDataSet>
      <sheetData sheetId="0" refreshError="1"/>
      <sheetData sheetId="1" refreshError="1"/>
      <sheetData sheetId="2" refreshError="1">
        <row r="8">
          <cell r="O8">
            <v>4283797.9441520553</v>
          </cell>
        </row>
        <row r="17">
          <cell r="O17">
            <v>24666.666666666668</v>
          </cell>
        </row>
        <row r="18">
          <cell r="O18">
            <v>70600.266666666677</v>
          </cell>
        </row>
        <row r="20">
          <cell r="O20">
            <v>55724.666666666672</v>
          </cell>
        </row>
        <row r="22">
          <cell r="O22">
            <v>30968478.350273855</v>
          </cell>
          <cell r="P22">
            <v>580000</v>
          </cell>
          <cell r="Q22">
            <v>45687500</v>
          </cell>
          <cell r="S22">
            <v>8062500</v>
          </cell>
        </row>
        <row r="24">
          <cell r="O24">
            <v>47654.15475291801</v>
          </cell>
          <cell r="Q24">
            <v>255325.5</v>
          </cell>
        </row>
        <row r="25">
          <cell r="O25">
            <v>185987.68461901034</v>
          </cell>
          <cell r="Q25">
            <v>996500.7</v>
          </cell>
        </row>
        <row r="30">
          <cell r="O30">
            <v>207027.00342641326</v>
          </cell>
        </row>
        <row r="31">
          <cell r="O31">
            <v>113295.59</v>
          </cell>
        </row>
        <row r="36">
          <cell r="O36">
            <v>606398</v>
          </cell>
        </row>
        <row r="37">
          <cell r="O37">
            <v>760514.58659418137</v>
          </cell>
        </row>
        <row r="39">
          <cell r="O39">
            <v>272315.09499999997</v>
          </cell>
          <cell r="S39">
            <v>39777.550000000003</v>
          </cell>
        </row>
        <row r="40">
          <cell r="O40">
            <v>43631.294999999998</v>
          </cell>
          <cell r="S40">
            <v>6775</v>
          </cell>
        </row>
        <row r="41">
          <cell r="O41">
            <v>224381.02499999999</v>
          </cell>
          <cell r="S41">
            <v>33447.449999999997</v>
          </cell>
        </row>
        <row r="42">
          <cell r="O42">
            <v>17326992.046349533</v>
          </cell>
          <cell r="P42">
            <v>1000000</v>
          </cell>
          <cell r="Q42">
            <v>16679515.5</v>
          </cell>
        </row>
        <row r="45">
          <cell r="O45">
            <v>946554.66666666663</v>
          </cell>
        </row>
        <row r="46">
          <cell r="O46">
            <v>272525.33333333331</v>
          </cell>
        </row>
        <row r="47">
          <cell r="O47">
            <v>871766.66666666674</v>
          </cell>
        </row>
        <row r="50">
          <cell r="O50">
            <v>16108.716666666667</v>
          </cell>
        </row>
        <row r="54">
          <cell r="O54">
            <v>369839.5</v>
          </cell>
        </row>
        <row r="61">
          <cell r="O61">
            <v>416131.80367249303</v>
          </cell>
          <cell r="Q61">
            <v>644018.13</v>
          </cell>
          <cell r="S61">
            <v>71557.570000000007</v>
          </cell>
        </row>
        <row r="62">
          <cell r="O62">
            <v>90310</v>
          </cell>
          <cell r="S62">
            <v>159750</v>
          </cell>
        </row>
        <row r="63">
          <cell r="O63">
            <v>102326.755</v>
          </cell>
          <cell r="Q63">
            <v>204653.51</v>
          </cell>
        </row>
        <row r="64">
          <cell r="O64">
            <v>12625.140825</v>
          </cell>
        </row>
        <row r="72">
          <cell r="O72">
            <v>238435.43278607621</v>
          </cell>
        </row>
        <row r="75">
          <cell r="O75">
            <v>1492929.14952615</v>
          </cell>
        </row>
        <row r="76">
          <cell r="O76">
            <v>642797.5757575758</v>
          </cell>
          <cell r="S76">
            <v>881516.7</v>
          </cell>
        </row>
        <row r="80">
          <cell r="Q80">
            <v>3698581.55</v>
          </cell>
          <cell r="S80">
            <v>335707.78</v>
          </cell>
        </row>
        <row r="88">
          <cell r="O88">
            <v>8808.3333333333339</v>
          </cell>
        </row>
        <row r="89">
          <cell r="O89">
            <v>8475875.0159157943</v>
          </cell>
          <cell r="P89">
            <v>15000000</v>
          </cell>
          <cell r="Q89">
            <v>35458630</v>
          </cell>
        </row>
        <row r="95">
          <cell r="O95">
            <v>325474.21963690495</v>
          </cell>
        </row>
        <row r="109">
          <cell r="O109" t="str">
            <v>Cancelled</v>
          </cell>
        </row>
        <row r="118">
          <cell r="O118">
            <v>3131174.5243499498</v>
          </cell>
          <cell r="Q118">
            <v>114635108</v>
          </cell>
        </row>
        <row r="119">
          <cell r="O119">
            <v>1714673.5847526488</v>
          </cell>
          <cell r="Q119">
            <v>62775738</v>
          </cell>
        </row>
        <row r="126">
          <cell r="O126">
            <v>1712345.5056905327</v>
          </cell>
          <cell r="Q126">
            <v>1779959639.3</v>
          </cell>
        </row>
        <row r="130">
          <cell r="O130">
            <v>38590.810091525011</v>
          </cell>
        </row>
        <row r="132">
          <cell r="O132">
            <v>18359.732827652879</v>
          </cell>
          <cell r="S132">
            <v>32589.15</v>
          </cell>
        </row>
        <row r="140">
          <cell r="O140">
            <v>4542.5</v>
          </cell>
        </row>
        <row r="145">
          <cell r="O145">
            <v>721112.94769564981</v>
          </cell>
        </row>
        <row r="148">
          <cell r="O148">
            <v>16764.494999999999</v>
          </cell>
          <cell r="Q148">
            <v>33528.99</v>
          </cell>
        </row>
        <row r="149">
          <cell r="O149">
            <v>24980.535</v>
          </cell>
          <cell r="Q149">
            <v>49961.07</v>
          </cell>
        </row>
        <row r="161">
          <cell r="O161">
            <v>2244</v>
          </cell>
        </row>
        <row r="162">
          <cell r="O162">
            <v>981220.83333333337</v>
          </cell>
          <cell r="Q162">
            <v>106670</v>
          </cell>
          <cell r="S162">
            <v>373345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R"/>
      <sheetName val="BALANCE_SHEET"/>
      <sheetName val="fcl"/>
      <sheetName val="BALANCE_SHEET1"/>
      <sheetName val="BALANCE_SHEET2"/>
      <sheetName val="BALANCE_SHEET3"/>
      <sheetName val="77S(O)"/>
      <sheetName val="CONBS"/>
      <sheetName val="expired"/>
      <sheetName val="DURGESH"/>
      <sheetName val="04REL"/>
      <sheetName val="01.11.2004"/>
      <sheetName val="TRIALBALANCE"/>
      <sheetName val="BALANCE_SHEET4"/>
      <sheetName val="Risks of material misstatement"/>
      <sheetName val="BALANCE_SHEET5"/>
      <sheetName val="1.Loans Control Chart- Mar 2007"/>
      <sheetName val="BALANCE_SHEET6"/>
      <sheetName val="Scheme"/>
      <sheetName val="Chart-Major customer"/>
      <sheetName val="ROMM Data for Validation"/>
    </sheetNames>
    <sheetDataSet>
      <sheetData sheetId="0" refreshError="1">
        <row r="1">
          <cell r="B1" t="str">
            <v>ESSAR OIL LIMITED</v>
          </cell>
        </row>
        <row r="58">
          <cell r="K58" t="str">
            <v>:</v>
          </cell>
          <cell r="L58">
            <v>407888122</v>
          </cell>
          <cell r="M58" t="str">
            <v>:</v>
          </cell>
        </row>
        <row r="59">
          <cell r="K59" t="str">
            <v>:</v>
          </cell>
          <cell r="L59" t="str">
            <v>-</v>
          </cell>
          <cell r="M59" t="str">
            <v>:</v>
          </cell>
        </row>
        <row r="60">
          <cell r="K60" t="str">
            <v>:</v>
          </cell>
          <cell r="M60" t="str">
            <v>:</v>
          </cell>
        </row>
        <row r="61">
          <cell r="K61" t="str">
            <v>:</v>
          </cell>
          <cell r="L61">
            <v>-319358932</v>
          </cell>
          <cell r="M61" t="str">
            <v>:</v>
          </cell>
        </row>
        <row r="62">
          <cell r="K62" t="str">
            <v>:</v>
          </cell>
          <cell r="M62" t="str">
            <v>:</v>
          </cell>
        </row>
        <row r="63">
          <cell r="K63" t="str">
            <v>:</v>
          </cell>
          <cell r="L63">
            <v>23383172</v>
          </cell>
          <cell r="M63" t="str">
            <v>:</v>
          </cell>
        </row>
        <row r="64">
          <cell r="K64" t="str">
            <v>:</v>
          </cell>
          <cell r="L64" t="str">
            <v>-</v>
          </cell>
          <cell r="M64" t="str">
            <v>:</v>
          </cell>
        </row>
        <row r="65">
          <cell r="K65" t="str">
            <v>:</v>
          </cell>
          <cell r="L65">
            <v>1352522244.49</v>
          </cell>
          <cell r="M65" t="str">
            <v>:</v>
          </cell>
        </row>
        <row r="67">
          <cell r="L67">
            <v>821501408.50999999</v>
          </cell>
        </row>
      </sheetData>
      <sheetData sheetId="1" refreshError="1"/>
      <sheetData sheetId="2" refreshError="1"/>
      <sheetData sheetId="3" refreshError="1"/>
      <sheetData sheetId="4" refreshError="1"/>
      <sheetData sheetId="5"/>
      <sheetData sheetId="6">
        <row r="1">
          <cell r="B1" t="str">
            <v>ESSAR OIL LIMITED</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ESSAR OIL LIMITED</v>
          </cell>
        </row>
      </sheetData>
      <sheetData sheetId="15" refreshError="1"/>
      <sheetData sheetId="16">
        <row r="1">
          <cell r="B1" t="str">
            <v>ESSAR OIL LIMITED</v>
          </cell>
        </row>
      </sheetData>
      <sheetData sheetId="17" refreshError="1"/>
      <sheetData sheetId="18" refreshError="1"/>
      <sheetData sheetId="19" refreshError="1"/>
      <sheetData sheetId="20" refreshError="1"/>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SA"/>
      <sheetName val="Calculation"/>
      <sheetName val="report"/>
    </sheetNames>
    <sheetDataSet>
      <sheetData sheetId="0">
        <row r="61">
          <cell r="M61">
            <v>1.03</v>
          </cell>
        </row>
        <row r="62">
          <cell r="M62">
            <v>1.03</v>
          </cell>
        </row>
        <row r="63">
          <cell r="M63">
            <v>1.03</v>
          </cell>
        </row>
        <row r="64">
          <cell r="M64">
            <v>1.03</v>
          </cell>
        </row>
      </sheetData>
      <sheetData sheetId="1" refreshError="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SA"/>
      <sheetName val="Calculation"/>
      <sheetName val="report"/>
    </sheetNames>
    <sheetDataSet>
      <sheetData sheetId="0">
        <row r="61">
          <cell r="M61">
            <v>1.03</v>
          </cell>
        </row>
        <row r="62">
          <cell r="M62">
            <v>1.03</v>
          </cell>
        </row>
        <row r="63">
          <cell r="M63">
            <v>1.03</v>
          </cell>
        </row>
        <row r="64">
          <cell r="M64">
            <v>1.03</v>
          </cell>
        </row>
      </sheetData>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Params"/>
      <sheetName val="Masters"/>
      <sheetName val="IOPlan"/>
      <sheetName val="Total MG "/>
      <sheetName val="Trial Balance"/>
      <sheetName val="MAPPINGS"/>
      <sheetName val="Input schedule"/>
      <sheetName val="Op Plan Sales"/>
      <sheetName val="Consol"/>
      <sheetName val="Lists"/>
      <sheetName val="IT Only"/>
      <sheetName val="Sheet1"/>
      <sheetName val="Sales &amp; Marketing Dashboard"/>
      <sheetName val="Rates"/>
      <sheetName val="LIC"/>
      <sheetName val="PropertyList"/>
      <sheetName val="IT-accruals"/>
      <sheetName val="TPM Tot"/>
      <sheetName val="StdMarginRegQtr"/>
      <sheetName val="Sept '99"/>
      <sheetName val="TB"/>
      <sheetName val="Schedule"/>
      <sheetName val="Control"/>
      <sheetName val="M B-QtyRecn"/>
      <sheetName val="AP_RA99-06"/>
      <sheetName val="HV_RA99-06"/>
      <sheetName val="IN_RA99-06"/>
      <sheetName val="CH_RA99-06"/>
      <sheetName val="TH_RA99-06"/>
      <sheetName val="HZ_RA99-06"/>
      <sheetName val="Op_Plan_Sales"/>
      <sheetName val="M_B-QtyRecn"/>
      <sheetName val="RES"/>
      <sheetName val="FBT Full"/>
      <sheetName val="Comp"/>
      <sheetName val="COA-IPCL"/>
      <sheetName val="Chart of Accounts"/>
      <sheetName val="Risco-Accts"/>
      <sheetName val="Payroll_Statement"/>
      <sheetName val="Other"/>
      <sheetName val="Summary"/>
      <sheetName val="BAL96-97"/>
      <sheetName val="Rate_dec02"/>
      <sheetName val="Balance Life"/>
      <sheetName val="Links"/>
      <sheetName val="Rollup_Summary"/>
      <sheetName val="AP_RA99-061"/>
      <sheetName val="HV_RA99-061"/>
      <sheetName val="IN_RA99-061"/>
      <sheetName val="CH_RA99-061"/>
      <sheetName val="TH_RA99-061"/>
      <sheetName val="HZ_RA99-061"/>
      <sheetName val="Op_Plan_Sales1"/>
      <sheetName val="未着品BALANCE"/>
      <sheetName val="Annexure"/>
      <sheetName val="POFG"/>
      <sheetName val="PAP"/>
      <sheetName val="Keyratios"/>
      <sheetName val="Facility"/>
      <sheetName val="P L"/>
      <sheetName val="d"/>
      <sheetName val="5Y_v2.14"/>
      <sheetName val="Price Testing - Used - 1"/>
      <sheetName val="Consolidated"/>
      <sheetName val="India"/>
      <sheetName val="BAL0301"/>
      <sheetName val="Other notes"/>
      <sheetName val="MAIN"/>
      <sheetName val="consolidated Budget"/>
      <sheetName val="Price_Testing_-_Used_-_11"/>
      <sheetName val="Price_Testing_-_Used_-_1"/>
      <sheetName val=""/>
      <sheetName val="Total_MG_"/>
      <sheetName val="IT_Only"/>
      <sheetName val="Push Diag on Premise"/>
      <sheetName val="CChannel Attract Input"/>
      <sheetName val="FStratPlan"/>
      <sheetName val="BS"/>
      <sheetName val="List"/>
      <sheetName val="Cash Flow.7"/>
      <sheetName val="Opening Balance"/>
      <sheetName val="Jodalli-P&amp;L"/>
      <sheetName val="Graphdata"/>
      <sheetName val="New form 3CD A"/>
      <sheetName val="CRITERIA1"/>
      <sheetName val="Main-Material"/>
      <sheetName val="AP_RA99-062"/>
      <sheetName val="HV_RA99-062"/>
      <sheetName val="IN_RA99-062"/>
      <sheetName val="CH_RA99-062"/>
      <sheetName val="TH_RA99-062"/>
      <sheetName val="HZ_RA99-062"/>
      <sheetName val="Total_MG_1"/>
      <sheetName val="Op_Plan_Sales2"/>
      <sheetName val="IT_Only1"/>
      <sheetName val="Sales_&amp;_Marketing_Dashboard"/>
      <sheetName val="TPM_Tot"/>
      <sheetName val="Sept_'99"/>
      <sheetName val="IS"/>
      <sheetName val="May 09"/>
      <sheetName val="Other_notes"/>
      <sheetName val="M_B-QtyRecn1"/>
      <sheetName val="Trial_Balance"/>
      <sheetName val="Input_schedule"/>
      <sheetName val="FBT_Full"/>
      <sheetName val="Chart_of_Accounts"/>
      <sheetName val="consolidated_Budget"/>
      <sheetName val="Other_notes1"/>
      <sheetName val="M_B-QtyRecn2"/>
      <sheetName val="Sales_&amp;_Marketing_Dashboard1"/>
      <sheetName val="Trial_Balance1"/>
      <sheetName val="Input_schedule1"/>
      <sheetName val="TPM_Tot1"/>
      <sheetName val="Sept_'991"/>
      <sheetName val="FBT_Full1"/>
      <sheetName val="Chart_of_Accounts1"/>
      <sheetName val="consolidated_Budget1"/>
      <sheetName val="AP_RA99-063"/>
      <sheetName val="HV_RA99-063"/>
      <sheetName val="IN_RA99-063"/>
      <sheetName val="CH_RA99-063"/>
      <sheetName val="TH_RA99-063"/>
      <sheetName val="HZ_RA99-063"/>
      <sheetName val="Op_Plan_Sales3"/>
      <sheetName val="Other_notes2"/>
      <sheetName val="M_B-QtyRecn3"/>
      <sheetName val="IT_Only2"/>
      <sheetName val="Sales_&amp;_Marketing_Dashboard2"/>
      <sheetName val="Total_MG_2"/>
      <sheetName val="Trial_Balance2"/>
      <sheetName val="Input_schedule2"/>
      <sheetName val="TPM_Tot2"/>
      <sheetName val="Sept_'992"/>
      <sheetName val="FBT_Full2"/>
      <sheetName val="Chart_of_Accounts2"/>
      <sheetName val="consolidated_Budget2"/>
      <sheetName val="AP_RA99-064"/>
      <sheetName val="HV_RA99-064"/>
      <sheetName val="IN_RA99-064"/>
      <sheetName val="CH_RA99-064"/>
      <sheetName val="TH_RA99-064"/>
      <sheetName val="HZ_RA99-064"/>
      <sheetName val="Op_Plan_Sales4"/>
      <sheetName val="Other_notes3"/>
      <sheetName val="M_B-QtyRecn4"/>
      <sheetName val="IT_Only3"/>
      <sheetName val="Sales_&amp;_Marketing_Dashboard3"/>
      <sheetName val="Total_MG_3"/>
      <sheetName val="Trial_Balance3"/>
      <sheetName val="Input_schedule3"/>
      <sheetName val="TPM_Tot3"/>
      <sheetName val="Sept_'993"/>
      <sheetName val="FBT_Full3"/>
      <sheetName val="Chart_of_Accounts3"/>
      <sheetName val="consolidated_Budget3"/>
      <sheetName val="5Y_v2_14"/>
      <sheetName val="Price_Testing_-_Used_-_12"/>
      <sheetName val="Push_Diag_on_Premise"/>
      <sheetName val="CChannel_Attract_Input"/>
      <sheetName val="Cash_Flow_7"/>
      <sheetName val="Opening_Balance"/>
      <sheetName val="AP_RA99-065"/>
      <sheetName val="HV_RA99-065"/>
      <sheetName val="IN_RA99-065"/>
      <sheetName val="CH_RA99-065"/>
      <sheetName val="TH_RA99-065"/>
      <sheetName val="HZ_RA99-065"/>
      <sheetName val="Op_Plan_Sales5"/>
      <sheetName val="Other_notes4"/>
      <sheetName val="M_B-QtyRecn5"/>
      <sheetName val="IT_Only4"/>
      <sheetName val="Sales_&amp;_Marketing_Dashboard4"/>
      <sheetName val="Total_MG_4"/>
      <sheetName val="Trial_Balance4"/>
      <sheetName val="Input_schedule4"/>
      <sheetName val="TPM_Tot4"/>
      <sheetName val="Sept_'994"/>
      <sheetName val="FBT_Full4"/>
      <sheetName val="Chart_of_Accounts4"/>
      <sheetName val="consolidated_Budget4"/>
      <sheetName val="5Y_v2_141"/>
      <sheetName val="Price_Testing_-_Used_-_13"/>
      <sheetName val="Push_Diag_on_Premise1"/>
      <sheetName val="CChannel_Attract_Input1"/>
      <sheetName val="Cash_Flow_71"/>
      <sheetName val="Opening_Balance1"/>
      <sheetName val="AP_RA99-067"/>
      <sheetName val="HV_RA99-067"/>
      <sheetName val="IN_RA99-067"/>
      <sheetName val="CH_RA99-067"/>
      <sheetName val="TH_RA99-067"/>
      <sheetName val="HZ_RA99-067"/>
      <sheetName val="Op_Plan_Sales7"/>
      <sheetName val="Other_notes6"/>
      <sheetName val="M_B-QtyRecn7"/>
      <sheetName val="IT_Only6"/>
      <sheetName val="Sales_&amp;_Marketing_Dashboard6"/>
      <sheetName val="Total_MG_6"/>
      <sheetName val="Trial_Balance6"/>
      <sheetName val="Input_schedule6"/>
      <sheetName val="TPM_Tot6"/>
      <sheetName val="Sept_'996"/>
      <sheetName val="FBT_Full6"/>
      <sheetName val="Chart_of_Accounts6"/>
      <sheetName val="consolidated_Budget6"/>
      <sheetName val="5Y_v2_143"/>
      <sheetName val="Price_Testing_-_Used_-_15"/>
      <sheetName val="Push_Diag_on_Premise3"/>
      <sheetName val="CChannel_Attract_Input3"/>
      <sheetName val="Cash_Flow_73"/>
      <sheetName val="Opening_Balance3"/>
      <sheetName val="AP_RA99-066"/>
      <sheetName val="HV_RA99-066"/>
      <sheetName val="IN_RA99-066"/>
      <sheetName val="CH_RA99-066"/>
      <sheetName val="TH_RA99-066"/>
      <sheetName val="HZ_RA99-066"/>
      <sheetName val="Op_Plan_Sales6"/>
      <sheetName val="Other_notes5"/>
      <sheetName val="M_B-QtyRecn6"/>
      <sheetName val="IT_Only5"/>
      <sheetName val="Sales_&amp;_Marketing_Dashboard5"/>
      <sheetName val="Total_MG_5"/>
      <sheetName val="Trial_Balance5"/>
      <sheetName val="Input_schedule5"/>
      <sheetName val="TPM_Tot5"/>
      <sheetName val="Sept_'995"/>
      <sheetName val="FBT_Full5"/>
      <sheetName val="Chart_of_Accounts5"/>
      <sheetName val="consolidated_Budget5"/>
      <sheetName val="5Y_v2_142"/>
      <sheetName val="Price_Testing_-_Used_-_14"/>
      <sheetName val="Push_Diag_on_Premise2"/>
      <sheetName val="CChannel_Attract_Input2"/>
      <sheetName val="Cash_Flow_72"/>
      <sheetName val="Opening_Balance2"/>
      <sheetName val="AP_RA99-068"/>
      <sheetName val="HV_RA99-068"/>
      <sheetName val="IN_RA99-068"/>
      <sheetName val="CH_RA99-068"/>
      <sheetName val="TH_RA99-068"/>
      <sheetName val="HZ_RA99-068"/>
      <sheetName val="Op_Plan_Sales8"/>
      <sheetName val="Other_notes7"/>
      <sheetName val="M_B-QtyRecn8"/>
      <sheetName val="IT_Only7"/>
      <sheetName val="Sales_&amp;_Marketing_Dashboard7"/>
      <sheetName val="Total_MG_7"/>
      <sheetName val="Trial_Balance7"/>
      <sheetName val="Input_schedule7"/>
      <sheetName val="TPM_Tot7"/>
      <sheetName val="Sept_'997"/>
      <sheetName val="FBT_Full7"/>
      <sheetName val="Chart_of_Accounts7"/>
      <sheetName val="consolidated_Budget7"/>
      <sheetName val="5Y_v2_144"/>
      <sheetName val="Price_Testing_-_Used_-_16"/>
      <sheetName val="Push_Diag_on_Premise4"/>
      <sheetName val="CChannel_Attract_Input4"/>
      <sheetName val="Cash_Flow_74"/>
      <sheetName val="Opening_Balance4"/>
      <sheetName val="AP_RA99-069"/>
      <sheetName val="HV_RA99-069"/>
      <sheetName val="IN_RA99-069"/>
      <sheetName val="CH_RA99-069"/>
      <sheetName val="TH_RA99-069"/>
      <sheetName val="HZ_RA99-069"/>
      <sheetName val="Op_Plan_Sales9"/>
      <sheetName val="Other_notes8"/>
      <sheetName val="M_B-QtyRecn9"/>
      <sheetName val="IT_Only8"/>
      <sheetName val="Sales_&amp;_Marketing_Dashboard8"/>
      <sheetName val="Total_MG_8"/>
      <sheetName val="Trial_Balance8"/>
      <sheetName val="Input_schedule8"/>
      <sheetName val="TPM_Tot8"/>
      <sheetName val="Sept_'998"/>
      <sheetName val="FBT_Full8"/>
      <sheetName val="Chart_of_Accounts8"/>
      <sheetName val="consolidated_Budget8"/>
      <sheetName val="5Y_v2_145"/>
      <sheetName val="Price_Testing_-_Used_-_17"/>
      <sheetName val="Push_Diag_on_Premise5"/>
      <sheetName val="CChannel_Attract_Input5"/>
      <sheetName val="Cash_Flow_75"/>
      <sheetName val="Opening_Balance5"/>
      <sheetName val="AP_RA99-0610"/>
      <sheetName val="HV_RA99-0610"/>
      <sheetName val="IN_RA99-0610"/>
      <sheetName val="CH_RA99-0610"/>
      <sheetName val="TH_RA99-0610"/>
      <sheetName val="HZ_RA99-0610"/>
      <sheetName val="Op_Plan_Sales10"/>
      <sheetName val="Other_notes9"/>
      <sheetName val="M_B-QtyRecn10"/>
      <sheetName val="IT_Only9"/>
      <sheetName val="Sales_&amp;_Marketing_Dashboard9"/>
      <sheetName val="Total_MG_9"/>
      <sheetName val="Trial_Balance9"/>
      <sheetName val="Input_schedule9"/>
      <sheetName val="TPM_Tot9"/>
      <sheetName val="Sept_'999"/>
      <sheetName val="FBT_Full9"/>
      <sheetName val="Chart_of_Accounts9"/>
      <sheetName val="consolidated_Budget9"/>
      <sheetName val="5Y_v2_146"/>
      <sheetName val="Price_Testing_-_Used_-_18"/>
      <sheetName val="Push_Diag_on_Premise6"/>
      <sheetName val="CChannel_Attract_Input6"/>
      <sheetName val="Cash_Flow_76"/>
      <sheetName val="Opening_Balance6"/>
      <sheetName val="データシート"/>
      <sheetName val="3 Yr Revenue Analysis(old)"/>
      <sheetName val="Macro1"/>
      <sheetName val="Categ"/>
      <sheetName val="Amortization Table"/>
      <sheetName val="Rev"/>
      <sheetName val="EXPENSES"/>
      <sheetName val="All Data"/>
      <sheetName val="Page1"/>
      <sheetName val="Input Screen"/>
      <sheetName val="Cover"/>
      <sheetName val="Cash Flow-WSL Base Fcst"/>
      <sheetName val="TB Round"/>
      <sheetName val="Sales &amp;Sale Cost"/>
      <sheetName val=".2 Reserve"/>
      <sheetName val="Maint Def Rev 03-04"/>
      <sheetName val="New-Growth Def Rev 03-04"/>
      <sheetName val="Perpetual Def Rev 03-04"/>
      <sheetName val="Renewal Def Rev 03-04"/>
      <sheetName val="Travel Expense Report(1week)"/>
      <sheetName val="ENCL6"/>
      <sheetName val="Notes"/>
      <sheetName val="Cash Flows"/>
      <sheetName val="Val &amp; Multp"/>
      <sheetName val="Options"/>
      <sheetName val="Heating Div"/>
      <sheetName val="All other Div's"/>
      <sheetName val="CoCapital"/>
      <sheetName val="EPS"/>
      <sheetName val="Mult"/>
      <sheetName val="Synergies"/>
      <sheetName val="Mkt Mult"/>
      <sheetName val="Trans Mult"/>
      <sheetName val="Module1"/>
      <sheetName val="riola don't know 9-26-99"/>
      <sheetName val="Assum"/>
      <sheetName val="VARFCST"/>
      <sheetName val="FINAL SHEET"/>
      <sheetName val="Spiltrates-Latest"/>
      <sheetName val="AP_RA99-0611"/>
      <sheetName val="HV_RA99-0611"/>
      <sheetName val="IN_RA99-0611"/>
      <sheetName val="CH_RA99-0611"/>
      <sheetName val="TH_RA99-0611"/>
      <sheetName val="HZ_RA99-0611"/>
      <sheetName val="Op_Plan_Sales11"/>
      <sheetName val="Other_notes10"/>
      <sheetName val="M_B-QtyRecn11"/>
      <sheetName val="IT_Only10"/>
      <sheetName val="Sales_&amp;_Marketing_Dashboard10"/>
      <sheetName val="Total_MG_10"/>
      <sheetName val="Trial_Balance10"/>
      <sheetName val="Input_schedule10"/>
      <sheetName val="TPM_Tot10"/>
      <sheetName val="Sept_'9910"/>
      <sheetName val="FBT_Full10"/>
      <sheetName val="Chart_of_Accounts10"/>
      <sheetName val="consolidated_Budget10"/>
      <sheetName val="5Y_v2_147"/>
      <sheetName val="Price_Testing_-_Used_-_19"/>
      <sheetName val="Push_Diag_on_Premise7"/>
      <sheetName val="CChannel_Attract_Input7"/>
      <sheetName val="Cash_Flow_77"/>
      <sheetName val="Opening_Balance7"/>
      <sheetName val="1 - A (Narrative)"/>
      <sheetName val="Base Info"/>
      <sheetName val="RCC,Ret. Wall"/>
      <sheetName val="ValuationInput"/>
      <sheetName val="DebtInput"/>
      <sheetName val="Storage"/>
      <sheetName val="Valuation"/>
      <sheetName val="Challan"/>
      <sheetName val="exp-m"/>
      <sheetName val="2003"/>
      <sheetName val="mdd &amp; co Fdr jan.02 "/>
      <sheetName val="MPCP9899"/>
      <sheetName val="B0_111350"/>
      <sheetName val="A"/>
      <sheetName val="List_ratios"/>
      <sheetName val="Results"/>
      <sheetName val="SAP - Rightpak"/>
      <sheetName val="Excess Calc"/>
      <sheetName val="Listings 96-02"/>
      <sheetName val="LCGRAPH"/>
      <sheetName val="12.04.09"/>
      <sheetName val="NLD - Assum"/>
      <sheetName val="working"/>
      <sheetName val="MR08' Cost Manag"/>
      <sheetName val="PL"/>
      <sheetName val="Sch-PL"/>
      <sheetName val="Sch-FA"/>
      <sheetName val="Aseet1998"/>
      <sheetName val="COLUMN"/>
      <sheetName val="RUPEE"/>
      <sheetName val="IT_FBT_DDTP"/>
      <sheetName val="Grouping TB"/>
      <sheetName val="AP_RA99-0612"/>
      <sheetName val="HV_RA99-0612"/>
      <sheetName val="IN_RA99-0612"/>
      <sheetName val="CH_RA99-0612"/>
      <sheetName val="TH_RA99-0612"/>
      <sheetName val="HZ_RA99-0612"/>
      <sheetName val="Op_Plan_Sales12"/>
      <sheetName val="Other_notes11"/>
      <sheetName val="M_B-QtyRecn12"/>
      <sheetName val="IT_Only11"/>
      <sheetName val="Sales_&amp;_Marketing_Dashboard11"/>
      <sheetName val="Total_MG_11"/>
      <sheetName val="Trial_Balance11"/>
      <sheetName val="Input_schedule11"/>
      <sheetName val="TPM_Tot11"/>
      <sheetName val="Sept_'9911"/>
      <sheetName val="FBT_Full11"/>
      <sheetName val="Chart_of_Accounts11"/>
      <sheetName val="consolidated_Budget11"/>
      <sheetName val="5Y_v2_148"/>
      <sheetName val="Price_Testing_-_Used_-_110"/>
      <sheetName val="Push_Diag_on_Premise8"/>
      <sheetName val="CChannel_Attract_Input8"/>
      <sheetName val="Cash_Flow_78"/>
      <sheetName val="Opening_Balance8"/>
      <sheetName val="Intro"/>
      <sheetName val="Staff"/>
      <sheetName val="MORE-MAR'2002"/>
      <sheetName val="SCHE-MARCH'2002"/>
      <sheetName val="Inputs"/>
      <sheetName val="SCH-A"/>
      <sheetName val="Fx Rates"/>
      <sheetName val="AR JAN'02"/>
      <sheetName val="Please do not USE or DELETE"/>
      <sheetName val="Tools Rev"/>
      <sheetName val="OpTrack"/>
      <sheetName val="PropertyPreop-Budget"/>
      <sheetName val="stat C (2)"/>
      <sheetName val="Bal Sheet"/>
      <sheetName val="Lead"/>
      <sheetName val="AR_PL"/>
      <sheetName val="Rising Main"/>
      <sheetName val="RECAPITULATION"/>
      <sheetName val="Civil Boq"/>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MYT Data"/>
      <sheetName val="F 7 (BSL)"/>
      <sheetName val="F 7 (CHN)"/>
      <sheetName val="F 7 (KPKD)"/>
      <sheetName val="F 7 (KRD)"/>
      <sheetName val="F 7 (Nashik)"/>
      <sheetName val="F 7 (Parli)"/>
      <sheetName val="F 7 (Uran)"/>
      <sheetName val="F 7 (Paras 3-4)"/>
      <sheetName val="F 7 (Parli 6-7)"/>
      <sheetName val="F 7 (KPKD 5)"/>
      <sheetName val="F 7 (BSL4-5)"/>
      <sheetName val="F 7 (KRD660)"/>
      <sheetName val="F 7 (CHN 8-9)"/>
      <sheetName val="F 7 (Parli 8)"/>
      <sheetName val="F 7 (Hydro)"/>
    </sheetNames>
    <sheetDataSet>
      <sheetData sheetId="0">
        <row r="4">
          <cell r="D4">
            <v>7.4999999999999997E-2</v>
          </cell>
        </row>
        <row r="5">
          <cell r="D5">
            <v>0.155</v>
          </cell>
        </row>
        <row r="6">
          <cell r="D6">
            <v>0.155</v>
          </cell>
        </row>
        <row r="7">
          <cell r="D7">
            <v>0.155</v>
          </cell>
        </row>
        <row r="8">
          <cell r="D8">
            <v>0.155</v>
          </cell>
        </row>
        <row r="9">
          <cell r="D9">
            <v>0.155</v>
          </cell>
        </row>
        <row r="10">
          <cell r="D10">
            <v>0.155</v>
          </cell>
        </row>
        <row r="11">
          <cell r="D11">
            <v>0.155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MYT Data"/>
      <sheetName val="F 7 (BSL)"/>
      <sheetName val="F 7 (CHN)"/>
      <sheetName val="F 7 (KPKD)"/>
      <sheetName val="F 7 (KRD)"/>
      <sheetName val="F 7 (Nashik)"/>
      <sheetName val="F 7 (Parli)"/>
      <sheetName val="F 7 (Uran)"/>
      <sheetName val="F 7 (Paras 3-4)"/>
      <sheetName val="F 7 (Parli 6-7)"/>
      <sheetName val="F 7 (KPKD 5)"/>
      <sheetName val="F 7 (BSL4-5)"/>
      <sheetName val="F 7 (KRD660)"/>
      <sheetName val="F 7 (CHN 8-9)"/>
      <sheetName val="F 7 (Parli 8)"/>
      <sheetName val="F 7 (Hydro)"/>
    </sheetNames>
    <sheetDataSet>
      <sheetData sheetId="0">
        <row r="4">
          <cell r="D4">
            <v>7.4999999999999997E-2</v>
          </cell>
        </row>
        <row r="5">
          <cell r="D5">
            <v>0.155</v>
          </cell>
        </row>
        <row r="6">
          <cell r="D6">
            <v>0.155</v>
          </cell>
        </row>
        <row r="7">
          <cell r="D7">
            <v>0.155</v>
          </cell>
        </row>
        <row r="8">
          <cell r="D8">
            <v>0.155</v>
          </cell>
        </row>
        <row r="9">
          <cell r="D9">
            <v>0.155</v>
          </cell>
        </row>
        <row r="10">
          <cell r="D10">
            <v>0.155</v>
          </cell>
        </row>
        <row r="11">
          <cell r="D11">
            <v>0.155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15"/>
      <sheetName val="pending points"/>
      <sheetName val="Tax Provision (2)"/>
      <sheetName val="Instruction Sheet"/>
      <sheetName val="Pivot of TB"/>
      <sheetName val="TB CY"/>
      <sheetName val="3.CF (New)"/>
      <sheetName val="Sheet1"/>
      <sheetName val="Sheet2"/>
      <sheetName val="Sheet3"/>
      <sheetName val="Sheet5"/>
      <sheetName val="Tally TB"/>
      <sheetName val="GSPC Gas Dec 15"/>
      <sheetName val="Deleted"/>
      <sheetName val="Ind AS Mapping (2)"/>
      <sheetName val="TB Sheet"/>
      <sheetName val="1. Bal Sheet"/>
      <sheetName val="Tax Provision"/>
      <sheetName val="2. Prof &amp;L"/>
      <sheetName val="Sheet4"/>
      <sheetName val="3.CF "/>
      <sheetName val="Equity"/>
      <sheetName val="5.BS Notes"/>
      <sheetName val="4.1 LTBorrowings1"/>
      <sheetName val="4.2 MTBorrowings2"/>
      <sheetName val="12 FA Sch in Crores"/>
      <sheetName val="6.PL Notes"/>
      <sheetName val="12 FA Sch Jun15"/>
      <sheetName val="12.1 CWIP"/>
      <sheetName val="CF working"/>
      <sheetName val="GSPC Borrowing sch"/>
      <sheetName val="5.2 31.12.15"/>
      <sheetName val="Note 13.1"/>
      <sheetName val="Note 16"/>
      <sheetName val="NOTE 34 QTY"/>
      <sheetName val="Other notes 35 to 40"/>
      <sheetName val="Note 41 EB"/>
      <sheetName val="Note 42 ESOP"/>
      <sheetName val="43 Related Parties"/>
      <sheetName val="Other notes 44 to 49"/>
      <sheetName val="Merger note"/>
      <sheetName val="RMC"/>
      <sheetName val="Data"/>
      <sheetName val="Trial Balance - MARCH 2006"/>
    </sheetNames>
    <sheetDataSet>
      <sheetData sheetId="0"/>
      <sheetData sheetId="1"/>
      <sheetData sheetId="2"/>
      <sheetData sheetId="3">
        <row r="33">
          <cell r="D33">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 not for distribution"/>
      <sheetName val="cr-board"/>
      <sheetName val="a-3"/>
      <sheetName val="a-3 internal"/>
      <sheetName val="a-4"/>
      <sheetName val="a-5"/>
      <sheetName val="a-7"/>
      <sheetName val="graph PA"/>
      <sheetName val="gk 01-00"/>
      <sheetName val="gk 01-00 jwk"/>
      <sheetName val="gk 12-99"/>
      <sheetName val="gk 11-99"/>
      <sheetName val="gk 10-99"/>
      <sheetName val="gk 09-99 "/>
      <sheetName val="gk 08-99"/>
      <sheetName val="ptc"/>
      <sheetName val="gk-contr 05-00"/>
      <sheetName val="gk-contr 01-00"/>
      <sheetName val="gk-contr 12-99"/>
      <sheetName val="gk-contr 10-99"/>
      <sheetName val="x-rate"/>
      <sheetName val="bh-jdeg"/>
      <sheetName val="CR-SUPLY"/>
      <sheetName val="gk-contract 01-00"/>
      <sheetName val="gk-contract 12-99"/>
      <sheetName val="gk-contract 10-99"/>
      <sheetName val="cr-board special"/>
      <sheetName val="a-3 special"/>
      <sheetName val="a3-int. special"/>
      <sheetName val="a4-special"/>
      <sheetName val="a-5 special"/>
      <sheetName val="fee+int"/>
      <sheetName val="gk 09-99"/>
      <sheetName val="77S(O)"/>
      <sheetName val="cr_-_not_for_distribution"/>
      <sheetName val="a-3_internal"/>
      <sheetName val="graph_PA"/>
      <sheetName val="gk_01-00"/>
      <sheetName val="gk_01-00_jwk"/>
      <sheetName val="gk_12-99"/>
      <sheetName val="gk_11-99"/>
      <sheetName val="gk_10-99"/>
      <sheetName val="gk_09-99_"/>
      <sheetName val="gk_08-99"/>
      <sheetName val="gk-contr_05-00"/>
      <sheetName val="gk-contr_01-00"/>
      <sheetName val="gk-contr_12-99"/>
      <sheetName val="gk-contr_10-99"/>
      <sheetName val="gk-contract_01-00"/>
      <sheetName val="gk-contract_12-99"/>
      <sheetName val="gk-contract_10-99"/>
      <sheetName val="cr-board_special"/>
      <sheetName val="a-3_special"/>
      <sheetName val="a3-int__special"/>
      <sheetName val="a-5_special"/>
      <sheetName val="gk_09-99"/>
      <sheetName val="cr_-_not_for_distribution1"/>
      <sheetName val="a-3_internal1"/>
      <sheetName val="graph_PA1"/>
      <sheetName val="gk_01-001"/>
      <sheetName val="gk_01-00_jwk1"/>
      <sheetName val="gk_12-991"/>
      <sheetName val="gk_11-991"/>
      <sheetName val="gk_10-991"/>
      <sheetName val="gk_09-99_1"/>
      <sheetName val="gk_08-991"/>
      <sheetName val="gk-contr_05-001"/>
      <sheetName val="gk-contr_01-001"/>
      <sheetName val="gk-contr_12-991"/>
      <sheetName val="gk-contr_10-991"/>
      <sheetName val="gk-contract_01-001"/>
      <sheetName val="gk-contract_12-991"/>
      <sheetName val="gk-contract_10-991"/>
      <sheetName val="cr-board_special1"/>
      <sheetName val="a-3_special1"/>
      <sheetName val="a3-int__special1"/>
      <sheetName val="a-5_special1"/>
      <sheetName val="gk_09-991"/>
      <sheetName val="cr_-_not_for_distribution2"/>
      <sheetName val="a-3_internal2"/>
      <sheetName val="graph_PA2"/>
      <sheetName val="gk_01-002"/>
      <sheetName val="gk_01-00_jwk2"/>
      <sheetName val="gk_12-992"/>
      <sheetName val="gk_11-992"/>
      <sheetName val="gk_10-992"/>
      <sheetName val="gk_09-99_2"/>
      <sheetName val="gk_08-992"/>
      <sheetName val="gk-contr_05-002"/>
      <sheetName val="gk-contr_01-002"/>
      <sheetName val="gk-contr_12-992"/>
      <sheetName val="gk-contr_10-992"/>
      <sheetName val="gk-contract_01-002"/>
      <sheetName val="gk-contract_12-992"/>
      <sheetName val="gk-contract_10-992"/>
      <sheetName val="cr-board_special2"/>
      <sheetName val="a-3_special2"/>
      <sheetName val="a3-int__special2"/>
      <sheetName val="a-5_special2"/>
      <sheetName val="gk_09-992"/>
      <sheetName val="cr_-_not_for_distribution3"/>
      <sheetName val="a-3_internal3"/>
      <sheetName val="graph_PA3"/>
      <sheetName val="gk_01-003"/>
      <sheetName val="gk_01-00_jwk3"/>
      <sheetName val="gk_12-993"/>
      <sheetName val="gk_11-993"/>
      <sheetName val="gk_10-993"/>
      <sheetName val="gk_09-99_3"/>
      <sheetName val="gk_08-993"/>
      <sheetName val="gk-contr_05-003"/>
      <sheetName val="gk-contr_01-003"/>
      <sheetName val="gk-contr_12-993"/>
      <sheetName val="gk-contr_10-993"/>
      <sheetName val="gk-contract_01-003"/>
      <sheetName val="gk-contract_12-993"/>
      <sheetName val="gk-contract_10-993"/>
      <sheetName val="cr-board_special3"/>
      <sheetName val="a-3_special3"/>
      <sheetName val="a3-int__special3"/>
      <sheetName val="a-5_special3"/>
      <sheetName val="gk_09-993"/>
      <sheetName val="PGW-ACCOUNTS"/>
      <sheetName val="1612.01AN(7) - Niep Tds Summary"/>
      <sheetName val="BS"/>
      <sheetName val="1612_01AN(7)_-_Niep_Tds_Summary"/>
      <sheetName val="ASSAY-new"/>
      <sheetName val="1612_01AN(7)_-_Niep_Tds_Summar1"/>
      <sheetName val="1612_01AN(7)_-_Niep_Tds_Summar2"/>
      <sheetName val="a_4"/>
      <sheetName val="p&amp;l"/>
      <sheetName val="Scenarios"/>
      <sheetName val="x_rate"/>
      <sheetName val="Rev Working"/>
      <sheetName val="Sheet2"/>
      <sheetName val="1612_01AN(7)_-_Niep_Tds_Summar3"/>
      <sheetName val="Interest 30-11-01 not PA 7%"/>
      <sheetName val="Cons"/>
      <sheetName val="diffbetphy&amp;stock"/>
      <sheetName val="12"/>
      <sheetName val="15"/>
      <sheetName val="cr_-_not_for_distribution4"/>
      <sheetName val="a-3_internal4"/>
      <sheetName val="graph_PA4"/>
      <sheetName val="gk_01-004"/>
      <sheetName val="gk_01-00_jwk4"/>
      <sheetName val="gk_12-994"/>
      <sheetName val="gk_11-994"/>
      <sheetName val="gk_10-994"/>
      <sheetName val="gk_09-99_4"/>
      <sheetName val="gk_08-994"/>
      <sheetName val="gk-contr_05-004"/>
      <sheetName val="gk-contr_01-004"/>
      <sheetName val="gk-contr_12-994"/>
      <sheetName val="gk-contr_10-994"/>
      <sheetName val="gk-contract_01-004"/>
      <sheetName val="gk-contract_12-994"/>
      <sheetName val="gk-contract_10-994"/>
      <sheetName val="cr-board_special4"/>
      <sheetName val="a-3_special4"/>
      <sheetName val="a3-int__special4"/>
      <sheetName val="a-5_special4"/>
      <sheetName val="gk_09-994"/>
      <sheetName val="1612_01AN(7)_-_Niep_Tds_Summar4"/>
      <sheetName val="Rev_Working"/>
      <sheetName val="Interest_30-11-01_not_PA_7%"/>
      <sheetName val="Settings"/>
      <sheetName val="BALANCE SHEET"/>
      <sheetName val="CE"/>
      <sheetName val="cr_-_not_for_distribution5"/>
      <sheetName val="a-3_internal5"/>
      <sheetName val="graph_PA5"/>
      <sheetName val="gk_01-005"/>
      <sheetName val="gk_01-00_jwk5"/>
      <sheetName val="gk_12-995"/>
      <sheetName val="gk_11-995"/>
      <sheetName val="gk_10-995"/>
      <sheetName val="gk_09-99_5"/>
      <sheetName val="gk_08-995"/>
      <sheetName val="gk-contr_05-005"/>
      <sheetName val="gk-contr_01-005"/>
      <sheetName val="gk-contr_12-995"/>
      <sheetName val="gk-contr_10-995"/>
      <sheetName val="gk-contract_01-005"/>
      <sheetName val="gk-contract_12-995"/>
      <sheetName val="gk-contract_10-995"/>
      <sheetName val="cr-board_special5"/>
      <sheetName val="a-3_special5"/>
      <sheetName val="a3-int__special5"/>
      <sheetName val="a-5_special5"/>
      <sheetName val="gk_09-995"/>
      <sheetName val="1612_01AN(7)_-_Niep_Tds_Summar5"/>
      <sheetName val="Rev_Working1"/>
      <sheetName val="Interest_30-11-01_not_PA_7%1"/>
      <sheetName val="PL"/>
      <sheetName val="Jun 2012"/>
      <sheetName val="Clause 9"/>
      <sheetName va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35">
          <cell r="E35">
            <v>55724.666666666672</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ow r="35">
          <cell r="E35">
            <v>55724.666666666672</v>
          </cell>
        </row>
      </sheetData>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row r="35">
          <cell r="E35">
            <v>55724.666666666672</v>
          </cell>
        </row>
      </sheetData>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DHS Exp Analysis"/>
      <sheetName val="Lead"/>
      <sheetName val="Links"/>
      <sheetName val="Tickmarks"/>
      <sheetName val="Data"/>
      <sheetName val="Main Bs"/>
      <sheetName val="Input"/>
      <sheetName val="pa-mtly"/>
    </sheetNames>
    <sheetDataSet>
      <sheetData sheetId="0" refreshError="1"/>
      <sheetData sheetId="1" refreshError="1"/>
      <sheetData sheetId="2" refreshError="1">
        <row r="2">
          <cell r="F2" t="str">
            <v>Final March 2008</v>
          </cell>
        </row>
        <row r="4">
          <cell r="F4">
            <v>258061</v>
          </cell>
        </row>
        <row r="5">
          <cell r="F5">
            <v>0</v>
          </cell>
        </row>
        <row r="6">
          <cell r="F6">
            <v>258061</v>
          </cell>
        </row>
        <row r="8">
          <cell r="F8">
            <v>0</v>
          </cell>
        </row>
        <row r="9">
          <cell r="F9">
            <v>0</v>
          </cell>
        </row>
        <row r="10">
          <cell r="F10">
            <v>771485</v>
          </cell>
        </row>
        <row r="11">
          <cell r="F11">
            <v>0</v>
          </cell>
        </row>
        <row r="12">
          <cell r="F12">
            <v>27269507</v>
          </cell>
        </row>
        <row r="13">
          <cell r="F13">
            <v>0</v>
          </cell>
        </row>
        <row r="14">
          <cell r="F14">
            <v>0</v>
          </cell>
        </row>
        <row r="15">
          <cell r="F15">
            <v>0</v>
          </cell>
        </row>
        <row r="16">
          <cell r="F16">
            <v>4444.22</v>
          </cell>
        </row>
        <row r="17">
          <cell r="F17">
            <v>0</v>
          </cell>
        </row>
        <row r="18">
          <cell r="F18">
            <v>137017</v>
          </cell>
        </row>
        <row r="19">
          <cell r="F19">
            <v>0</v>
          </cell>
        </row>
        <row r="20">
          <cell r="F20">
            <v>0</v>
          </cell>
        </row>
        <row r="21">
          <cell r="F21">
            <v>-25069001.27</v>
          </cell>
        </row>
        <row r="22">
          <cell r="F22">
            <v>52968610.07</v>
          </cell>
        </row>
        <row r="23">
          <cell r="F23">
            <v>3358691</v>
          </cell>
        </row>
        <row r="24">
          <cell r="F24">
            <v>507322</v>
          </cell>
        </row>
        <row r="25">
          <cell r="F25">
            <v>51286669</v>
          </cell>
        </row>
        <row r="26">
          <cell r="F26">
            <v>8119427</v>
          </cell>
        </row>
        <row r="27">
          <cell r="F27">
            <v>51569263</v>
          </cell>
        </row>
        <row r="28">
          <cell r="F28">
            <v>2454663</v>
          </cell>
        </row>
        <row r="29">
          <cell r="F29">
            <v>0</v>
          </cell>
        </row>
        <row r="30">
          <cell r="F30">
            <v>50575023.210000001</v>
          </cell>
        </row>
        <row r="31">
          <cell r="F31">
            <v>70487223.530000001</v>
          </cell>
        </row>
        <row r="32">
          <cell r="F32">
            <v>-260843384.63999999</v>
          </cell>
        </row>
        <row r="33">
          <cell r="F33">
            <v>-58824180</v>
          </cell>
        </row>
        <row r="34">
          <cell r="F34">
            <v>-25227220.879999995</v>
          </cell>
        </row>
        <row r="36">
          <cell r="F36">
            <v>78537921</v>
          </cell>
        </row>
        <row r="37">
          <cell r="F37">
            <v>147192804</v>
          </cell>
        </row>
        <row r="38">
          <cell r="F38">
            <v>0</v>
          </cell>
        </row>
        <row r="39">
          <cell r="F39">
            <v>0</v>
          </cell>
        </row>
        <row r="40">
          <cell r="F40">
            <v>8723926</v>
          </cell>
        </row>
        <row r="41">
          <cell r="F41">
            <v>1324635</v>
          </cell>
        </row>
        <row r="42">
          <cell r="F42">
            <v>0</v>
          </cell>
        </row>
        <row r="43">
          <cell r="F43">
            <v>0</v>
          </cell>
        </row>
        <row r="44">
          <cell r="F44">
            <v>66545</v>
          </cell>
        </row>
        <row r="45">
          <cell r="F45">
            <v>1893137</v>
          </cell>
        </row>
        <row r="46">
          <cell r="F46">
            <v>237738968</v>
          </cell>
        </row>
        <row r="48">
          <cell r="F48">
            <v>73937280</v>
          </cell>
        </row>
        <row r="49">
          <cell r="F49">
            <v>42089344</v>
          </cell>
        </row>
        <row r="50">
          <cell r="F50">
            <v>2787366.45</v>
          </cell>
        </row>
        <row r="51">
          <cell r="F51">
            <v>2138300</v>
          </cell>
        </row>
        <row r="52">
          <cell r="F52">
            <v>117099116.56</v>
          </cell>
        </row>
        <row r="53">
          <cell r="F53">
            <v>8349084483.7799997</v>
          </cell>
        </row>
        <row r="54">
          <cell r="F54">
            <v>1777613217.1199999</v>
          </cell>
        </row>
        <row r="55">
          <cell r="F55">
            <v>1301296526.4300001</v>
          </cell>
        </row>
        <row r="56">
          <cell r="F56">
            <v>475639797.06999999</v>
          </cell>
        </row>
        <row r="57">
          <cell r="F57">
            <v>399170580.38</v>
          </cell>
        </row>
        <row r="58">
          <cell r="F58">
            <v>260843384.63999999</v>
          </cell>
        </row>
        <row r="59">
          <cell r="F59">
            <v>58824180</v>
          </cell>
        </row>
        <row r="60">
          <cell r="F60">
            <v>83311947.150000006</v>
          </cell>
        </row>
        <row r="61">
          <cell r="F61">
            <v>106844966</v>
          </cell>
        </row>
        <row r="62">
          <cell r="F62">
            <v>285001.5</v>
          </cell>
        </row>
        <row r="63">
          <cell r="F63">
            <v>291923840</v>
          </cell>
        </row>
        <row r="64">
          <cell r="F64">
            <v>64977406</v>
          </cell>
        </row>
        <row r="65">
          <cell r="F65">
            <v>1387687</v>
          </cell>
        </row>
        <row r="66">
          <cell r="F66">
            <v>-368777</v>
          </cell>
        </row>
        <row r="67">
          <cell r="F67">
            <v>-471005</v>
          </cell>
        </row>
        <row r="68">
          <cell r="F68">
            <v>-71493</v>
          </cell>
        </row>
        <row r="69">
          <cell r="F69">
            <v>29186</v>
          </cell>
        </row>
        <row r="70">
          <cell r="F70">
            <v>125000</v>
          </cell>
        </row>
        <row r="71">
          <cell r="F71">
            <v>0</v>
          </cell>
        </row>
        <row r="72">
          <cell r="F72">
            <v>0</v>
          </cell>
        </row>
        <row r="73">
          <cell r="F73">
            <v>32239</v>
          </cell>
        </row>
        <row r="74">
          <cell r="F74">
            <v>0</v>
          </cell>
        </row>
        <row r="75">
          <cell r="F75">
            <v>959332</v>
          </cell>
        </row>
        <row r="76">
          <cell r="F76">
            <v>0</v>
          </cell>
        </row>
        <row r="77">
          <cell r="F77">
            <v>139220276.53</v>
          </cell>
        </row>
        <row r="78">
          <cell r="F78">
            <v>3156391.14</v>
          </cell>
        </row>
        <row r="79">
          <cell r="F79">
            <v>83310948</v>
          </cell>
        </row>
        <row r="80">
          <cell r="F80">
            <v>2755378</v>
          </cell>
        </row>
        <row r="81">
          <cell r="F81">
            <v>3404877</v>
          </cell>
        </row>
        <row r="82">
          <cell r="F82">
            <v>31089224</v>
          </cell>
        </row>
        <row r="83">
          <cell r="F83">
            <v>-10000</v>
          </cell>
        </row>
        <row r="84">
          <cell r="F84">
            <v>18351867</v>
          </cell>
        </row>
        <row r="85">
          <cell r="F85">
            <v>0</v>
          </cell>
        </row>
        <row r="86">
          <cell r="F86">
            <v>13690767867.749998</v>
          </cell>
        </row>
        <row r="88">
          <cell r="F88">
            <v>0</v>
          </cell>
        </row>
        <row r="89">
          <cell r="F89">
            <v>5611284.3899999997</v>
          </cell>
        </row>
        <row r="90">
          <cell r="F90">
            <v>5611284.3899999997</v>
          </cell>
        </row>
        <row r="92">
          <cell r="F92">
            <v>8807688822.6000004</v>
          </cell>
        </row>
        <row r="93">
          <cell r="F93">
            <v>-75247205</v>
          </cell>
        </row>
        <row r="94">
          <cell r="F94">
            <v>-1777613217.1199999</v>
          </cell>
        </row>
        <row r="95">
          <cell r="F95">
            <v>-1301296526.4300001</v>
          </cell>
        </row>
        <row r="96">
          <cell r="F96">
            <v>-475639797.06999999</v>
          </cell>
        </row>
        <row r="97">
          <cell r="F97">
            <v>-399187379.38</v>
          </cell>
        </row>
        <row r="98">
          <cell r="F98">
            <v>-106844966</v>
          </cell>
        </row>
        <row r="99">
          <cell r="F99">
            <v>-291923840</v>
          </cell>
        </row>
        <row r="100">
          <cell r="F100">
            <v>-64960607</v>
          </cell>
        </row>
        <row r="101">
          <cell r="F101">
            <v>40000000</v>
          </cell>
        </row>
        <row r="102">
          <cell r="F102">
            <v>0</v>
          </cell>
        </row>
        <row r="103">
          <cell r="F103">
            <v>0</v>
          </cell>
        </row>
        <row r="104">
          <cell r="F104">
            <v>-2764746</v>
          </cell>
        </row>
        <row r="105">
          <cell r="F105">
            <v>-783084</v>
          </cell>
        </row>
        <row r="106">
          <cell r="F106">
            <v>178685</v>
          </cell>
        </row>
        <row r="107">
          <cell r="F107">
            <v>84919</v>
          </cell>
        </row>
        <row r="108">
          <cell r="F108">
            <v>0</v>
          </cell>
        </row>
        <row r="109">
          <cell r="F109">
            <v>3148013</v>
          </cell>
        </row>
        <row r="110">
          <cell r="F110">
            <v>4354839071.6000004</v>
          </cell>
        </row>
        <row r="112">
          <cell r="F112">
            <v>0</v>
          </cell>
        </row>
        <row r="113">
          <cell r="F113">
            <v>-932384</v>
          </cell>
        </row>
        <row r="114">
          <cell r="F114">
            <v>-4500429.7</v>
          </cell>
        </row>
        <row r="115">
          <cell r="F115">
            <v>-58875693.880000003</v>
          </cell>
        </row>
        <row r="116">
          <cell r="F116">
            <v>0</v>
          </cell>
        </row>
        <row r="117">
          <cell r="F117">
            <v>0</v>
          </cell>
        </row>
        <row r="118">
          <cell r="F118">
            <v>-5000</v>
          </cell>
        </row>
        <row r="119">
          <cell r="F119">
            <v>0</v>
          </cell>
        </row>
        <row r="120">
          <cell r="F120">
            <v>0</v>
          </cell>
        </row>
        <row r="121">
          <cell r="F121">
            <v>0</v>
          </cell>
        </row>
        <row r="122">
          <cell r="F122">
            <v>0</v>
          </cell>
        </row>
        <row r="123">
          <cell r="F123">
            <v>2066493</v>
          </cell>
        </row>
        <row r="124">
          <cell r="F124">
            <v>-10768145.49</v>
          </cell>
        </row>
        <row r="125">
          <cell r="F125">
            <v>-3803</v>
          </cell>
        </row>
        <row r="126">
          <cell r="F126">
            <v>127082</v>
          </cell>
        </row>
        <row r="127">
          <cell r="F127">
            <v>-1426752.5</v>
          </cell>
        </row>
        <row r="128">
          <cell r="F128">
            <v>-98741</v>
          </cell>
        </row>
        <row r="129">
          <cell r="F129">
            <v>0</v>
          </cell>
        </row>
        <row r="130">
          <cell r="F130">
            <v>-8440454</v>
          </cell>
        </row>
        <row r="131">
          <cell r="F131">
            <v>23502</v>
          </cell>
        </row>
        <row r="132">
          <cell r="F132">
            <v>340665</v>
          </cell>
        </row>
        <row r="133">
          <cell r="F133">
            <v>-82493661.570000008</v>
          </cell>
        </row>
        <row r="135">
          <cell r="F135">
            <v>0</v>
          </cell>
        </row>
        <row r="136">
          <cell r="F136">
            <v>0</v>
          </cell>
        </row>
        <row r="137">
          <cell r="F137">
            <v>-6511335180.1599998</v>
          </cell>
        </row>
        <row r="138">
          <cell r="F138">
            <v>0</v>
          </cell>
        </row>
        <row r="139">
          <cell r="F139">
            <v>-277201111.31</v>
          </cell>
        </row>
        <row r="140">
          <cell r="F140">
            <v>1002584450</v>
          </cell>
        </row>
        <row r="141">
          <cell r="F141">
            <v>0</v>
          </cell>
        </row>
        <row r="142">
          <cell r="F142">
            <v>-49230834</v>
          </cell>
        </row>
        <row r="143">
          <cell r="F143">
            <v>207766434.33000001</v>
          </cell>
        </row>
        <row r="144">
          <cell r="F144">
            <v>-18871294</v>
          </cell>
        </row>
        <row r="145">
          <cell r="F145">
            <v>165824127.46000001</v>
          </cell>
        </row>
        <row r="146">
          <cell r="F146">
            <v>240669185</v>
          </cell>
        </row>
        <row r="147">
          <cell r="F147">
            <v>-3401667776</v>
          </cell>
        </row>
        <row r="148">
          <cell r="F148">
            <v>-1213500000</v>
          </cell>
        </row>
        <row r="149">
          <cell r="F149">
            <v>-651425</v>
          </cell>
        </row>
        <row r="150">
          <cell r="F150">
            <v>0</v>
          </cell>
        </row>
        <row r="151">
          <cell r="F151">
            <v>519405861</v>
          </cell>
        </row>
        <row r="152">
          <cell r="F152">
            <v>936785</v>
          </cell>
        </row>
        <row r="153">
          <cell r="F153">
            <v>-10000000</v>
          </cell>
        </row>
        <row r="154">
          <cell r="F154">
            <v>8440454</v>
          </cell>
        </row>
        <row r="155">
          <cell r="F155">
            <v>1137992</v>
          </cell>
        </row>
        <row r="156">
          <cell r="F156">
            <v>-183208000</v>
          </cell>
        </row>
        <row r="157">
          <cell r="F157">
            <v>1397183</v>
          </cell>
        </row>
        <row r="158">
          <cell r="F158">
            <v>10451077</v>
          </cell>
        </row>
        <row r="159">
          <cell r="F159">
            <v>15477410</v>
          </cell>
        </row>
        <row r="160">
          <cell r="F160">
            <v>-9491574661.6800003</v>
          </cell>
        </row>
        <row r="162">
          <cell r="F162">
            <v>0</v>
          </cell>
        </row>
        <row r="163">
          <cell r="F163">
            <v>1509966</v>
          </cell>
        </row>
        <row r="164">
          <cell r="F164">
            <v>50000000</v>
          </cell>
        </row>
        <row r="165">
          <cell r="F165">
            <v>243400</v>
          </cell>
        </row>
        <row r="166">
          <cell r="F166">
            <v>51753366</v>
          </cell>
        </row>
        <row r="168">
          <cell r="F168">
            <v>26300</v>
          </cell>
        </row>
        <row r="169">
          <cell r="F169">
            <v>78900</v>
          </cell>
        </row>
        <row r="170">
          <cell r="F170">
            <v>60300</v>
          </cell>
        </row>
        <row r="171">
          <cell r="F171">
            <v>165500</v>
          </cell>
        </row>
        <row r="173">
          <cell r="F173">
            <v>-2792910336.7600002</v>
          </cell>
        </row>
        <row r="174">
          <cell r="F174">
            <v>0</v>
          </cell>
        </row>
        <row r="175">
          <cell r="F175">
            <v>-2792910336.7600002</v>
          </cell>
        </row>
        <row r="177">
          <cell r="F177">
            <v>72147662</v>
          </cell>
        </row>
        <row r="178">
          <cell r="F178">
            <v>21363504.940000001</v>
          </cell>
        </row>
        <row r="179">
          <cell r="F179">
            <v>14424171.4</v>
          </cell>
        </row>
        <row r="180">
          <cell r="F180">
            <v>1193648</v>
          </cell>
        </row>
        <row r="181">
          <cell r="F181">
            <v>2654667.84</v>
          </cell>
        </row>
        <row r="182">
          <cell r="F182">
            <v>0</v>
          </cell>
        </row>
        <row r="183">
          <cell r="F183">
            <v>111783654.18000001</v>
          </cell>
        </row>
        <row r="185">
          <cell r="F185">
            <v>-7541257</v>
          </cell>
        </row>
        <row r="186">
          <cell r="F186">
            <v>-16874397.960000001</v>
          </cell>
        </row>
        <row r="187">
          <cell r="F187">
            <v>-12420080.52</v>
          </cell>
        </row>
        <row r="188">
          <cell r="F188">
            <v>-301646</v>
          </cell>
        </row>
        <row r="189">
          <cell r="F189">
            <v>-1927949.13</v>
          </cell>
        </row>
        <row r="190">
          <cell r="F190">
            <v>-39065330.610000007</v>
          </cell>
        </row>
        <row r="192">
          <cell r="F192">
            <v>-155107698</v>
          </cell>
        </row>
        <row r="193">
          <cell r="F193">
            <v>-155107698</v>
          </cell>
        </row>
        <row r="195">
          <cell r="F195">
            <v>6011500484.3199997</v>
          </cell>
        </row>
        <row r="196">
          <cell r="F196">
            <v>1528491929</v>
          </cell>
        </row>
        <row r="197">
          <cell r="F197">
            <v>-6192703400.8299999</v>
          </cell>
        </row>
        <row r="198">
          <cell r="F198">
            <v>-1742322041.5899999</v>
          </cell>
        </row>
        <row r="199">
          <cell r="F199">
            <v>-395033029.10000014</v>
          </cell>
        </row>
        <row r="201">
          <cell r="F201">
            <v>-1283658</v>
          </cell>
        </row>
        <row r="202">
          <cell r="F202">
            <v>-1283658</v>
          </cell>
        </row>
        <row r="204">
          <cell r="F204">
            <v>0</v>
          </cell>
        </row>
        <row r="205">
          <cell r="F205">
            <v>5714475432.1599998</v>
          </cell>
        </row>
        <row r="206">
          <cell r="F206">
            <v>0</v>
          </cell>
        </row>
        <row r="207">
          <cell r="F207">
            <v>-6532640828.6000004</v>
          </cell>
        </row>
        <row r="208">
          <cell r="F208">
            <v>-253591093.75999999</v>
          </cell>
        </row>
        <row r="209">
          <cell r="F209">
            <v>-788071427.20000052</v>
          </cell>
        </row>
        <row r="211">
          <cell r="F211">
            <v>0</v>
          </cell>
        </row>
        <row r="212">
          <cell r="F212">
            <v>-1516200137.52</v>
          </cell>
        </row>
        <row r="213">
          <cell r="F213">
            <v>-1256879035.53</v>
          </cell>
        </row>
        <row r="214">
          <cell r="F214">
            <v>-470955468.35000002</v>
          </cell>
        </row>
        <row r="215">
          <cell r="F215">
            <v>-393481418.20999998</v>
          </cell>
        </row>
        <row r="216">
          <cell r="F216">
            <v>-75270480</v>
          </cell>
        </row>
        <row r="217">
          <cell r="F217">
            <v>-31644196</v>
          </cell>
        </row>
        <row r="218">
          <cell r="F218">
            <v>-276912103</v>
          </cell>
        </row>
        <row r="219">
          <cell r="F219">
            <v>397782381.88</v>
          </cell>
        </row>
        <row r="220">
          <cell r="F220">
            <v>442422341.80000001</v>
          </cell>
        </row>
        <row r="221">
          <cell r="F221">
            <v>205944995.97</v>
          </cell>
        </row>
        <row r="222">
          <cell r="F222">
            <v>34408666</v>
          </cell>
        </row>
        <row r="223">
          <cell r="F223">
            <v>-2940784452.96</v>
          </cell>
        </row>
        <row r="225">
          <cell r="F225">
            <v>-1837727995.6199999</v>
          </cell>
        </row>
        <row r="226">
          <cell r="F226">
            <v>-524367</v>
          </cell>
        </row>
        <row r="227">
          <cell r="F227">
            <v>0</v>
          </cell>
        </row>
        <row r="228">
          <cell r="F228">
            <v>0</v>
          </cell>
        </row>
        <row r="229">
          <cell r="F229">
            <v>0</v>
          </cell>
        </row>
        <row r="230">
          <cell r="F230">
            <v>-249887</v>
          </cell>
        </row>
        <row r="231">
          <cell r="F231">
            <v>-251759</v>
          </cell>
        </row>
        <row r="232">
          <cell r="F232">
            <v>-16778723</v>
          </cell>
        </row>
        <row r="233">
          <cell r="F233">
            <v>-529013</v>
          </cell>
        </row>
        <row r="234">
          <cell r="F234">
            <v>-76938</v>
          </cell>
        </row>
        <row r="235">
          <cell r="F235">
            <v>-33300</v>
          </cell>
        </row>
        <row r="236">
          <cell r="F236">
            <v>-23960</v>
          </cell>
        </row>
        <row r="237">
          <cell r="F237">
            <v>0</v>
          </cell>
        </row>
        <row r="238">
          <cell r="F238">
            <v>-2391498</v>
          </cell>
        </row>
        <row r="239">
          <cell r="F239">
            <v>-5034755</v>
          </cell>
        </row>
        <row r="240">
          <cell r="F240">
            <v>0</v>
          </cell>
        </row>
        <row r="241">
          <cell r="F241">
            <v>-2384611</v>
          </cell>
        </row>
        <row r="242">
          <cell r="F242">
            <v>-2662717</v>
          </cell>
        </row>
        <row r="243">
          <cell r="F243">
            <v>-301217</v>
          </cell>
        </row>
        <row r="244">
          <cell r="F244">
            <v>1950</v>
          </cell>
        </row>
        <row r="245">
          <cell r="F245">
            <v>-103645549</v>
          </cell>
        </row>
        <row r="246">
          <cell r="F246">
            <v>-267926445</v>
          </cell>
        </row>
        <row r="247">
          <cell r="F247">
            <v>-7942126</v>
          </cell>
        </row>
        <row r="248">
          <cell r="F248">
            <v>-38900</v>
          </cell>
        </row>
        <row r="249">
          <cell r="F249">
            <v>-1819780</v>
          </cell>
        </row>
        <row r="250">
          <cell r="F250">
            <v>-27608</v>
          </cell>
        </row>
        <row r="251">
          <cell r="F251">
            <v>0</v>
          </cell>
        </row>
        <row r="252">
          <cell r="F252">
            <v>-457966</v>
          </cell>
        </row>
        <row r="253">
          <cell r="F253">
            <v>-6720198.8300000001</v>
          </cell>
        </row>
        <row r="254">
          <cell r="F254">
            <v>0</v>
          </cell>
        </row>
        <row r="255">
          <cell r="F255">
            <v>0</v>
          </cell>
        </row>
        <row r="256">
          <cell r="F256">
            <v>0</v>
          </cell>
        </row>
        <row r="257">
          <cell r="F257">
            <v>0</v>
          </cell>
        </row>
        <row r="258">
          <cell r="F258">
            <v>80071</v>
          </cell>
        </row>
        <row r="259">
          <cell r="F259">
            <v>-9601380</v>
          </cell>
        </row>
        <row r="260">
          <cell r="F260">
            <v>-107455641</v>
          </cell>
        </row>
        <row r="261">
          <cell r="F261">
            <v>-68603</v>
          </cell>
        </row>
        <row r="262">
          <cell r="F262">
            <v>0</v>
          </cell>
        </row>
        <row r="263">
          <cell r="F263">
            <v>-2374592916.4499998</v>
          </cell>
        </row>
        <row r="265">
          <cell r="F265">
            <v>0</v>
          </cell>
        </row>
        <row r="267">
          <cell r="F267">
            <v>-3345423475</v>
          </cell>
        </row>
        <row r="268">
          <cell r="F268">
            <v>-40446159</v>
          </cell>
        </row>
        <row r="269">
          <cell r="F269">
            <v>-3385869634</v>
          </cell>
        </row>
        <row r="271">
          <cell r="F271">
            <v>-7120125</v>
          </cell>
        </row>
        <row r="272">
          <cell r="F272">
            <v>-124086</v>
          </cell>
        </row>
        <row r="273">
          <cell r="F273">
            <v>-15133538.85</v>
          </cell>
        </row>
        <row r="274">
          <cell r="F274">
            <v>-2454</v>
          </cell>
        </row>
        <row r="275">
          <cell r="F275">
            <v>-18731620.16</v>
          </cell>
        </row>
        <row r="276">
          <cell r="F276">
            <v>-1247</v>
          </cell>
        </row>
        <row r="277">
          <cell r="F277">
            <v>-41113071.010000005</v>
          </cell>
        </row>
        <row r="279">
          <cell r="F279">
            <v>-4032131</v>
          </cell>
        </row>
        <row r="280">
          <cell r="F280">
            <v>-4032131</v>
          </cell>
        </row>
        <row r="282">
          <cell r="F282">
            <v>482671</v>
          </cell>
        </row>
        <row r="283">
          <cell r="F283">
            <v>26054902</v>
          </cell>
        </row>
        <row r="284">
          <cell r="F284">
            <v>15725</v>
          </cell>
        </row>
        <row r="285">
          <cell r="F285">
            <v>0</v>
          </cell>
        </row>
        <row r="286">
          <cell r="F286">
            <v>0</v>
          </cell>
        </row>
        <row r="287">
          <cell r="F287">
            <v>15020259.43</v>
          </cell>
        </row>
        <row r="288">
          <cell r="F288">
            <v>0</v>
          </cell>
        </row>
        <row r="289">
          <cell r="F289">
            <v>9364396</v>
          </cell>
        </row>
        <row r="290">
          <cell r="F290">
            <v>9929671</v>
          </cell>
        </row>
        <row r="291">
          <cell r="F291">
            <v>0</v>
          </cell>
        </row>
        <row r="292">
          <cell r="F292">
            <v>845891</v>
          </cell>
        </row>
        <row r="293">
          <cell r="F293">
            <v>326700</v>
          </cell>
        </row>
        <row r="294">
          <cell r="F294">
            <v>62040215.43</v>
          </cell>
        </row>
        <row r="296">
          <cell r="F296">
            <v>3243285.4</v>
          </cell>
        </row>
        <row r="297">
          <cell r="F297">
            <v>26931881.170000002</v>
          </cell>
        </row>
        <row r="298">
          <cell r="F298">
            <v>11277132.029999999</v>
          </cell>
        </row>
        <row r="299">
          <cell r="F299">
            <v>4498303.28</v>
          </cell>
        </row>
        <row r="300">
          <cell r="F300">
            <v>6465668.1500000004</v>
          </cell>
        </row>
        <row r="301">
          <cell r="F301">
            <v>853545</v>
          </cell>
        </row>
        <row r="302">
          <cell r="F302">
            <v>414260</v>
          </cell>
        </row>
        <row r="303">
          <cell r="F303">
            <v>9137658</v>
          </cell>
        </row>
        <row r="304">
          <cell r="F304">
            <v>819860</v>
          </cell>
        </row>
        <row r="305">
          <cell r="F305">
            <v>0</v>
          </cell>
        </row>
        <row r="306">
          <cell r="F306">
            <v>0</v>
          </cell>
        </row>
        <row r="307">
          <cell r="F307">
            <v>63641593.030000001</v>
          </cell>
        </row>
        <row r="309">
          <cell r="F309">
            <v>-7161.93</v>
          </cell>
        </row>
        <row r="310">
          <cell r="F310">
            <v>0</v>
          </cell>
        </row>
        <row r="311">
          <cell r="F311">
            <v>1581330</v>
          </cell>
        </row>
        <row r="312">
          <cell r="F312">
            <v>294838</v>
          </cell>
        </row>
        <row r="313">
          <cell r="F313">
            <v>87529</v>
          </cell>
        </row>
        <row r="314">
          <cell r="F314">
            <v>1437378</v>
          </cell>
        </row>
        <row r="315">
          <cell r="F315">
            <v>6843784</v>
          </cell>
        </row>
        <row r="316">
          <cell r="F316">
            <v>0</v>
          </cell>
        </row>
        <row r="317">
          <cell r="F317">
            <v>0</v>
          </cell>
        </row>
        <row r="318">
          <cell r="F318">
            <v>2683021</v>
          </cell>
        </row>
        <row r="319">
          <cell r="F319">
            <v>802410</v>
          </cell>
        </row>
        <row r="320">
          <cell r="F320">
            <v>0</v>
          </cell>
        </row>
        <row r="321">
          <cell r="F321">
            <v>3460</v>
          </cell>
        </row>
        <row r="322">
          <cell r="F322">
            <v>28725</v>
          </cell>
        </row>
        <row r="323">
          <cell r="F323">
            <v>1885679</v>
          </cell>
        </row>
        <row r="324">
          <cell r="F324">
            <v>1025</v>
          </cell>
        </row>
        <row r="325">
          <cell r="F325">
            <v>5573209</v>
          </cell>
        </row>
        <row r="326">
          <cell r="F326">
            <v>0</v>
          </cell>
        </row>
        <row r="327">
          <cell r="F327">
            <v>294530</v>
          </cell>
        </row>
        <row r="328">
          <cell r="F328">
            <v>736197</v>
          </cell>
        </row>
        <row r="329">
          <cell r="F329">
            <v>884250</v>
          </cell>
        </row>
        <row r="330">
          <cell r="F330">
            <v>66135</v>
          </cell>
        </row>
        <row r="331">
          <cell r="F331">
            <v>264211</v>
          </cell>
        </row>
        <row r="332">
          <cell r="F332">
            <v>57537</v>
          </cell>
        </row>
        <row r="333">
          <cell r="F333">
            <v>326058</v>
          </cell>
        </row>
        <row r="334">
          <cell r="F334">
            <v>569526</v>
          </cell>
        </row>
        <row r="335">
          <cell r="F335">
            <v>0</v>
          </cell>
        </row>
        <row r="336">
          <cell r="F336">
            <v>183795</v>
          </cell>
        </row>
        <row r="337">
          <cell r="F337">
            <v>3500</v>
          </cell>
        </row>
        <row r="338">
          <cell r="F338">
            <v>321922</v>
          </cell>
        </row>
        <row r="339">
          <cell r="F339">
            <v>0</v>
          </cell>
        </row>
        <row r="340">
          <cell r="F340">
            <v>0</v>
          </cell>
        </row>
        <row r="341">
          <cell r="F341">
            <v>515900</v>
          </cell>
        </row>
        <row r="342">
          <cell r="F342">
            <v>0</v>
          </cell>
        </row>
        <row r="343">
          <cell r="F343">
            <v>549450.5</v>
          </cell>
        </row>
        <row r="344">
          <cell r="F344">
            <v>3568590</v>
          </cell>
        </row>
        <row r="345">
          <cell r="F345">
            <v>5183913</v>
          </cell>
        </row>
        <row r="346">
          <cell r="F346">
            <v>674066</v>
          </cell>
        </row>
        <row r="347">
          <cell r="F347">
            <v>37961578</v>
          </cell>
        </row>
        <row r="348">
          <cell r="F348">
            <v>0</v>
          </cell>
        </row>
        <row r="349">
          <cell r="F349">
            <v>26122</v>
          </cell>
        </row>
        <row r="350">
          <cell r="F350">
            <v>370659.17</v>
          </cell>
        </row>
        <row r="351">
          <cell r="F351">
            <v>73773165.739999995</v>
          </cell>
        </row>
        <row r="353">
          <cell r="F353">
            <v>0</v>
          </cell>
        </row>
        <row r="354">
          <cell r="F354">
            <v>2149516</v>
          </cell>
        </row>
        <row r="355">
          <cell r="F355">
            <v>2576504</v>
          </cell>
        </row>
        <row r="356">
          <cell r="F356">
            <v>268226</v>
          </cell>
        </row>
        <row r="357">
          <cell r="F357">
            <v>4994246</v>
          </cell>
        </row>
        <row r="359">
          <cell r="F359">
            <v>0</v>
          </cell>
        </row>
        <row r="360">
          <cell r="F360">
            <v>0</v>
          </cell>
        </row>
        <row r="361">
          <cell r="F361">
            <v>282875</v>
          </cell>
        </row>
        <row r="362">
          <cell r="F362">
            <v>0</v>
          </cell>
        </row>
        <row r="363">
          <cell r="F363">
            <v>23464787</v>
          </cell>
        </row>
        <row r="364">
          <cell r="F364">
            <v>23747662</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224613</v>
          </cell>
        </row>
        <row r="376">
          <cell r="F376">
            <v>0</v>
          </cell>
        </row>
        <row r="377">
          <cell r="F377">
            <v>0</v>
          </cell>
        </row>
        <row r="378">
          <cell r="F378">
            <v>0</v>
          </cell>
        </row>
        <row r="379">
          <cell r="F379">
            <v>-518</v>
          </cell>
        </row>
        <row r="380">
          <cell r="F380">
            <v>-8298</v>
          </cell>
        </row>
        <row r="381">
          <cell r="F381">
            <v>3077991.46</v>
          </cell>
        </row>
        <row r="382">
          <cell r="F382">
            <v>32154857</v>
          </cell>
        </row>
        <row r="383">
          <cell r="F383">
            <v>0</v>
          </cell>
        </row>
        <row r="384">
          <cell r="F384">
            <v>20109479</v>
          </cell>
        </row>
        <row r="385">
          <cell r="F385">
            <v>55558124.460000001</v>
          </cell>
        </row>
        <row r="387">
          <cell r="F387">
            <v>0</v>
          </cell>
        </row>
        <row r="388">
          <cell r="F388">
            <v>0</v>
          </cell>
        </row>
        <row r="389">
          <cell r="F389">
            <v>0</v>
          </cell>
        </row>
        <row r="390">
          <cell r="F390">
            <v>0</v>
          </cell>
        </row>
        <row r="391">
          <cell r="F391">
            <v>0</v>
          </cell>
        </row>
        <row r="392">
          <cell r="F392">
            <v>0</v>
          </cell>
        </row>
        <row r="393">
          <cell r="F393">
            <v>-227029</v>
          </cell>
        </row>
        <row r="394">
          <cell r="F394">
            <v>-1356778.88</v>
          </cell>
        </row>
        <row r="395">
          <cell r="F395">
            <v>91155</v>
          </cell>
        </row>
        <row r="396">
          <cell r="F396">
            <v>30162106</v>
          </cell>
        </row>
        <row r="397">
          <cell r="F397">
            <v>0</v>
          </cell>
        </row>
        <row r="398">
          <cell r="F398">
            <v>573087459</v>
          </cell>
        </row>
        <row r="399">
          <cell r="F399">
            <v>44171607</v>
          </cell>
        </row>
        <row r="400">
          <cell r="F400">
            <v>645928519.12</v>
          </cell>
        </row>
        <row r="402">
          <cell r="F402">
            <v>280194512.30000001</v>
          </cell>
        </row>
        <row r="403">
          <cell r="F403">
            <v>28082257.27</v>
          </cell>
        </row>
        <row r="404">
          <cell r="F404">
            <v>838602</v>
          </cell>
        </row>
        <row r="405">
          <cell r="F405">
            <v>7057</v>
          </cell>
        </row>
        <row r="406">
          <cell r="F406">
            <v>236934631.61000001</v>
          </cell>
        </row>
        <row r="407">
          <cell r="F407">
            <v>19893270.68</v>
          </cell>
        </row>
        <row r="408">
          <cell r="F408">
            <v>0</v>
          </cell>
        </row>
        <row r="409">
          <cell r="F409">
            <v>104222225.20999999</v>
          </cell>
        </row>
        <row r="410">
          <cell r="F410">
            <v>828772652.02999997</v>
          </cell>
        </row>
        <row r="411">
          <cell r="F411">
            <v>25416710</v>
          </cell>
        </row>
        <row r="412">
          <cell r="F412">
            <v>18491103</v>
          </cell>
        </row>
        <row r="413">
          <cell r="F413">
            <v>0</v>
          </cell>
        </row>
        <row r="414">
          <cell r="F414">
            <v>9463175</v>
          </cell>
        </row>
        <row r="415">
          <cell r="F415">
            <v>62111</v>
          </cell>
        </row>
        <row r="416">
          <cell r="F416">
            <v>663441</v>
          </cell>
        </row>
        <row r="417">
          <cell r="F417">
            <v>692279</v>
          </cell>
        </row>
        <row r="418">
          <cell r="F418">
            <v>541659</v>
          </cell>
        </row>
        <row r="419">
          <cell r="F419">
            <v>1925900.11</v>
          </cell>
        </row>
        <row r="420">
          <cell r="F420">
            <v>544746621</v>
          </cell>
        </row>
        <row r="421">
          <cell r="F421">
            <v>19991256</v>
          </cell>
        </row>
        <row r="422">
          <cell r="F422">
            <v>68333286</v>
          </cell>
        </row>
        <row r="423">
          <cell r="F423">
            <v>86284390</v>
          </cell>
        </row>
        <row r="424">
          <cell r="F424">
            <v>20585563.309999999</v>
          </cell>
        </row>
        <row r="425">
          <cell r="F425">
            <v>4610386</v>
          </cell>
        </row>
        <row r="426">
          <cell r="F426">
            <v>22648079</v>
          </cell>
        </row>
        <row r="427">
          <cell r="F427">
            <v>520277</v>
          </cell>
        </row>
        <row r="428">
          <cell r="F428">
            <v>9839241</v>
          </cell>
        </row>
        <row r="429">
          <cell r="F429">
            <v>14500</v>
          </cell>
        </row>
        <row r="430">
          <cell r="F430">
            <v>8074673</v>
          </cell>
        </row>
        <row r="431">
          <cell r="F431">
            <v>264931415</v>
          </cell>
        </row>
        <row r="432">
          <cell r="F432">
            <v>70157046</v>
          </cell>
        </row>
        <row r="433">
          <cell r="F433">
            <v>413193</v>
          </cell>
        </row>
        <row r="434">
          <cell r="F434">
            <v>0</v>
          </cell>
        </row>
        <row r="435">
          <cell r="F435">
            <v>50021973</v>
          </cell>
        </row>
        <row r="436">
          <cell r="F436">
            <v>7322158</v>
          </cell>
        </row>
        <row r="437">
          <cell r="F437">
            <v>92227864</v>
          </cell>
        </row>
        <row r="438">
          <cell r="F438">
            <v>0</v>
          </cell>
        </row>
        <row r="439">
          <cell r="F439">
            <v>0</v>
          </cell>
        </row>
        <row r="440">
          <cell r="F440">
            <v>2826923507.52</v>
          </cell>
        </row>
        <row r="442">
          <cell r="F442">
            <v>0</v>
          </cell>
        </row>
        <row r="443">
          <cell r="F443">
            <v>0</v>
          </cell>
        </row>
        <row r="444">
          <cell r="F444">
            <v>-168464</v>
          </cell>
        </row>
        <row r="445">
          <cell r="F445">
            <v>-310962</v>
          </cell>
        </row>
        <row r="446">
          <cell r="F446">
            <v>3848456</v>
          </cell>
        </row>
        <row r="447">
          <cell r="F447">
            <v>3369030</v>
          </cell>
        </row>
        <row r="449">
          <cell r="F449">
            <v>98597034</v>
          </cell>
        </row>
        <row r="450">
          <cell r="F450">
            <v>0</v>
          </cell>
        </row>
        <row r="451">
          <cell r="F451">
            <v>1668135</v>
          </cell>
        </row>
        <row r="452">
          <cell r="F452">
            <v>33604578</v>
          </cell>
        </row>
        <row r="453">
          <cell r="F453">
            <v>4215015</v>
          </cell>
        </row>
        <row r="454">
          <cell r="F454">
            <v>0</v>
          </cell>
        </row>
        <row r="455">
          <cell r="F455">
            <v>200000</v>
          </cell>
        </row>
        <row r="456">
          <cell r="F456">
            <v>11580592</v>
          </cell>
        </row>
        <row r="457">
          <cell r="F457">
            <v>0</v>
          </cell>
        </row>
        <row r="458">
          <cell r="F458">
            <v>258242</v>
          </cell>
        </row>
        <row r="459">
          <cell r="F459">
            <v>-922298</v>
          </cell>
        </row>
        <row r="460">
          <cell r="F460">
            <v>6075427</v>
          </cell>
        </row>
        <row r="461">
          <cell r="F461">
            <v>6980514</v>
          </cell>
        </row>
        <row r="462">
          <cell r="F462">
            <v>5392329</v>
          </cell>
        </row>
        <row r="463">
          <cell r="F463">
            <v>0</v>
          </cell>
        </row>
        <row r="464">
          <cell r="F464">
            <v>16532743</v>
          </cell>
        </row>
        <row r="465">
          <cell r="F465">
            <v>0</v>
          </cell>
        </row>
        <row r="466">
          <cell r="F466">
            <v>20773440</v>
          </cell>
        </row>
        <row r="467">
          <cell r="F467">
            <v>0</v>
          </cell>
        </row>
        <row r="468">
          <cell r="F468">
            <v>4121604</v>
          </cell>
        </row>
        <row r="469">
          <cell r="F469">
            <v>0</v>
          </cell>
        </row>
        <row r="470">
          <cell r="F470">
            <v>3695923</v>
          </cell>
        </row>
        <row r="471">
          <cell r="F471">
            <v>212773278</v>
          </cell>
        </row>
        <row r="473">
          <cell r="F473">
            <v>8031417</v>
          </cell>
        </row>
        <row r="474">
          <cell r="F474">
            <v>2859276</v>
          </cell>
        </row>
        <row r="475">
          <cell r="F475">
            <v>383097</v>
          </cell>
        </row>
        <row r="476">
          <cell r="F476">
            <v>208524</v>
          </cell>
        </row>
        <row r="477">
          <cell r="F477">
            <v>11482314</v>
          </cell>
        </row>
        <row r="479">
          <cell r="F479">
            <v>11281054</v>
          </cell>
        </row>
        <row r="480">
          <cell r="F480">
            <v>2675514</v>
          </cell>
        </row>
        <row r="481">
          <cell r="F481">
            <v>6463016</v>
          </cell>
        </row>
        <row r="482">
          <cell r="F482">
            <v>1973488</v>
          </cell>
        </row>
        <row r="483">
          <cell r="F483">
            <v>44288517</v>
          </cell>
        </row>
        <row r="484">
          <cell r="F484">
            <v>13328212</v>
          </cell>
        </row>
        <row r="485">
          <cell r="F485">
            <v>0</v>
          </cell>
        </row>
        <row r="486">
          <cell r="F486">
            <v>80009801</v>
          </cell>
        </row>
        <row r="488">
          <cell r="F488">
            <v>0</v>
          </cell>
        </row>
        <row r="489">
          <cell r="F489">
            <v>0</v>
          </cell>
        </row>
        <row r="490">
          <cell r="F490">
            <v>-9.5367431640625E-6</v>
          </cell>
        </row>
      </sheetData>
      <sheetData sheetId="3"/>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Working of Prop Div"/>
      <sheetName val="Instruction Sheet"/>
      <sheetName val="AJV Sheet Current Year"/>
      <sheetName val="AJV Sheet Previous Year"/>
      <sheetName val="re-schedule balancesheet"/>
      <sheetName val="cash flow tb"/>
      <sheetName val="Revised cash flow"/>
      <sheetName val="TB CY"/>
      <sheetName val="TB PY"/>
      <sheetName val="TB PPY"/>
      <sheetName val="cash flow working "/>
      <sheetName val="cash flow assets"/>
      <sheetName val="Pivot of TB"/>
      <sheetName val="TB Sheet"/>
      <sheetName val="CF Assets"/>
      <sheetName val="Loan Sch PY"/>
      <sheetName val="1A .Ratio Analysis"/>
      <sheetName val="Deposit Regroup CY"/>
      <sheetName val="1. Bal Sheet"/>
      <sheetName val="2. Prof &amp;L"/>
      <sheetName val="3.CF (New)"/>
      <sheetName val="4.BS SHARE"/>
      <sheetName val="5.BS Notes"/>
      <sheetName val="5.1 31.03.13"/>
      <sheetName val="6.PL Notes"/>
      <sheetName val="4.1 31.03.14"/>
      <sheetName val="4.2 31.03.14"/>
      <sheetName val="5.2 31.03.13"/>
      <sheetName val="7.1 31.03.14"/>
      <sheetName val="FA Working Not to use"/>
      <sheetName val="FA Working"/>
      <sheetName val="FA Sch 11"/>
      <sheetName val="11.3 to11.10"/>
      <sheetName val="12.2"/>
      <sheetName val=" 40.1 "/>
      <sheetName val="OTH NOTE 1"/>
      <sheetName val="Oth Notes 2 "/>
      <sheetName val="Ret Report CY"/>
      <sheetName val="Ret Report PY"/>
      <sheetName val="rent current year"/>
      <sheetName val="Term loan 31.03.2014"/>
      <sheetName val="Rent-previous year"/>
      <sheetName val="7.Term Loan 31.03.2013"/>
      <sheetName val="Loans to Emp-CY"/>
      <sheetName val="Loans to Emp"/>
      <sheetName val="Cenvat CY"/>
      <sheetName val="Cenvat PY"/>
      <sheetName val="Qty details Previous Year"/>
      <sheetName val="Qty details Current Year"/>
      <sheetName val="Excise current year (2)"/>
      <sheetName val="Excise current year"/>
      <sheetName val="Excise Previous Year"/>
      <sheetName val="vendor regroup current year "/>
      <sheetName val="Vendor Regroup Previous Year"/>
      <sheetName val="Prio Period-PY"/>
      <sheetName val="Prior Period-CY"/>
      <sheetName val="Vendor Bifurcation PY"/>
      <sheetName val="Adv Against Exp PY"/>
      <sheetName val="Adv Against Exp CY"/>
      <sheetName val="Loan to Emp PY"/>
      <sheetName val="Debtor Ageing PY"/>
      <sheetName val="Long-Term Borrowings"/>
    </sheetNames>
    <sheetDataSet>
      <sheetData sheetId="0"/>
      <sheetData sheetId="1"/>
      <sheetData sheetId="2">
        <row r="31">
          <cell r="D31">
            <v>0</v>
          </cell>
        </row>
      </sheetData>
      <sheetData sheetId="3">
        <row r="3">
          <cell r="E3" t="str">
            <v>Share Capital</v>
          </cell>
        </row>
      </sheetData>
      <sheetData sheetId="4"/>
      <sheetData sheetId="5"/>
      <sheetData sheetId="6"/>
      <sheetData sheetId="7"/>
      <sheetData sheetId="8"/>
      <sheetData sheetId="9"/>
      <sheetData sheetId="10"/>
      <sheetData sheetId="11"/>
      <sheetData sheetId="12"/>
      <sheetData sheetId="13"/>
      <sheetData sheetId="14">
        <row r="4">
          <cell r="C4" t="str">
            <v>Check-TB</v>
          </cell>
        </row>
      </sheetData>
      <sheetData sheetId="15"/>
      <sheetData sheetId="16"/>
      <sheetData sheetId="17"/>
      <sheetData sheetId="18"/>
      <sheetData sheetId="19">
        <row r="13">
          <cell r="F13">
            <v>0</v>
          </cell>
        </row>
      </sheetData>
      <sheetData sheetId="20">
        <row r="42">
          <cell r="D42">
            <v>-12.218590709980651</v>
          </cell>
        </row>
      </sheetData>
      <sheetData sheetId="21"/>
      <sheetData sheetId="22"/>
      <sheetData sheetId="23">
        <row r="5">
          <cell r="G5" t="str">
            <v>As at 31st March 2014</v>
          </cell>
        </row>
      </sheetData>
      <sheetData sheetId="24"/>
      <sheetData sheetId="25"/>
      <sheetData sheetId="26"/>
      <sheetData sheetId="27"/>
      <sheetData sheetId="28"/>
      <sheetData sheetId="29"/>
      <sheetData sheetId="30"/>
      <sheetData sheetId="31">
        <row r="1">
          <cell r="E1" t="str">
            <v>Gross Block</v>
          </cell>
        </row>
      </sheetData>
      <sheetData sheetId="32"/>
      <sheetData sheetId="33">
        <row r="14">
          <cell r="G14">
            <v>1994250304</v>
          </cell>
        </row>
      </sheetData>
      <sheetData sheetId="34"/>
      <sheetData sheetId="35"/>
      <sheetData sheetId="36"/>
      <sheetData sheetId="37"/>
      <sheetData sheetId="38"/>
      <sheetData sheetId="39"/>
      <sheetData sheetId="40">
        <row r="170">
          <cell r="N170">
            <v>25897273.601287667</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Lead"/>
      <sheetName val="3.Grouping - Profit &amp; Loss(mio)"/>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Lead"/>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b (2)"/>
      <sheetName val="deb"/>
      <sheetName val="rtl"/>
      <sheetName val="fcl"/>
      <sheetName val="guar comm"/>
      <sheetName val="commitment "/>
      <sheetName val="cmc adv"/>
      <sheetName val="SCH"/>
      <sheetName val="Sheet2"/>
      <sheetName val="Instruction Sheet"/>
      <sheetName val="Clause 9"/>
    </sheetNames>
    <sheetDataSet>
      <sheetData sheetId="0" refreshError="1"/>
      <sheetData sheetId="1" refreshError="1"/>
      <sheetData sheetId="2" refreshError="1">
        <row r="46">
          <cell r="A46">
            <v>5</v>
          </cell>
          <cell r="B46" t="str">
            <v>Stabdard Chartered Bank</v>
          </cell>
          <cell r="G46">
            <v>-6081237</v>
          </cell>
        </row>
        <row r="47">
          <cell r="B47" t="str">
            <v>Final Settlement</v>
          </cell>
        </row>
        <row r="49">
          <cell r="B49" t="str">
            <v>Total</v>
          </cell>
          <cell r="C49">
            <v>11757784997</v>
          </cell>
          <cell r="G49">
            <v>415514633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 val="SUMMERY"/>
      <sheetName val="Para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20">
          <cell r="C20" t="str">
            <v>ANDAMAN AND NICOBAR ISLANDS-01</v>
          </cell>
        </row>
        <row r="21">
          <cell r="C21" t="str">
            <v>ANDHRA PRADESH-02</v>
          </cell>
        </row>
        <row r="22">
          <cell r="C22" t="str">
            <v>ARUNACHAL PRADESH-03</v>
          </cell>
        </row>
        <row r="23">
          <cell r="C23" t="str">
            <v>ASSAM-04</v>
          </cell>
        </row>
        <row r="24">
          <cell r="C24" t="str">
            <v>BIHAR-05</v>
          </cell>
        </row>
        <row r="25">
          <cell r="C25" t="str">
            <v>CHANDIGARH-06</v>
          </cell>
        </row>
        <row r="26">
          <cell r="C26" t="str">
            <v>DADRA &amp; NAGAR HAVELI-07</v>
          </cell>
        </row>
        <row r="27">
          <cell r="C27" t="str">
            <v>DAMAN &amp; DIU-08</v>
          </cell>
        </row>
        <row r="28">
          <cell r="C28" t="str">
            <v>DELHI-09</v>
          </cell>
        </row>
        <row r="29">
          <cell r="C29" t="str">
            <v>GOA-10</v>
          </cell>
        </row>
        <row r="30">
          <cell r="C30" t="str">
            <v>GUJARAT-11</v>
          </cell>
        </row>
        <row r="31">
          <cell r="C31" t="str">
            <v>HARYANA-12</v>
          </cell>
        </row>
        <row r="32">
          <cell r="C32" t="str">
            <v>HIMACHAL PRADESH-13</v>
          </cell>
        </row>
        <row r="33">
          <cell r="C33" t="str">
            <v>JAMMU &amp; KASHMIR-14</v>
          </cell>
        </row>
        <row r="34">
          <cell r="C34" t="str">
            <v>KARNATAKA-15</v>
          </cell>
        </row>
        <row r="35">
          <cell r="C35" t="str">
            <v>KERALA-16</v>
          </cell>
        </row>
        <row r="36">
          <cell r="C36" t="str">
            <v>LAKHSWADEEP-17</v>
          </cell>
        </row>
        <row r="37">
          <cell r="C37" t="str">
            <v>MADHYA PRADESH-18</v>
          </cell>
        </row>
        <row r="38">
          <cell r="C38" t="str">
            <v>MAHARASHTRA-19</v>
          </cell>
        </row>
        <row r="39">
          <cell r="C39" t="str">
            <v>MANIPUR-20</v>
          </cell>
        </row>
        <row r="40">
          <cell r="C40" t="str">
            <v>MEGHALAYA-21</v>
          </cell>
        </row>
        <row r="41">
          <cell r="C41" t="str">
            <v>MIZORAM-22</v>
          </cell>
        </row>
        <row r="42">
          <cell r="C42" t="str">
            <v>NAGALAND-23</v>
          </cell>
        </row>
        <row r="43">
          <cell r="C43" t="str">
            <v>ORISSA-24</v>
          </cell>
        </row>
        <row r="44">
          <cell r="C44" t="str">
            <v>PONDICHERRY-25</v>
          </cell>
        </row>
        <row r="45">
          <cell r="C45" t="str">
            <v>PUNJAB-26</v>
          </cell>
        </row>
        <row r="46">
          <cell r="C46" t="str">
            <v>RAJASTHAN-27</v>
          </cell>
        </row>
        <row r="47">
          <cell r="C47" t="str">
            <v>SIKKIM-28</v>
          </cell>
        </row>
        <row r="48">
          <cell r="C48" t="str">
            <v>TAMILNADU-29</v>
          </cell>
        </row>
        <row r="49">
          <cell r="C49" t="str">
            <v>TRIPURA-30</v>
          </cell>
        </row>
        <row r="50">
          <cell r="C50" t="str">
            <v>UTTAR PRADESH-31</v>
          </cell>
        </row>
        <row r="51">
          <cell r="C51" t="str">
            <v>WEST BENGAL-32</v>
          </cell>
        </row>
        <row r="52">
          <cell r="C52" t="str">
            <v>CHHATISHGARH-33</v>
          </cell>
        </row>
        <row r="53">
          <cell r="C53" t="str">
            <v>UTTARANCHAL-34</v>
          </cell>
        </row>
        <row r="54">
          <cell r="C54" t="str">
            <v>JHARKHAND-35</v>
          </cell>
        </row>
        <row r="55">
          <cell r="C55" t="str">
            <v>Outside India-99</v>
          </cell>
        </row>
      </sheetData>
      <sheetData sheetId="48" refreshError="1"/>
      <sheetData sheetId="4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retation"/>
      <sheetName val="Sheet1"/>
      <sheetName val="variance"/>
      <sheetName val="PAP VALUE"/>
      <sheetName val="Summary P&amp;L"/>
      <sheetName val="Variance Analysis"/>
      <sheetName val="BOM"/>
      <sheetName val="SCH1"/>
      <sheetName val="sch2"/>
      <sheetName val="sch3"/>
      <sheetName val="Stock Mov"/>
      <sheetName val="Monthwise"/>
      <sheetName val="RECO"/>
      <sheetName val="TB WORK-PAP"/>
      <sheetName val="FINALBS"/>
      <sheetName val="TRIALBALANCE"/>
      <sheetName val="CIF ROCK"/>
      <sheetName val="ABSTRACT"/>
      <sheetName val="Production basis"/>
      <sheetName val="fi"/>
      <sheetName val="MASTER"/>
      <sheetName val="PHPL valuation "/>
      <sheetName val="FORWARD PREMIUM"/>
      <sheetName val="Forex fluctuation"/>
      <sheetName val="LC Interest provision"/>
      <sheetName val="Interest"/>
      <sheetName val="Debt"/>
      <sheetName val="Quantity"/>
      <sheetName val="ManPower"/>
      <sheetName val="Expenses"/>
      <sheetName val="PL"/>
      <sheetName val="BS"/>
      <sheetName val="WC"/>
      <sheetName val="Capex "/>
      <sheetName val="OUTSIDE ENTRY"/>
      <sheetName val="Reconci"/>
      <sheetName val="Ref"/>
      <sheetName val="Lead"/>
      <sheetName val="Cons"/>
      <sheetName val="SCH"/>
      <sheetName val="Input"/>
      <sheetName val="Investment"/>
      <sheetName val="a-4"/>
      <sheetName val="Masters"/>
      <sheetName val="deb"/>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12501</v>
          </cell>
          <cell r="B5" t="str">
            <v>PROFIT &amp; LOSS A\C</v>
          </cell>
          <cell r="G5">
            <v>302664260.25</v>
          </cell>
        </row>
        <row r="6">
          <cell r="A6">
            <v>12571</v>
          </cell>
          <cell r="B6" t="str">
            <v>GENERAL RESERVE</v>
          </cell>
          <cell r="H6">
            <v>302664260.25</v>
          </cell>
        </row>
        <row r="7">
          <cell r="A7">
            <v>13101</v>
          </cell>
          <cell r="B7" t="str">
            <v>CORPORATE OFFICE</v>
          </cell>
          <cell r="E7">
            <v>2209176</v>
          </cell>
          <cell r="F7">
            <v>3788982</v>
          </cell>
        </row>
        <row r="8">
          <cell r="A8">
            <v>13111</v>
          </cell>
          <cell r="B8" t="str">
            <v>COPP.SMELTER - TTN</v>
          </cell>
          <cell r="C8">
            <v>258681246.05000001</v>
          </cell>
          <cell r="D8">
            <v>67869546.519999996</v>
          </cell>
          <cell r="E8">
            <v>2649437629.0799999</v>
          </cell>
          <cell r="F8">
            <v>2475435829.77</v>
          </cell>
          <cell r="H8">
            <v>1270744833.3599999</v>
          </cell>
        </row>
        <row r="9">
          <cell r="A9">
            <v>13115</v>
          </cell>
          <cell r="B9" t="str">
            <v>SMELTER CPP-TTN</v>
          </cell>
          <cell r="C9">
            <v>1366046.07</v>
          </cell>
          <cell r="D9">
            <v>32377335.899999999</v>
          </cell>
          <cell r="E9">
            <v>6870315.1699999999</v>
          </cell>
          <cell r="F9">
            <v>293052060.20999998</v>
          </cell>
          <cell r="H9">
            <v>215166551.97999999</v>
          </cell>
        </row>
        <row r="10">
          <cell r="A10">
            <v>16717</v>
          </cell>
          <cell r="B10" t="str">
            <v>CLG.ICICI-601 A/C</v>
          </cell>
          <cell r="E10">
            <v>56737</v>
          </cell>
          <cell r="F10">
            <v>56737</v>
          </cell>
        </row>
        <row r="11">
          <cell r="A11">
            <v>18101</v>
          </cell>
          <cell r="B11" t="str">
            <v>TNGST -DFFR.SML</v>
          </cell>
          <cell r="C11">
            <v>2289115</v>
          </cell>
          <cell r="D11">
            <v>8789746</v>
          </cell>
          <cell r="E11">
            <v>47922739.289999999</v>
          </cell>
          <cell r="F11">
            <v>116681803.29000001</v>
          </cell>
          <cell r="H11">
            <v>215984858</v>
          </cell>
        </row>
        <row r="12">
          <cell r="A12">
            <v>18102</v>
          </cell>
          <cell r="B12" t="str">
            <v>CST DFFR-SMT</v>
          </cell>
          <cell r="C12">
            <v>1992309</v>
          </cell>
          <cell r="D12">
            <v>8355362</v>
          </cell>
          <cell r="E12">
            <v>25105844.579999998</v>
          </cell>
          <cell r="F12">
            <v>61748911.579999998</v>
          </cell>
          <cell r="H12">
            <v>196889223</v>
          </cell>
        </row>
        <row r="13">
          <cell r="A13">
            <v>21101</v>
          </cell>
          <cell r="B13" t="str">
            <v>ACCEPTANCE-USANCE L.</v>
          </cell>
          <cell r="D13">
            <v>474560371.14999998</v>
          </cell>
          <cell r="F13">
            <v>474560371.14999998</v>
          </cell>
          <cell r="H13">
            <v>474560371.14999998</v>
          </cell>
        </row>
        <row r="14">
          <cell r="A14">
            <v>21201</v>
          </cell>
          <cell r="B14" t="str">
            <v>S. CREDITORS-RAW MAT</v>
          </cell>
          <cell r="C14">
            <v>519279683.49000001</v>
          </cell>
          <cell r="D14">
            <v>206000424.44999999</v>
          </cell>
          <cell r="E14">
            <v>3007658060.8499999</v>
          </cell>
          <cell r="F14">
            <v>2441202969.8600001</v>
          </cell>
          <cell r="H14">
            <v>66349867.850000001</v>
          </cell>
        </row>
        <row r="15">
          <cell r="A15">
            <v>21202</v>
          </cell>
          <cell r="B15" t="str">
            <v>S. CREDITORS-SPARES</v>
          </cell>
          <cell r="C15">
            <v>26400701.920000002</v>
          </cell>
          <cell r="D15">
            <v>27008338.789999999</v>
          </cell>
          <cell r="E15">
            <v>473192423.38999999</v>
          </cell>
          <cell r="F15">
            <v>473477454.69</v>
          </cell>
          <cell r="H15">
            <v>8733275.1999999993</v>
          </cell>
        </row>
        <row r="16">
          <cell r="A16">
            <v>21203</v>
          </cell>
          <cell r="B16" t="str">
            <v>S. CREDITORS-EXP</v>
          </cell>
          <cell r="C16">
            <v>30573665.809999999</v>
          </cell>
          <cell r="D16">
            <v>30955787.809999999</v>
          </cell>
          <cell r="E16">
            <v>333961461.31</v>
          </cell>
          <cell r="F16">
            <v>333970403.31</v>
          </cell>
          <cell r="H16">
            <v>4232506</v>
          </cell>
        </row>
        <row r="17">
          <cell r="A17">
            <v>21204</v>
          </cell>
          <cell r="B17" t="str">
            <v>S. CREDITORS-EMP</v>
          </cell>
          <cell r="F17">
            <v>6540</v>
          </cell>
        </row>
        <row r="18">
          <cell r="A18">
            <v>21205</v>
          </cell>
          <cell r="B18" t="str">
            <v>S. CREDITORS-I.U</v>
          </cell>
          <cell r="D18">
            <v>238790590</v>
          </cell>
          <cell r="F18">
            <v>307785190</v>
          </cell>
          <cell r="H18">
            <v>307785190</v>
          </cell>
        </row>
        <row r="19">
          <cell r="A19">
            <v>21211</v>
          </cell>
          <cell r="B19" t="str">
            <v>S. CREDITORS-PROJ</v>
          </cell>
          <cell r="C19">
            <v>1834122</v>
          </cell>
          <cell r="D19">
            <v>165000</v>
          </cell>
          <cell r="E19">
            <v>17533262.469999999</v>
          </cell>
          <cell r="F19">
            <v>17172815</v>
          </cell>
          <cell r="G19">
            <v>382040.47</v>
          </cell>
        </row>
        <row r="20">
          <cell r="A20">
            <v>21213</v>
          </cell>
          <cell r="B20" t="str">
            <v>GRIR CLRNG-R.M. A/C</v>
          </cell>
          <cell r="C20">
            <v>254637814.66999999</v>
          </cell>
          <cell r="D20">
            <v>254637814.66999999</v>
          </cell>
          <cell r="E20">
            <v>1773520106.77</v>
          </cell>
          <cell r="F20">
            <v>1772883707.9100001</v>
          </cell>
        </row>
        <row r="21">
          <cell r="A21">
            <v>21214</v>
          </cell>
          <cell r="B21" t="str">
            <v>GRIR CLEARING A/C-SS</v>
          </cell>
          <cell r="C21">
            <v>10246434.550000001</v>
          </cell>
          <cell r="D21">
            <v>3495586.14</v>
          </cell>
          <cell r="E21">
            <v>74599847.930000007</v>
          </cell>
          <cell r="F21">
            <v>74733591.189999998</v>
          </cell>
          <cell r="H21">
            <v>167740.39000000001</v>
          </cell>
        </row>
        <row r="22">
          <cell r="A22">
            <v>21215</v>
          </cell>
          <cell r="B22" t="str">
            <v>FREIGHT CLEARING A/C</v>
          </cell>
          <cell r="C22">
            <v>523509.62</v>
          </cell>
          <cell r="D22">
            <v>204880.45</v>
          </cell>
          <cell r="E22">
            <v>2979146.76</v>
          </cell>
          <cell r="F22">
            <v>2511661.61</v>
          </cell>
          <cell r="H22">
            <v>15022.25</v>
          </cell>
        </row>
        <row r="23">
          <cell r="A23">
            <v>21216</v>
          </cell>
          <cell r="B23" t="str">
            <v>CUSTOM CLEARING A/C</v>
          </cell>
          <cell r="C23">
            <v>8691113.3699999992</v>
          </cell>
          <cell r="D23">
            <v>8637965.1600000001</v>
          </cell>
          <cell r="E23">
            <v>72608470.719999999</v>
          </cell>
          <cell r="F23">
            <v>72598525.120000005</v>
          </cell>
          <cell r="H23">
            <v>20011.099999999999</v>
          </cell>
        </row>
        <row r="24">
          <cell r="A24">
            <v>21217</v>
          </cell>
          <cell r="B24" t="str">
            <v>MODVAT CLEARING A/C</v>
          </cell>
          <cell r="C24">
            <v>3851895.75</v>
          </cell>
          <cell r="D24">
            <v>3116164.32</v>
          </cell>
          <cell r="E24">
            <v>45116565.229999997</v>
          </cell>
          <cell r="F24">
            <v>44691050.43</v>
          </cell>
          <cell r="H24">
            <v>291824</v>
          </cell>
        </row>
        <row r="25">
          <cell r="A25">
            <v>21220</v>
          </cell>
          <cell r="B25" t="str">
            <v>PORT WH&amp;MISC CLG A/C</v>
          </cell>
          <cell r="C25">
            <v>28681863.800000001</v>
          </cell>
          <cell r="D25">
            <v>32174337.289999999</v>
          </cell>
          <cell r="E25">
            <v>283930130.66000003</v>
          </cell>
          <cell r="F25">
            <v>289798507.76999998</v>
          </cell>
          <cell r="H25">
            <v>5985589.4299999997</v>
          </cell>
        </row>
        <row r="26">
          <cell r="A26">
            <v>21221</v>
          </cell>
          <cell r="B26" t="str">
            <v>RET.MONEY</v>
          </cell>
          <cell r="C26">
            <v>3089975.46</v>
          </cell>
          <cell r="D26">
            <v>2651263.46</v>
          </cell>
          <cell r="E26">
            <v>18670744.809999999</v>
          </cell>
          <cell r="F26">
            <v>51748048.560000002</v>
          </cell>
          <cell r="H26">
            <v>35061487.75</v>
          </cell>
        </row>
        <row r="27">
          <cell r="A27">
            <v>21222</v>
          </cell>
          <cell r="B27" t="str">
            <v>RET. MONEY-PROJECT</v>
          </cell>
          <cell r="D27">
            <v>200000</v>
          </cell>
          <cell r="E27">
            <v>38950</v>
          </cell>
          <cell r="F27">
            <v>1958950</v>
          </cell>
          <cell r="H27">
            <v>1920000</v>
          </cell>
        </row>
        <row r="28">
          <cell r="A28">
            <v>21226</v>
          </cell>
          <cell r="B28" t="str">
            <v>L. D.-PROJ-UNSETTLED</v>
          </cell>
          <cell r="D28">
            <v>488128</v>
          </cell>
          <cell r="F28">
            <v>2167426</v>
          </cell>
          <cell r="H28">
            <v>2187736</v>
          </cell>
        </row>
        <row r="29">
          <cell r="A29">
            <v>21232</v>
          </cell>
          <cell r="B29" t="str">
            <v>GRIR CLRNG-EXP.A/C</v>
          </cell>
          <cell r="C29">
            <v>28055912.91</v>
          </cell>
          <cell r="D29">
            <v>21915977.890000001</v>
          </cell>
          <cell r="E29">
            <v>401165044.19</v>
          </cell>
          <cell r="F29">
            <v>402352186.13</v>
          </cell>
          <cell r="H29">
            <v>3761259.17</v>
          </cell>
        </row>
        <row r="30">
          <cell r="A30">
            <v>21239</v>
          </cell>
          <cell r="B30" t="str">
            <v>SERV TAX CLEARING AC</v>
          </cell>
          <cell r="C30">
            <v>983332.3</v>
          </cell>
          <cell r="D30">
            <v>924573.7</v>
          </cell>
          <cell r="E30">
            <v>2910642.35</v>
          </cell>
          <cell r="F30">
            <v>2540650.58</v>
          </cell>
          <cell r="G30">
            <v>369991.77</v>
          </cell>
        </row>
        <row r="31">
          <cell r="A31">
            <v>21306</v>
          </cell>
          <cell r="B31" t="str">
            <v>MATL RECD ON LOAN</v>
          </cell>
          <cell r="E31">
            <v>42366570.869999997</v>
          </cell>
          <cell r="F31">
            <v>42204756.789999999</v>
          </cell>
        </row>
        <row r="32">
          <cell r="A32">
            <v>21327</v>
          </cell>
          <cell r="B32" t="str">
            <v>BK GTEE RECD SPGL VD</v>
          </cell>
          <cell r="D32">
            <v>460355</v>
          </cell>
          <cell r="E32">
            <v>3566525</v>
          </cell>
          <cell r="F32">
            <v>28269618</v>
          </cell>
          <cell r="H32">
            <v>31783294</v>
          </cell>
        </row>
        <row r="33">
          <cell r="A33">
            <v>21328</v>
          </cell>
          <cell r="B33" t="str">
            <v>BK GTEE RECD CLR-VND</v>
          </cell>
          <cell r="C33">
            <v>460355</v>
          </cell>
          <cell r="E33">
            <v>28169618</v>
          </cell>
          <cell r="F33">
            <v>3466525</v>
          </cell>
          <cell r="G33">
            <v>31783294</v>
          </cell>
        </row>
        <row r="34">
          <cell r="A34">
            <v>21401</v>
          </cell>
          <cell r="B34" t="str">
            <v>TDS PBL - SALARY</v>
          </cell>
          <cell r="D34">
            <v>5363</v>
          </cell>
          <cell r="E34">
            <v>199717</v>
          </cell>
          <cell r="F34">
            <v>205080</v>
          </cell>
          <cell r="H34">
            <v>5363</v>
          </cell>
        </row>
        <row r="35">
          <cell r="A35">
            <v>21404</v>
          </cell>
          <cell r="B35" t="str">
            <v>TDS PBL-CONTRACTR</v>
          </cell>
          <cell r="C35">
            <v>841068</v>
          </cell>
          <cell r="D35">
            <v>580135</v>
          </cell>
          <cell r="E35">
            <v>4349072</v>
          </cell>
          <cell r="F35">
            <v>4342348</v>
          </cell>
        </row>
        <row r="36">
          <cell r="A36">
            <v>21405</v>
          </cell>
          <cell r="B36" t="str">
            <v>TDS PBL - RENT</v>
          </cell>
          <cell r="E36">
            <v>91012</v>
          </cell>
          <cell r="F36">
            <v>91012</v>
          </cell>
        </row>
        <row r="37">
          <cell r="A37">
            <v>21406</v>
          </cell>
          <cell r="B37" t="str">
            <v>TDS PBL-TEC&amp;PROF FEE</v>
          </cell>
          <cell r="C37">
            <v>13236</v>
          </cell>
          <cell r="D37">
            <v>10226</v>
          </cell>
          <cell r="E37">
            <v>631622</v>
          </cell>
          <cell r="F37">
            <v>631622</v>
          </cell>
        </row>
        <row r="38">
          <cell r="A38">
            <v>21407</v>
          </cell>
          <cell r="B38" t="str">
            <v>TDS PAYABLE - W.C.T.</v>
          </cell>
          <cell r="C38">
            <v>1041</v>
          </cell>
          <cell r="D38">
            <v>1597</v>
          </cell>
          <cell r="E38">
            <v>25010</v>
          </cell>
          <cell r="F38">
            <v>26607</v>
          </cell>
          <cell r="H38">
            <v>3739</v>
          </cell>
        </row>
        <row r="39">
          <cell r="A39">
            <v>21410</v>
          </cell>
          <cell r="B39" t="str">
            <v>TDS PBL-BROK &amp; COMM.</v>
          </cell>
          <cell r="E39">
            <v>158</v>
          </cell>
          <cell r="F39">
            <v>158</v>
          </cell>
        </row>
        <row r="40">
          <cell r="A40">
            <v>21412</v>
          </cell>
          <cell r="B40" t="str">
            <v>LST PBL-TAMILNADU</v>
          </cell>
          <cell r="C40">
            <v>9492033.1199999992</v>
          </cell>
          <cell r="D40">
            <v>9462358.3699999992</v>
          </cell>
          <cell r="E40">
            <v>133930083.14</v>
          </cell>
          <cell r="F40">
            <v>133917260.23999999</v>
          </cell>
          <cell r="G40">
            <v>1349.78</v>
          </cell>
        </row>
        <row r="41">
          <cell r="A41">
            <v>21437</v>
          </cell>
          <cell r="B41" t="str">
            <v>CST PBL-TAMILNADU</v>
          </cell>
          <cell r="C41">
            <v>6929813.5099999998</v>
          </cell>
          <cell r="D41">
            <v>5645793.9400000004</v>
          </cell>
          <cell r="E41">
            <v>70263016.569999993</v>
          </cell>
          <cell r="F41">
            <v>70189048.719999999</v>
          </cell>
          <cell r="G41">
            <v>73459.91</v>
          </cell>
        </row>
        <row r="42">
          <cell r="A42">
            <v>21454</v>
          </cell>
          <cell r="B42" t="str">
            <v>SURCHARGE ON LST-TN</v>
          </cell>
          <cell r="C42">
            <v>193221</v>
          </cell>
          <cell r="D42">
            <v>111069.62</v>
          </cell>
          <cell r="E42">
            <v>3317550.58</v>
          </cell>
          <cell r="F42">
            <v>3316925.08</v>
          </cell>
          <cell r="G42">
            <v>17427.5</v>
          </cell>
        </row>
        <row r="43">
          <cell r="A43">
            <v>21461</v>
          </cell>
          <cell r="B43" t="str">
            <v>PF PBL</v>
          </cell>
          <cell r="D43">
            <v>552</v>
          </cell>
          <cell r="E43">
            <v>22032</v>
          </cell>
          <cell r="F43">
            <v>22584</v>
          </cell>
          <cell r="H43">
            <v>552</v>
          </cell>
        </row>
        <row r="44">
          <cell r="A44">
            <v>21483</v>
          </cell>
          <cell r="B44" t="str">
            <v>EXCISE DUTY PAYABLE</v>
          </cell>
          <cell r="C44">
            <v>2528021</v>
          </cell>
          <cell r="D44">
            <v>2528021</v>
          </cell>
          <cell r="E44">
            <v>31915980.640000001</v>
          </cell>
          <cell r="F44">
            <v>31915980.640000001</v>
          </cell>
        </row>
        <row r="45">
          <cell r="A45">
            <v>21491</v>
          </cell>
          <cell r="B45" t="str">
            <v>TCS PBL-SCRAP SALES</v>
          </cell>
          <cell r="E45">
            <v>1896.09</v>
          </cell>
          <cell r="F45">
            <v>1896.09</v>
          </cell>
        </row>
        <row r="46">
          <cell r="A46">
            <v>21601</v>
          </cell>
          <cell r="B46" t="str">
            <v>SEC DEP-CUST-FG</v>
          </cell>
          <cell r="F46">
            <v>20000</v>
          </cell>
          <cell r="G46">
            <v>80000</v>
          </cell>
        </row>
        <row r="47">
          <cell r="A47">
            <v>21603</v>
          </cell>
          <cell r="B47" t="str">
            <v>SEC DEP- SUPPLIERS</v>
          </cell>
          <cell r="C47">
            <v>457874</v>
          </cell>
          <cell r="D47">
            <v>200000</v>
          </cell>
          <cell r="E47">
            <v>1482874</v>
          </cell>
          <cell r="F47">
            <v>2152874</v>
          </cell>
          <cell r="H47">
            <v>1425000</v>
          </cell>
        </row>
        <row r="48">
          <cell r="A48">
            <v>21606</v>
          </cell>
          <cell r="B48" t="str">
            <v>CESS PAYABLE</v>
          </cell>
          <cell r="C48">
            <v>50645.33</v>
          </cell>
          <cell r="D48">
            <v>50645.33</v>
          </cell>
          <cell r="E48">
            <v>483547.93</v>
          </cell>
          <cell r="F48">
            <v>483547.93</v>
          </cell>
        </row>
        <row r="49">
          <cell r="A49">
            <v>21704</v>
          </cell>
          <cell r="B49" t="str">
            <v>FREIGHT PBL</v>
          </cell>
          <cell r="C49">
            <v>12656616.380000001</v>
          </cell>
          <cell r="D49">
            <v>15353641.140000001</v>
          </cell>
          <cell r="E49">
            <v>124542260</v>
          </cell>
          <cell r="F49">
            <v>129867529.06999999</v>
          </cell>
          <cell r="H49">
            <v>8801386.7400000002</v>
          </cell>
        </row>
        <row r="50">
          <cell r="A50">
            <v>21707</v>
          </cell>
          <cell r="B50" t="str">
            <v>SUND PARTY UNCLAM BA</v>
          </cell>
          <cell r="E50">
            <v>13557.02</v>
          </cell>
          <cell r="F50">
            <v>48843.13</v>
          </cell>
          <cell r="H50">
            <v>35286.11</v>
          </cell>
        </row>
        <row r="51">
          <cell r="A51">
            <v>21709</v>
          </cell>
          <cell r="B51" t="str">
            <v>OUTSTANDING LIAB.</v>
          </cell>
          <cell r="C51">
            <v>17850429.149999999</v>
          </cell>
          <cell r="D51">
            <v>23915131.280000001</v>
          </cell>
          <cell r="E51">
            <v>289804165.93000001</v>
          </cell>
          <cell r="F51">
            <v>292896808.20999998</v>
          </cell>
          <cell r="H51">
            <v>5900552.2800000003</v>
          </cell>
        </row>
        <row r="52">
          <cell r="A52">
            <v>21761</v>
          </cell>
          <cell r="B52" t="str">
            <v>SALARIES PBL</v>
          </cell>
          <cell r="E52">
            <v>131538</v>
          </cell>
          <cell r="F52">
            <v>131538</v>
          </cell>
        </row>
        <row r="53">
          <cell r="A53">
            <v>21802</v>
          </cell>
          <cell r="B53" t="str">
            <v>INTEREST RECD IN ADV</v>
          </cell>
          <cell r="E53">
            <v>705818</v>
          </cell>
        </row>
        <row r="54">
          <cell r="A54">
            <v>25403</v>
          </cell>
          <cell r="B54" t="str">
            <v>PROV.FORWD PREMIUM</v>
          </cell>
          <cell r="C54">
            <v>1376188</v>
          </cell>
          <cell r="D54">
            <v>1983741</v>
          </cell>
          <cell r="E54">
            <v>25408589</v>
          </cell>
          <cell r="F54">
            <v>27392330</v>
          </cell>
          <cell r="H54">
            <v>1983741</v>
          </cell>
        </row>
        <row r="55">
          <cell r="A55">
            <v>31201</v>
          </cell>
          <cell r="B55" t="str">
            <v>BUILDINGS-FACTORY</v>
          </cell>
          <cell r="G55">
            <v>88382894</v>
          </cell>
        </row>
        <row r="56">
          <cell r="A56">
            <v>31202</v>
          </cell>
          <cell r="B56" t="str">
            <v>BUILD-FACTR-LEASEHLD</v>
          </cell>
          <cell r="G56">
            <v>4896121.82</v>
          </cell>
        </row>
        <row r="57">
          <cell r="A57">
            <v>31211</v>
          </cell>
          <cell r="B57" t="str">
            <v>BUILDINGS-OFFICE</v>
          </cell>
          <cell r="E57">
            <v>323876.58</v>
          </cell>
          <cell r="G57">
            <v>323876.58</v>
          </cell>
        </row>
        <row r="58">
          <cell r="A58">
            <v>31301</v>
          </cell>
          <cell r="B58" t="str">
            <v>PLANT &amp; MACHINERY</v>
          </cell>
          <cell r="C58">
            <v>194880688.03</v>
          </cell>
          <cell r="E58">
            <v>230662192.83000001</v>
          </cell>
          <cell r="F58">
            <v>246000</v>
          </cell>
          <cell r="G58">
            <v>2534333892.96</v>
          </cell>
        </row>
        <row r="59">
          <cell r="A59">
            <v>31302</v>
          </cell>
          <cell r="B59" t="str">
            <v>ELEC. INSTAL&amp;FITTING</v>
          </cell>
          <cell r="C59">
            <v>8547098</v>
          </cell>
          <cell r="D59">
            <v>1020</v>
          </cell>
          <cell r="E59">
            <v>10342730.32</v>
          </cell>
          <cell r="F59">
            <v>1020.32</v>
          </cell>
          <cell r="G59">
            <v>11099780.880000001</v>
          </cell>
        </row>
        <row r="60">
          <cell r="A60">
            <v>31361</v>
          </cell>
          <cell r="B60" t="str">
            <v>OFFICE EQUIPMENTS</v>
          </cell>
          <cell r="C60">
            <v>135000</v>
          </cell>
          <cell r="E60">
            <v>184025</v>
          </cell>
          <cell r="G60">
            <v>398767.88</v>
          </cell>
        </row>
        <row r="61">
          <cell r="A61">
            <v>31362</v>
          </cell>
          <cell r="B61" t="str">
            <v>I.T. EQUIPMENTS</v>
          </cell>
          <cell r="E61">
            <v>37000</v>
          </cell>
          <cell r="G61">
            <v>306680</v>
          </cell>
        </row>
        <row r="62">
          <cell r="A62">
            <v>31401</v>
          </cell>
          <cell r="B62" t="str">
            <v>FURNITURE &amp; FIXTURE</v>
          </cell>
          <cell r="C62">
            <v>38000</v>
          </cell>
          <cell r="D62">
            <v>19000</v>
          </cell>
          <cell r="E62">
            <v>38000</v>
          </cell>
          <cell r="F62">
            <v>19000</v>
          </cell>
          <cell r="G62">
            <v>112990.37</v>
          </cell>
        </row>
        <row r="63">
          <cell r="A63">
            <v>31501</v>
          </cell>
          <cell r="B63" t="str">
            <v>VEHICLES</v>
          </cell>
          <cell r="G63">
            <v>391180</v>
          </cell>
        </row>
        <row r="64">
          <cell r="A64">
            <v>32201</v>
          </cell>
          <cell r="B64" t="str">
            <v>ACC. DEP BUILD-FACT.</v>
          </cell>
          <cell r="D64">
            <v>245999.05</v>
          </cell>
          <cell r="F64">
            <v>2951988.66</v>
          </cell>
          <cell r="H64">
            <v>14267945.199999999</v>
          </cell>
        </row>
        <row r="65">
          <cell r="A65">
            <v>32202</v>
          </cell>
          <cell r="B65" t="str">
            <v>ACC.DEP BLD-FCT-LEAS</v>
          </cell>
          <cell r="D65">
            <v>6650.57</v>
          </cell>
          <cell r="F65">
            <v>79806.789999999994</v>
          </cell>
          <cell r="H65">
            <v>120689.41</v>
          </cell>
        </row>
        <row r="66">
          <cell r="A66">
            <v>32211</v>
          </cell>
          <cell r="B66" t="str">
            <v>ACC.DEP BUILD.-OFFIC</v>
          </cell>
          <cell r="D66">
            <v>439.93</v>
          </cell>
          <cell r="F66">
            <v>1759.73</v>
          </cell>
          <cell r="H66">
            <v>1759.73</v>
          </cell>
        </row>
        <row r="67">
          <cell r="A67">
            <v>32301</v>
          </cell>
          <cell r="B67" t="str">
            <v>ACC. DEP P &amp; M</v>
          </cell>
          <cell r="D67">
            <v>12545558.539999999</v>
          </cell>
          <cell r="F67">
            <v>124387748.5</v>
          </cell>
          <cell r="H67">
            <v>577592711.63999999</v>
          </cell>
        </row>
        <row r="68">
          <cell r="A68">
            <v>32302</v>
          </cell>
          <cell r="B68" t="str">
            <v>ACC.DEP ELC INSTL&amp;FI</v>
          </cell>
          <cell r="C68">
            <v>6737.21</v>
          </cell>
          <cell r="D68">
            <v>70577.990000000005</v>
          </cell>
          <cell r="E68">
            <v>6737.21</v>
          </cell>
          <cell r="F68">
            <v>146379.95000000001</v>
          </cell>
          <cell r="H68">
            <v>178651.81</v>
          </cell>
        </row>
        <row r="69">
          <cell r="A69">
            <v>32361</v>
          </cell>
          <cell r="B69" t="str">
            <v>ACC. DEP OFF EQUIP</v>
          </cell>
          <cell r="D69">
            <v>5306.81</v>
          </cell>
          <cell r="F69">
            <v>15434.17</v>
          </cell>
          <cell r="H69">
            <v>16963.45</v>
          </cell>
        </row>
        <row r="70">
          <cell r="A70">
            <v>32362</v>
          </cell>
          <cell r="B70" t="str">
            <v>ACC. DEP I.T.EQUIP</v>
          </cell>
          <cell r="D70">
            <v>4142.74</v>
          </cell>
          <cell r="F70">
            <v>46713.99</v>
          </cell>
          <cell r="H70">
            <v>79002.16</v>
          </cell>
        </row>
        <row r="71">
          <cell r="A71">
            <v>32401</v>
          </cell>
          <cell r="B71" t="str">
            <v>ACC.DEP. FUR &amp;  FIXT</v>
          </cell>
          <cell r="D71">
            <v>408.09</v>
          </cell>
          <cell r="F71">
            <v>3794.76</v>
          </cell>
          <cell r="H71">
            <v>42943.8</v>
          </cell>
        </row>
        <row r="72">
          <cell r="A72">
            <v>32501</v>
          </cell>
          <cell r="B72" t="str">
            <v>ACC. DEP. VEHICLES</v>
          </cell>
          <cell r="D72">
            <v>3096.84</v>
          </cell>
          <cell r="F72">
            <v>37162.1</v>
          </cell>
          <cell r="H72">
            <v>71227.360000000001</v>
          </cell>
        </row>
        <row r="73">
          <cell r="A73">
            <v>33202</v>
          </cell>
          <cell r="B73" t="str">
            <v>CWIP OFF BUILDINGS</v>
          </cell>
          <cell r="E73">
            <v>444779.7</v>
          </cell>
          <cell r="F73">
            <v>470779.7</v>
          </cell>
        </row>
        <row r="74">
          <cell r="A74">
            <v>33301</v>
          </cell>
          <cell r="B74" t="str">
            <v>CWIP PLANT &amp; MACH</v>
          </cell>
          <cell r="C74">
            <v>22477555.629999999</v>
          </cell>
          <cell r="D74">
            <v>197158857.21000001</v>
          </cell>
          <cell r="E74">
            <v>321362849.62</v>
          </cell>
          <cell r="F74">
            <v>283026636.16000003</v>
          </cell>
          <cell r="G74">
            <v>63655205.899999999</v>
          </cell>
        </row>
        <row r="75">
          <cell r="A75">
            <v>33302</v>
          </cell>
          <cell r="B75" t="str">
            <v>CWIP ELECT. INST.</v>
          </cell>
          <cell r="F75">
            <v>598339.73</v>
          </cell>
        </row>
        <row r="76">
          <cell r="A76">
            <v>33361</v>
          </cell>
          <cell r="B76" t="str">
            <v>CWIP OFFICE EQUIP</v>
          </cell>
          <cell r="D76">
            <v>135000</v>
          </cell>
          <cell r="E76">
            <v>135000</v>
          </cell>
          <cell r="F76">
            <v>135000</v>
          </cell>
        </row>
        <row r="77">
          <cell r="A77">
            <v>33801</v>
          </cell>
          <cell r="B77" t="str">
            <v>D.PAY CAPITALIED A/C</v>
          </cell>
          <cell r="C77">
            <v>3916893.9</v>
          </cell>
          <cell r="D77">
            <v>19843199.879999999</v>
          </cell>
          <cell r="E77">
            <v>117051104.68000001</v>
          </cell>
          <cell r="F77">
            <v>114360147.68000001</v>
          </cell>
          <cell r="G77">
            <v>3629362</v>
          </cell>
        </row>
        <row r="78">
          <cell r="A78">
            <v>33802</v>
          </cell>
          <cell r="B78" t="str">
            <v>D.PAY CLEARING A/C</v>
          </cell>
          <cell r="C78">
            <v>19843199.879999999</v>
          </cell>
          <cell r="D78">
            <v>3916893.9</v>
          </cell>
          <cell r="E78">
            <v>114360147.68000001</v>
          </cell>
          <cell r="F78">
            <v>117051104.68000001</v>
          </cell>
          <cell r="H78">
            <v>3629362</v>
          </cell>
        </row>
        <row r="79">
          <cell r="A79">
            <v>33803</v>
          </cell>
          <cell r="B79" t="str">
            <v>D.PAY TANGIBLE ASSET</v>
          </cell>
          <cell r="C79">
            <v>7138314.9000000004</v>
          </cell>
          <cell r="D79">
            <v>20749870.879999999</v>
          </cell>
          <cell r="E79">
            <v>263759356.93000001</v>
          </cell>
          <cell r="F79">
            <v>260265197.18000001</v>
          </cell>
          <cell r="G79">
            <v>6956755.75</v>
          </cell>
        </row>
        <row r="80">
          <cell r="A80">
            <v>36101</v>
          </cell>
          <cell r="B80" t="str">
            <v>INVESTMENT IN NSC</v>
          </cell>
          <cell r="G80">
            <v>10000</v>
          </cell>
        </row>
        <row r="81">
          <cell r="A81">
            <v>42101</v>
          </cell>
          <cell r="B81" t="str">
            <v>INVENTORY-R M</v>
          </cell>
          <cell r="C81">
            <v>2470642.2000000002</v>
          </cell>
          <cell r="D81">
            <v>2415335.35</v>
          </cell>
          <cell r="E81">
            <v>27845190.57</v>
          </cell>
          <cell r="F81">
            <v>27192532.699999999</v>
          </cell>
          <cell r="G81">
            <v>1892674.12</v>
          </cell>
        </row>
        <row r="82">
          <cell r="A82">
            <v>42102</v>
          </cell>
          <cell r="B82" t="str">
            <v>INVENTORY-R M-IMP</v>
          </cell>
          <cell r="C82">
            <v>201169603.81</v>
          </cell>
          <cell r="D82">
            <v>149479768.47</v>
          </cell>
          <cell r="E82">
            <v>1914392113.74</v>
          </cell>
          <cell r="F82">
            <v>1852844303.8</v>
          </cell>
          <cell r="G82">
            <v>62549760.640000001</v>
          </cell>
        </row>
        <row r="83">
          <cell r="A83">
            <v>42103</v>
          </cell>
          <cell r="B83" t="str">
            <v>INVEN- R.M IN TRANSI</v>
          </cell>
          <cell r="C83">
            <v>64256483.200000003</v>
          </cell>
          <cell r="D83">
            <v>41590966.850000001</v>
          </cell>
          <cell r="E83">
            <v>198947639.18000001</v>
          </cell>
          <cell r="F83">
            <v>176282122.83000001</v>
          </cell>
          <cell r="G83">
            <v>22665516.350000001</v>
          </cell>
        </row>
        <row r="84">
          <cell r="A84">
            <v>42111</v>
          </cell>
          <cell r="B84" t="str">
            <v>INVENTORY-Rock Pebbl</v>
          </cell>
          <cell r="E84">
            <v>1804233.35</v>
          </cell>
          <cell r="F84">
            <v>1804233.35</v>
          </cell>
        </row>
        <row r="85">
          <cell r="A85">
            <v>42301</v>
          </cell>
          <cell r="B85" t="str">
            <v>INV-FIN GOODS</v>
          </cell>
          <cell r="C85">
            <v>127986275</v>
          </cell>
          <cell r="D85">
            <v>119322662.5</v>
          </cell>
          <cell r="E85">
            <v>1422791137.5</v>
          </cell>
          <cell r="F85">
            <v>1477058050</v>
          </cell>
          <cell r="G85">
            <v>64475025</v>
          </cell>
        </row>
        <row r="86">
          <cell r="A86">
            <v>42303</v>
          </cell>
          <cell r="B86" t="str">
            <v>INV-FI POSTINGS</v>
          </cell>
          <cell r="G86">
            <v>23342306</v>
          </cell>
        </row>
        <row r="87">
          <cell r="A87">
            <v>42305</v>
          </cell>
          <cell r="B87" t="str">
            <v>INV-SULPHURIC ACID</v>
          </cell>
          <cell r="C87">
            <v>16614600</v>
          </cell>
          <cell r="D87">
            <v>16614600</v>
          </cell>
          <cell r="E87">
            <v>87642000</v>
          </cell>
          <cell r="F87">
            <v>87642000</v>
          </cell>
        </row>
        <row r="88">
          <cell r="A88">
            <v>42401</v>
          </cell>
          <cell r="B88" t="str">
            <v>INV-STORES &amp; SP</v>
          </cell>
          <cell r="C88">
            <v>5143298.1399999997</v>
          </cell>
          <cell r="D88">
            <v>12917256.68</v>
          </cell>
          <cell r="E88">
            <v>53011466.149999999</v>
          </cell>
          <cell r="F88">
            <v>63699142.299999997</v>
          </cell>
          <cell r="G88">
            <v>5248508.76</v>
          </cell>
        </row>
        <row r="89">
          <cell r="A89">
            <v>42402</v>
          </cell>
          <cell r="B89" t="str">
            <v>INV-STR&amp;SPA-IMP</v>
          </cell>
          <cell r="C89">
            <v>1497977.48</v>
          </cell>
          <cell r="D89">
            <v>4414485.88</v>
          </cell>
          <cell r="E89">
            <v>18792406.52</v>
          </cell>
          <cell r="F89">
            <v>21386397.690000001</v>
          </cell>
          <cell r="G89">
            <v>12830056.939999999</v>
          </cell>
        </row>
        <row r="90">
          <cell r="A90">
            <v>42602</v>
          </cell>
          <cell r="B90" t="str">
            <v>INV PETROL PROD</v>
          </cell>
          <cell r="C90">
            <v>300231.01</v>
          </cell>
          <cell r="D90">
            <v>300415.90999999997</v>
          </cell>
          <cell r="E90">
            <v>4973404.7699999996</v>
          </cell>
          <cell r="F90">
            <v>4973404.7699999996</v>
          </cell>
        </row>
        <row r="91">
          <cell r="A91">
            <v>42603</v>
          </cell>
          <cell r="B91" t="str">
            <v>INV RELINING(INDGN)</v>
          </cell>
          <cell r="E91">
            <v>338000</v>
          </cell>
          <cell r="F91">
            <v>338000</v>
          </cell>
        </row>
        <row r="92">
          <cell r="A92">
            <v>43101</v>
          </cell>
          <cell r="B92" t="str">
            <v>S. DEBTORS</v>
          </cell>
          <cell r="C92">
            <v>205078313.63999999</v>
          </cell>
          <cell r="D92">
            <v>276090187.86000001</v>
          </cell>
          <cell r="E92">
            <v>2801159167.46</v>
          </cell>
          <cell r="F92">
            <v>2707417585.5300002</v>
          </cell>
          <cell r="G92">
            <v>239769320.74000001</v>
          </cell>
        </row>
        <row r="93">
          <cell r="A93">
            <v>43107</v>
          </cell>
          <cell r="B93" t="str">
            <v>S. DEBTORS-SCRAP</v>
          </cell>
          <cell r="E93">
            <v>182476.09</v>
          </cell>
          <cell r="F93">
            <v>210000</v>
          </cell>
          <cell r="H93">
            <v>27523.91</v>
          </cell>
        </row>
        <row r="94">
          <cell r="A94">
            <v>43501</v>
          </cell>
          <cell r="B94" t="str">
            <v>ADV. TO CREDITORS</v>
          </cell>
          <cell r="C94">
            <v>6252561.5199999996</v>
          </cell>
          <cell r="D94">
            <v>7592614.4699999997</v>
          </cell>
          <cell r="E94">
            <v>134681745.58000001</v>
          </cell>
          <cell r="F94">
            <v>149107576.09999999</v>
          </cell>
          <cell r="G94">
            <v>889713.48</v>
          </cell>
        </row>
        <row r="95">
          <cell r="A95">
            <v>43751</v>
          </cell>
          <cell r="B95" t="str">
            <v>B.G (REC.)</v>
          </cell>
          <cell r="E95">
            <v>98600000</v>
          </cell>
          <cell r="F95">
            <v>77200000</v>
          </cell>
          <cell r="G95">
            <v>60000000</v>
          </cell>
        </row>
        <row r="96">
          <cell r="A96">
            <v>43752</v>
          </cell>
          <cell r="B96" t="str">
            <v>B.G CLEARING A/C</v>
          </cell>
          <cell r="E96">
            <v>77200000</v>
          </cell>
          <cell r="F96">
            <v>98600000</v>
          </cell>
          <cell r="H96">
            <v>60000000</v>
          </cell>
        </row>
        <row r="97">
          <cell r="A97">
            <v>43753</v>
          </cell>
          <cell r="B97" t="str">
            <v>B/G GIVEN-SP GL-VEND</v>
          </cell>
          <cell r="H97">
            <v>6668287</v>
          </cell>
        </row>
        <row r="98">
          <cell r="A98">
            <v>43754</v>
          </cell>
          <cell r="B98" t="str">
            <v>BK GUARTEE-CLR-VEND</v>
          </cell>
          <cell r="G98">
            <v>6668287</v>
          </cell>
        </row>
        <row r="99">
          <cell r="A99">
            <v>44190</v>
          </cell>
          <cell r="B99" t="str">
            <v>MAIN-IOB-102-12865</v>
          </cell>
          <cell r="C99">
            <v>54</v>
          </cell>
          <cell r="E99">
            <v>6011461</v>
          </cell>
          <cell r="F99">
            <v>6011000</v>
          </cell>
          <cell r="G99">
            <v>6501</v>
          </cell>
        </row>
        <row r="100">
          <cell r="A100">
            <v>44385</v>
          </cell>
          <cell r="B100" t="str">
            <v>CLG-IOB-102-12865</v>
          </cell>
          <cell r="C100">
            <v>54</v>
          </cell>
          <cell r="D100">
            <v>54</v>
          </cell>
          <cell r="E100">
            <v>54</v>
          </cell>
          <cell r="F100">
            <v>54</v>
          </cell>
        </row>
        <row r="101">
          <cell r="A101">
            <v>51143</v>
          </cell>
          <cell r="B101" t="str">
            <v>DEP-EARNEST MONEY</v>
          </cell>
        </row>
        <row r="102">
          <cell r="A102">
            <v>51305</v>
          </cell>
          <cell r="B102" t="str">
            <v>CLAIMS-INSURANCE</v>
          </cell>
          <cell r="C102">
            <v>156396</v>
          </cell>
          <cell r="E102">
            <v>10298960</v>
          </cell>
          <cell r="F102">
            <v>7398344</v>
          </cell>
          <cell r="G102">
            <v>3395547</v>
          </cell>
        </row>
        <row r="103">
          <cell r="A103">
            <v>51307</v>
          </cell>
          <cell r="B103" t="str">
            <v>EXPORT BENEFIT REC.</v>
          </cell>
          <cell r="C103">
            <v>14733</v>
          </cell>
          <cell r="E103">
            <v>6039805</v>
          </cell>
          <cell r="F103">
            <v>6025072</v>
          </cell>
        </row>
        <row r="104">
          <cell r="A104">
            <v>51315</v>
          </cell>
          <cell r="B104" t="str">
            <v>INCOME RECEIVABLES</v>
          </cell>
          <cell r="C104">
            <v>13875557</v>
          </cell>
          <cell r="D104">
            <v>14377086</v>
          </cell>
          <cell r="E104">
            <v>110148612.26000001</v>
          </cell>
          <cell r="F104">
            <v>105894841.26000001</v>
          </cell>
          <cell r="G104">
            <v>5562739</v>
          </cell>
        </row>
        <row r="105">
          <cell r="A105">
            <v>51551</v>
          </cell>
          <cell r="B105" t="str">
            <v>ADV.-CUSTOM DUTY</v>
          </cell>
          <cell r="C105">
            <v>743361.01</v>
          </cell>
          <cell r="D105">
            <v>4832869.01</v>
          </cell>
          <cell r="E105">
            <v>11426453.01</v>
          </cell>
          <cell r="F105">
            <v>11368433.01</v>
          </cell>
          <cell r="G105">
            <v>58020</v>
          </cell>
        </row>
        <row r="106">
          <cell r="A106">
            <v>51601</v>
          </cell>
          <cell r="B106" t="str">
            <v>CUSTOM DT RECEIVABLE</v>
          </cell>
          <cell r="C106">
            <v>1018576</v>
          </cell>
          <cell r="D106">
            <v>723799</v>
          </cell>
          <cell r="E106">
            <v>3886691</v>
          </cell>
          <cell r="F106">
            <v>723799</v>
          </cell>
          <cell r="G106">
            <v>4242505.28</v>
          </cell>
        </row>
        <row r="107">
          <cell r="A107">
            <v>51602</v>
          </cell>
          <cell r="B107" t="str">
            <v>EXCISE RECEIVABLE(H)</v>
          </cell>
          <cell r="C107">
            <v>678039</v>
          </cell>
          <cell r="E107">
            <v>10506247.619999999</v>
          </cell>
          <cell r="F107">
            <v>3455047.2</v>
          </cell>
          <cell r="G107">
            <v>10053905.119999999</v>
          </cell>
        </row>
        <row r="108">
          <cell r="A108">
            <v>51607</v>
          </cell>
          <cell r="B108" t="str">
            <v>DEBIT CLEARING A/C</v>
          </cell>
          <cell r="C108">
            <v>21503.77</v>
          </cell>
          <cell r="D108">
            <v>21503.77</v>
          </cell>
          <cell r="E108">
            <v>154077</v>
          </cell>
          <cell r="F108">
            <v>157805.21</v>
          </cell>
        </row>
        <row r="109">
          <cell r="A109">
            <v>51634</v>
          </cell>
          <cell r="B109" t="str">
            <v>OVERAGE PREMIUM RECO</v>
          </cell>
          <cell r="E109">
            <v>347583</v>
          </cell>
          <cell r="F109">
            <v>469304</v>
          </cell>
        </row>
        <row r="110">
          <cell r="A110">
            <v>51635</v>
          </cell>
          <cell r="B110" t="str">
            <v>QUANTITY DISCOUNT RE</v>
          </cell>
          <cell r="C110">
            <v>6830140.5</v>
          </cell>
          <cell r="E110">
            <v>64219464.5</v>
          </cell>
          <cell r="F110">
            <v>72022952</v>
          </cell>
          <cell r="G110">
            <v>23670262.5</v>
          </cell>
        </row>
        <row r="111">
          <cell r="A111">
            <v>52101</v>
          </cell>
          <cell r="B111" t="str">
            <v>R.G.23A PART II</v>
          </cell>
          <cell r="E111">
            <v>236970</v>
          </cell>
          <cell r="F111">
            <v>236970</v>
          </cell>
        </row>
        <row r="112">
          <cell r="A112">
            <v>52104</v>
          </cell>
          <cell r="B112" t="str">
            <v>R.G.23A PART II-CESS</v>
          </cell>
          <cell r="E112">
            <v>871</v>
          </cell>
          <cell r="F112">
            <v>871</v>
          </cell>
        </row>
        <row r="113">
          <cell r="A113">
            <v>52106</v>
          </cell>
          <cell r="B113" t="str">
            <v>SERVICE TAX CREDIT</v>
          </cell>
          <cell r="C113">
            <v>893622</v>
          </cell>
          <cell r="E113">
            <v>2336344</v>
          </cell>
          <cell r="F113">
            <v>289494</v>
          </cell>
          <cell r="G113">
            <v>2046850</v>
          </cell>
        </row>
        <row r="114">
          <cell r="A114">
            <v>52107</v>
          </cell>
          <cell r="B114" t="str">
            <v>CESS ON SERVICE</v>
          </cell>
          <cell r="C114">
            <v>17873</v>
          </cell>
          <cell r="E114">
            <v>47746</v>
          </cell>
          <cell r="F114">
            <v>6811</v>
          </cell>
          <cell r="G114">
            <v>40935</v>
          </cell>
        </row>
        <row r="115">
          <cell r="A115">
            <v>52201</v>
          </cell>
          <cell r="B115" t="str">
            <v>R.G.23C PART II</v>
          </cell>
          <cell r="C115">
            <v>664745</v>
          </cell>
          <cell r="D115">
            <v>664745</v>
          </cell>
          <cell r="E115">
            <v>10347627</v>
          </cell>
          <cell r="F115">
            <v>10347627</v>
          </cell>
        </row>
        <row r="116">
          <cell r="A116">
            <v>52204</v>
          </cell>
          <cell r="B116" t="str">
            <v>R.G.23C PART II-CESS</v>
          </cell>
          <cell r="C116">
            <v>13294</v>
          </cell>
          <cell r="D116">
            <v>13294</v>
          </cell>
          <cell r="E116">
            <v>163267.62</v>
          </cell>
          <cell r="F116">
            <v>163267.62</v>
          </cell>
        </row>
        <row r="117">
          <cell r="A117">
            <v>53201</v>
          </cell>
          <cell r="B117" t="str">
            <v>TDS ON INCOME</v>
          </cell>
          <cell r="C117">
            <v>241531</v>
          </cell>
          <cell r="E117">
            <v>1693942</v>
          </cell>
          <cell r="F117">
            <v>2209176</v>
          </cell>
          <cell r="G117">
            <v>824796</v>
          </cell>
        </row>
        <row r="118">
          <cell r="A118">
            <v>61101</v>
          </cell>
          <cell r="B118" t="str">
            <v>SALES OF FG</v>
          </cell>
          <cell r="C118">
            <v>1329316.28</v>
          </cell>
          <cell r="D118">
            <v>155083256.09</v>
          </cell>
          <cell r="E118">
            <v>167987717.28999999</v>
          </cell>
          <cell r="F118">
            <v>1844411677.6700001</v>
          </cell>
          <cell r="H118">
            <v>1676423960.3800001</v>
          </cell>
        </row>
        <row r="119">
          <cell r="A119">
            <v>61201</v>
          </cell>
          <cell r="B119" t="str">
            <v>SALES OF BY PRD</v>
          </cell>
          <cell r="D119">
            <v>5861</v>
          </cell>
          <cell r="F119">
            <v>40391</v>
          </cell>
          <cell r="H119">
            <v>40391</v>
          </cell>
        </row>
        <row r="120">
          <cell r="A120">
            <v>61401</v>
          </cell>
          <cell r="B120" t="str">
            <v>SALES OF SCRAP</v>
          </cell>
          <cell r="F120">
            <v>154700</v>
          </cell>
          <cell r="H120">
            <v>154700</v>
          </cell>
        </row>
        <row r="121">
          <cell r="A121">
            <v>61501</v>
          </cell>
          <cell r="B121" t="str">
            <v>SALES OTHERS</v>
          </cell>
          <cell r="C121">
            <v>13395</v>
          </cell>
          <cell r="E121">
            <v>13232171.720000001</v>
          </cell>
          <cell r="F121">
            <v>75759954.969999999</v>
          </cell>
          <cell r="H121">
            <v>62527783.25</v>
          </cell>
        </row>
        <row r="122">
          <cell r="A122">
            <v>61601</v>
          </cell>
          <cell r="B122" t="str">
            <v>EXPORT SALES</v>
          </cell>
          <cell r="E122">
            <v>383426.82</v>
          </cell>
          <cell r="F122">
            <v>125841717.3</v>
          </cell>
          <cell r="H122">
            <v>125458290.48</v>
          </cell>
        </row>
        <row r="123">
          <cell r="A123">
            <v>61986</v>
          </cell>
          <cell r="B123" t="str">
            <v>CESS BILLED</v>
          </cell>
          <cell r="C123">
            <v>1377.88</v>
          </cell>
          <cell r="D123">
            <v>49185.279999999999</v>
          </cell>
          <cell r="E123">
            <v>1902.88</v>
          </cell>
          <cell r="F123">
            <v>477577.32</v>
          </cell>
          <cell r="H123">
            <v>475674.44</v>
          </cell>
        </row>
        <row r="124">
          <cell r="A124">
            <v>61999</v>
          </cell>
          <cell r="B124" t="str">
            <v>EXCISE DUTY BILLED</v>
          </cell>
          <cell r="C124">
            <v>69354.16</v>
          </cell>
          <cell r="D124">
            <v>2459821.36</v>
          </cell>
          <cell r="E124">
            <v>324955.56</v>
          </cell>
          <cell r="F124">
            <v>31766363</v>
          </cell>
          <cell r="H124">
            <v>31441407.440000001</v>
          </cell>
        </row>
        <row r="125">
          <cell r="A125">
            <v>65201</v>
          </cell>
          <cell r="B125" t="str">
            <v>INTT. FROM CUSTOMERS</v>
          </cell>
          <cell r="E125">
            <v>44999.41</v>
          </cell>
          <cell r="F125">
            <v>3123352.37</v>
          </cell>
          <cell r="H125">
            <v>3078352.96</v>
          </cell>
        </row>
        <row r="126">
          <cell r="A126">
            <v>65301</v>
          </cell>
          <cell r="B126" t="str">
            <v>EXPORT BENEFIT RECD</v>
          </cell>
          <cell r="C126">
            <v>24518</v>
          </cell>
          <cell r="E126">
            <v>24518</v>
          </cell>
          <cell r="F126">
            <v>12089340</v>
          </cell>
          <cell r="H126">
            <v>12064822</v>
          </cell>
        </row>
        <row r="127">
          <cell r="A127">
            <v>65701</v>
          </cell>
          <cell r="B127" t="str">
            <v>PRIOR PERIOD INCOME</v>
          </cell>
          <cell r="D127">
            <v>14733</v>
          </cell>
          <cell r="F127">
            <v>14733</v>
          </cell>
          <cell r="H127">
            <v>14733</v>
          </cell>
        </row>
        <row r="128">
          <cell r="A128">
            <v>65801</v>
          </cell>
          <cell r="B128" t="str">
            <v>OTHER INCOME</v>
          </cell>
          <cell r="C128">
            <v>13000</v>
          </cell>
          <cell r="D128">
            <v>3280</v>
          </cell>
          <cell r="E128">
            <v>104944</v>
          </cell>
          <cell r="F128">
            <v>163191.29</v>
          </cell>
          <cell r="H128">
            <v>58247.29</v>
          </cell>
        </row>
        <row r="129">
          <cell r="A129">
            <v>65802</v>
          </cell>
          <cell r="B129" t="str">
            <v>INCOME-EARLY DISC.</v>
          </cell>
          <cell r="F129">
            <v>3128345</v>
          </cell>
          <cell r="H129">
            <v>3128345</v>
          </cell>
        </row>
        <row r="130">
          <cell r="A130">
            <v>65806</v>
          </cell>
          <cell r="B130" t="str">
            <v>QTY. DISCOUNT RECD</v>
          </cell>
          <cell r="C130">
            <v>17571612.629999999</v>
          </cell>
          <cell r="E130">
            <v>54188180.630000003</v>
          </cell>
          <cell r="F130">
            <v>54188180.630000003</v>
          </cell>
        </row>
        <row r="131">
          <cell r="A131">
            <v>65807</v>
          </cell>
          <cell r="B131" t="str">
            <v>INCOME-RENT RECOVERY</v>
          </cell>
          <cell r="F131">
            <v>4500</v>
          </cell>
          <cell r="H131">
            <v>4500</v>
          </cell>
        </row>
        <row r="132">
          <cell r="A132">
            <v>71101</v>
          </cell>
          <cell r="B132" t="str">
            <v>CONSP.-RM-INDGNS.</v>
          </cell>
          <cell r="C132">
            <v>1383356.32</v>
          </cell>
          <cell r="D132">
            <v>148423.15</v>
          </cell>
          <cell r="E132">
            <v>15397022.550000001</v>
          </cell>
          <cell r="F132">
            <v>222394.66</v>
          </cell>
          <cell r="G132">
            <v>15174627.890000001</v>
          </cell>
        </row>
        <row r="133">
          <cell r="A133">
            <v>71102</v>
          </cell>
          <cell r="B133" t="str">
            <v>CONSM-RM-IMPORTED</v>
          </cell>
          <cell r="C133">
            <v>102470958.38</v>
          </cell>
          <cell r="D133">
            <v>1002598.22</v>
          </cell>
          <cell r="E133">
            <v>1223541771.3800001</v>
          </cell>
          <cell r="F133">
            <v>128945651.95999999</v>
          </cell>
          <cell r="G133">
            <v>1094596119.4200001</v>
          </cell>
        </row>
        <row r="134">
          <cell r="A134">
            <v>71112</v>
          </cell>
          <cell r="B134" t="str">
            <v>INV.VALUATION ADJ-RM</v>
          </cell>
          <cell r="C134">
            <v>658854.66</v>
          </cell>
          <cell r="D134">
            <v>656166.03</v>
          </cell>
          <cell r="E134">
            <v>10694233.1</v>
          </cell>
          <cell r="F134">
            <v>12774383.68</v>
          </cell>
          <cell r="H134">
            <v>2080150.58</v>
          </cell>
        </row>
        <row r="135">
          <cell r="A135">
            <v>71201</v>
          </cell>
          <cell r="B135" t="str">
            <v>DIFF.COST OF RM-IND</v>
          </cell>
          <cell r="C135">
            <v>5397.79</v>
          </cell>
          <cell r="D135">
            <v>35198.86</v>
          </cell>
          <cell r="E135">
            <v>1530778.17</v>
          </cell>
          <cell r="F135">
            <v>2088725.95</v>
          </cell>
          <cell r="H135">
            <v>557947.78</v>
          </cell>
        </row>
        <row r="136">
          <cell r="A136">
            <v>71202</v>
          </cell>
          <cell r="B136" t="str">
            <v>DIFF.COST OF RM-IMP</v>
          </cell>
          <cell r="C136">
            <v>5985815.4199999999</v>
          </cell>
          <cell r="D136">
            <v>27216015.57</v>
          </cell>
          <cell r="E136">
            <v>27205825.670000002</v>
          </cell>
          <cell r="F136">
            <v>67187646.439999998</v>
          </cell>
          <cell r="H136">
            <v>39981820.770000003</v>
          </cell>
        </row>
        <row r="137">
          <cell r="A137">
            <v>71401</v>
          </cell>
          <cell r="B137" t="str">
            <v>CUSTOM DT- RM</v>
          </cell>
          <cell r="C137">
            <v>258266.09</v>
          </cell>
          <cell r="E137">
            <v>725104.79</v>
          </cell>
          <cell r="F137">
            <v>14280.15</v>
          </cell>
          <cell r="G137">
            <v>710824.64</v>
          </cell>
        </row>
        <row r="138">
          <cell r="A138">
            <v>71501</v>
          </cell>
          <cell r="B138" t="str">
            <v>FOREX FLUCT.-RM</v>
          </cell>
          <cell r="C138">
            <v>6937269.29</v>
          </cell>
          <cell r="D138">
            <v>6773679.0099999998</v>
          </cell>
          <cell r="E138">
            <v>209877085.11000001</v>
          </cell>
          <cell r="F138">
            <v>183355518.47</v>
          </cell>
          <cell r="G138">
            <v>26521566.640000001</v>
          </cell>
        </row>
        <row r="139">
          <cell r="A139">
            <v>71602</v>
          </cell>
          <cell r="B139" t="str">
            <v>ANALYSIS CHGS -R.M.</v>
          </cell>
          <cell r="E139">
            <v>6308</v>
          </cell>
          <cell r="G139">
            <v>6308</v>
          </cell>
        </row>
        <row r="140">
          <cell r="A140">
            <v>71801</v>
          </cell>
          <cell r="B140" t="str">
            <v>COST OF FG PRODUCED</v>
          </cell>
          <cell r="D140">
            <v>127560112.5</v>
          </cell>
          <cell r="E140">
            <v>92628287.5</v>
          </cell>
          <cell r="F140">
            <v>1316259637.5</v>
          </cell>
          <cell r="H140">
            <v>1223631350</v>
          </cell>
        </row>
        <row r="141">
          <cell r="A141">
            <v>71853</v>
          </cell>
          <cell r="B141" t="str">
            <v>COST OF FGOODS SOLD</v>
          </cell>
          <cell r="C141">
            <v>119322662.5</v>
          </cell>
          <cell r="D141">
            <v>88069362.5</v>
          </cell>
          <cell r="E141">
            <v>1384429762.5</v>
          </cell>
          <cell r="F141">
            <v>106531500</v>
          </cell>
          <cell r="G141">
            <v>1277898262.5</v>
          </cell>
        </row>
        <row r="142">
          <cell r="A142">
            <v>71856</v>
          </cell>
          <cell r="B142" t="str">
            <v>COST OF R.M.SOLD</v>
          </cell>
          <cell r="E142">
            <v>87921780.569999993</v>
          </cell>
          <cell r="F142">
            <v>32214611.949999999</v>
          </cell>
          <cell r="G142">
            <v>55707168.619999997</v>
          </cell>
        </row>
        <row r="143">
          <cell r="A143">
            <v>73101</v>
          </cell>
          <cell r="B143" t="str">
            <v>CONSP-S.&amp; SPARES(IND</v>
          </cell>
          <cell r="C143">
            <v>2462771.59</v>
          </cell>
          <cell r="D143">
            <v>3469703.52</v>
          </cell>
          <cell r="E143">
            <v>45823108.93</v>
          </cell>
          <cell r="F143">
            <v>10363404.539999999</v>
          </cell>
          <cell r="G143">
            <v>35459704.390000001</v>
          </cell>
        </row>
        <row r="144">
          <cell r="A144">
            <v>73102</v>
          </cell>
          <cell r="B144" t="str">
            <v>CONSP-RELINING MAT.(</v>
          </cell>
          <cell r="E144">
            <v>338000</v>
          </cell>
          <cell r="G144">
            <v>338000</v>
          </cell>
        </row>
        <row r="145">
          <cell r="A145">
            <v>73103</v>
          </cell>
          <cell r="B145" t="str">
            <v>CONSP-STORE/SPARE-IM</v>
          </cell>
          <cell r="C145">
            <v>4787682.42</v>
          </cell>
          <cell r="D145">
            <v>25014.75</v>
          </cell>
          <cell r="E145">
            <v>21169328.789999999</v>
          </cell>
          <cell r="F145">
            <v>1214462.6200000001</v>
          </cell>
          <cell r="G145">
            <v>19954866.170000002</v>
          </cell>
        </row>
        <row r="146">
          <cell r="A146">
            <v>73109</v>
          </cell>
          <cell r="B146" t="str">
            <v>INV.VALN ADJ-SPARES</v>
          </cell>
          <cell r="C146">
            <v>0.05</v>
          </cell>
          <cell r="D146">
            <v>537.16999999999996</v>
          </cell>
          <cell r="E146">
            <v>4208.25</v>
          </cell>
          <cell r="F146">
            <v>10601.71</v>
          </cell>
          <cell r="H146">
            <v>6393.46</v>
          </cell>
        </row>
        <row r="147">
          <cell r="A147">
            <v>73120</v>
          </cell>
          <cell r="B147" t="str">
            <v>CONSUMPTION S ACID</v>
          </cell>
          <cell r="C147">
            <v>326433790</v>
          </cell>
          <cell r="E147">
            <v>396783190</v>
          </cell>
          <cell r="F147">
            <v>1354800</v>
          </cell>
          <cell r="G147">
            <v>395428390</v>
          </cell>
        </row>
        <row r="148">
          <cell r="A148">
            <v>73201</v>
          </cell>
          <cell r="B148" t="str">
            <v>DIFF.COST-SPARES-IND</v>
          </cell>
          <cell r="C148">
            <v>18612.419999999998</v>
          </cell>
          <cell r="D148">
            <v>21568.45</v>
          </cell>
          <cell r="E148">
            <v>571770.96</v>
          </cell>
          <cell r="F148">
            <v>1214200.7</v>
          </cell>
          <cell r="H148">
            <v>642429.74</v>
          </cell>
        </row>
        <row r="149">
          <cell r="A149">
            <v>73202</v>
          </cell>
          <cell r="B149" t="str">
            <v>DIFF.COST-SPARES-IMP</v>
          </cell>
          <cell r="C149">
            <v>3360.41</v>
          </cell>
          <cell r="D149">
            <v>398780.15</v>
          </cell>
          <cell r="E149">
            <v>859424.87</v>
          </cell>
          <cell r="F149">
            <v>1047050.86</v>
          </cell>
          <cell r="H149">
            <v>187625.99</v>
          </cell>
        </row>
        <row r="150">
          <cell r="A150">
            <v>73401</v>
          </cell>
          <cell r="B150" t="str">
            <v>CUSTOM DT- SPARES</v>
          </cell>
          <cell r="E150">
            <v>3800.71</v>
          </cell>
          <cell r="G150">
            <v>3800.71</v>
          </cell>
        </row>
        <row r="151">
          <cell r="A151">
            <v>73501</v>
          </cell>
          <cell r="B151" t="str">
            <v>FOREX FLUCT.-SPARES</v>
          </cell>
          <cell r="C151">
            <v>266321.73</v>
          </cell>
          <cell r="D151">
            <v>279878.03000000003</v>
          </cell>
          <cell r="E151">
            <v>4960006.95</v>
          </cell>
          <cell r="F151">
            <v>4303011.58</v>
          </cell>
          <cell r="G151">
            <v>656995.37</v>
          </cell>
        </row>
        <row r="152">
          <cell r="A152">
            <v>73705</v>
          </cell>
          <cell r="B152" t="str">
            <v>CASH PURCHASE-ST&amp;SP</v>
          </cell>
          <cell r="C152">
            <v>475</v>
          </cell>
          <cell r="E152">
            <v>3830</v>
          </cell>
          <cell r="G152">
            <v>3830</v>
          </cell>
        </row>
        <row r="153">
          <cell r="A153">
            <v>74101</v>
          </cell>
          <cell r="B153" t="str">
            <v>POWER CHARGES</v>
          </cell>
          <cell r="C153">
            <v>7200990</v>
          </cell>
          <cell r="E153">
            <v>81431826</v>
          </cell>
          <cell r="F153">
            <v>7828956</v>
          </cell>
          <cell r="G153">
            <v>73602870</v>
          </cell>
        </row>
        <row r="154">
          <cell r="A154">
            <v>74201</v>
          </cell>
          <cell r="B154" t="str">
            <v>CONSP-PETROLEUM COST</v>
          </cell>
          <cell r="C154">
            <v>300415.90999999997</v>
          </cell>
          <cell r="D154">
            <v>248.61</v>
          </cell>
          <cell r="E154">
            <v>4952816.0599999996</v>
          </cell>
          <cell r="F154">
            <v>21021.55</v>
          </cell>
          <cell r="G154">
            <v>4931794.51</v>
          </cell>
        </row>
        <row r="155">
          <cell r="A155">
            <v>74203</v>
          </cell>
          <cell r="B155" t="str">
            <v>DIFF COST-PETROLEUM</v>
          </cell>
          <cell r="C155">
            <v>23847500</v>
          </cell>
          <cell r="E155">
            <v>39022635.799999997</v>
          </cell>
          <cell r="F155">
            <v>2640360.9</v>
          </cell>
          <cell r="G155">
            <v>36382274.899999999</v>
          </cell>
        </row>
        <row r="156">
          <cell r="A156">
            <v>74301</v>
          </cell>
          <cell r="B156" t="str">
            <v>WATER CHARGES</v>
          </cell>
          <cell r="C156">
            <v>911643.93</v>
          </cell>
          <cell r="E156">
            <v>10272493.890000001</v>
          </cell>
          <cell r="F156">
            <v>28481.01</v>
          </cell>
          <cell r="G156">
            <v>10244012.880000001</v>
          </cell>
        </row>
        <row r="157">
          <cell r="A157">
            <v>75101</v>
          </cell>
          <cell r="B157" t="str">
            <v>MACHINERY  REP.&amp; MAI</v>
          </cell>
          <cell r="C157">
            <v>6889089.3600000003</v>
          </cell>
          <cell r="D157">
            <v>717808.74</v>
          </cell>
          <cell r="E157">
            <v>68976267.989999995</v>
          </cell>
          <cell r="F157">
            <v>12104928.619999999</v>
          </cell>
          <cell r="G157">
            <v>56871339.369999997</v>
          </cell>
        </row>
        <row r="158">
          <cell r="A158">
            <v>75102</v>
          </cell>
          <cell r="B158" t="str">
            <v>MACHINERY AMC</v>
          </cell>
          <cell r="C158">
            <v>2206972</v>
          </cell>
          <cell r="D158">
            <v>2038.17</v>
          </cell>
          <cell r="E158">
            <v>21278965.859999999</v>
          </cell>
          <cell r="F158">
            <v>120099.64</v>
          </cell>
          <cell r="G158">
            <v>21158866.219999999</v>
          </cell>
        </row>
        <row r="159">
          <cell r="A159">
            <v>76101</v>
          </cell>
          <cell r="B159" t="str">
            <v>EXCISE DUTY-EXP</v>
          </cell>
          <cell r="C159">
            <v>2578648.83</v>
          </cell>
          <cell r="D159">
            <v>140295</v>
          </cell>
          <cell r="E159">
            <v>32598004.030000001</v>
          </cell>
          <cell r="F159">
            <v>477568.64</v>
          </cell>
          <cell r="G159">
            <v>32120435.390000001</v>
          </cell>
        </row>
        <row r="160">
          <cell r="A160">
            <v>76108</v>
          </cell>
          <cell r="B160" t="str">
            <v>CESS-EXP</v>
          </cell>
          <cell r="C160">
            <v>6.5</v>
          </cell>
          <cell r="E160">
            <v>117242.54</v>
          </cell>
          <cell r="F160">
            <v>1051</v>
          </cell>
          <cell r="G160">
            <v>116191.54</v>
          </cell>
        </row>
        <row r="161">
          <cell r="A161">
            <v>78105</v>
          </cell>
          <cell r="B161" t="str">
            <v>TECH. SERVICE CHARGE</v>
          </cell>
          <cell r="E161">
            <v>584697.25</v>
          </cell>
          <cell r="F161">
            <v>35700</v>
          </cell>
          <cell r="G161">
            <v>548997.25</v>
          </cell>
        </row>
        <row r="162">
          <cell r="A162">
            <v>78115</v>
          </cell>
          <cell r="B162" t="str">
            <v>CARRIAGE OUTWARD</v>
          </cell>
          <cell r="C162">
            <v>2850941.18</v>
          </cell>
          <cell r="D162">
            <v>3859109.45</v>
          </cell>
          <cell r="E162">
            <v>3911579.15</v>
          </cell>
          <cell r="F162">
            <v>3911579.15</v>
          </cell>
        </row>
        <row r="163">
          <cell r="A163">
            <v>78554</v>
          </cell>
          <cell r="B163" t="str">
            <v>CONV CHGS PROC GOOD</v>
          </cell>
          <cell r="D163">
            <v>33600</v>
          </cell>
          <cell r="E163">
            <v>175654.03</v>
          </cell>
          <cell r="F163">
            <v>33803.03</v>
          </cell>
          <cell r="G163">
            <v>141851</v>
          </cell>
        </row>
        <row r="164">
          <cell r="A164">
            <v>78560</v>
          </cell>
          <cell r="B164" t="str">
            <v>C.O.S.ROCK PEBBLES</v>
          </cell>
          <cell r="E164">
            <v>1763584.75</v>
          </cell>
          <cell r="G164">
            <v>1763584.75</v>
          </cell>
        </row>
        <row r="165">
          <cell r="A165">
            <v>81101</v>
          </cell>
          <cell r="B165" t="str">
            <v>SALARIES</v>
          </cell>
          <cell r="C165">
            <v>546882</v>
          </cell>
          <cell r="D165">
            <v>2908796</v>
          </cell>
          <cell r="E165">
            <v>7576180.1299999999</v>
          </cell>
          <cell r="F165">
            <v>3533155</v>
          </cell>
          <cell r="G165">
            <v>4043025.13</v>
          </cell>
        </row>
        <row r="166">
          <cell r="A166">
            <v>81102</v>
          </cell>
          <cell r="B166" t="str">
            <v>HRA</v>
          </cell>
          <cell r="C166">
            <v>212792</v>
          </cell>
          <cell r="E166">
            <v>2851820.67</v>
          </cell>
          <cell r="F166">
            <v>235900.67</v>
          </cell>
          <cell r="G166">
            <v>2615920</v>
          </cell>
        </row>
        <row r="167">
          <cell r="A167">
            <v>81103</v>
          </cell>
          <cell r="B167" t="str">
            <v>PERSONAL ALLOW.</v>
          </cell>
          <cell r="C167">
            <v>34646.300000000003</v>
          </cell>
          <cell r="E167">
            <v>391041.06</v>
          </cell>
          <cell r="F167">
            <v>28281.34</v>
          </cell>
          <cell r="G167">
            <v>362759.72</v>
          </cell>
        </row>
        <row r="168">
          <cell r="A168">
            <v>81105</v>
          </cell>
          <cell r="B168" t="str">
            <v>SPECIAL ALLOW.</v>
          </cell>
          <cell r="C168">
            <v>19380</v>
          </cell>
          <cell r="E168">
            <v>376836</v>
          </cell>
          <cell r="F168">
            <v>31003</v>
          </cell>
          <cell r="G168">
            <v>345833</v>
          </cell>
        </row>
        <row r="169">
          <cell r="A169">
            <v>81107</v>
          </cell>
          <cell r="B169" t="str">
            <v>LOCATION ALLOW.</v>
          </cell>
          <cell r="C169">
            <v>19550</v>
          </cell>
          <cell r="D169">
            <v>19668</v>
          </cell>
          <cell r="E169">
            <v>170418.48</v>
          </cell>
          <cell r="F169">
            <v>25952</v>
          </cell>
          <cell r="G169">
            <v>144466.48000000001</v>
          </cell>
        </row>
        <row r="170">
          <cell r="A170">
            <v>81110</v>
          </cell>
          <cell r="B170" t="str">
            <v>CONVEYANCE ALLOW.</v>
          </cell>
          <cell r="C170">
            <v>58876.94</v>
          </cell>
          <cell r="E170">
            <v>786615.14</v>
          </cell>
          <cell r="F170">
            <v>62820</v>
          </cell>
          <cell r="G170">
            <v>723795.14</v>
          </cell>
        </row>
        <row r="171">
          <cell r="A171">
            <v>81111</v>
          </cell>
          <cell r="B171" t="str">
            <v>BONUS</v>
          </cell>
          <cell r="C171">
            <v>106395</v>
          </cell>
          <cell r="E171">
            <v>1429147.1</v>
          </cell>
          <cell r="F171">
            <v>119734</v>
          </cell>
          <cell r="G171">
            <v>1309413.1000000001</v>
          </cell>
        </row>
        <row r="172">
          <cell r="A172">
            <v>81113</v>
          </cell>
          <cell r="B172" t="str">
            <v>INCENTIVE-WM</v>
          </cell>
          <cell r="E172">
            <v>2727750</v>
          </cell>
          <cell r="F172">
            <v>551000</v>
          </cell>
          <cell r="G172">
            <v>2176750</v>
          </cell>
        </row>
        <row r="173">
          <cell r="A173">
            <v>81114</v>
          </cell>
          <cell r="B173" t="str">
            <v>LEAVE ENCASHMENT</v>
          </cell>
          <cell r="E173">
            <v>62969.36</v>
          </cell>
          <cell r="G173">
            <v>62969.36</v>
          </cell>
        </row>
        <row r="174">
          <cell r="A174">
            <v>81131</v>
          </cell>
          <cell r="B174" t="str">
            <v>SALARY COST COMMON</v>
          </cell>
          <cell r="C174">
            <v>2360611.69</v>
          </cell>
          <cell r="E174">
            <v>16999181.239999998</v>
          </cell>
          <cell r="F174">
            <v>1919883</v>
          </cell>
          <cell r="G174">
            <v>15079298.24</v>
          </cell>
        </row>
        <row r="175">
          <cell r="A175">
            <v>81201</v>
          </cell>
          <cell r="B175" t="str">
            <v>CONTRIBUTION TO PF</v>
          </cell>
          <cell r="C175">
            <v>106144.59</v>
          </cell>
          <cell r="D175">
            <v>35501.79</v>
          </cell>
          <cell r="E175">
            <v>717526.52</v>
          </cell>
          <cell r="F175">
            <v>190626.51</v>
          </cell>
          <cell r="G175">
            <v>526900.01</v>
          </cell>
        </row>
        <row r="176">
          <cell r="A176">
            <v>81202</v>
          </cell>
          <cell r="B176" t="str">
            <v>CONTRIBUTION TO FPF</v>
          </cell>
          <cell r="C176">
            <v>90914.7</v>
          </cell>
          <cell r="D176">
            <v>30490.76</v>
          </cell>
          <cell r="E176">
            <v>570186.09</v>
          </cell>
          <cell r="F176">
            <v>152780.26999999999</v>
          </cell>
          <cell r="G176">
            <v>417405.82</v>
          </cell>
        </row>
        <row r="177">
          <cell r="A177">
            <v>81203</v>
          </cell>
          <cell r="B177" t="str">
            <v>ADMIN CHARGES - PF</v>
          </cell>
          <cell r="C177">
            <v>18063.740000000002</v>
          </cell>
          <cell r="D177">
            <v>6049.31</v>
          </cell>
          <cell r="E177">
            <v>116786.61</v>
          </cell>
          <cell r="F177">
            <v>31479.78</v>
          </cell>
          <cell r="G177">
            <v>85306.83</v>
          </cell>
        </row>
        <row r="178">
          <cell r="A178">
            <v>81204</v>
          </cell>
          <cell r="B178" t="str">
            <v>CONTRIBUTION TO ESI</v>
          </cell>
          <cell r="E178">
            <v>1833</v>
          </cell>
          <cell r="F178">
            <v>1833</v>
          </cell>
        </row>
        <row r="179">
          <cell r="A179">
            <v>81205</v>
          </cell>
          <cell r="B179" t="str">
            <v>CONTRIBUTION TO EDLI</v>
          </cell>
          <cell r="C179">
            <v>5458.54</v>
          </cell>
          <cell r="D179">
            <v>1830.68</v>
          </cell>
          <cell r="E179">
            <v>33695.31</v>
          </cell>
          <cell r="F179">
            <v>7378.48</v>
          </cell>
          <cell r="G179">
            <v>26316.83</v>
          </cell>
        </row>
        <row r="180">
          <cell r="A180">
            <v>81206</v>
          </cell>
          <cell r="B180" t="str">
            <v>ADMIN CHARGES - EDLI</v>
          </cell>
          <cell r="C180">
            <v>109.16</v>
          </cell>
          <cell r="D180">
            <v>36.61</v>
          </cell>
          <cell r="E180">
            <v>647.27</v>
          </cell>
          <cell r="F180">
            <v>146.18</v>
          </cell>
          <cell r="G180">
            <v>501.09</v>
          </cell>
        </row>
        <row r="181">
          <cell r="A181">
            <v>81301</v>
          </cell>
          <cell r="B181" t="str">
            <v>UNIFORM WASH REIMB</v>
          </cell>
          <cell r="C181">
            <v>69516.22</v>
          </cell>
          <cell r="E181">
            <v>895122.97</v>
          </cell>
          <cell r="F181">
            <v>69900.009999999995</v>
          </cell>
          <cell r="G181">
            <v>825222.96</v>
          </cell>
        </row>
        <row r="182">
          <cell r="A182">
            <v>81303</v>
          </cell>
          <cell r="B182" t="str">
            <v>VEHICLE MAINT REIMB</v>
          </cell>
          <cell r="C182">
            <v>129628.81</v>
          </cell>
          <cell r="E182">
            <v>1622456.33</v>
          </cell>
          <cell r="F182">
            <v>119640</v>
          </cell>
          <cell r="G182">
            <v>1502816.33</v>
          </cell>
        </row>
        <row r="183">
          <cell r="A183">
            <v>81323</v>
          </cell>
          <cell r="B183" t="str">
            <v>L T A</v>
          </cell>
          <cell r="C183">
            <v>434695</v>
          </cell>
          <cell r="D183">
            <v>433628.25</v>
          </cell>
          <cell r="E183">
            <v>2114012.58</v>
          </cell>
          <cell r="F183">
            <v>1679317.58</v>
          </cell>
          <cell r="G183">
            <v>434695</v>
          </cell>
        </row>
        <row r="184">
          <cell r="A184">
            <v>81324</v>
          </cell>
          <cell r="B184" t="str">
            <v>SUPERANNUA PREM</v>
          </cell>
          <cell r="C184">
            <v>192498</v>
          </cell>
          <cell r="D184">
            <v>112612.5</v>
          </cell>
          <cell r="E184">
            <v>891295</v>
          </cell>
          <cell r="F184">
            <v>698797</v>
          </cell>
          <cell r="G184">
            <v>192498</v>
          </cell>
        </row>
        <row r="185">
          <cell r="A185">
            <v>81325</v>
          </cell>
          <cell r="B185" t="str">
            <v>MEDICAL EXP REIMB</v>
          </cell>
          <cell r="C185">
            <v>112905.75</v>
          </cell>
          <cell r="E185">
            <v>236515</v>
          </cell>
          <cell r="F185">
            <v>11474</v>
          </cell>
          <cell r="G185">
            <v>225041</v>
          </cell>
        </row>
        <row r="186">
          <cell r="A186">
            <v>81354</v>
          </cell>
          <cell r="B186" t="str">
            <v>CANTEEN  EXPENSES</v>
          </cell>
          <cell r="C186">
            <v>53144</v>
          </cell>
          <cell r="E186">
            <v>224374</v>
          </cell>
          <cell r="G186">
            <v>224374</v>
          </cell>
        </row>
        <row r="187">
          <cell r="A187">
            <v>81355</v>
          </cell>
          <cell r="B187" t="str">
            <v>MARRIAGE GIFTS</v>
          </cell>
          <cell r="E187">
            <v>4000</v>
          </cell>
          <cell r="F187">
            <v>1000</v>
          </cell>
          <cell r="G187">
            <v>3000</v>
          </cell>
        </row>
        <row r="188">
          <cell r="A188">
            <v>81359</v>
          </cell>
          <cell r="B188" t="str">
            <v>SAFETY EXPENSES</v>
          </cell>
          <cell r="C188">
            <v>2295</v>
          </cell>
          <cell r="E188">
            <v>2295</v>
          </cell>
          <cell r="G188">
            <v>2295</v>
          </cell>
        </row>
        <row r="189">
          <cell r="A189">
            <v>81360</v>
          </cell>
          <cell r="B189" t="str">
            <v>TRAINING/SEMINAR EXP</v>
          </cell>
          <cell r="C189">
            <v>20185</v>
          </cell>
          <cell r="E189">
            <v>98227</v>
          </cell>
          <cell r="F189">
            <v>8000</v>
          </cell>
          <cell r="G189">
            <v>90227</v>
          </cell>
        </row>
        <row r="190">
          <cell r="A190">
            <v>81361</v>
          </cell>
          <cell r="B190" t="str">
            <v>WELFARE/FOOD EXP-OTH</v>
          </cell>
          <cell r="E190">
            <v>160668</v>
          </cell>
          <cell r="F190">
            <v>59808</v>
          </cell>
          <cell r="G190">
            <v>100860</v>
          </cell>
        </row>
        <row r="191">
          <cell r="A191">
            <v>81501</v>
          </cell>
          <cell r="B191" t="str">
            <v>GRATUITY</v>
          </cell>
          <cell r="E191">
            <v>40737</v>
          </cell>
          <cell r="F191">
            <v>40737</v>
          </cell>
        </row>
        <row r="192">
          <cell r="A192">
            <v>82201</v>
          </cell>
          <cell r="B192" t="str">
            <v>CARRIAGE OUTWARD</v>
          </cell>
          <cell r="C192">
            <v>4898900.26</v>
          </cell>
          <cell r="D192">
            <v>1850401.56</v>
          </cell>
          <cell r="E192">
            <v>18012039.93</v>
          </cell>
          <cell r="F192">
            <v>13011040.42</v>
          </cell>
          <cell r="G192">
            <v>5000999.51</v>
          </cell>
        </row>
        <row r="193">
          <cell r="A193">
            <v>82220</v>
          </cell>
          <cell r="B193" t="str">
            <v>Carriage Outward-oth</v>
          </cell>
          <cell r="E193">
            <v>1025349.53</v>
          </cell>
          <cell r="F193">
            <v>203251.81</v>
          </cell>
          <cell r="G193">
            <v>822097.72</v>
          </cell>
        </row>
        <row r="194">
          <cell r="A194">
            <v>82301</v>
          </cell>
          <cell r="B194" t="str">
            <v>TURNOVER TAX</v>
          </cell>
          <cell r="C194">
            <v>3131639</v>
          </cell>
          <cell r="D194">
            <v>1647344</v>
          </cell>
          <cell r="E194">
            <v>99949757.430000007</v>
          </cell>
          <cell r="F194">
            <v>72752572.430000007</v>
          </cell>
          <cell r="G194">
            <v>27197185</v>
          </cell>
        </row>
        <row r="195">
          <cell r="A195">
            <v>82404</v>
          </cell>
          <cell r="B195" t="str">
            <v>SELLING EXPENSES</v>
          </cell>
          <cell r="C195">
            <v>1494616</v>
          </cell>
          <cell r="E195">
            <v>1744775</v>
          </cell>
          <cell r="F195">
            <v>50594.19</v>
          </cell>
          <cell r="G195">
            <v>1694180.81</v>
          </cell>
        </row>
        <row r="196">
          <cell r="A196">
            <v>82505</v>
          </cell>
          <cell r="B196" t="str">
            <v>TRANSIT INSURA EXP</v>
          </cell>
          <cell r="E196">
            <v>453613</v>
          </cell>
          <cell r="F196">
            <v>101351</v>
          </cell>
          <cell r="G196">
            <v>352262</v>
          </cell>
        </row>
        <row r="197">
          <cell r="A197">
            <v>82507</v>
          </cell>
          <cell r="B197" t="str">
            <v>EXP FOR EXPORTS</v>
          </cell>
          <cell r="C197">
            <v>232380</v>
          </cell>
          <cell r="D197">
            <v>187082</v>
          </cell>
          <cell r="E197">
            <v>1150618.3600000001</v>
          </cell>
          <cell r="F197">
            <v>817812.36</v>
          </cell>
          <cell r="G197">
            <v>332806</v>
          </cell>
        </row>
        <row r="198">
          <cell r="A198">
            <v>82520</v>
          </cell>
          <cell r="B198" t="str">
            <v>Transporterincentive</v>
          </cell>
          <cell r="D198">
            <v>414832</v>
          </cell>
          <cell r="E198">
            <v>414832</v>
          </cell>
          <cell r="F198">
            <v>414832</v>
          </cell>
        </row>
        <row r="199">
          <cell r="A199">
            <v>82525</v>
          </cell>
          <cell r="B199" t="str">
            <v>TRANS INS-ROCK PHOS</v>
          </cell>
          <cell r="E199">
            <v>456168</v>
          </cell>
          <cell r="F199">
            <v>52894</v>
          </cell>
          <cell r="G199">
            <v>403274</v>
          </cell>
        </row>
        <row r="200">
          <cell r="A200">
            <v>82603</v>
          </cell>
          <cell r="B200" t="str">
            <v>QUANTITY DISCOUNT</v>
          </cell>
          <cell r="C200">
            <v>4827900.76</v>
          </cell>
          <cell r="D200">
            <v>3504266.89</v>
          </cell>
          <cell r="E200">
            <v>37330079.509999998</v>
          </cell>
          <cell r="F200">
            <v>28791495.66</v>
          </cell>
          <cell r="G200">
            <v>8538583.8499999996</v>
          </cell>
        </row>
        <row r="201">
          <cell r="A201">
            <v>82702</v>
          </cell>
          <cell r="B201" t="str">
            <v>FREIGHT SUBSIDY</v>
          </cell>
          <cell r="C201">
            <v>233620.39</v>
          </cell>
          <cell r="D201">
            <v>540366.05000000005</v>
          </cell>
          <cell r="E201">
            <v>2849799.49</v>
          </cell>
          <cell r="F201">
            <v>4031576.29</v>
          </cell>
          <cell r="H201">
            <v>1181776.8</v>
          </cell>
        </row>
        <row r="202">
          <cell r="A202">
            <v>82703</v>
          </cell>
          <cell r="B202" t="str">
            <v>LIQUIDITY DAMAGES</v>
          </cell>
          <cell r="E202">
            <v>611131</v>
          </cell>
          <cell r="F202">
            <v>981910</v>
          </cell>
          <cell r="H202">
            <v>370779</v>
          </cell>
        </row>
        <row r="203">
          <cell r="A203">
            <v>83201</v>
          </cell>
          <cell r="B203" t="str">
            <v>RATES &amp; TAXES</v>
          </cell>
          <cell r="D203">
            <v>96779</v>
          </cell>
          <cell r="E203">
            <v>782137</v>
          </cell>
          <cell r="F203">
            <v>631992</v>
          </cell>
          <cell r="G203">
            <v>150145</v>
          </cell>
        </row>
        <row r="204">
          <cell r="A204">
            <v>83301</v>
          </cell>
          <cell r="B204" t="str">
            <v>INSURA-FIXED ASSET</v>
          </cell>
          <cell r="C204">
            <v>199717</v>
          </cell>
          <cell r="E204">
            <v>2741655</v>
          </cell>
          <cell r="G204">
            <v>2741655</v>
          </cell>
        </row>
        <row r="205">
          <cell r="A205">
            <v>83305</v>
          </cell>
          <cell r="B205" t="str">
            <v>INSURANCE-OTHERS</v>
          </cell>
          <cell r="E205">
            <v>5935</v>
          </cell>
          <cell r="G205">
            <v>5935</v>
          </cell>
        </row>
        <row r="206">
          <cell r="A206">
            <v>83401</v>
          </cell>
          <cell r="B206" t="str">
            <v>TRAV STAFF-INLAND</v>
          </cell>
          <cell r="C206">
            <v>27122</v>
          </cell>
          <cell r="D206">
            <v>722501</v>
          </cell>
          <cell r="E206">
            <v>1176041</v>
          </cell>
          <cell r="F206">
            <v>729887</v>
          </cell>
          <cell r="G206">
            <v>446154</v>
          </cell>
        </row>
        <row r="207">
          <cell r="A207">
            <v>83402</v>
          </cell>
          <cell r="B207" t="str">
            <v>TRAV STAFF-FOREN</v>
          </cell>
          <cell r="E207">
            <v>449429</v>
          </cell>
          <cell r="F207">
            <v>208503</v>
          </cell>
          <cell r="G207">
            <v>240926</v>
          </cell>
        </row>
        <row r="208">
          <cell r="A208">
            <v>83403</v>
          </cell>
          <cell r="B208" t="str">
            <v>TRAV OTHERS-INLAND</v>
          </cell>
          <cell r="E208">
            <v>13194</v>
          </cell>
          <cell r="F208">
            <v>1781</v>
          </cell>
          <cell r="G208">
            <v>11413</v>
          </cell>
        </row>
        <row r="209">
          <cell r="A209">
            <v>83404</v>
          </cell>
          <cell r="B209" t="str">
            <v>TRAV OTHER-FOREN</v>
          </cell>
          <cell r="E209">
            <v>3900</v>
          </cell>
          <cell r="G209">
            <v>3900</v>
          </cell>
        </row>
        <row r="210">
          <cell r="A210">
            <v>83405</v>
          </cell>
          <cell r="B210" t="str">
            <v>CONVEYANCE EXP</v>
          </cell>
          <cell r="C210">
            <v>570</v>
          </cell>
          <cell r="E210">
            <v>11894</v>
          </cell>
          <cell r="G210">
            <v>11894</v>
          </cell>
        </row>
        <row r="211">
          <cell r="A211">
            <v>83406</v>
          </cell>
          <cell r="B211" t="str">
            <v>VEHICLE EXP-FUEL</v>
          </cell>
          <cell r="E211">
            <v>2340</v>
          </cell>
          <cell r="F211">
            <v>473</v>
          </cell>
          <cell r="G211">
            <v>1867</v>
          </cell>
        </row>
        <row r="212">
          <cell r="A212">
            <v>83409</v>
          </cell>
          <cell r="B212" t="str">
            <v>VEHICLE HIRE CHGS</v>
          </cell>
          <cell r="C212">
            <v>45005</v>
          </cell>
          <cell r="E212">
            <v>126922</v>
          </cell>
          <cell r="G212">
            <v>126922</v>
          </cell>
        </row>
        <row r="213">
          <cell r="A213">
            <v>83603</v>
          </cell>
          <cell r="B213" t="str">
            <v>LOSS ON SALE RK PBLS</v>
          </cell>
          <cell r="E213">
            <v>4413432.87</v>
          </cell>
          <cell r="F213">
            <v>104427.88</v>
          </cell>
          <cell r="G213">
            <v>4309004.99</v>
          </cell>
        </row>
        <row r="214">
          <cell r="A214">
            <v>84201</v>
          </cell>
          <cell r="B214" t="str">
            <v>BOOKS-FOREIGN</v>
          </cell>
          <cell r="E214">
            <v>93478</v>
          </cell>
          <cell r="G214">
            <v>93478</v>
          </cell>
        </row>
        <row r="215">
          <cell r="A215">
            <v>84202</v>
          </cell>
          <cell r="B215" t="str">
            <v>BOOKS-OTHERS</v>
          </cell>
          <cell r="E215">
            <v>10000</v>
          </cell>
          <cell r="G215">
            <v>10000</v>
          </cell>
        </row>
        <row r="216">
          <cell r="A216">
            <v>84205</v>
          </cell>
          <cell r="B216" t="str">
            <v>COURIER CHARGES</v>
          </cell>
          <cell r="E216">
            <v>5467</v>
          </cell>
          <cell r="G216">
            <v>5467</v>
          </cell>
        </row>
        <row r="217">
          <cell r="A217">
            <v>84207</v>
          </cell>
          <cell r="B217" t="str">
            <v>TEL&amp;TELEX CHGS</v>
          </cell>
          <cell r="C217">
            <v>4037</v>
          </cell>
          <cell r="D217">
            <v>17641</v>
          </cell>
          <cell r="E217">
            <v>166744</v>
          </cell>
          <cell r="F217">
            <v>21551</v>
          </cell>
          <cell r="G217">
            <v>145193</v>
          </cell>
        </row>
        <row r="218">
          <cell r="A218">
            <v>84218</v>
          </cell>
          <cell r="B218" t="str">
            <v>LICENS &amp; REGIST  FEE</v>
          </cell>
          <cell r="E218">
            <v>16200</v>
          </cell>
          <cell r="G218">
            <v>16200</v>
          </cell>
        </row>
        <row r="219">
          <cell r="A219">
            <v>84226</v>
          </cell>
          <cell r="B219" t="str">
            <v>ELECTR CHGS (ADMIN.)</v>
          </cell>
          <cell r="F219">
            <v>830</v>
          </cell>
          <cell r="H219">
            <v>830</v>
          </cell>
        </row>
        <row r="220">
          <cell r="A220">
            <v>84231</v>
          </cell>
          <cell r="B220" t="str">
            <v>POOJA EXPENSES</v>
          </cell>
          <cell r="E220">
            <v>1027</v>
          </cell>
          <cell r="G220">
            <v>1027</v>
          </cell>
        </row>
        <row r="221">
          <cell r="A221">
            <v>84233</v>
          </cell>
          <cell r="B221" t="str">
            <v>PRNTG &amp; STATIONERY</v>
          </cell>
          <cell r="E221">
            <v>10928.4</v>
          </cell>
          <cell r="G221">
            <v>10928.4</v>
          </cell>
        </row>
        <row r="222">
          <cell r="A222">
            <v>84235</v>
          </cell>
          <cell r="B222" t="str">
            <v>XEROX &amp; BINDING CHGS</v>
          </cell>
          <cell r="C222">
            <v>4032</v>
          </cell>
          <cell r="E222">
            <v>49180</v>
          </cell>
          <cell r="F222">
            <v>7192</v>
          </cell>
          <cell r="G222">
            <v>41988</v>
          </cell>
        </row>
        <row r="223">
          <cell r="A223">
            <v>84236</v>
          </cell>
          <cell r="B223" t="str">
            <v>IT EXPENSE/IT STATY.</v>
          </cell>
          <cell r="E223">
            <v>155</v>
          </cell>
          <cell r="G223">
            <v>155</v>
          </cell>
        </row>
        <row r="224">
          <cell r="A224">
            <v>84237</v>
          </cell>
          <cell r="B224" t="str">
            <v>BUSINESS PRO. EXP</v>
          </cell>
          <cell r="E224">
            <v>64017</v>
          </cell>
          <cell r="F224">
            <v>1775</v>
          </cell>
          <cell r="G224">
            <v>62242</v>
          </cell>
        </row>
        <row r="225">
          <cell r="A225">
            <v>84239</v>
          </cell>
          <cell r="B225" t="str">
            <v>PROFESSIONAL FEES</v>
          </cell>
          <cell r="E225">
            <v>227781</v>
          </cell>
          <cell r="F225">
            <v>32500</v>
          </cell>
          <cell r="G225">
            <v>195281</v>
          </cell>
        </row>
        <row r="226">
          <cell r="A226">
            <v>84243</v>
          </cell>
          <cell r="B226" t="str">
            <v>TESTING CHARGES</v>
          </cell>
          <cell r="C226">
            <v>44444.29</v>
          </cell>
          <cell r="E226">
            <v>258455.29</v>
          </cell>
          <cell r="G226">
            <v>258455.29</v>
          </cell>
        </row>
        <row r="227">
          <cell r="A227">
            <v>84250</v>
          </cell>
          <cell r="B227" t="str">
            <v>COIN ADJUSTMENT</v>
          </cell>
          <cell r="C227">
            <v>271.67</v>
          </cell>
          <cell r="D227">
            <v>14.9</v>
          </cell>
          <cell r="E227">
            <v>394.36</v>
          </cell>
          <cell r="F227">
            <v>53.19</v>
          </cell>
          <cell r="G227">
            <v>341.17</v>
          </cell>
        </row>
        <row r="228">
          <cell r="A228">
            <v>84251</v>
          </cell>
          <cell r="B228" t="str">
            <v>S. BALANCE W/O</v>
          </cell>
          <cell r="C228">
            <v>4.0999999999999996</v>
          </cell>
          <cell r="D228">
            <v>9.08</v>
          </cell>
          <cell r="E228">
            <v>63.24</v>
          </cell>
          <cell r="F228">
            <v>141.62</v>
          </cell>
          <cell r="H228">
            <v>78.38</v>
          </cell>
        </row>
        <row r="229">
          <cell r="A229">
            <v>84252</v>
          </cell>
          <cell r="B229" t="str">
            <v>MISC EXP</v>
          </cell>
          <cell r="C229">
            <v>6399</v>
          </cell>
          <cell r="E229">
            <v>24525</v>
          </cell>
          <cell r="G229">
            <v>24525</v>
          </cell>
        </row>
        <row r="230">
          <cell r="A230">
            <v>84253</v>
          </cell>
          <cell r="B230" t="str">
            <v>ADVERTISEMENT-ADMIN</v>
          </cell>
          <cell r="E230">
            <v>13200</v>
          </cell>
          <cell r="G230">
            <v>13200</v>
          </cell>
        </row>
        <row r="231">
          <cell r="A231">
            <v>84256</v>
          </cell>
          <cell r="B231" t="str">
            <v>PRIOR PERIOD EXPS.</v>
          </cell>
          <cell r="C231">
            <v>414832</v>
          </cell>
          <cell r="E231">
            <v>414832</v>
          </cell>
          <cell r="G231">
            <v>414832</v>
          </cell>
        </row>
        <row r="232">
          <cell r="A232">
            <v>84260</v>
          </cell>
          <cell r="B232" t="str">
            <v>ADVERTISEMENT-PURCH.</v>
          </cell>
          <cell r="E232">
            <v>4733</v>
          </cell>
          <cell r="G232">
            <v>4733</v>
          </cell>
        </row>
        <row r="233">
          <cell r="A233">
            <v>84280</v>
          </cell>
          <cell r="B233" t="str">
            <v>ADMIN COST COMMON</v>
          </cell>
          <cell r="C233">
            <v>1812890.47</v>
          </cell>
          <cell r="E233">
            <v>11245617.67</v>
          </cell>
          <cell r="F233">
            <v>961338</v>
          </cell>
          <cell r="G233">
            <v>10284279.67</v>
          </cell>
        </row>
        <row r="234">
          <cell r="A234">
            <v>84407</v>
          </cell>
          <cell r="B234" t="str">
            <v>R&amp;M OTHERS</v>
          </cell>
          <cell r="C234">
            <v>1011</v>
          </cell>
          <cell r="E234">
            <v>409496</v>
          </cell>
          <cell r="F234">
            <v>1983</v>
          </cell>
          <cell r="G234">
            <v>407513</v>
          </cell>
        </row>
        <row r="235">
          <cell r="A235">
            <v>85803</v>
          </cell>
          <cell r="B235" t="str">
            <v>INT IMPORT L.C</v>
          </cell>
          <cell r="C235">
            <v>3307432</v>
          </cell>
          <cell r="D235">
            <v>2261508</v>
          </cell>
          <cell r="E235">
            <v>56098806.479999997</v>
          </cell>
          <cell r="F235">
            <v>43346651.899999999</v>
          </cell>
          <cell r="G235">
            <v>12752154.58</v>
          </cell>
        </row>
        <row r="236">
          <cell r="A236">
            <v>86101</v>
          </cell>
          <cell r="B236" t="str">
            <v>FORIGN.EXH DIFF-F&amp;S</v>
          </cell>
          <cell r="C236">
            <v>622450</v>
          </cell>
          <cell r="D236">
            <v>622450</v>
          </cell>
          <cell r="E236">
            <v>693211.5</v>
          </cell>
          <cell r="F236">
            <v>669894.02</v>
          </cell>
          <cell r="G236">
            <v>23317.48</v>
          </cell>
        </row>
        <row r="237">
          <cell r="A237">
            <v>86106</v>
          </cell>
          <cell r="B237" t="str">
            <v>FORWARD COVER(FOREX)</v>
          </cell>
          <cell r="C237">
            <v>1983741</v>
          </cell>
          <cell r="D237">
            <v>1376188</v>
          </cell>
          <cell r="E237">
            <v>44264672.25</v>
          </cell>
          <cell r="F237">
            <v>35241481</v>
          </cell>
          <cell r="G237">
            <v>9023191.25</v>
          </cell>
        </row>
        <row r="238">
          <cell r="A238">
            <v>86110</v>
          </cell>
          <cell r="B238" t="str">
            <v>EXCHANGE P/L EXPORTS</v>
          </cell>
          <cell r="E238">
            <v>2382762.1</v>
          </cell>
          <cell r="F238">
            <v>1392794.38</v>
          </cell>
          <cell r="G238">
            <v>989967.72</v>
          </cell>
        </row>
        <row r="239">
          <cell r="A239">
            <v>86201</v>
          </cell>
          <cell r="B239" t="str">
            <v>CHG-L.C. COMMITTM.</v>
          </cell>
          <cell r="E239">
            <v>15347</v>
          </cell>
          <cell r="G239">
            <v>15347</v>
          </cell>
        </row>
        <row r="240">
          <cell r="A240">
            <v>86202</v>
          </cell>
          <cell r="B240" t="str">
            <v>CHG-L.C. USANCE</v>
          </cell>
          <cell r="E240">
            <v>1428679.06</v>
          </cell>
          <cell r="G240">
            <v>1428679.06</v>
          </cell>
        </row>
        <row r="241">
          <cell r="A241">
            <v>86203</v>
          </cell>
          <cell r="B241" t="str">
            <v>CHG-L.C. AMEND</v>
          </cell>
          <cell r="E241">
            <v>18310</v>
          </cell>
          <cell r="G241">
            <v>18310</v>
          </cell>
        </row>
        <row r="242">
          <cell r="A242">
            <v>86301</v>
          </cell>
          <cell r="B242" t="str">
            <v>CHG-BANK</v>
          </cell>
          <cell r="C242">
            <v>2000</v>
          </cell>
          <cell r="E242">
            <v>407575.33</v>
          </cell>
          <cell r="F242">
            <v>216</v>
          </cell>
          <cell r="G242">
            <v>407359.33</v>
          </cell>
        </row>
        <row r="243">
          <cell r="A243">
            <v>86303</v>
          </cell>
          <cell r="B243" t="str">
            <v>CHG-DD COMMISSION</v>
          </cell>
          <cell r="E243">
            <v>30</v>
          </cell>
          <cell r="F243">
            <v>407</v>
          </cell>
          <cell r="H243">
            <v>377</v>
          </cell>
        </row>
        <row r="244">
          <cell r="A244">
            <v>91201</v>
          </cell>
          <cell r="B244" t="str">
            <v>DEP- BUILD-FACTORY</v>
          </cell>
          <cell r="C244">
            <v>245999.05</v>
          </cell>
          <cell r="E244">
            <v>2951988.66</v>
          </cell>
          <cell r="G244">
            <v>2951988.66</v>
          </cell>
        </row>
        <row r="245">
          <cell r="A245">
            <v>91202</v>
          </cell>
          <cell r="B245" t="str">
            <v>DEP- BUILD-FACTORY-L</v>
          </cell>
          <cell r="C245">
            <v>6650.57</v>
          </cell>
          <cell r="E245">
            <v>79806.789999999994</v>
          </cell>
          <cell r="G245">
            <v>79806.789999999994</v>
          </cell>
        </row>
        <row r="246">
          <cell r="A246">
            <v>91211</v>
          </cell>
          <cell r="B246" t="str">
            <v>DEP-BUILD-OFFICE</v>
          </cell>
          <cell r="C246">
            <v>439.93</v>
          </cell>
          <cell r="E246">
            <v>1759.73</v>
          </cell>
          <cell r="G246">
            <v>1759.73</v>
          </cell>
        </row>
        <row r="247">
          <cell r="A247">
            <v>91301</v>
          </cell>
          <cell r="B247" t="str">
            <v>DEP-P &amp; MACHINERY</v>
          </cell>
          <cell r="C247">
            <v>12545558.539999999</v>
          </cell>
          <cell r="E247">
            <v>124387748.5</v>
          </cell>
          <cell r="G247">
            <v>124387748.5</v>
          </cell>
        </row>
        <row r="248">
          <cell r="A248">
            <v>91302</v>
          </cell>
          <cell r="B248" t="str">
            <v>DEP-ELECT. INSTALL.</v>
          </cell>
          <cell r="C248">
            <v>70577.990000000005</v>
          </cell>
          <cell r="D248">
            <v>6737.21</v>
          </cell>
          <cell r="E248">
            <v>146379.95000000001</v>
          </cell>
          <cell r="F248">
            <v>6737.21</v>
          </cell>
          <cell r="G248">
            <v>139642.74</v>
          </cell>
        </row>
        <row r="249">
          <cell r="A249">
            <v>91361</v>
          </cell>
          <cell r="B249" t="str">
            <v>DEP-OFFICE EQUIP</v>
          </cell>
          <cell r="C249">
            <v>5306.81</v>
          </cell>
          <cell r="E249">
            <v>15434.17</v>
          </cell>
          <cell r="G249">
            <v>15434.17</v>
          </cell>
        </row>
        <row r="250">
          <cell r="A250">
            <v>91362</v>
          </cell>
          <cell r="B250" t="str">
            <v>DEP.-I.T. EQUIP</v>
          </cell>
          <cell r="C250">
            <v>4142.74</v>
          </cell>
          <cell r="E250">
            <v>46713.99</v>
          </cell>
          <cell r="G250">
            <v>46713.99</v>
          </cell>
        </row>
        <row r="251">
          <cell r="A251">
            <v>91401</v>
          </cell>
          <cell r="B251" t="str">
            <v>DEP-FURNITURE</v>
          </cell>
          <cell r="C251">
            <v>408.09</v>
          </cell>
          <cell r="E251">
            <v>3794.76</v>
          </cell>
          <cell r="G251">
            <v>3794.76</v>
          </cell>
        </row>
        <row r="252">
          <cell r="A252">
            <v>91501</v>
          </cell>
          <cell r="B252" t="str">
            <v>DEP-VEHICLES.</v>
          </cell>
          <cell r="C252">
            <v>3096.84</v>
          </cell>
          <cell r="E252">
            <v>37162.1</v>
          </cell>
          <cell r="G252">
            <v>37162.1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og - proj. rate"/>
      <sheetName val="po-log - curr. rate"/>
      <sheetName val="Attm. # 3"/>
      <sheetName val="x-rate"/>
      <sheetName val="2.7 - PA"/>
      <sheetName val="NP"/>
      <sheetName val="bh-recon"/>
      <sheetName val="FE Variation - VPCL"/>
      <sheetName val="Main Bs Cr"/>
      <sheetName val="deb"/>
      <sheetName val="CMA Calculations"/>
      <sheetName val="Sheet2"/>
      <sheetName val="Interest 30-11-01 not PA 7%"/>
      <sheetName val="po-log_-_proj__rate"/>
      <sheetName val="po-log_-_curr__rate"/>
      <sheetName val="Attm__#_3"/>
      <sheetName val="2_7_-_PA"/>
      <sheetName val="FE_Variation_-_VPCL"/>
      <sheetName val="Main_Bs_Cr"/>
      <sheetName val="po-log_-_proj__rate1"/>
      <sheetName val="po-log_-_curr__rate1"/>
      <sheetName val="Attm__#_31"/>
      <sheetName val="2_7_-_PA1"/>
      <sheetName val="FE_Variation_-_VPCL1"/>
      <sheetName val="Main_Bs_Cr1"/>
      <sheetName val="CMA_Calculations"/>
      <sheetName val="Interest_30-11-01_not_PA_7%"/>
      <sheetName val="TB"/>
      <sheetName val="PO LOG Exposure"/>
      <sheetName val="po-log_-_proj__rate2"/>
      <sheetName val="po-log_-_curr__rate2"/>
      <sheetName val="Attm__#_32"/>
      <sheetName val="2_7_-_PA2"/>
      <sheetName val="FE_Variation_-_VPCL2"/>
      <sheetName val="Main_Bs_Cr2"/>
      <sheetName val="CMA_Calculations1"/>
      <sheetName val="Interest_30-11-01_not_PA_7%1"/>
      <sheetName val="Codes"/>
      <sheetName val="Instruction Sheet"/>
    </sheetNames>
    <sheetDataSet>
      <sheetData sheetId="0" refreshError="1"/>
      <sheetData sheetId="1" refreshError="1">
        <row r="91">
          <cell r="AH91">
            <v>32441711.919000741</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91">
          <cell r="AH91">
            <v>32441711.919000741</v>
          </cell>
        </row>
      </sheetData>
      <sheetData sheetId="21"/>
      <sheetData sheetId="22"/>
      <sheetData sheetId="23"/>
      <sheetData sheetId="24"/>
      <sheetData sheetId="25"/>
      <sheetData sheetId="26"/>
      <sheetData sheetId="27" refreshError="1"/>
      <sheetData sheetId="28" refreshError="1"/>
      <sheetData sheetId="29">
        <row r="91">
          <cell r="AH91">
            <v>32441711.919000741</v>
          </cell>
        </row>
      </sheetData>
      <sheetData sheetId="30">
        <row r="91">
          <cell r="AH91">
            <v>32441711.919000741</v>
          </cell>
        </row>
      </sheetData>
      <sheetData sheetId="31">
        <row r="91">
          <cell r="AH91">
            <v>32441711.919000741</v>
          </cell>
        </row>
      </sheetData>
      <sheetData sheetId="32">
        <row r="91">
          <cell r="AH91">
            <v>32441711.919000741</v>
          </cell>
        </row>
      </sheetData>
      <sheetData sheetId="33">
        <row r="91">
          <cell r="AH91">
            <v>32441711.919000741</v>
          </cell>
        </row>
      </sheetData>
      <sheetData sheetId="34">
        <row r="91">
          <cell r="AH91">
            <v>32441711.919000741</v>
          </cell>
        </row>
      </sheetData>
      <sheetData sheetId="35"/>
      <sheetData sheetId="36"/>
      <sheetData sheetId="37" refreshError="1"/>
      <sheetData sheetId="3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tion of Threshold"/>
      <sheetName val="Data Sheet"/>
      <sheetName val="Threshold Table"/>
      <sheetName val="Tickmarks"/>
      <sheetName val="po-log - curr. rate"/>
      <sheetName val="TRIALBALANCE"/>
      <sheetName val="Links"/>
      <sheetName val="Rev Working"/>
      <sheetName val="SC revtrgt"/>
      <sheetName val="sum"/>
      <sheetName val="GT1 RD"/>
      <sheetName val="Company"/>
      <sheetName val="Input"/>
      <sheetName val="Proj PL"/>
      <sheetName val="Lead"/>
    </sheetNames>
    <sheetDataSet>
      <sheetData sheetId="0" refreshError="1">
        <row r="3">
          <cell r="B3">
            <v>79000000</v>
          </cell>
        </row>
        <row r="4">
          <cell r="B4">
            <v>75000000</v>
          </cell>
        </row>
        <row r="15">
          <cell r="B15">
            <v>3080000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eaindustry.nic.in/indx_download_1112/fin_year_index.xls" TargetMode="External"/><Relationship Id="rId2" Type="http://schemas.openxmlformats.org/officeDocument/2006/relationships/hyperlink" Target="https://eaindustry.nic.in/indx_download_1112/monthly_index.xls" TargetMode="External"/><Relationship Id="rId1" Type="http://schemas.openxmlformats.org/officeDocument/2006/relationships/hyperlink" Target="http://labourbureaunew.gov.in/LBO_Press_Release.ht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3.bin"/><Relationship Id="rId1" Type="http://schemas.openxmlformats.org/officeDocument/2006/relationships/hyperlink" Target="https://sbi.co.in/web/interest-rates/interest-rates/mclr-historical-data" TargetMode="External"/><Relationship Id="rId4" Type="http://schemas.openxmlformats.org/officeDocument/2006/relationships/comments" Target="../comments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54"/>
  <sheetViews>
    <sheetView showGridLines="0" view="pageBreakPreview" zoomScale="80" zoomScaleNormal="80" zoomScaleSheetLayoutView="80" workbookViewId="0">
      <selection activeCell="B2" sqref="B2:D3"/>
    </sheetView>
  </sheetViews>
  <sheetFormatPr defaultColWidth="9.1796875" defaultRowHeight="14" x14ac:dyDescent="0.25"/>
  <cols>
    <col min="1" max="1" width="6.26953125" style="15" customWidth="1"/>
    <col min="2" max="2" width="9.1796875" style="15" customWidth="1"/>
    <col min="3" max="3" width="71.54296875" style="15" bestFit="1" customWidth="1"/>
    <col min="4" max="4" width="17.7265625" style="15" customWidth="1"/>
    <col min="5" max="9" width="18.7265625" style="15" customWidth="1"/>
    <col min="10" max="16384" width="9.1796875" style="15"/>
  </cols>
  <sheetData>
    <row r="2" spans="2:9" ht="15.5" x14ac:dyDescent="0.25">
      <c r="B2" s="2139" t="s">
        <v>1027</v>
      </c>
      <c r="C2" s="2140"/>
      <c r="D2" s="2140"/>
      <c r="E2" s="30"/>
      <c r="F2" s="30"/>
      <c r="G2" s="30"/>
      <c r="H2" s="30"/>
      <c r="I2" s="30"/>
    </row>
    <row r="3" spans="2:9" s="5" customFormat="1" ht="15.5" x14ac:dyDescent="0.3">
      <c r="B3" s="2141" t="s">
        <v>796</v>
      </c>
      <c r="C3" s="2142"/>
      <c r="D3" s="2142"/>
      <c r="E3" s="30"/>
      <c r="F3" s="30"/>
      <c r="G3" s="30"/>
      <c r="H3" s="30"/>
      <c r="I3" s="30"/>
    </row>
    <row r="4" spans="2:9" ht="15.5" x14ac:dyDescent="0.25">
      <c r="B4" s="31"/>
      <c r="C4" s="31"/>
      <c r="D4" s="31"/>
      <c r="E4" s="31"/>
      <c r="F4" s="31"/>
      <c r="G4" s="31"/>
      <c r="H4" s="31"/>
      <c r="I4" s="31"/>
    </row>
    <row r="5" spans="2:9" ht="15.5" x14ac:dyDescent="0.25">
      <c r="B5" s="31"/>
      <c r="C5" s="31"/>
      <c r="D5" s="31"/>
      <c r="E5" s="31"/>
      <c r="F5" s="31"/>
      <c r="G5" s="31"/>
      <c r="H5" s="32"/>
      <c r="I5" s="31"/>
    </row>
    <row r="6" spans="2:9" ht="12.75" customHeight="1" x14ac:dyDescent="0.25">
      <c r="B6" s="2143" t="s">
        <v>187</v>
      </c>
      <c r="C6" s="2146" t="s">
        <v>25</v>
      </c>
      <c r="D6" s="2146" t="s">
        <v>10</v>
      </c>
      <c r="E6" s="460"/>
      <c r="F6" s="460"/>
    </row>
    <row r="7" spans="2:9" x14ac:dyDescent="0.25">
      <c r="B7" s="2144"/>
      <c r="C7" s="2146"/>
      <c r="D7" s="2146"/>
      <c r="E7" s="460"/>
      <c r="F7" s="460"/>
    </row>
    <row r="8" spans="2:9" x14ac:dyDescent="0.25">
      <c r="B8" s="2145"/>
      <c r="C8" s="2147"/>
      <c r="D8" s="2147"/>
      <c r="E8" s="460"/>
      <c r="F8" s="746"/>
    </row>
    <row r="9" spans="2:9" ht="18" customHeight="1" x14ac:dyDescent="0.25">
      <c r="B9" s="80">
        <v>1</v>
      </c>
      <c r="C9" s="79" t="s">
        <v>336</v>
      </c>
      <c r="D9" s="81" t="s">
        <v>23</v>
      </c>
      <c r="E9" s="460"/>
      <c r="F9" s="460"/>
    </row>
    <row r="10" spans="2:9" ht="18" customHeight="1" x14ac:dyDescent="0.25">
      <c r="B10" s="80">
        <f>B9+1</f>
        <v>2</v>
      </c>
      <c r="C10" s="79" t="s">
        <v>337</v>
      </c>
      <c r="D10" s="81" t="s">
        <v>339</v>
      </c>
    </row>
    <row r="11" spans="2:9" ht="18" customHeight="1" x14ac:dyDescent="0.25">
      <c r="B11" s="80">
        <f t="shared" ref="B11:B30" si="0">B10+1</f>
        <v>3</v>
      </c>
      <c r="C11" s="79" t="s">
        <v>657</v>
      </c>
      <c r="D11" s="81" t="s">
        <v>340</v>
      </c>
    </row>
    <row r="12" spans="2:9" ht="18" customHeight="1" x14ac:dyDescent="0.25">
      <c r="B12" s="80">
        <f>B11+1</f>
        <v>4</v>
      </c>
      <c r="C12" s="79" t="s">
        <v>338</v>
      </c>
      <c r="D12" s="81" t="s">
        <v>430</v>
      </c>
    </row>
    <row r="13" spans="2:9" ht="18" customHeight="1" x14ac:dyDescent="0.25">
      <c r="B13" s="80">
        <f t="shared" si="0"/>
        <v>5</v>
      </c>
      <c r="C13" s="79" t="s">
        <v>656</v>
      </c>
      <c r="D13" s="81" t="s">
        <v>654</v>
      </c>
    </row>
    <row r="14" spans="2:9" ht="18" customHeight="1" x14ac:dyDescent="0.25">
      <c r="B14" s="80">
        <f t="shared" si="0"/>
        <v>6</v>
      </c>
      <c r="C14" s="79" t="s">
        <v>572</v>
      </c>
      <c r="D14" s="81" t="s">
        <v>655</v>
      </c>
    </row>
    <row r="15" spans="2:9" ht="18" customHeight="1" x14ac:dyDescent="0.25">
      <c r="B15" s="80">
        <f t="shared" si="0"/>
        <v>7</v>
      </c>
      <c r="C15" s="737" t="s">
        <v>257</v>
      </c>
      <c r="D15" s="81" t="s">
        <v>262</v>
      </c>
    </row>
    <row r="16" spans="2:9" ht="18" customHeight="1" x14ac:dyDescent="0.25">
      <c r="B16" s="80">
        <f t="shared" si="0"/>
        <v>8</v>
      </c>
      <c r="C16" s="737" t="s">
        <v>535</v>
      </c>
      <c r="D16" s="81" t="s">
        <v>534</v>
      </c>
    </row>
    <row r="17" spans="2:4" ht="18" customHeight="1" x14ac:dyDescent="0.25">
      <c r="B17" s="80">
        <f t="shared" si="0"/>
        <v>9</v>
      </c>
      <c r="C17" s="737" t="s">
        <v>341</v>
      </c>
      <c r="D17" s="81" t="s">
        <v>342</v>
      </c>
    </row>
    <row r="18" spans="2:4" ht="18" customHeight="1" x14ac:dyDescent="0.25">
      <c r="B18" s="80">
        <f t="shared" si="0"/>
        <v>10</v>
      </c>
      <c r="C18" s="394" t="s">
        <v>59</v>
      </c>
      <c r="D18" s="81" t="s">
        <v>56</v>
      </c>
    </row>
    <row r="19" spans="2:4" ht="18" customHeight="1" x14ac:dyDescent="0.25">
      <c r="B19" s="80">
        <f t="shared" si="0"/>
        <v>11</v>
      </c>
      <c r="C19" s="394" t="s">
        <v>776</v>
      </c>
      <c r="D19" s="81" t="s">
        <v>60</v>
      </c>
    </row>
    <row r="20" spans="2:4" ht="18" customHeight="1" x14ac:dyDescent="0.25">
      <c r="B20" s="80">
        <f t="shared" si="0"/>
        <v>12</v>
      </c>
      <c r="C20" s="394" t="s">
        <v>85</v>
      </c>
      <c r="D20" s="81" t="s">
        <v>61</v>
      </c>
    </row>
    <row r="21" spans="2:4" ht="18" customHeight="1" x14ac:dyDescent="0.25">
      <c r="B21" s="80">
        <f t="shared" si="0"/>
        <v>13</v>
      </c>
      <c r="C21" s="394" t="s">
        <v>343</v>
      </c>
      <c r="D21" s="81" t="s">
        <v>62</v>
      </c>
    </row>
    <row r="22" spans="2:4" ht="18" customHeight="1" x14ac:dyDescent="0.25">
      <c r="B22" s="80">
        <f t="shared" si="0"/>
        <v>14</v>
      </c>
      <c r="C22" s="737" t="s">
        <v>344</v>
      </c>
      <c r="D22" s="81" t="s">
        <v>63</v>
      </c>
    </row>
    <row r="23" spans="2:4" ht="18" customHeight="1" x14ac:dyDescent="0.25">
      <c r="B23" s="80">
        <f t="shared" si="0"/>
        <v>15</v>
      </c>
      <c r="C23" s="737" t="s">
        <v>567</v>
      </c>
      <c r="D23" s="81" t="s">
        <v>57</v>
      </c>
    </row>
    <row r="24" spans="2:4" ht="18" customHeight="1" x14ac:dyDescent="0.25">
      <c r="B24" s="80">
        <f t="shared" si="0"/>
        <v>16</v>
      </c>
      <c r="C24" s="737" t="s">
        <v>24</v>
      </c>
      <c r="D24" s="81" t="s">
        <v>241</v>
      </c>
    </row>
    <row r="25" spans="2:4" ht="18" customHeight="1" x14ac:dyDescent="0.25">
      <c r="B25" s="80">
        <f t="shared" si="0"/>
        <v>17</v>
      </c>
      <c r="C25" s="737" t="s">
        <v>172</v>
      </c>
      <c r="D25" s="81" t="s">
        <v>564</v>
      </c>
    </row>
    <row r="26" spans="2:4" ht="18" customHeight="1" x14ac:dyDescent="0.25">
      <c r="B26" s="80">
        <f t="shared" si="0"/>
        <v>18</v>
      </c>
      <c r="C26" s="737" t="s">
        <v>566</v>
      </c>
      <c r="D26" s="81" t="s">
        <v>565</v>
      </c>
    </row>
    <row r="27" spans="2:4" ht="18" customHeight="1" x14ac:dyDescent="0.25">
      <c r="B27" s="80">
        <f t="shared" si="0"/>
        <v>19</v>
      </c>
      <c r="C27" s="737" t="s">
        <v>345</v>
      </c>
      <c r="D27" s="81" t="s">
        <v>64</v>
      </c>
    </row>
    <row r="28" spans="2:4" ht="18" customHeight="1" x14ac:dyDescent="0.25">
      <c r="B28" s="80">
        <f t="shared" si="0"/>
        <v>20</v>
      </c>
      <c r="C28" s="737" t="s">
        <v>346</v>
      </c>
      <c r="D28" s="81" t="s">
        <v>280</v>
      </c>
    </row>
    <row r="29" spans="2:4" ht="18" customHeight="1" x14ac:dyDescent="0.25">
      <c r="B29" s="80">
        <f t="shared" si="0"/>
        <v>21</v>
      </c>
      <c r="C29" s="737" t="s">
        <v>347</v>
      </c>
      <c r="D29" s="81" t="s">
        <v>281</v>
      </c>
    </row>
    <row r="30" spans="2:4" ht="18" customHeight="1" x14ac:dyDescent="0.25">
      <c r="B30" s="80">
        <f t="shared" si="0"/>
        <v>22</v>
      </c>
      <c r="C30" s="737" t="s">
        <v>183</v>
      </c>
      <c r="D30" s="81" t="s">
        <v>1690</v>
      </c>
    </row>
    <row r="31" spans="2:4" ht="18" customHeight="1" x14ac:dyDescent="0.25">
      <c r="B31" s="80">
        <f t="shared" ref="B31:B40" si="1">B30+1</f>
        <v>23</v>
      </c>
      <c r="C31" s="394" t="s">
        <v>182</v>
      </c>
      <c r="D31" s="81" t="s">
        <v>65</v>
      </c>
    </row>
    <row r="32" spans="2:4" ht="18" customHeight="1" x14ac:dyDescent="0.25">
      <c r="B32" s="80">
        <f t="shared" si="1"/>
        <v>24</v>
      </c>
      <c r="C32" s="737" t="s">
        <v>348</v>
      </c>
      <c r="D32" s="81" t="s">
        <v>66</v>
      </c>
    </row>
    <row r="33" spans="1:4" ht="18" customHeight="1" x14ac:dyDescent="0.25">
      <c r="B33" s="80">
        <f t="shared" si="1"/>
        <v>25</v>
      </c>
      <c r="C33" s="737" t="s">
        <v>515</v>
      </c>
      <c r="D33" s="81" t="s">
        <v>67</v>
      </c>
    </row>
    <row r="34" spans="1:4" ht="18" customHeight="1" x14ac:dyDescent="0.25">
      <c r="A34" s="731"/>
      <c r="B34" s="80">
        <f t="shared" si="1"/>
        <v>26</v>
      </c>
      <c r="C34" s="737" t="s">
        <v>173</v>
      </c>
      <c r="D34" s="81" t="s">
        <v>68</v>
      </c>
    </row>
    <row r="35" spans="1:4" ht="18" customHeight="1" x14ac:dyDescent="0.25">
      <c r="B35" s="80">
        <f t="shared" si="1"/>
        <v>27</v>
      </c>
      <c r="C35" s="394" t="s">
        <v>255</v>
      </c>
      <c r="D35" s="81" t="s">
        <v>69</v>
      </c>
    </row>
    <row r="36" spans="1:4" ht="18" customHeight="1" x14ac:dyDescent="0.25">
      <c r="B36" s="80">
        <f t="shared" si="1"/>
        <v>28</v>
      </c>
      <c r="C36" s="738" t="s">
        <v>496</v>
      </c>
      <c r="D36" s="81" t="s">
        <v>70</v>
      </c>
    </row>
    <row r="37" spans="1:4" ht="18" customHeight="1" x14ac:dyDescent="0.25">
      <c r="B37" s="80">
        <f t="shared" si="1"/>
        <v>29</v>
      </c>
      <c r="C37" s="737" t="s">
        <v>77</v>
      </c>
      <c r="D37" s="81" t="s">
        <v>176</v>
      </c>
    </row>
    <row r="38" spans="1:4" ht="18" customHeight="1" x14ac:dyDescent="0.25">
      <c r="B38" s="792">
        <f t="shared" si="1"/>
        <v>30</v>
      </c>
      <c r="C38" s="79" t="s">
        <v>797</v>
      </c>
      <c r="D38" s="81" t="s">
        <v>191</v>
      </c>
    </row>
    <row r="39" spans="1:4" ht="18" customHeight="1" x14ac:dyDescent="0.25">
      <c r="B39" s="80">
        <f t="shared" si="1"/>
        <v>31</v>
      </c>
      <c r="C39" s="79" t="s">
        <v>705</v>
      </c>
      <c r="D39" s="81" t="s">
        <v>351</v>
      </c>
    </row>
    <row r="40" spans="1:4" ht="18" customHeight="1" x14ac:dyDescent="0.25">
      <c r="B40" s="80">
        <f t="shared" si="1"/>
        <v>32</v>
      </c>
      <c r="C40" s="79" t="s">
        <v>704</v>
      </c>
      <c r="D40" s="81" t="s">
        <v>352</v>
      </c>
    </row>
    <row r="41" spans="1:4" ht="18" customHeight="1" x14ac:dyDescent="0.25">
      <c r="B41" s="80">
        <v>33</v>
      </c>
      <c r="C41" s="79" t="s">
        <v>703</v>
      </c>
      <c r="D41" s="81" t="s">
        <v>353</v>
      </c>
    </row>
    <row r="42" spans="1:4" ht="18" customHeight="1" x14ac:dyDescent="0.25">
      <c r="B42" s="80">
        <f>B41+1</f>
        <v>34</v>
      </c>
      <c r="C42" s="79" t="s">
        <v>706</v>
      </c>
      <c r="D42" s="81" t="s">
        <v>349</v>
      </c>
    </row>
    <row r="43" spans="1:4" ht="18" customHeight="1" x14ac:dyDescent="0.25">
      <c r="B43" s="80">
        <v>35</v>
      </c>
      <c r="C43" s="79" t="s">
        <v>707</v>
      </c>
      <c r="D43" s="81" t="s">
        <v>350</v>
      </c>
    </row>
    <row r="44" spans="1:4" ht="18" customHeight="1" x14ac:dyDescent="0.25">
      <c r="B44" s="80">
        <f t="shared" ref="B44:B53" si="2">B43+1</f>
        <v>36</v>
      </c>
      <c r="C44" s="79" t="s">
        <v>354</v>
      </c>
      <c r="D44" s="81" t="s">
        <v>355</v>
      </c>
    </row>
    <row r="45" spans="1:4" ht="18" customHeight="1" x14ac:dyDescent="0.25">
      <c r="B45" s="80">
        <f t="shared" si="2"/>
        <v>37</v>
      </c>
      <c r="C45" s="79" t="s">
        <v>513</v>
      </c>
      <c r="D45" s="81" t="s">
        <v>356</v>
      </c>
    </row>
    <row r="46" spans="1:4" ht="18" customHeight="1" x14ac:dyDescent="0.25">
      <c r="B46" s="80">
        <f t="shared" si="2"/>
        <v>38</v>
      </c>
      <c r="C46" s="79" t="s">
        <v>514</v>
      </c>
      <c r="D46" s="81" t="s">
        <v>357</v>
      </c>
    </row>
    <row r="47" spans="1:4" ht="18" customHeight="1" x14ac:dyDescent="0.25">
      <c r="B47" s="80">
        <f t="shared" si="2"/>
        <v>39</v>
      </c>
      <c r="C47" s="79" t="s">
        <v>482</v>
      </c>
      <c r="D47" s="81" t="s">
        <v>389</v>
      </c>
    </row>
    <row r="48" spans="1:4" ht="18" customHeight="1" x14ac:dyDescent="0.25">
      <c r="B48" s="80">
        <f t="shared" si="2"/>
        <v>40</v>
      </c>
      <c r="C48" s="79" t="s">
        <v>390</v>
      </c>
      <c r="D48" s="81" t="s">
        <v>511</v>
      </c>
    </row>
    <row r="49" spans="2:4" ht="18" customHeight="1" x14ac:dyDescent="0.25">
      <c r="B49" s="80">
        <f t="shared" si="2"/>
        <v>41</v>
      </c>
      <c r="C49" s="79" t="s">
        <v>174</v>
      </c>
      <c r="D49" s="81" t="s">
        <v>512</v>
      </c>
    </row>
    <row r="50" spans="2:4" ht="15.5" x14ac:dyDescent="0.25">
      <c r="B50" s="80">
        <f t="shared" si="2"/>
        <v>42</v>
      </c>
      <c r="C50" s="287" t="s">
        <v>708</v>
      </c>
      <c r="D50" s="288" t="s">
        <v>709</v>
      </c>
    </row>
    <row r="51" spans="2:4" ht="15.5" x14ac:dyDescent="0.25">
      <c r="B51" s="80">
        <f t="shared" si="2"/>
        <v>43</v>
      </c>
      <c r="C51" s="79" t="s">
        <v>1330</v>
      </c>
      <c r="D51" s="79" t="s">
        <v>1327</v>
      </c>
    </row>
    <row r="52" spans="2:4" ht="15.5" x14ac:dyDescent="0.25">
      <c r="B52" s="80">
        <f t="shared" si="2"/>
        <v>44</v>
      </c>
      <c r="C52" s="79" t="s">
        <v>1207</v>
      </c>
      <c r="D52" s="79" t="s">
        <v>1328</v>
      </c>
    </row>
    <row r="53" spans="2:4" ht="15.5" x14ac:dyDescent="0.25">
      <c r="B53" s="80">
        <f t="shared" si="2"/>
        <v>45</v>
      </c>
      <c r="C53" s="79" t="s">
        <v>1331</v>
      </c>
      <c r="D53" s="79" t="s">
        <v>1329</v>
      </c>
    </row>
    <row r="54" spans="2:4" x14ac:dyDescent="0.25">
      <c r="B54" s="1176" t="s">
        <v>1691</v>
      </c>
    </row>
  </sheetData>
  <mergeCells count="5">
    <mergeCell ref="B2:D2"/>
    <mergeCell ref="B3:D3"/>
    <mergeCell ref="B6:B8"/>
    <mergeCell ref="C6:C8"/>
    <mergeCell ref="D6:D8"/>
  </mergeCells>
  <pageMargins left="0.55118110236220474" right="0.23622047244094491" top="1.1023622047244095" bottom="0.98425196850393704" header="0.23622047244094491" footer="0.23622047244094491"/>
  <pageSetup paperSize="9" scale="71"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I354"/>
  <sheetViews>
    <sheetView showGridLines="0" view="pageBreakPreview" topLeftCell="C338" zoomScale="73" zoomScaleNormal="75" zoomScaleSheetLayoutView="64" zoomScalePageLayoutView="91" workbookViewId="0">
      <selection activeCell="C321" sqref="C321"/>
    </sheetView>
  </sheetViews>
  <sheetFormatPr defaultColWidth="9.1796875" defaultRowHeight="14" outlineLevelCol="1" x14ac:dyDescent="0.3"/>
  <cols>
    <col min="1" max="1" width="15.453125" style="426" customWidth="1"/>
    <col min="2" max="2" width="37.453125" style="426" customWidth="1" outlineLevel="1"/>
    <col min="3" max="4" width="18.1796875" style="426" customWidth="1" outlineLevel="1"/>
    <col min="5" max="5" width="31.08984375" style="426" customWidth="1"/>
    <col min="6" max="6" width="15.81640625" style="426" customWidth="1"/>
    <col min="7" max="7" width="15.6328125" style="426" customWidth="1"/>
    <col min="8" max="14" width="18.1796875" style="426" customWidth="1"/>
    <col min="15" max="15" width="20.90625" style="426" customWidth="1"/>
    <col min="16" max="17" width="18.1796875" style="426" customWidth="1"/>
    <col min="18" max="18" width="17.26953125" style="426" customWidth="1"/>
    <col min="19" max="19" width="17.54296875" style="426" customWidth="1"/>
    <col min="20" max="258" width="9.1796875" style="426"/>
    <col min="259" max="259" width="15.7265625" style="426" customWidth="1"/>
    <col min="260" max="260" width="30.453125" style="426" customWidth="1"/>
    <col min="261" max="272" width="10.7265625" style="426" customWidth="1"/>
    <col min="273" max="273" width="12.54296875" style="426" customWidth="1"/>
    <col min="274" max="274" width="6.26953125" style="426" bestFit="1" customWidth="1"/>
    <col min="275" max="275" width="11.54296875" style="426" customWidth="1"/>
    <col min="276" max="514" width="9.1796875" style="426"/>
    <col min="515" max="515" width="15.7265625" style="426" customWidth="1"/>
    <col min="516" max="516" width="30.453125" style="426" customWidth="1"/>
    <col min="517" max="528" width="10.7265625" style="426" customWidth="1"/>
    <col min="529" max="529" width="12.54296875" style="426" customWidth="1"/>
    <col min="530" max="530" width="6.26953125" style="426" bestFit="1" customWidth="1"/>
    <col min="531" max="531" width="11.54296875" style="426" customWidth="1"/>
    <col min="532" max="770" width="9.1796875" style="426"/>
    <col min="771" max="771" width="15.7265625" style="426" customWidth="1"/>
    <col min="772" max="772" width="30.453125" style="426" customWidth="1"/>
    <col min="773" max="784" width="10.7265625" style="426" customWidth="1"/>
    <col min="785" max="785" width="12.54296875" style="426" customWidth="1"/>
    <col min="786" max="786" width="6.26953125" style="426" bestFit="1" customWidth="1"/>
    <col min="787" max="787" width="11.54296875" style="426" customWidth="1"/>
    <col min="788" max="1026" width="9.1796875" style="426"/>
    <col min="1027" max="1027" width="15.7265625" style="426" customWidth="1"/>
    <col min="1028" max="1028" width="30.453125" style="426" customWidth="1"/>
    <col min="1029" max="1040" width="10.7265625" style="426" customWidth="1"/>
    <col min="1041" max="1041" width="12.54296875" style="426" customWidth="1"/>
    <col min="1042" max="1042" width="6.26953125" style="426" bestFit="1" customWidth="1"/>
    <col min="1043" max="1043" width="11.54296875" style="426" customWidth="1"/>
    <col min="1044" max="1282" width="9.1796875" style="426"/>
    <col min="1283" max="1283" width="15.7265625" style="426" customWidth="1"/>
    <col min="1284" max="1284" width="30.453125" style="426" customWidth="1"/>
    <col min="1285" max="1296" width="10.7265625" style="426" customWidth="1"/>
    <col min="1297" max="1297" width="12.54296875" style="426" customWidth="1"/>
    <col min="1298" max="1298" width="6.26953125" style="426" bestFit="1" customWidth="1"/>
    <col min="1299" max="1299" width="11.54296875" style="426" customWidth="1"/>
    <col min="1300" max="1538" width="9.1796875" style="426"/>
    <col min="1539" max="1539" width="15.7265625" style="426" customWidth="1"/>
    <col min="1540" max="1540" width="30.453125" style="426" customWidth="1"/>
    <col min="1541" max="1552" width="10.7265625" style="426" customWidth="1"/>
    <col min="1553" max="1553" width="12.54296875" style="426" customWidth="1"/>
    <col min="1554" max="1554" width="6.26953125" style="426" bestFit="1" customWidth="1"/>
    <col min="1555" max="1555" width="11.54296875" style="426" customWidth="1"/>
    <col min="1556" max="1794" width="9.1796875" style="426"/>
    <col min="1795" max="1795" width="15.7265625" style="426" customWidth="1"/>
    <col min="1796" max="1796" width="30.453125" style="426" customWidth="1"/>
    <col min="1797" max="1808" width="10.7265625" style="426" customWidth="1"/>
    <col min="1809" max="1809" width="12.54296875" style="426" customWidth="1"/>
    <col min="1810" max="1810" width="6.26953125" style="426" bestFit="1" customWidth="1"/>
    <col min="1811" max="1811" width="11.54296875" style="426" customWidth="1"/>
    <col min="1812" max="2050" width="9.1796875" style="426"/>
    <col min="2051" max="2051" width="15.7265625" style="426" customWidth="1"/>
    <col min="2052" max="2052" width="30.453125" style="426" customWidth="1"/>
    <col min="2053" max="2064" width="10.7265625" style="426" customWidth="1"/>
    <col min="2065" max="2065" width="12.54296875" style="426" customWidth="1"/>
    <col min="2066" max="2066" width="6.26953125" style="426" bestFit="1" customWidth="1"/>
    <col min="2067" max="2067" width="11.54296875" style="426" customWidth="1"/>
    <col min="2068" max="2306" width="9.1796875" style="426"/>
    <col min="2307" max="2307" width="15.7265625" style="426" customWidth="1"/>
    <col min="2308" max="2308" width="30.453125" style="426" customWidth="1"/>
    <col min="2309" max="2320" width="10.7265625" style="426" customWidth="1"/>
    <col min="2321" max="2321" width="12.54296875" style="426" customWidth="1"/>
    <col min="2322" max="2322" width="6.26953125" style="426" bestFit="1" customWidth="1"/>
    <col min="2323" max="2323" width="11.54296875" style="426" customWidth="1"/>
    <col min="2324" max="2562" width="9.1796875" style="426"/>
    <col min="2563" max="2563" width="15.7265625" style="426" customWidth="1"/>
    <col min="2564" max="2564" width="30.453125" style="426" customWidth="1"/>
    <col min="2565" max="2576" width="10.7265625" style="426" customWidth="1"/>
    <col min="2577" max="2577" width="12.54296875" style="426" customWidth="1"/>
    <col min="2578" max="2578" width="6.26953125" style="426" bestFit="1" customWidth="1"/>
    <col min="2579" max="2579" width="11.54296875" style="426" customWidth="1"/>
    <col min="2580" max="2818" width="9.1796875" style="426"/>
    <col min="2819" max="2819" width="15.7265625" style="426" customWidth="1"/>
    <col min="2820" max="2820" width="30.453125" style="426" customWidth="1"/>
    <col min="2821" max="2832" width="10.7265625" style="426" customWidth="1"/>
    <col min="2833" max="2833" width="12.54296875" style="426" customWidth="1"/>
    <col min="2834" max="2834" width="6.26953125" style="426" bestFit="1" customWidth="1"/>
    <col min="2835" max="2835" width="11.54296875" style="426" customWidth="1"/>
    <col min="2836" max="3074" width="9.1796875" style="426"/>
    <col min="3075" max="3075" width="15.7265625" style="426" customWidth="1"/>
    <col min="3076" max="3076" width="30.453125" style="426" customWidth="1"/>
    <col min="3077" max="3088" width="10.7265625" style="426" customWidth="1"/>
    <col min="3089" max="3089" width="12.54296875" style="426" customWidth="1"/>
    <col min="3090" max="3090" width="6.26953125" style="426" bestFit="1" customWidth="1"/>
    <col min="3091" max="3091" width="11.54296875" style="426" customWidth="1"/>
    <col min="3092" max="3330" width="9.1796875" style="426"/>
    <col min="3331" max="3331" width="15.7265625" style="426" customWidth="1"/>
    <col min="3332" max="3332" width="30.453125" style="426" customWidth="1"/>
    <col min="3333" max="3344" width="10.7265625" style="426" customWidth="1"/>
    <col min="3345" max="3345" width="12.54296875" style="426" customWidth="1"/>
    <col min="3346" max="3346" width="6.26953125" style="426" bestFit="1" customWidth="1"/>
    <col min="3347" max="3347" width="11.54296875" style="426" customWidth="1"/>
    <col min="3348" max="3586" width="9.1796875" style="426"/>
    <col min="3587" max="3587" width="15.7265625" style="426" customWidth="1"/>
    <col min="3588" max="3588" width="30.453125" style="426" customWidth="1"/>
    <col min="3589" max="3600" width="10.7265625" style="426" customWidth="1"/>
    <col min="3601" max="3601" width="12.54296875" style="426" customWidth="1"/>
    <col min="3602" max="3602" width="6.26953125" style="426" bestFit="1" customWidth="1"/>
    <col min="3603" max="3603" width="11.54296875" style="426" customWidth="1"/>
    <col min="3604" max="3842" width="9.1796875" style="426"/>
    <col min="3843" max="3843" width="15.7265625" style="426" customWidth="1"/>
    <col min="3844" max="3844" width="30.453125" style="426" customWidth="1"/>
    <col min="3845" max="3856" width="10.7265625" style="426" customWidth="1"/>
    <col min="3857" max="3857" width="12.54296875" style="426" customWidth="1"/>
    <col min="3858" max="3858" width="6.26953125" style="426" bestFit="1" customWidth="1"/>
    <col min="3859" max="3859" width="11.54296875" style="426" customWidth="1"/>
    <col min="3860" max="4098" width="9.1796875" style="426"/>
    <col min="4099" max="4099" width="15.7265625" style="426" customWidth="1"/>
    <col min="4100" max="4100" width="30.453125" style="426" customWidth="1"/>
    <col min="4101" max="4112" width="10.7265625" style="426" customWidth="1"/>
    <col min="4113" max="4113" width="12.54296875" style="426" customWidth="1"/>
    <col min="4114" max="4114" width="6.26953125" style="426" bestFit="1" customWidth="1"/>
    <col min="4115" max="4115" width="11.54296875" style="426" customWidth="1"/>
    <col min="4116" max="4354" width="9.1796875" style="426"/>
    <col min="4355" max="4355" width="15.7265625" style="426" customWidth="1"/>
    <col min="4356" max="4356" width="30.453125" style="426" customWidth="1"/>
    <col min="4357" max="4368" width="10.7265625" style="426" customWidth="1"/>
    <col min="4369" max="4369" width="12.54296875" style="426" customWidth="1"/>
    <col min="4370" max="4370" width="6.26953125" style="426" bestFit="1" customWidth="1"/>
    <col min="4371" max="4371" width="11.54296875" style="426" customWidth="1"/>
    <col min="4372" max="4610" width="9.1796875" style="426"/>
    <col min="4611" max="4611" width="15.7265625" style="426" customWidth="1"/>
    <col min="4612" max="4612" width="30.453125" style="426" customWidth="1"/>
    <col min="4613" max="4624" width="10.7265625" style="426" customWidth="1"/>
    <col min="4625" max="4625" width="12.54296875" style="426" customWidth="1"/>
    <col min="4626" max="4626" width="6.26953125" style="426" bestFit="1" customWidth="1"/>
    <col min="4627" max="4627" width="11.54296875" style="426" customWidth="1"/>
    <col min="4628" max="4866" width="9.1796875" style="426"/>
    <col min="4867" max="4867" width="15.7265625" style="426" customWidth="1"/>
    <col min="4868" max="4868" width="30.453125" style="426" customWidth="1"/>
    <col min="4869" max="4880" width="10.7265625" style="426" customWidth="1"/>
    <col min="4881" max="4881" width="12.54296875" style="426" customWidth="1"/>
    <col min="4882" max="4882" width="6.26953125" style="426" bestFit="1" customWidth="1"/>
    <col min="4883" max="4883" width="11.54296875" style="426" customWidth="1"/>
    <col min="4884" max="5122" width="9.1796875" style="426"/>
    <col min="5123" max="5123" width="15.7265625" style="426" customWidth="1"/>
    <col min="5124" max="5124" width="30.453125" style="426" customWidth="1"/>
    <col min="5125" max="5136" width="10.7265625" style="426" customWidth="1"/>
    <col min="5137" max="5137" width="12.54296875" style="426" customWidth="1"/>
    <col min="5138" max="5138" width="6.26953125" style="426" bestFit="1" customWidth="1"/>
    <col min="5139" max="5139" width="11.54296875" style="426" customWidth="1"/>
    <col min="5140" max="5378" width="9.1796875" style="426"/>
    <col min="5379" max="5379" width="15.7265625" style="426" customWidth="1"/>
    <col min="5380" max="5380" width="30.453125" style="426" customWidth="1"/>
    <col min="5381" max="5392" width="10.7265625" style="426" customWidth="1"/>
    <col min="5393" max="5393" width="12.54296875" style="426" customWidth="1"/>
    <col min="5394" max="5394" width="6.26953125" style="426" bestFit="1" customWidth="1"/>
    <col min="5395" max="5395" width="11.54296875" style="426" customWidth="1"/>
    <col min="5396" max="5634" width="9.1796875" style="426"/>
    <col min="5635" max="5635" width="15.7265625" style="426" customWidth="1"/>
    <col min="5636" max="5636" width="30.453125" style="426" customWidth="1"/>
    <col min="5637" max="5648" width="10.7265625" style="426" customWidth="1"/>
    <col min="5649" max="5649" width="12.54296875" style="426" customWidth="1"/>
    <col min="5650" max="5650" width="6.26953125" style="426" bestFit="1" customWidth="1"/>
    <col min="5651" max="5651" width="11.54296875" style="426" customWidth="1"/>
    <col min="5652" max="5890" width="9.1796875" style="426"/>
    <col min="5891" max="5891" width="15.7265625" style="426" customWidth="1"/>
    <col min="5892" max="5892" width="30.453125" style="426" customWidth="1"/>
    <col min="5893" max="5904" width="10.7265625" style="426" customWidth="1"/>
    <col min="5905" max="5905" width="12.54296875" style="426" customWidth="1"/>
    <col min="5906" max="5906" width="6.26953125" style="426" bestFit="1" customWidth="1"/>
    <col min="5907" max="5907" width="11.54296875" style="426" customWidth="1"/>
    <col min="5908" max="6146" width="9.1796875" style="426"/>
    <col min="6147" max="6147" width="15.7265625" style="426" customWidth="1"/>
    <col min="6148" max="6148" width="30.453125" style="426" customWidth="1"/>
    <col min="6149" max="6160" width="10.7265625" style="426" customWidth="1"/>
    <col min="6161" max="6161" width="12.54296875" style="426" customWidth="1"/>
    <col min="6162" max="6162" width="6.26953125" style="426" bestFit="1" customWidth="1"/>
    <col min="6163" max="6163" width="11.54296875" style="426" customWidth="1"/>
    <col min="6164" max="6402" width="9.1796875" style="426"/>
    <col min="6403" max="6403" width="15.7265625" style="426" customWidth="1"/>
    <col min="6404" max="6404" width="30.453125" style="426" customWidth="1"/>
    <col min="6405" max="6416" width="10.7265625" style="426" customWidth="1"/>
    <col min="6417" max="6417" width="12.54296875" style="426" customWidth="1"/>
    <col min="6418" max="6418" width="6.26953125" style="426" bestFit="1" customWidth="1"/>
    <col min="6419" max="6419" width="11.54296875" style="426" customWidth="1"/>
    <col min="6420" max="6658" width="9.1796875" style="426"/>
    <col min="6659" max="6659" width="15.7265625" style="426" customWidth="1"/>
    <col min="6660" max="6660" width="30.453125" style="426" customWidth="1"/>
    <col min="6661" max="6672" width="10.7265625" style="426" customWidth="1"/>
    <col min="6673" max="6673" width="12.54296875" style="426" customWidth="1"/>
    <col min="6674" max="6674" width="6.26953125" style="426" bestFit="1" customWidth="1"/>
    <col min="6675" max="6675" width="11.54296875" style="426" customWidth="1"/>
    <col min="6676" max="6914" width="9.1796875" style="426"/>
    <col min="6915" max="6915" width="15.7265625" style="426" customWidth="1"/>
    <col min="6916" max="6916" width="30.453125" style="426" customWidth="1"/>
    <col min="6917" max="6928" width="10.7265625" style="426" customWidth="1"/>
    <col min="6929" max="6929" width="12.54296875" style="426" customWidth="1"/>
    <col min="6930" max="6930" width="6.26953125" style="426" bestFit="1" customWidth="1"/>
    <col min="6931" max="6931" width="11.54296875" style="426" customWidth="1"/>
    <col min="6932" max="7170" width="9.1796875" style="426"/>
    <col min="7171" max="7171" width="15.7265625" style="426" customWidth="1"/>
    <col min="7172" max="7172" width="30.453125" style="426" customWidth="1"/>
    <col min="7173" max="7184" width="10.7265625" style="426" customWidth="1"/>
    <col min="7185" max="7185" width="12.54296875" style="426" customWidth="1"/>
    <col min="7186" max="7186" width="6.26953125" style="426" bestFit="1" customWidth="1"/>
    <col min="7187" max="7187" width="11.54296875" style="426" customWidth="1"/>
    <col min="7188" max="7426" width="9.1796875" style="426"/>
    <col min="7427" max="7427" width="15.7265625" style="426" customWidth="1"/>
    <col min="7428" max="7428" width="30.453125" style="426" customWidth="1"/>
    <col min="7429" max="7440" width="10.7265625" style="426" customWidth="1"/>
    <col min="7441" max="7441" width="12.54296875" style="426" customWidth="1"/>
    <col min="7442" max="7442" width="6.26953125" style="426" bestFit="1" customWidth="1"/>
    <col min="7443" max="7443" width="11.54296875" style="426" customWidth="1"/>
    <col min="7444" max="7682" width="9.1796875" style="426"/>
    <col min="7683" max="7683" width="15.7265625" style="426" customWidth="1"/>
    <col min="7684" max="7684" width="30.453125" style="426" customWidth="1"/>
    <col min="7685" max="7696" width="10.7265625" style="426" customWidth="1"/>
    <col min="7697" max="7697" width="12.54296875" style="426" customWidth="1"/>
    <col min="7698" max="7698" width="6.26953125" style="426" bestFit="1" customWidth="1"/>
    <col min="7699" max="7699" width="11.54296875" style="426" customWidth="1"/>
    <col min="7700" max="7938" width="9.1796875" style="426"/>
    <col min="7939" max="7939" width="15.7265625" style="426" customWidth="1"/>
    <col min="7940" max="7940" width="30.453125" style="426" customWidth="1"/>
    <col min="7941" max="7952" width="10.7265625" style="426" customWidth="1"/>
    <col min="7953" max="7953" width="12.54296875" style="426" customWidth="1"/>
    <col min="7954" max="7954" width="6.26953125" style="426" bestFit="1" customWidth="1"/>
    <col min="7955" max="7955" width="11.54296875" style="426" customWidth="1"/>
    <col min="7956" max="8194" width="9.1796875" style="426"/>
    <col min="8195" max="8195" width="15.7265625" style="426" customWidth="1"/>
    <col min="8196" max="8196" width="30.453125" style="426" customWidth="1"/>
    <col min="8197" max="8208" width="10.7265625" style="426" customWidth="1"/>
    <col min="8209" max="8209" width="12.54296875" style="426" customWidth="1"/>
    <col min="8210" max="8210" width="6.26953125" style="426" bestFit="1" customWidth="1"/>
    <col min="8211" max="8211" width="11.54296875" style="426" customWidth="1"/>
    <col min="8212" max="8450" width="9.1796875" style="426"/>
    <col min="8451" max="8451" width="15.7265625" style="426" customWidth="1"/>
    <col min="8452" max="8452" width="30.453125" style="426" customWidth="1"/>
    <col min="8453" max="8464" width="10.7265625" style="426" customWidth="1"/>
    <col min="8465" max="8465" width="12.54296875" style="426" customWidth="1"/>
    <col min="8466" max="8466" width="6.26953125" style="426" bestFit="1" customWidth="1"/>
    <col min="8467" max="8467" width="11.54296875" style="426" customWidth="1"/>
    <col min="8468" max="8706" width="9.1796875" style="426"/>
    <col min="8707" max="8707" width="15.7265625" style="426" customWidth="1"/>
    <col min="8708" max="8708" width="30.453125" style="426" customWidth="1"/>
    <col min="8709" max="8720" width="10.7265625" style="426" customWidth="1"/>
    <col min="8721" max="8721" width="12.54296875" style="426" customWidth="1"/>
    <col min="8722" max="8722" width="6.26953125" style="426" bestFit="1" customWidth="1"/>
    <col min="8723" max="8723" width="11.54296875" style="426" customWidth="1"/>
    <col min="8724" max="8962" width="9.1796875" style="426"/>
    <col min="8963" max="8963" width="15.7265625" style="426" customWidth="1"/>
    <col min="8964" max="8964" width="30.453125" style="426" customWidth="1"/>
    <col min="8965" max="8976" width="10.7265625" style="426" customWidth="1"/>
    <col min="8977" max="8977" width="12.54296875" style="426" customWidth="1"/>
    <col min="8978" max="8978" width="6.26953125" style="426" bestFit="1" customWidth="1"/>
    <col min="8979" max="8979" width="11.54296875" style="426" customWidth="1"/>
    <col min="8980" max="9218" width="9.1796875" style="426"/>
    <col min="9219" max="9219" width="15.7265625" style="426" customWidth="1"/>
    <col min="9220" max="9220" width="30.453125" style="426" customWidth="1"/>
    <col min="9221" max="9232" width="10.7265625" style="426" customWidth="1"/>
    <col min="9233" max="9233" width="12.54296875" style="426" customWidth="1"/>
    <col min="9234" max="9234" width="6.26953125" style="426" bestFit="1" customWidth="1"/>
    <col min="9235" max="9235" width="11.54296875" style="426" customWidth="1"/>
    <col min="9236" max="9474" width="9.1796875" style="426"/>
    <col min="9475" max="9475" width="15.7265625" style="426" customWidth="1"/>
    <col min="9476" max="9476" width="30.453125" style="426" customWidth="1"/>
    <col min="9477" max="9488" width="10.7265625" style="426" customWidth="1"/>
    <col min="9489" max="9489" width="12.54296875" style="426" customWidth="1"/>
    <col min="9490" max="9490" width="6.26953125" style="426" bestFit="1" customWidth="1"/>
    <col min="9491" max="9491" width="11.54296875" style="426" customWidth="1"/>
    <col min="9492" max="9730" width="9.1796875" style="426"/>
    <col min="9731" max="9731" width="15.7265625" style="426" customWidth="1"/>
    <col min="9732" max="9732" width="30.453125" style="426" customWidth="1"/>
    <col min="9733" max="9744" width="10.7265625" style="426" customWidth="1"/>
    <col min="9745" max="9745" width="12.54296875" style="426" customWidth="1"/>
    <col min="9746" max="9746" width="6.26953125" style="426" bestFit="1" customWidth="1"/>
    <col min="9747" max="9747" width="11.54296875" style="426" customWidth="1"/>
    <col min="9748" max="9986" width="9.1796875" style="426"/>
    <col min="9987" max="9987" width="15.7265625" style="426" customWidth="1"/>
    <col min="9988" max="9988" width="30.453125" style="426" customWidth="1"/>
    <col min="9989" max="10000" width="10.7265625" style="426" customWidth="1"/>
    <col min="10001" max="10001" width="12.54296875" style="426" customWidth="1"/>
    <col min="10002" max="10002" width="6.26953125" style="426" bestFit="1" customWidth="1"/>
    <col min="10003" max="10003" width="11.54296875" style="426" customWidth="1"/>
    <col min="10004" max="10242" width="9.1796875" style="426"/>
    <col min="10243" max="10243" width="15.7265625" style="426" customWidth="1"/>
    <col min="10244" max="10244" width="30.453125" style="426" customWidth="1"/>
    <col min="10245" max="10256" width="10.7265625" style="426" customWidth="1"/>
    <col min="10257" max="10257" width="12.54296875" style="426" customWidth="1"/>
    <col min="10258" max="10258" width="6.26953125" style="426" bestFit="1" customWidth="1"/>
    <col min="10259" max="10259" width="11.54296875" style="426" customWidth="1"/>
    <col min="10260" max="10498" width="9.1796875" style="426"/>
    <col min="10499" max="10499" width="15.7265625" style="426" customWidth="1"/>
    <col min="10500" max="10500" width="30.453125" style="426" customWidth="1"/>
    <col min="10501" max="10512" width="10.7265625" style="426" customWidth="1"/>
    <col min="10513" max="10513" width="12.54296875" style="426" customWidth="1"/>
    <col min="10514" max="10514" width="6.26953125" style="426" bestFit="1" customWidth="1"/>
    <col min="10515" max="10515" width="11.54296875" style="426" customWidth="1"/>
    <col min="10516" max="10754" width="9.1796875" style="426"/>
    <col min="10755" max="10755" width="15.7265625" style="426" customWidth="1"/>
    <col min="10756" max="10756" width="30.453125" style="426" customWidth="1"/>
    <col min="10757" max="10768" width="10.7265625" style="426" customWidth="1"/>
    <col min="10769" max="10769" width="12.54296875" style="426" customWidth="1"/>
    <col min="10770" max="10770" width="6.26953125" style="426" bestFit="1" customWidth="1"/>
    <col min="10771" max="10771" width="11.54296875" style="426" customWidth="1"/>
    <col min="10772" max="11010" width="9.1796875" style="426"/>
    <col min="11011" max="11011" width="15.7265625" style="426" customWidth="1"/>
    <col min="11012" max="11012" width="30.453125" style="426" customWidth="1"/>
    <col min="11013" max="11024" width="10.7265625" style="426" customWidth="1"/>
    <col min="11025" max="11025" width="12.54296875" style="426" customWidth="1"/>
    <col min="11026" max="11026" width="6.26953125" style="426" bestFit="1" customWidth="1"/>
    <col min="11027" max="11027" width="11.54296875" style="426" customWidth="1"/>
    <col min="11028" max="11266" width="9.1796875" style="426"/>
    <col min="11267" max="11267" width="15.7265625" style="426" customWidth="1"/>
    <col min="11268" max="11268" width="30.453125" style="426" customWidth="1"/>
    <col min="11269" max="11280" width="10.7265625" style="426" customWidth="1"/>
    <col min="11281" max="11281" width="12.54296875" style="426" customWidth="1"/>
    <col min="11282" max="11282" width="6.26953125" style="426" bestFit="1" customWidth="1"/>
    <col min="11283" max="11283" width="11.54296875" style="426" customWidth="1"/>
    <col min="11284" max="11522" width="9.1796875" style="426"/>
    <col min="11523" max="11523" width="15.7265625" style="426" customWidth="1"/>
    <col min="11524" max="11524" width="30.453125" style="426" customWidth="1"/>
    <col min="11525" max="11536" width="10.7265625" style="426" customWidth="1"/>
    <col min="11537" max="11537" width="12.54296875" style="426" customWidth="1"/>
    <col min="11538" max="11538" width="6.26953125" style="426" bestFit="1" customWidth="1"/>
    <col min="11539" max="11539" width="11.54296875" style="426" customWidth="1"/>
    <col min="11540" max="11778" width="9.1796875" style="426"/>
    <col min="11779" max="11779" width="15.7265625" style="426" customWidth="1"/>
    <col min="11780" max="11780" width="30.453125" style="426" customWidth="1"/>
    <col min="11781" max="11792" width="10.7265625" style="426" customWidth="1"/>
    <col min="11793" max="11793" width="12.54296875" style="426" customWidth="1"/>
    <col min="11794" max="11794" width="6.26953125" style="426" bestFit="1" customWidth="1"/>
    <col min="11795" max="11795" width="11.54296875" style="426" customWidth="1"/>
    <col min="11796" max="12034" width="9.1796875" style="426"/>
    <col min="12035" max="12035" width="15.7265625" style="426" customWidth="1"/>
    <col min="12036" max="12036" width="30.453125" style="426" customWidth="1"/>
    <col min="12037" max="12048" width="10.7265625" style="426" customWidth="1"/>
    <col min="12049" max="12049" width="12.54296875" style="426" customWidth="1"/>
    <col min="12050" max="12050" width="6.26953125" style="426" bestFit="1" customWidth="1"/>
    <col min="12051" max="12051" width="11.54296875" style="426" customWidth="1"/>
    <col min="12052" max="12290" width="9.1796875" style="426"/>
    <col min="12291" max="12291" width="15.7265625" style="426" customWidth="1"/>
    <col min="12292" max="12292" width="30.453125" style="426" customWidth="1"/>
    <col min="12293" max="12304" width="10.7265625" style="426" customWidth="1"/>
    <col min="12305" max="12305" width="12.54296875" style="426" customWidth="1"/>
    <col min="12306" max="12306" width="6.26953125" style="426" bestFit="1" customWidth="1"/>
    <col min="12307" max="12307" width="11.54296875" style="426" customWidth="1"/>
    <col min="12308" max="12546" width="9.1796875" style="426"/>
    <col min="12547" max="12547" width="15.7265625" style="426" customWidth="1"/>
    <col min="12548" max="12548" width="30.453125" style="426" customWidth="1"/>
    <col min="12549" max="12560" width="10.7265625" style="426" customWidth="1"/>
    <col min="12561" max="12561" width="12.54296875" style="426" customWidth="1"/>
    <col min="12562" max="12562" width="6.26953125" style="426" bestFit="1" customWidth="1"/>
    <col min="12563" max="12563" width="11.54296875" style="426" customWidth="1"/>
    <col min="12564" max="12802" width="9.1796875" style="426"/>
    <col min="12803" max="12803" width="15.7265625" style="426" customWidth="1"/>
    <col min="12804" max="12804" width="30.453125" style="426" customWidth="1"/>
    <col min="12805" max="12816" width="10.7265625" style="426" customWidth="1"/>
    <col min="12817" max="12817" width="12.54296875" style="426" customWidth="1"/>
    <col min="12818" max="12818" width="6.26953125" style="426" bestFit="1" customWidth="1"/>
    <col min="12819" max="12819" width="11.54296875" style="426" customWidth="1"/>
    <col min="12820" max="13058" width="9.1796875" style="426"/>
    <col min="13059" max="13059" width="15.7265625" style="426" customWidth="1"/>
    <col min="13060" max="13060" width="30.453125" style="426" customWidth="1"/>
    <col min="13061" max="13072" width="10.7265625" style="426" customWidth="1"/>
    <col min="13073" max="13073" width="12.54296875" style="426" customWidth="1"/>
    <col min="13074" max="13074" width="6.26953125" style="426" bestFit="1" customWidth="1"/>
    <col min="13075" max="13075" width="11.54296875" style="426" customWidth="1"/>
    <col min="13076" max="13314" width="9.1796875" style="426"/>
    <col min="13315" max="13315" width="15.7265625" style="426" customWidth="1"/>
    <col min="13316" max="13316" width="30.453125" style="426" customWidth="1"/>
    <col min="13317" max="13328" width="10.7265625" style="426" customWidth="1"/>
    <col min="13329" max="13329" width="12.54296875" style="426" customWidth="1"/>
    <col min="13330" max="13330" width="6.26953125" style="426" bestFit="1" customWidth="1"/>
    <col min="13331" max="13331" width="11.54296875" style="426" customWidth="1"/>
    <col min="13332" max="13570" width="9.1796875" style="426"/>
    <col min="13571" max="13571" width="15.7265625" style="426" customWidth="1"/>
    <col min="13572" max="13572" width="30.453125" style="426" customWidth="1"/>
    <col min="13573" max="13584" width="10.7265625" style="426" customWidth="1"/>
    <col min="13585" max="13585" width="12.54296875" style="426" customWidth="1"/>
    <col min="13586" max="13586" width="6.26953125" style="426" bestFit="1" customWidth="1"/>
    <col min="13587" max="13587" width="11.54296875" style="426" customWidth="1"/>
    <col min="13588" max="13826" width="9.1796875" style="426"/>
    <col min="13827" max="13827" width="15.7265625" style="426" customWidth="1"/>
    <col min="13828" max="13828" width="30.453125" style="426" customWidth="1"/>
    <col min="13829" max="13840" width="10.7265625" style="426" customWidth="1"/>
    <col min="13841" max="13841" width="12.54296875" style="426" customWidth="1"/>
    <col min="13842" max="13842" width="6.26953125" style="426" bestFit="1" customWidth="1"/>
    <col min="13843" max="13843" width="11.54296875" style="426" customWidth="1"/>
    <col min="13844" max="14082" width="9.1796875" style="426"/>
    <col min="14083" max="14083" width="15.7265625" style="426" customWidth="1"/>
    <col min="14084" max="14084" width="30.453125" style="426" customWidth="1"/>
    <col min="14085" max="14096" width="10.7265625" style="426" customWidth="1"/>
    <col min="14097" max="14097" width="12.54296875" style="426" customWidth="1"/>
    <col min="14098" max="14098" width="6.26953125" style="426" bestFit="1" customWidth="1"/>
    <col min="14099" max="14099" width="11.54296875" style="426" customWidth="1"/>
    <col min="14100" max="14338" width="9.1796875" style="426"/>
    <col min="14339" max="14339" width="15.7265625" style="426" customWidth="1"/>
    <col min="14340" max="14340" width="30.453125" style="426" customWidth="1"/>
    <col min="14341" max="14352" width="10.7265625" style="426" customWidth="1"/>
    <col min="14353" max="14353" width="12.54296875" style="426" customWidth="1"/>
    <col min="14354" max="14354" width="6.26953125" style="426" bestFit="1" customWidth="1"/>
    <col min="14355" max="14355" width="11.54296875" style="426" customWidth="1"/>
    <col min="14356" max="14594" width="9.1796875" style="426"/>
    <col min="14595" max="14595" width="15.7265625" style="426" customWidth="1"/>
    <col min="14596" max="14596" width="30.453125" style="426" customWidth="1"/>
    <col min="14597" max="14608" width="10.7265625" style="426" customWidth="1"/>
    <col min="14609" max="14609" width="12.54296875" style="426" customWidth="1"/>
    <col min="14610" max="14610" width="6.26953125" style="426" bestFit="1" customWidth="1"/>
    <col min="14611" max="14611" width="11.54296875" style="426" customWidth="1"/>
    <col min="14612" max="14850" width="9.1796875" style="426"/>
    <col min="14851" max="14851" width="15.7265625" style="426" customWidth="1"/>
    <col min="14852" max="14852" width="30.453125" style="426" customWidth="1"/>
    <col min="14853" max="14864" width="10.7265625" style="426" customWidth="1"/>
    <col min="14865" max="14865" width="12.54296875" style="426" customWidth="1"/>
    <col min="14866" max="14866" width="6.26953125" style="426" bestFit="1" customWidth="1"/>
    <col min="14867" max="14867" width="11.54296875" style="426" customWidth="1"/>
    <col min="14868" max="15106" width="9.1796875" style="426"/>
    <col min="15107" max="15107" width="15.7265625" style="426" customWidth="1"/>
    <col min="15108" max="15108" width="30.453125" style="426" customWidth="1"/>
    <col min="15109" max="15120" width="10.7265625" style="426" customWidth="1"/>
    <col min="15121" max="15121" width="12.54296875" style="426" customWidth="1"/>
    <col min="15122" max="15122" width="6.26953125" style="426" bestFit="1" customWidth="1"/>
    <col min="15123" max="15123" width="11.54296875" style="426" customWidth="1"/>
    <col min="15124" max="15362" width="9.1796875" style="426"/>
    <col min="15363" max="15363" width="15.7265625" style="426" customWidth="1"/>
    <col min="15364" max="15364" width="30.453125" style="426" customWidth="1"/>
    <col min="15365" max="15376" width="10.7265625" style="426" customWidth="1"/>
    <col min="15377" max="15377" width="12.54296875" style="426" customWidth="1"/>
    <col min="15378" max="15378" width="6.26953125" style="426" bestFit="1" customWidth="1"/>
    <col min="15379" max="15379" width="11.54296875" style="426" customWidth="1"/>
    <col min="15380" max="15523" width="9.1796875" style="426"/>
    <col min="15524" max="15524" width="8.54296875" style="426" customWidth="1"/>
    <col min="15525" max="15618" width="9.1796875" style="426"/>
    <col min="15619" max="15619" width="15.7265625" style="426" customWidth="1"/>
    <col min="15620" max="15620" width="30.453125" style="426" customWidth="1"/>
    <col min="15621" max="15632" width="10.7265625" style="426" customWidth="1"/>
    <col min="15633" max="15633" width="12.54296875" style="426" customWidth="1"/>
    <col min="15634" max="15634" width="6.26953125" style="426" bestFit="1" customWidth="1"/>
    <col min="15635" max="15635" width="11.54296875" style="426" customWidth="1"/>
    <col min="15636" max="15874" width="9.1796875" style="426"/>
    <col min="15875" max="15875" width="15.7265625" style="426" customWidth="1"/>
    <col min="15876" max="15876" width="30.453125" style="426" customWidth="1"/>
    <col min="15877" max="15888" width="10.7265625" style="426" customWidth="1"/>
    <col min="15889" max="15889" width="12.54296875" style="426" customWidth="1"/>
    <col min="15890" max="15890" width="6.26953125" style="426" bestFit="1" customWidth="1"/>
    <col min="15891" max="15891" width="11.54296875" style="426" customWidth="1"/>
    <col min="15892" max="16130" width="9.1796875" style="426"/>
    <col min="16131" max="16131" width="15.7265625" style="426" customWidth="1"/>
    <col min="16132" max="16132" width="30.453125" style="426" customWidth="1"/>
    <col min="16133" max="16144" width="10.7265625" style="426" customWidth="1"/>
    <col min="16145" max="16145" width="12.54296875" style="426" customWidth="1"/>
    <col min="16146" max="16146" width="6.26953125" style="426" bestFit="1" customWidth="1"/>
    <col min="16147" max="16147" width="11.54296875" style="426" customWidth="1"/>
    <col min="16148" max="16384" width="9.1796875" style="426"/>
  </cols>
  <sheetData>
    <row r="2" spans="1:19" x14ac:dyDescent="0.3">
      <c r="C2" s="1154"/>
      <c r="D2" s="1154"/>
      <c r="E2" s="1154"/>
      <c r="F2" s="1154"/>
      <c r="G2" s="1154"/>
      <c r="H2" s="1154"/>
      <c r="I2" s="1154"/>
      <c r="J2" s="523" t="s">
        <v>1027</v>
      </c>
      <c r="K2" s="1154"/>
      <c r="L2" s="1154"/>
      <c r="M2" s="1154"/>
      <c r="N2" s="1154"/>
      <c r="O2" s="1154"/>
      <c r="P2" s="1154"/>
      <c r="Q2" s="1154"/>
    </row>
    <row r="3" spans="1:19" x14ac:dyDescent="0.3">
      <c r="C3" s="1154"/>
      <c r="D3" s="1154"/>
      <c r="E3" s="1154"/>
      <c r="F3" s="1154"/>
      <c r="G3" s="1154"/>
      <c r="H3" s="1154"/>
      <c r="I3" s="1154"/>
      <c r="J3" s="523" t="s">
        <v>803</v>
      </c>
      <c r="K3" s="1154"/>
      <c r="L3" s="1154"/>
      <c r="M3" s="1154"/>
      <c r="N3" s="1154"/>
      <c r="O3" s="1154"/>
      <c r="P3" s="1154"/>
      <c r="Q3" s="1154"/>
    </row>
    <row r="4" spans="1:19" x14ac:dyDescent="0.3">
      <c r="C4" s="1154"/>
      <c r="D4" s="1154"/>
      <c r="E4" s="1154"/>
      <c r="F4" s="1154"/>
      <c r="G4" s="1154"/>
      <c r="H4" s="1154"/>
      <c r="I4" s="1154"/>
      <c r="J4" s="523" t="s">
        <v>291</v>
      </c>
      <c r="K4" s="1154"/>
      <c r="L4" s="1154"/>
      <c r="M4" s="1154"/>
      <c r="N4" s="1154"/>
      <c r="O4" s="1154"/>
      <c r="P4" s="1154"/>
      <c r="Q4" s="1154"/>
      <c r="R4" s="530"/>
      <c r="S4" s="530"/>
    </row>
    <row r="5" spans="1:19" x14ac:dyDescent="0.3">
      <c r="B5" s="487"/>
      <c r="C5" s="531"/>
      <c r="D5" s="531"/>
      <c r="E5" s="531"/>
      <c r="F5" s="531"/>
      <c r="G5" s="531"/>
      <c r="H5" s="531"/>
      <c r="I5" s="531"/>
      <c r="J5" s="531"/>
      <c r="K5" s="531"/>
      <c r="L5" s="531"/>
      <c r="M5" s="531"/>
      <c r="N5" s="531"/>
      <c r="O5" s="531"/>
      <c r="P5" s="531"/>
      <c r="Q5" s="531"/>
      <c r="R5" s="530"/>
      <c r="S5" s="530"/>
    </row>
    <row r="6" spans="1:19" x14ac:dyDescent="0.3">
      <c r="B6" s="487"/>
      <c r="C6" s="531"/>
      <c r="D6" s="531"/>
      <c r="E6" s="531"/>
      <c r="F6" s="531"/>
      <c r="G6" s="531"/>
      <c r="H6" s="531"/>
      <c r="I6" s="531"/>
      <c r="J6" s="531"/>
      <c r="K6" s="531"/>
      <c r="L6" s="531"/>
      <c r="M6" s="531"/>
      <c r="N6" s="531"/>
      <c r="O6" s="531"/>
      <c r="P6" s="531"/>
      <c r="Q6" s="531"/>
      <c r="R6" s="530"/>
      <c r="S6" s="530"/>
    </row>
    <row r="7" spans="1:19" x14ac:dyDescent="0.3">
      <c r="B7" s="597" t="s">
        <v>1727</v>
      </c>
      <c r="C7" s="531"/>
      <c r="D7" s="531"/>
      <c r="E7" s="531"/>
      <c r="F7" s="531"/>
      <c r="G7" s="531"/>
      <c r="H7" s="531"/>
      <c r="I7" s="531"/>
      <c r="J7" s="531"/>
      <c r="K7" s="531"/>
      <c r="L7" s="531"/>
      <c r="M7" s="531"/>
      <c r="N7" s="531"/>
      <c r="O7" s="531"/>
      <c r="P7" s="530"/>
      <c r="Q7" s="530"/>
    </row>
    <row r="8" spans="1:19" x14ac:dyDescent="0.3">
      <c r="B8" s="597" t="s">
        <v>1742</v>
      </c>
      <c r="C8" s="531"/>
      <c r="D8" s="531"/>
      <c r="E8" s="531"/>
      <c r="F8" s="531"/>
      <c r="G8" s="531"/>
      <c r="H8" s="531"/>
      <c r="I8" s="531"/>
      <c r="J8" s="531"/>
      <c r="K8" s="531"/>
      <c r="L8" s="531"/>
      <c r="M8" s="531"/>
      <c r="N8" s="531"/>
      <c r="O8" s="531"/>
      <c r="P8" s="530"/>
      <c r="Q8" s="530"/>
    </row>
    <row r="9" spans="1:19" ht="15" customHeight="1" x14ac:dyDescent="0.3">
      <c r="B9" s="2194" t="s">
        <v>292</v>
      </c>
      <c r="C9" s="2190" t="s">
        <v>804</v>
      </c>
      <c r="D9" s="2191"/>
      <c r="E9" s="2194" t="s">
        <v>292</v>
      </c>
      <c r="F9" s="2190" t="s">
        <v>186</v>
      </c>
      <c r="G9" s="2197"/>
      <c r="H9" s="2190" t="s">
        <v>426</v>
      </c>
      <c r="I9" s="2197"/>
      <c r="J9" s="2190" t="s">
        <v>427</v>
      </c>
      <c r="K9" s="2197"/>
      <c r="L9" s="2197"/>
      <c r="M9" s="2197"/>
      <c r="N9" s="2190" t="s">
        <v>428</v>
      </c>
      <c r="O9" s="2191"/>
      <c r="P9" s="2190" t="s">
        <v>429</v>
      </c>
      <c r="Q9" s="2191"/>
      <c r="R9" s="2192" t="s">
        <v>39</v>
      </c>
      <c r="S9" s="524"/>
    </row>
    <row r="10" spans="1:19" ht="28" x14ac:dyDescent="0.3">
      <c r="A10" s="1019"/>
      <c r="B10" s="2195"/>
      <c r="C10" s="1153" t="s">
        <v>404</v>
      </c>
      <c r="D10" s="1151" t="s">
        <v>405</v>
      </c>
      <c r="E10" s="2195"/>
      <c r="F10" s="1153" t="s">
        <v>404</v>
      </c>
      <c r="G10" s="1151" t="s">
        <v>405</v>
      </c>
      <c r="H10" s="1153" t="s">
        <v>404</v>
      </c>
      <c r="I10" s="1151" t="s">
        <v>405</v>
      </c>
      <c r="J10" s="1151" t="s">
        <v>404</v>
      </c>
      <c r="K10" s="1151" t="s">
        <v>408</v>
      </c>
      <c r="L10" s="1151" t="s">
        <v>333</v>
      </c>
      <c r="M10" s="1151" t="s">
        <v>72</v>
      </c>
      <c r="N10" s="1151" t="s">
        <v>404</v>
      </c>
      <c r="O10" s="1151" t="s">
        <v>805</v>
      </c>
      <c r="P10" s="1151" t="s">
        <v>404</v>
      </c>
      <c r="Q10" s="1151" t="s">
        <v>805</v>
      </c>
      <c r="R10" s="2192"/>
    </row>
    <row r="11" spans="1:19" x14ac:dyDescent="0.3">
      <c r="A11" s="1019"/>
      <c r="B11" s="2196"/>
      <c r="C11" s="1151" t="s">
        <v>73</v>
      </c>
      <c r="D11" s="1151" t="s">
        <v>74</v>
      </c>
      <c r="E11" s="2196"/>
      <c r="F11" s="1151" t="s">
        <v>690</v>
      </c>
      <c r="G11" s="1151" t="s">
        <v>411</v>
      </c>
      <c r="H11" s="1151" t="s">
        <v>412</v>
      </c>
      <c r="I11" s="1151" t="s">
        <v>581</v>
      </c>
      <c r="J11" s="1151" t="s">
        <v>668</v>
      </c>
      <c r="K11" s="1151" t="s">
        <v>582</v>
      </c>
      <c r="L11" s="1151" t="s">
        <v>759</v>
      </c>
      <c r="M11" s="1151" t="s">
        <v>810</v>
      </c>
      <c r="N11" s="1151" t="s">
        <v>583</v>
      </c>
      <c r="O11" s="1151" t="s">
        <v>760</v>
      </c>
      <c r="P11" s="1151" t="s">
        <v>585</v>
      </c>
      <c r="Q11" s="1151" t="s">
        <v>761</v>
      </c>
      <c r="R11" s="2193"/>
    </row>
    <row r="12" spans="1:19" x14ac:dyDescent="0.3">
      <c r="A12" s="1019"/>
      <c r="B12" s="458" t="s">
        <v>293</v>
      </c>
      <c r="C12" s="348"/>
      <c r="D12" s="348"/>
      <c r="E12" s="1588" t="s">
        <v>293</v>
      </c>
      <c r="F12" s="348"/>
      <c r="G12" s="348"/>
      <c r="H12" s="349"/>
      <c r="I12" s="349"/>
      <c r="J12" s="349"/>
      <c r="K12" s="349"/>
      <c r="L12" s="340"/>
      <c r="M12" s="340"/>
      <c r="N12" s="343"/>
      <c r="O12" s="343"/>
      <c r="P12" s="343"/>
      <c r="Q12" s="343"/>
      <c r="R12" s="343"/>
    </row>
    <row r="13" spans="1:19" x14ac:dyDescent="0.3">
      <c r="A13" s="1019"/>
      <c r="B13" s="344" t="s">
        <v>891</v>
      </c>
      <c r="C13" s="359">
        <v>156.77000000000001</v>
      </c>
      <c r="D13" s="359">
        <f>O66</f>
        <v>178.86294300000003</v>
      </c>
      <c r="E13" s="507" t="s">
        <v>891</v>
      </c>
      <c r="F13" s="359">
        <v>156.72499999999999</v>
      </c>
      <c r="G13" s="359">
        <f t="shared" ref="G13:G19" si="0">P116</f>
        <v>144.91576799999999</v>
      </c>
      <c r="H13" s="389">
        <v>156.66</v>
      </c>
      <c r="I13" s="343">
        <f>O159</f>
        <v>147.67402899999999</v>
      </c>
      <c r="J13" s="389">
        <v>156.56</v>
      </c>
      <c r="K13" s="343">
        <f t="shared" ref="K13:K19" si="1">SUM(C202:H202)</f>
        <v>86.384212000000005</v>
      </c>
      <c r="L13" s="347">
        <f t="shared" ref="L13" si="2">SUM(I202:N202)</f>
        <v>104.00449535736344</v>
      </c>
      <c r="M13" s="347">
        <f>K13+L13</f>
        <v>190.38870735736344</v>
      </c>
      <c r="N13" s="389">
        <v>156.41</v>
      </c>
      <c r="O13" s="343">
        <f t="shared" ref="O13:O18" si="3">O245</f>
        <v>190.38870735736347</v>
      </c>
      <c r="P13" s="389">
        <v>156.18</v>
      </c>
      <c r="Q13" s="343">
        <f t="shared" ref="Q13:Q19" si="4">O283</f>
        <v>190.38870735736347</v>
      </c>
      <c r="R13" s="343"/>
    </row>
    <row r="14" spans="1:19" x14ac:dyDescent="0.3">
      <c r="A14" s="1019"/>
      <c r="B14" s="344" t="s">
        <v>892</v>
      </c>
      <c r="C14" s="359">
        <v>246.67400000000001</v>
      </c>
      <c r="D14" s="359">
        <f t="shared" ref="D14:D16" si="5">O67</f>
        <v>225.82804600000003</v>
      </c>
      <c r="E14" s="507" t="s">
        <v>892</v>
      </c>
      <c r="F14" s="359">
        <v>278.97500000000002</v>
      </c>
      <c r="G14" s="359">
        <f t="shared" si="0"/>
        <v>162.09427200000002</v>
      </c>
      <c r="H14" s="389">
        <v>286.41000000000003</v>
      </c>
      <c r="I14" s="343">
        <f t="shared" ref="I14:I19" si="6">O160</f>
        <v>193.68196</v>
      </c>
      <c r="J14" s="389">
        <v>295.54000000000002</v>
      </c>
      <c r="K14" s="343">
        <f t="shared" si="1"/>
        <v>117.47139799999999</v>
      </c>
      <c r="L14" s="347">
        <f t="shared" ref="L14" si="7">SUM(I203:N203)</f>
        <v>90.979663364329937</v>
      </c>
      <c r="M14" s="347">
        <f t="shared" ref="M14:M21" si="8">K14+L14</f>
        <v>208.45106136432992</v>
      </c>
      <c r="N14" s="389">
        <v>306.74</v>
      </c>
      <c r="O14" s="343">
        <f t="shared" si="3"/>
        <v>208.45106136432997</v>
      </c>
      <c r="P14" s="389">
        <v>320.49</v>
      </c>
      <c r="Q14" s="343">
        <f t="shared" si="4"/>
        <v>208.45106136432997</v>
      </c>
      <c r="R14" s="343"/>
    </row>
    <row r="15" spans="1:19" x14ac:dyDescent="0.3">
      <c r="A15" s="1019"/>
      <c r="B15" s="344" t="s">
        <v>893</v>
      </c>
      <c r="C15" s="359">
        <v>30.65</v>
      </c>
      <c r="D15" s="359">
        <f t="shared" si="5"/>
        <v>30.026651999999999</v>
      </c>
      <c r="E15" s="507" t="s">
        <v>893</v>
      </c>
      <c r="F15" s="359">
        <v>30.65</v>
      </c>
      <c r="G15" s="359">
        <f t="shared" si="0"/>
        <v>29.008610000000001</v>
      </c>
      <c r="H15" s="389">
        <v>30.63</v>
      </c>
      <c r="I15" s="343">
        <f t="shared" si="6"/>
        <v>26.534104999999997</v>
      </c>
      <c r="J15" s="389">
        <v>30.61</v>
      </c>
      <c r="K15" s="343">
        <f t="shared" si="1"/>
        <v>17.184446000000001</v>
      </c>
      <c r="L15" s="347">
        <f t="shared" ref="L15" si="9">SUM(I204:N204)</f>
        <v>14.936878728631736</v>
      </c>
      <c r="M15" s="347">
        <f t="shared" si="8"/>
        <v>32.121324728631734</v>
      </c>
      <c r="N15" s="389">
        <v>30.58</v>
      </c>
      <c r="O15" s="343">
        <f t="shared" si="3"/>
        <v>32.121324728631734</v>
      </c>
      <c r="P15" s="389">
        <v>30.54</v>
      </c>
      <c r="Q15" s="343">
        <f t="shared" si="4"/>
        <v>32.121324728631734</v>
      </c>
      <c r="R15" s="343"/>
    </row>
    <row r="16" spans="1:19" s="496" customFormat="1" x14ac:dyDescent="0.3">
      <c r="A16" s="1019"/>
      <c r="B16" s="581" t="s">
        <v>894</v>
      </c>
      <c r="C16" s="359">
        <v>35.729999999999997</v>
      </c>
      <c r="D16" s="359">
        <f t="shared" si="5"/>
        <v>37.338343999999999</v>
      </c>
      <c r="E16" s="507" t="s">
        <v>1705</v>
      </c>
      <c r="F16" s="437">
        <v>2.14</v>
      </c>
      <c r="G16" s="359">
        <f t="shared" si="0"/>
        <v>1.8214940000000002</v>
      </c>
      <c r="H16" s="438">
        <v>2.14</v>
      </c>
      <c r="I16" s="343">
        <f t="shared" si="6"/>
        <v>2.5235099999999999</v>
      </c>
      <c r="J16" s="438">
        <v>2.14</v>
      </c>
      <c r="K16" s="343">
        <f t="shared" si="1"/>
        <v>1.321215</v>
      </c>
      <c r="L16" s="347">
        <f t="shared" ref="L16" si="10">SUM(I205:N205)</f>
        <v>1.2505067190733439</v>
      </c>
      <c r="M16" s="435">
        <f t="shared" si="8"/>
        <v>2.5717217190733441</v>
      </c>
      <c r="N16" s="438">
        <v>2.14</v>
      </c>
      <c r="O16" s="438">
        <f t="shared" si="3"/>
        <v>2.5717217190733441</v>
      </c>
      <c r="P16" s="438">
        <v>2.14</v>
      </c>
      <c r="Q16" s="438">
        <f t="shared" si="4"/>
        <v>2.5717217190733441</v>
      </c>
      <c r="R16" s="353"/>
    </row>
    <row r="17" spans="1:61" ht="42" x14ac:dyDescent="0.3">
      <c r="A17" s="1019"/>
      <c r="B17" s="344" t="s">
        <v>895</v>
      </c>
      <c r="C17" s="359">
        <v>2.14</v>
      </c>
      <c r="D17" s="359">
        <f>O70</f>
        <v>2.2195320000000001</v>
      </c>
      <c r="E17" s="507" t="s">
        <v>1706</v>
      </c>
      <c r="F17" s="437">
        <v>26.59</v>
      </c>
      <c r="G17" s="359">
        <f t="shared" si="0"/>
        <v>21.803226000000002</v>
      </c>
      <c r="H17" s="438">
        <v>26.574000000000002</v>
      </c>
      <c r="I17" s="343">
        <f t="shared" si="6"/>
        <v>26.260580000000001</v>
      </c>
      <c r="J17" s="438">
        <v>26.56</v>
      </c>
      <c r="K17" s="343">
        <f t="shared" si="1"/>
        <v>15.167463</v>
      </c>
      <c r="L17" s="347">
        <f t="shared" ref="L17" si="11">SUM(I206:N206)</f>
        <v>12.616353124755697</v>
      </c>
      <c r="M17" s="435">
        <f t="shared" si="8"/>
        <v>27.783816124755695</v>
      </c>
      <c r="N17" s="438">
        <v>26.53</v>
      </c>
      <c r="O17" s="438">
        <f t="shared" si="3"/>
        <v>27.783816124755699</v>
      </c>
      <c r="P17" s="438">
        <v>26.49</v>
      </c>
      <c r="Q17" s="438">
        <f t="shared" si="4"/>
        <v>27.783816124755699</v>
      </c>
      <c r="R17" s="343"/>
    </row>
    <row r="18" spans="1:61" s="1155" customFormat="1" ht="28" x14ac:dyDescent="0.3">
      <c r="A18" s="1019"/>
      <c r="B18" s="1057" t="s">
        <v>921</v>
      </c>
      <c r="C18" s="437">
        <v>26.594000000000001</v>
      </c>
      <c r="D18" s="359">
        <f>O71</f>
        <v>25.843350000000001</v>
      </c>
      <c r="E18" s="507" t="s">
        <v>1707</v>
      </c>
      <c r="F18" s="1155">
        <v>196.66</v>
      </c>
      <c r="G18" s="359">
        <f t="shared" si="0"/>
        <v>184.75111199999998</v>
      </c>
      <c r="H18" s="1155">
        <v>196.57400000000001</v>
      </c>
      <c r="I18" s="343">
        <f t="shared" si="6"/>
        <v>184.86755000000002</v>
      </c>
      <c r="J18" s="438">
        <v>196.45400000000001</v>
      </c>
      <c r="K18" s="343">
        <f t="shared" si="1"/>
        <v>101.350844</v>
      </c>
      <c r="L18" s="347">
        <f t="shared" ref="L18" si="12">SUM(I207:N207)</f>
        <v>84.660047346317228</v>
      </c>
      <c r="M18" s="435">
        <f t="shared" si="8"/>
        <v>186.01089134631724</v>
      </c>
      <c r="N18" s="1155">
        <v>196.26400000000001</v>
      </c>
      <c r="O18" s="438">
        <f t="shared" si="3"/>
        <v>186.01089134631724</v>
      </c>
      <c r="P18" s="1155">
        <v>195.97399999999999</v>
      </c>
      <c r="Q18" s="438">
        <f t="shared" si="4"/>
        <v>186.01089134631724</v>
      </c>
      <c r="R18" s="438"/>
    </row>
    <row r="19" spans="1:61" x14ac:dyDescent="0.3">
      <c r="A19" s="1019"/>
      <c r="B19" s="348" t="s">
        <v>896</v>
      </c>
      <c r="C19" s="359">
        <v>160.99</v>
      </c>
      <c r="D19" s="359">
        <f>O72</f>
        <v>159.86613100000002</v>
      </c>
      <c r="E19" s="1057" t="s">
        <v>1704</v>
      </c>
      <c r="F19" s="359">
        <v>0</v>
      </c>
      <c r="G19" s="359">
        <f t="shared" si="0"/>
        <v>0</v>
      </c>
      <c r="H19" s="389">
        <v>0</v>
      </c>
      <c r="I19" s="343">
        <f t="shared" si="6"/>
        <v>0</v>
      </c>
      <c r="J19" s="1261">
        <v>0</v>
      </c>
      <c r="K19" s="343">
        <f t="shared" si="1"/>
        <v>0</v>
      </c>
      <c r="L19" s="347">
        <f t="shared" ref="L19" si="13">SUM(I208:N208)</f>
        <v>0</v>
      </c>
      <c r="M19" s="347">
        <f t="shared" si="8"/>
        <v>0</v>
      </c>
      <c r="N19" s="389">
        <v>0</v>
      </c>
      <c r="O19" s="426">
        <v>0</v>
      </c>
      <c r="P19" s="389">
        <v>0</v>
      </c>
      <c r="Q19" s="343">
        <f t="shared" si="4"/>
        <v>0</v>
      </c>
      <c r="R19" s="343"/>
    </row>
    <row r="20" spans="1:61" x14ac:dyDescent="0.3">
      <c r="A20" s="1019"/>
      <c r="B20" s="594" t="s">
        <v>897</v>
      </c>
      <c r="C20" s="359">
        <v>26.27</v>
      </c>
      <c r="D20" s="359">
        <f>O73</f>
        <v>20.814780000000003</v>
      </c>
      <c r="E20" s="1588" t="s">
        <v>416</v>
      </c>
      <c r="F20" s="361">
        <f>SUM(F13:F19)</f>
        <v>691.74</v>
      </c>
      <c r="G20" s="361">
        <f>SUM(G13:G18)</f>
        <v>544.39448199999993</v>
      </c>
      <c r="H20" s="361">
        <f>SUM(H13:H19)</f>
        <v>698.98800000000006</v>
      </c>
      <c r="I20" s="361">
        <f>SUM(I13:I18)</f>
        <v>581.54173400000002</v>
      </c>
      <c r="J20" s="361">
        <f>SUM(J13:J19)-0.01</f>
        <v>707.85400000000004</v>
      </c>
      <c r="K20" s="361">
        <f>SUM(K13:K18)</f>
        <v>338.87957800000004</v>
      </c>
      <c r="L20" s="361">
        <f t="shared" ref="L20:Q20" si="14">SUM(L13:L19)</f>
        <v>308.44794464047141</v>
      </c>
      <c r="M20" s="361">
        <f>SUM(M13:M18)</f>
        <v>647.32752264047144</v>
      </c>
      <c r="N20" s="361">
        <f t="shared" si="14"/>
        <v>718.66399999999999</v>
      </c>
      <c r="O20" s="361">
        <f>SUM(O13:O18)</f>
        <v>647.32752264047144</v>
      </c>
      <c r="P20" s="361">
        <f t="shared" si="14"/>
        <v>731.81400000000008</v>
      </c>
      <c r="Q20" s="361">
        <f t="shared" si="14"/>
        <v>647.32752264047144</v>
      </c>
      <c r="R20" s="343"/>
    </row>
    <row r="21" spans="1:61" x14ac:dyDescent="0.3">
      <c r="A21" s="1019"/>
      <c r="B21" s="594"/>
      <c r="C21" s="359"/>
      <c r="D21" s="359"/>
      <c r="E21" s="507"/>
      <c r="F21" s="359">
        <v>0</v>
      </c>
      <c r="G21" s="359">
        <v>0</v>
      </c>
      <c r="H21" s="343">
        <v>0</v>
      </c>
      <c r="I21" s="343">
        <v>0</v>
      </c>
      <c r="J21" s="343">
        <v>0</v>
      </c>
      <c r="K21" s="343">
        <v>0</v>
      </c>
      <c r="L21" s="347">
        <f>SUM(I208:N208)</f>
        <v>0</v>
      </c>
      <c r="M21" s="347">
        <f t="shared" si="8"/>
        <v>0</v>
      </c>
      <c r="N21" s="343">
        <v>0</v>
      </c>
      <c r="O21" s="343">
        <f>O251</f>
        <v>0</v>
      </c>
      <c r="P21" s="343">
        <v>0</v>
      </c>
      <c r="Q21" s="343">
        <f>O289</f>
        <v>0</v>
      </c>
      <c r="R21" s="343"/>
    </row>
    <row r="22" spans="1:61" x14ac:dyDescent="0.3">
      <c r="A22" s="1019"/>
      <c r="B22" s="434" t="s">
        <v>416</v>
      </c>
      <c r="C22" s="358">
        <f>SUM(C13:C21)+0.01</f>
        <v>685.82799999999997</v>
      </c>
      <c r="D22" s="358">
        <f>SUM(D13:D21)</f>
        <v>680.79977800000017</v>
      </c>
      <c r="E22" s="1587"/>
      <c r="F22" s="358"/>
      <c r="G22" s="358"/>
      <c r="H22" s="358"/>
      <c r="I22" s="358"/>
      <c r="J22" s="358"/>
      <c r="K22" s="358"/>
      <c r="L22" s="358"/>
      <c r="M22" s="358"/>
      <c r="N22" s="358"/>
      <c r="O22" s="358"/>
      <c r="P22" s="358"/>
      <c r="Q22" s="358"/>
      <c r="R22" s="343"/>
      <c r="S22"/>
      <c r="T22"/>
    </row>
    <row r="23" spans="1:61" x14ac:dyDescent="0.3">
      <c r="A23" s="1019"/>
      <c r="B23" s="434"/>
      <c r="C23" s="362"/>
      <c r="D23" s="362"/>
      <c r="F23" s="362"/>
      <c r="G23" s="1152"/>
      <c r="H23" s="349"/>
      <c r="I23" s="349"/>
      <c r="J23" s="349"/>
      <c r="K23" s="349"/>
      <c r="L23" s="340"/>
      <c r="M23" s="340"/>
      <c r="N23" s="343"/>
      <c r="O23" s="343"/>
      <c r="P23" s="343"/>
      <c r="Q23" s="343"/>
      <c r="R23" s="343"/>
      <c r="S23"/>
      <c r="T23"/>
      <c r="BI23" s="532"/>
    </row>
    <row r="24" spans="1:61" x14ac:dyDescent="0.3">
      <c r="A24" s="1019"/>
      <c r="B24" s="458" t="s">
        <v>294</v>
      </c>
      <c r="C24" s="359"/>
      <c r="D24" s="359"/>
      <c r="E24" s="458" t="s">
        <v>294</v>
      </c>
      <c r="F24" s="359"/>
      <c r="G24" s="359"/>
      <c r="H24" s="349"/>
      <c r="I24" s="343"/>
      <c r="J24" s="349"/>
      <c r="K24" s="349"/>
      <c r="L24" s="340"/>
      <c r="M24" s="340"/>
      <c r="N24" s="343"/>
      <c r="O24" s="343"/>
      <c r="P24" s="343"/>
      <c r="Q24" s="343"/>
      <c r="R24" s="343"/>
      <c r="S24"/>
      <c r="T24"/>
    </row>
    <row r="25" spans="1:61" x14ac:dyDescent="0.3">
      <c r="A25" s="1019"/>
      <c r="B25" s="344" t="s">
        <v>898</v>
      </c>
      <c r="C25" s="359">
        <v>7.0000000000000007E-2</v>
      </c>
      <c r="D25" s="359">
        <v>3.2233999999999999E-2</v>
      </c>
      <c r="E25" s="344" t="s">
        <v>898</v>
      </c>
      <c r="F25" s="359">
        <v>7.0000000000000007E-2</v>
      </c>
      <c r="G25" s="359">
        <f t="shared" ref="G25:G40" si="15">P127</f>
        <v>2.0171999999999999E-2</v>
      </c>
      <c r="H25" s="389">
        <v>7.0000000000000007E-2</v>
      </c>
      <c r="I25" s="343">
        <f>O170</f>
        <v>8.3580000000000008E-3</v>
      </c>
      <c r="J25" s="389">
        <v>7.3999999999999996E-2</v>
      </c>
      <c r="K25" s="343">
        <f t="shared" ref="K25:K40" si="16">SUM(C213:H213)</f>
        <v>9.1259999999999987E-3</v>
      </c>
      <c r="L25" s="347">
        <f t="shared" ref="L25:L40" si="17">SUM(I213:N213)</f>
        <v>2.6872039046489046E-2</v>
      </c>
      <c r="M25" s="347">
        <f>K25+L25</f>
        <v>3.5998039046489044E-2</v>
      </c>
      <c r="N25" s="389">
        <v>7.0000000000000007E-2</v>
      </c>
      <c r="O25" s="343">
        <f>O256</f>
        <v>3.5998039046489051E-2</v>
      </c>
      <c r="P25" s="389">
        <v>7.0000000000000007E-2</v>
      </c>
      <c r="Q25" s="343">
        <f>O294</f>
        <v>3.5998039046489051E-2</v>
      </c>
      <c r="R25" s="343"/>
      <c r="S25"/>
      <c r="T25"/>
    </row>
    <row r="26" spans="1:61" x14ac:dyDescent="0.3">
      <c r="A26" s="1019"/>
      <c r="B26" s="1156" t="s">
        <v>899</v>
      </c>
      <c r="C26" s="343">
        <v>0</v>
      </c>
      <c r="D26" s="343">
        <v>0</v>
      </c>
      <c r="E26" s="1156" t="s">
        <v>899</v>
      </c>
      <c r="F26" s="343">
        <v>0</v>
      </c>
      <c r="G26" s="359">
        <f t="shared" si="15"/>
        <v>0</v>
      </c>
      <c r="H26" s="343">
        <v>0</v>
      </c>
      <c r="I26" s="343">
        <f t="shared" ref="I26:I40" si="18">O171</f>
        <v>0</v>
      </c>
      <c r="J26" s="343">
        <v>0</v>
      </c>
      <c r="K26" s="343">
        <f t="shared" si="16"/>
        <v>0</v>
      </c>
      <c r="L26" s="347">
        <f t="shared" si="17"/>
        <v>0</v>
      </c>
      <c r="M26" s="347">
        <f t="shared" ref="M26:M40" si="19">K26+L26</f>
        <v>0</v>
      </c>
      <c r="N26" s="343">
        <v>0</v>
      </c>
      <c r="O26" s="343">
        <v>0</v>
      </c>
      <c r="P26" s="343">
        <v>0</v>
      </c>
      <c r="Q26" s="343">
        <v>0</v>
      </c>
      <c r="R26" s="343"/>
      <c r="S26"/>
      <c r="T26"/>
    </row>
    <row r="27" spans="1:61" x14ac:dyDescent="0.3">
      <c r="A27" s="1019"/>
      <c r="B27" s="344" t="s">
        <v>900</v>
      </c>
      <c r="C27" s="359">
        <v>749.52</v>
      </c>
      <c r="D27" s="359">
        <v>750.10362599999996</v>
      </c>
      <c r="E27" s="344" t="s">
        <v>900</v>
      </c>
      <c r="F27" s="359">
        <v>759.42</v>
      </c>
      <c r="G27" s="359">
        <f t="shared" si="15"/>
        <v>725.88267413809922</v>
      </c>
      <c r="H27" s="389">
        <v>769.35</v>
      </c>
      <c r="I27" s="343">
        <f t="shared" si="18"/>
        <v>729.87091599999997</v>
      </c>
      <c r="J27" s="389">
        <v>779.27</v>
      </c>
      <c r="K27" s="343">
        <f t="shared" si="16"/>
        <v>378.95030000000003</v>
      </c>
      <c r="L27" s="347">
        <f t="shared" si="17"/>
        <v>370.7642108282156</v>
      </c>
      <c r="M27" s="347">
        <f t="shared" si="19"/>
        <v>749.71451082821568</v>
      </c>
      <c r="N27" s="389">
        <v>789.08</v>
      </c>
      <c r="O27" s="343">
        <f>O258</f>
        <v>759.83565672439647</v>
      </c>
      <c r="P27" s="389">
        <v>798.67</v>
      </c>
      <c r="Q27" s="343">
        <f>O296</f>
        <v>770.09343809017594</v>
      </c>
      <c r="R27" s="343"/>
      <c r="S27"/>
      <c r="T27"/>
    </row>
    <row r="28" spans="1:61" x14ac:dyDescent="0.3">
      <c r="A28" s="1019"/>
      <c r="B28" s="344" t="s">
        <v>901</v>
      </c>
      <c r="C28" s="359">
        <v>693.02</v>
      </c>
      <c r="D28" s="359">
        <v>699.56864599999994</v>
      </c>
      <c r="E28" s="344" t="s">
        <v>901</v>
      </c>
      <c r="F28" s="359">
        <v>702.37</v>
      </c>
      <c r="G28" s="359">
        <f t="shared" si="15"/>
        <v>639.37596860361339</v>
      </c>
      <c r="H28" s="389">
        <v>711.56</v>
      </c>
      <c r="I28" s="343">
        <f t="shared" si="18"/>
        <v>680.51023800000007</v>
      </c>
      <c r="J28" s="389">
        <v>720.72</v>
      </c>
      <c r="K28" s="343">
        <f t="shared" si="16"/>
        <v>386.83653600000002</v>
      </c>
      <c r="L28" s="347">
        <f t="shared" si="17"/>
        <v>334.25926999975695</v>
      </c>
      <c r="M28" s="347">
        <f t="shared" si="19"/>
        <v>721.09580599975698</v>
      </c>
      <c r="N28" s="389">
        <v>729.79</v>
      </c>
      <c r="O28" s="343">
        <f t="shared" ref="O28:O40" si="20">O259</f>
        <v>730.83059938075382</v>
      </c>
      <c r="P28" s="389">
        <v>738.66</v>
      </c>
      <c r="Q28" s="343">
        <f t="shared" ref="Q28:Q40" si="21">O297</f>
        <v>740.69681247239407</v>
      </c>
      <c r="R28" s="343"/>
      <c r="S28"/>
      <c r="T28"/>
    </row>
    <row r="29" spans="1:61" x14ac:dyDescent="0.3">
      <c r="A29" s="1019"/>
      <c r="B29" s="344" t="s">
        <v>902</v>
      </c>
      <c r="C29" s="359">
        <v>221.82</v>
      </c>
      <c r="D29" s="359">
        <v>217.26420400000001</v>
      </c>
      <c r="E29" s="344" t="s">
        <v>902</v>
      </c>
      <c r="F29" s="359">
        <v>226.3</v>
      </c>
      <c r="G29" s="359">
        <f t="shared" si="15"/>
        <v>189.18849279301199</v>
      </c>
      <c r="H29" s="389">
        <v>229.24</v>
      </c>
      <c r="I29" s="343">
        <f t="shared" si="18"/>
        <v>216.88400200000001</v>
      </c>
      <c r="J29" s="389">
        <v>232.17</v>
      </c>
      <c r="K29" s="343">
        <f t="shared" si="16"/>
        <v>134.11909700000001</v>
      </c>
      <c r="L29" s="347">
        <f t="shared" si="17"/>
        <v>103.50375329011649</v>
      </c>
      <c r="M29" s="347">
        <f t="shared" si="19"/>
        <v>237.6228502901165</v>
      </c>
      <c r="N29" s="389">
        <v>235.07</v>
      </c>
      <c r="O29" s="343">
        <f t="shared" si="20"/>
        <v>240.83075876903308</v>
      </c>
      <c r="P29" s="389">
        <v>237.91</v>
      </c>
      <c r="Q29" s="343">
        <f t="shared" si="21"/>
        <v>244.08197401241503</v>
      </c>
      <c r="R29" s="343"/>
      <c r="S29"/>
      <c r="T29"/>
    </row>
    <row r="30" spans="1:61" x14ac:dyDescent="0.3">
      <c r="A30" s="1019"/>
      <c r="B30" s="344" t="s">
        <v>903</v>
      </c>
      <c r="C30" s="359">
        <v>382.33</v>
      </c>
      <c r="D30" s="359">
        <v>367.759522</v>
      </c>
      <c r="E30" s="344" t="s">
        <v>903</v>
      </c>
      <c r="F30" s="359">
        <v>387.39</v>
      </c>
      <c r="G30" s="359">
        <f t="shared" si="15"/>
        <v>348.98118746527547</v>
      </c>
      <c r="H30" s="389">
        <v>392.45</v>
      </c>
      <c r="I30" s="343">
        <f t="shared" si="18"/>
        <v>360.461861</v>
      </c>
      <c r="J30" s="389">
        <v>397.51</v>
      </c>
      <c r="K30" s="343">
        <f t="shared" si="16"/>
        <v>220.36525499999996</v>
      </c>
      <c r="L30" s="347">
        <f t="shared" si="17"/>
        <v>174.96208926070707</v>
      </c>
      <c r="M30" s="347">
        <f t="shared" si="19"/>
        <v>395.32734426070704</v>
      </c>
      <c r="N30" s="389">
        <v>402.51</v>
      </c>
      <c r="O30" s="343">
        <f t="shared" si="20"/>
        <v>400.66426340822659</v>
      </c>
      <c r="P30" s="389">
        <v>407.41</v>
      </c>
      <c r="Q30" s="343">
        <f t="shared" si="21"/>
        <v>406.07323096423778</v>
      </c>
      <c r="R30" s="343"/>
      <c r="S30"/>
      <c r="T30"/>
    </row>
    <row r="31" spans="1:61" x14ac:dyDescent="0.3">
      <c r="A31" s="1019"/>
      <c r="B31" s="1156" t="s">
        <v>904</v>
      </c>
      <c r="D31" s="359">
        <v>885.73634700000002</v>
      </c>
      <c r="E31" s="507" t="s">
        <v>904</v>
      </c>
      <c r="F31" s="359">
        <v>919.85</v>
      </c>
      <c r="G31" s="359">
        <f t="shared" si="15"/>
        <v>533.84718399999997</v>
      </c>
      <c r="H31" s="389">
        <v>927.29</v>
      </c>
      <c r="I31" s="343">
        <f t="shared" si="18"/>
        <v>676.08485699999994</v>
      </c>
      <c r="J31" s="389">
        <v>934.6</v>
      </c>
      <c r="K31" s="343">
        <f t="shared" si="16"/>
        <v>430.41689499999995</v>
      </c>
      <c r="L31" s="347">
        <f t="shared" si="17"/>
        <v>396.07438476317083</v>
      </c>
      <c r="M31" s="347">
        <f t="shared" si="19"/>
        <v>826.49127976317072</v>
      </c>
      <c r="N31" s="389">
        <v>941.7</v>
      </c>
      <c r="O31" s="343">
        <f t="shared" si="20"/>
        <v>833.6817538971103</v>
      </c>
      <c r="P31" s="389">
        <v>948.41</v>
      </c>
      <c r="Q31" s="343">
        <f t="shared" si="21"/>
        <v>840.9347851560151</v>
      </c>
      <c r="R31" s="343"/>
      <c r="S31"/>
      <c r="T31"/>
    </row>
    <row r="32" spans="1:61" ht="28" x14ac:dyDescent="0.3">
      <c r="A32" s="1019"/>
      <c r="B32" s="413" t="s">
        <v>905</v>
      </c>
      <c r="C32" s="359">
        <v>687.74</v>
      </c>
      <c r="D32" s="343"/>
      <c r="E32" s="1589" t="s">
        <v>1708</v>
      </c>
      <c r="F32" s="1593">
        <v>211.13</v>
      </c>
      <c r="G32" s="359">
        <f t="shared" si="15"/>
        <v>151.07274899999999</v>
      </c>
      <c r="H32" s="438">
        <v>211.04</v>
      </c>
      <c r="I32" s="343">
        <f t="shared" si="18"/>
        <v>144.39367000000001</v>
      </c>
      <c r="J32" s="438">
        <v>210.9</v>
      </c>
      <c r="K32" s="343">
        <f t="shared" si="16"/>
        <v>90.975233000000003</v>
      </c>
      <c r="L32" s="347">
        <f t="shared" si="17"/>
        <v>79.782220664851593</v>
      </c>
      <c r="M32" s="435">
        <f t="shared" si="19"/>
        <v>170.7574536648516</v>
      </c>
      <c r="N32" s="438">
        <v>210.69</v>
      </c>
      <c r="O32" s="343">
        <f t="shared" si="20"/>
        <v>172.24304351173583</v>
      </c>
      <c r="P32" s="438">
        <v>210.39</v>
      </c>
      <c r="Q32" s="343">
        <f t="shared" si="21"/>
        <v>173.7415579902879</v>
      </c>
      <c r="R32" s="343"/>
      <c r="S32"/>
      <c r="T32"/>
    </row>
    <row r="33" spans="1:20" ht="28" x14ac:dyDescent="0.3">
      <c r="A33" s="1019"/>
      <c r="B33" s="348" t="s">
        <v>906</v>
      </c>
      <c r="C33" s="359">
        <v>208.18</v>
      </c>
      <c r="E33" s="507" t="s">
        <v>1709</v>
      </c>
      <c r="F33" s="437">
        <v>370</v>
      </c>
      <c r="G33" s="359">
        <f t="shared" si="15"/>
        <v>283.889613</v>
      </c>
      <c r="H33" s="438">
        <v>369.84</v>
      </c>
      <c r="I33" s="343">
        <f t="shared" si="18"/>
        <v>290.95920999999998</v>
      </c>
      <c r="J33" s="1349">
        <v>369.6</v>
      </c>
      <c r="K33" s="343">
        <f t="shared" si="16"/>
        <v>191.79499099999998</v>
      </c>
      <c r="L33" s="347">
        <f t="shared" si="17"/>
        <v>166.43939816453369</v>
      </c>
      <c r="M33" s="435">
        <f t="shared" si="19"/>
        <v>358.2343891645337</v>
      </c>
      <c r="N33" s="438">
        <v>369.24</v>
      </c>
      <c r="O33" s="343">
        <f t="shared" si="20"/>
        <v>358.2343891645337</v>
      </c>
      <c r="P33" s="438">
        <v>368.7</v>
      </c>
      <c r="Q33" s="343">
        <f t="shared" si="21"/>
        <v>358.2343891645337</v>
      </c>
      <c r="R33" s="343"/>
      <c r="S33"/>
      <c r="T33"/>
    </row>
    <row r="34" spans="1:20" x14ac:dyDescent="0.3">
      <c r="A34" s="1019"/>
      <c r="B34" s="1157" t="s">
        <v>1024</v>
      </c>
      <c r="C34" s="359">
        <v>211.19</v>
      </c>
      <c r="D34" s="359">
        <v>209.245994</v>
      </c>
      <c r="E34" s="1590" t="s">
        <v>908</v>
      </c>
      <c r="F34" s="437">
        <v>43.23</v>
      </c>
      <c r="G34" s="359">
        <f t="shared" si="15"/>
        <v>72.889521999999999</v>
      </c>
      <c r="H34" s="1593">
        <v>43.213999999999999</v>
      </c>
      <c r="I34" s="343">
        <f t="shared" si="18"/>
        <v>93.717031999999989</v>
      </c>
      <c r="J34" s="1583">
        <v>43.19</v>
      </c>
      <c r="K34" s="343">
        <f t="shared" si="16"/>
        <v>51.22251399999999</v>
      </c>
      <c r="L34" s="347">
        <f t="shared" si="17"/>
        <v>54.516742903889607</v>
      </c>
      <c r="M34" s="435">
        <f t="shared" si="19"/>
        <v>105.7392569038896</v>
      </c>
      <c r="N34" s="1595">
        <v>43.14</v>
      </c>
      <c r="O34" s="343">
        <f t="shared" si="20"/>
        <v>105.7392569038896</v>
      </c>
      <c r="P34" s="1595">
        <v>43.08</v>
      </c>
      <c r="Q34" s="343">
        <f t="shared" si="21"/>
        <v>105.7392569038896</v>
      </c>
      <c r="R34" s="419"/>
      <c r="S34"/>
      <c r="T34"/>
    </row>
    <row r="35" spans="1:20" x14ac:dyDescent="0.3">
      <c r="A35" s="1019"/>
      <c r="B35" s="594" t="s">
        <v>907</v>
      </c>
      <c r="C35" s="359">
        <v>370.11</v>
      </c>
      <c r="D35" s="1592">
        <v>369.407149</v>
      </c>
      <c r="E35" s="1590" t="s">
        <v>1594</v>
      </c>
      <c r="F35" s="437">
        <v>90.31</v>
      </c>
      <c r="G35" s="359">
        <f t="shared" si="15"/>
        <v>71.777468999999996</v>
      </c>
      <c r="H35" s="438">
        <v>90.27</v>
      </c>
      <c r="I35" s="343">
        <f t="shared" si="18"/>
        <v>77.183488999999994</v>
      </c>
      <c r="J35" s="1583">
        <v>90.21</v>
      </c>
      <c r="K35" s="343">
        <f t="shared" si="16"/>
        <v>41.071796000000006</v>
      </c>
      <c r="L35" s="347">
        <f t="shared" si="17"/>
        <v>38.735288116296047</v>
      </c>
      <c r="M35" s="435">
        <f t="shared" si="19"/>
        <v>79.807084116296053</v>
      </c>
      <c r="N35" s="1595">
        <v>90.12</v>
      </c>
      <c r="O35" s="343">
        <f t="shared" si="20"/>
        <v>79.807084116296068</v>
      </c>
      <c r="P35" s="1595">
        <v>89.99</v>
      </c>
      <c r="Q35" s="343">
        <f t="shared" si="21"/>
        <v>79.807084116296068</v>
      </c>
      <c r="R35" s="419"/>
      <c r="S35"/>
      <c r="T35"/>
    </row>
    <row r="36" spans="1:20" ht="28" x14ac:dyDescent="0.3">
      <c r="A36" s="1019"/>
      <c r="B36" s="1158" t="s">
        <v>908</v>
      </c>
      <c r="C36" s="420">
        <v>43.25</v>
      </c>
      <c r="D36" s="420">
        <v>46.877510000000001</v>
      </c>
      <c r="E36" s="1590" t="s">
        <v>1710</v>
      </c>
      <c r="F36" s="438">
        <v>55.68</v>
      </c>
      <c r="G36" s="359">
        <f t="shared" si="15"/>
        <v>59.247951000000008</v>
      </c>
      <c r="H36" s="1584">
        <v>56.14</v>
      </c>
      <c r="I36" s="343">
        <f t="shared" si="18"/>
        <v>54.389055000000006</v>
      </c>
      <c r="J36" s="455">
        <v>56.594000000000001</v>
      </c>
      <c r="K36" s="343">
        <f t="shared" si="16"/>
        <v>32.684533000000002</v>
      </c>
      <c r="L36" s="347">
        <f t="shared" si="17"/>
        <v>28.712749548059037</v>
      </c>
      <c r="M36" s="435">
        <f t="shared" si="19"/>
        <v>61.397282548059039</v>
      </c>
      <c r="N36" s="438">
        <v>57.03</v>
      </c>
      <c r="O36" s="343">
        <f t="shared" si="20"/>
        <v>61.397282548059046</v>
      </c>
      <c r="P36" s="438">
        <v>57.454000000000001</v>
      </c>
      <c r="Q36" s="343">
        <f t="shared" si="21"/>
        <v>61.397282548059046</v>
      </c>
      <c r="R36" s="343"/>
      <c r="S36"/>
      <c r="T36"/>
    </row>
    <row r="37" spans="1:20" ht="28" x14ac:dyDescent="0.3">
      <c r="A37" s="1019"/>
      <c r="B37" s="1158" t="s">
        <v>909</v>
      </c>
      <c r="C37" s="359">
        <v>90.33</v>
      </c>
      <c r="D37" s="359">
        <v>84.487307000000001</v>
      </c>
      <c r="E37" s="1590" t="s">
        <v>1596</v>
      </c>
      <c r="F37" s="438">
        <v>185.87</v>
      </c>
      <c r="G37" s="359">
        <f t="shared" si="15"/>
        <v>162.4595415</v>
      </c>
      <c r="H37" s="438">
        <v>183.95400000000001</v>
      </c>
      <c r="I37" s="343">
        <f t="shared" si="18"/>
        <v>161.15069005999999</v>
      </c>
      <c r="J37" s="455">
        <v>183.84</v>
      </c>
      <c r="K37" s="343">
        <f t="shared" si="16"/>
        <v>96.191815200000008</v>
      </c>
      <c r="L37" s="347">
        <f t="shared" si="17"/>
        <v>82.628052780612975</v>
      </c>
      <c r="M37" s="435">
        <f t="shared" si="19"/>
        <v>178.81986798061297</v>
      </c>
      <c r="N37" s="438">
        <v>183.684</v>
      </c>
      <c r="O37" s="343">
        <f t="shared" si="20"/>
        <v>178.81986798061297</v>
      </c>
      <c r="P37" s="438">
        <v>183.43</v>
      </c>
      <c r="Q37" s="343">
        <f t="shared" si="21"/>
        <v>178.81986798061297</v>
      </c>
      <c r="R37" s="343"/>
      <c r="S37"/>
      <c r="T37"/>
    </row>
    <row r="38" spans="1:20" ht="14.5" x14ac:dyDescent="0.3">
      <c r="A38" s="1019"/>
      <c r="B38" s="1159" t="s">
        <v>910</v>
      </c>
      <c r="C38" s="421">
        <v>6.82</v>
      </c>
      <c r="D38" s="421">
        <v>5.4476820000000004</v>
      </c>
      <c r="E38" s="1590" t="s">
        <v>1597</v>
      </c>
      <c r="F38" s="437">
        <v>0</v>
      </c>
      <c r="G38" s="359">
        <f t="shared" si="15"/>
        <v>0</v>
      </c>
      <c r="H38" s="438">
        <v>0</v>
      </c>
      <c r="I38" s="343">
        <f t="shared" si="18"/>
        <v>0</v>
      </c>
      <c r="J38" s="438">
        <v>0</v>
      </c>
      <c r="K38" s="343">
        <f t="shared" si="16"/>
        <v>0</v>
      </c>
      <c r="L38" s="347">
        <f t="shared" si="17"/>
        <v>0</v>
      </c>
      <c r="M38" s="435">
        <f t="shared" si="19"/>
        <v>0</v>
      </c>
      <c r="N38" s="438">
        <v>0</v>
      </c>
      <c r="O38" s="343">
        <f t="shared" si="20"/>
        <v>0</v>
      </c>
      <c r="P38" s="438">
        <v>0</v>
      </c>
      <c r="Q38" s="343">
        <f t="shared" si="21"/>
        <v>0</v>
      </c>
      <c r="R38" s="343"/>
      <c r="S38"/>
      <c r="T38"/>
    </row>
    <row r="39" spans="1:20" x14ac:dyDescent="0.3">
      <c r="A39" s="1019"/>
      <c r="B39" s="1158" t="s">
        <v>911</v>
      </c>
      <c r="C39" s="421">
        <v>1.52</v>
      </c>
      <c r="D39" s="421">
        <v>1.428984</v>
      </c>
      <c r="E39" s="1590" t="s">
        <v>1598</v>
      </c>
      <c r="F39" s="437">
        <v>0</v>
      </c>
      <c r="G39" s="359">
        <f t="shared" si="15"/>
        <v>0</v>
      </c>
      <c r="H39" s="438">
        <v>0</v>
      </c>
      <c r="I39" s="343">
        <f t="shared" si="18"/>
        <v>2.2003999999999999E-2</v>
      </c>
      <c r="J39" s="353">
        <v>0</v>
      </c>
      <c r="K39" s="343">
        <f t="shared" si="16"/>
        <v>2.9487000000000006E-2</v>
      </c>
      <c r="L39" s="347">
        <f t="shared" si="17"/>
        <v>2.1966000000000003E-2</v>
      </c>
      <c r="M39" s="1594">
        <f t="shared" si="19"/>
        <v>5.1453000000000013E-2</v>
      </c>
      <c r="N39" s="353">
        <v>0</v>
      </c>
      <c r="O39" s="353">
        <f t="shared" si="20"/>
        <v>5.1452999999999992E-2</v>
      </c>
      <c r="P39" s="353">
        <v>0</v>
      </c>
      <c r="Q39" s="353">
        <f t="shared" si="21"/>
        <v>5.1452999999999992E-2</v>
      </c>
      <c r="R39" s="343"/>
      <c r="S39"/>
      <c r="T39"/>
    </row>
    <row r="40" spans="1:20" x14ac:dyDescent="0.3">
      <c r="A40" s="1019"/>
      <c r="B40" s="1158" t="s">
        <v>912</v>
      </c>
      <c r="C40" s="421">
        <v>19.05</v>
      </c>
      <c r="D40" s="421">
        <v>18.95703627</v>
      </c>
      <c r="E40" s="1590" t="s">
        <v>1599</v>
      </c>
      <c r="F40" s="437">
        <v>0.3</v>
      </c>
      <c r="G40" s="359">
        <f t="shared" si="15"/>
        <v>2.417109</v>
      </c>
      <c r="H40" s="389">
        <v>0.37</v>
      </c>
      <c r="I40" s="343">
        <f t="shared" si="18"/>
        <v>11.254760000000001</v>
      </c>
      <c r="J40" s="391">
        <v>0.46</v>
      </c>
      <c r="K40" s="343">
        <f t="shared" si="16"/>
        <v>9.0800940000000008</v>
      </c>
      <c r="L40" s="347">
        <f t="shared" si="17"/>
        <v>9.0935640000000006</v>
      </c>
      <c r="M40" s="347">
        <f t="shared" si="19"/>
        <v>18.173658000000003</v>
      </c>
      <c r="N40" s="389">
        <v>0.58440000000000003</v>
      </c>
      <c r="O40" s="343">
        <f t="shared" si="20"/>
        <v>22.717072499999993</v>
      </c>
      <c r="P40" s="389">
        <v>0.72399999999999998</v>
      </c>
      <c r="Q40" s="343">
        <f t="shared" si="21"/>
        <v>28.396340625000008</v>
      </c>
      <c r="R40" s="343"/>
      <c r="S40"/>
      <c r="T40"/>
    </row>
    <row r="41" spans="1:20" x14ac:dyDescent="0.3">
      <c r="A41" s="1019"/>
      <c r="B41" s="1158" t="s">
        <v>913</v>
      </c>
      <c r="C41" s="421">
        <v>0.2</v>
      </c>
      <c r="D41" s="421">
        <v>0.165577</v>
      </c>
      <c r="E41" s="594"/>
      <c r="F41" s="343"/>
      <c r="G41" s="343"/>
      <c r="H41" s="343"/>
      <c r="I41" s="343">
        <f>$O$186</f>
        <v>0</v>
      </c>
      <c r="J41" s="343"/>
      <c r="K41" s="343"/>
      <c r="L41" s="343"/>
      <c r="M41" s="343"/>
      <c r="N41" s="343"/>
      <c r="O41" s="343"/>
      <c r="P41" s="343"/>
      <c r="Q41" s="343"/>
      <c r="R41" s="343"/>
      <c r="S41"/>
      <c r="T41"/>
    </row>
    <row r="42" spans="1:20" x14ac:dyDescent="0.3">
      <c r="A42" s="1019"/>
      <c r="B42" s="1158" t="s">
        <v>914</v>
      </c>
      <c r="C42" s="421">
        <v>14.9</v>
      </c>
      <c r="D42" s="421">
        <v>10.75132</v>
      </c>
      <c r="E42" s="1591" t="s">
        <v>416</v>
      </c>
      <c r="F42" s="436">
        <f>SUM(F25:F41)</f>
        <v>3951.92</v>
      </c>
      <c r="G42" s="436">
        <f t="shared" ref="G42:Q42" si="22">SUM(G25:G41)</f>
        <v>3241.0496334999998</v>
      </c>
      <c r="H42" s="436">
        <f t="shared" si="22"/>
        <v>3984.788</v>
      </c>
      <c r="I42" s="436">
        <f t="shared" si="22"/>
        <v>3496.89014206</v>
      </c>
      <c r="J42" s="436">
        <f t="shared" si="22"/>
        <v>4019.1379999999999</v>
      </c>
      <c r="K42" s="436">
        <f t="shared" si="22"/>
        <v>2063.7476721999997</v>
      </c>
      <c r="L42" s="436">
        <f t="shared" si="22"/>
        <v>1839.5205623592562</v>
      </c>
      <c r="M42" s="436">
        <f t="shared" si="22"/>
        <v>3903.2682345592566</v>
      </c>
      <c r="N42" s="436">
        <f t="shared" si="22"/>
        <v>4052.7084000000009</v>
      </c>
      <c r="O42" s="436">
        <f t="shared" si="22"/>
        <v>3944.8884799436942</v>
      </c>
      <c r="P42" s="436">
        <f t="shared" si="22"/>
        <v>4084.8979999999997</v>
      </c>
      <c r="Q42" s="436">
        <f t="shared" si="22"/>
        <v>3988.1034710629638</v>
      </c>
      <c r="R42" s="343"/>
      <c r="S42"/>
      <c r="T42"/>
    </row>
    <row r="43" spans="1:20" x14ac:dyDescent="0.3">
      <c r="A43" s="1019"/>
      <c r="B43" s="1158" t="s">
        <v>915</v>
      </c>
      <c r="C43" s="421">
        <v>1.54</v>
      </c>
      <c r="D43" s="421">
        <v>1.4703660000000001</v>
      </c>
      <c r="E43" s="343"/>
      <c r="F43" s="421"/>
      <c r="G43" s="421"/>
      <c r="H43" s="389"/>
      <c r="I43" s="421"/>
      <c r="J43" s="391"/>
      <c r="K43" s="421"/>
      <c r="L43" s="347"/>
      <c r="M43" s="347"/>
      <c r="N43" s="389"/>
      <c r="O43" s="343"/>
      <c r="P43" s="389"/>
      <c r="Q43" s="343"/>
      <c r="R43" s="343"/>
      <c r="S43"/>
      <c r="T43"/>
    </row>
    <row r="44" spans="1:20" ht="28" x14ac:dyDescent="0.3">
      <c r="A44" s="1019"/>
      <c r="B44" s="1158" t="s">
        <v>920</v>
      </c>
      <c r="C44" s="454">
        <v>55.22</v>
      </c>
      <c r="D44" s="421">
        <v>56.793370000000003</v>
      </c>
      <c r="E44" s="343"/>
      <c r="F44" s="454"/>
      <c r="G44" s="454"/>
      <c r="H44" s="438"/>
      <c r="I44" s="438"/>
      <c r="J44" s="455"/>
      <c r="K44" s="455"/>
      <c r="L44" s="347"/>
      <c r="M44" s="435"/>
      <c r="N44" s="438"/>
      <c r="O44" s="390"/>
      <c r="P44" s="438"/>
      <c r="Q44" s="353"/>
      <c r="R44" s="343"/>
      <c r="S44"/>
      <c r="T44"/>
    </row>
    <row r="45" spans="1:20" x14ac:dyDescent="0.3">
      <c r="A45" s="1019"/>
      <c r="B45" s="1158" t="s">
        <v>916</v>
      </c>
      <c r="C45" s="421">
        <v>163.16499999999999</v>
      </c>
      <c r="D45" s="454">
        <v>162.42448400000001</v>
      </c>
      <c r="E45" s="343"/>
      <c r="F45" s="421"/>
      <c r="G45" s="421"/>
      <c r="H45" s="389"/>
      <c r="I45" s="343"/>
      <c r="J45" s="391"/>
      <c r="K45" s="392"/>
      <c r="L45" s="347"/>
      <c r="M45" s="347"/>
      <c r="N45" s="389"/>
      <c r="O45" s="390"/>
      <c r="P45" s="422"/>
      <c r="Q45" s="343"/>
      <c r="R45" s="343"/>
      <c r="S45"/>
      <c r="T45"/>
    </row>
    <row r="46" spans="1:20" x14ac:dyDescent="0.3">
      <c r="A46" s="1019"/>
      <c r="B46" s="1158" t="s">
        <v>917</v>
      </c>
      <c r="C46" s="421">
        <v>0</v>
      </c>
      <c r="D46" s="343">
        <v>0</v>
      </c>
      <c r="E46" s="343"/>
      <c r="F46" s="421"/>
      <c r="G46" s="421"/>
      <c r="H46" s="421"/>
      <c r="I46" s="343"/>
      <c r="J46" s="421"/>
      <c r="K46" s="421"/>
      <c r="L46" s="347"/>
      <c r="M46" s="347"/>
      <c r="N46" s="340"/>
      <c r="O46" s="1260"/>
      <c r="P46" s="343"/>
      <c r="Q46" s="1261"/>
      <c r="R46" s="343"/>
      <c r="S46"/>
      <c r="T46"/>
    </row>
    <row r="47" spans="1:20" x14ac:dyDescent="0.3">
      <c r="A47" s="1019"/>
      <c r="B47" s="1158" t="s">
        <v>918</v>
      </c>
      <c r="C47" s="421">
        <v>0</v>
      </c>
      <c r="D47" s="421">
        <v>0</v>
      </c>
      <c r="E47" s="343"/>
      <c r="F47" s="421"/>
      <c r="G47" s="421"/>
      <c r="H47" s="421"/>
      <c r="I47" s="343"/>
      <c r="J47" s="421"/>
      <c r="K47" s="392"/>
      <c r="L47" s="347"/>
      <c r="M47" s="347"/>
      <c r="N47" s="340"/>
      <c r="O47" s="343"/>
      <c r="Q47" s="343"/>
      <c r="R47" s="343"/>
      <c r="S47"/>
      <c r="T47"/>
    </row>
    <row r="48" spans="1:20" x14ac:dyDescent="0.3">
      <c r="A48" s="1019"/>
      <c r="B48" s="1158" t="s">
        <v>919</v>
      </c>
      <c r="C48" s="421">
        <v>0.24</v>
      </c>
      <c r="D48" s="421">
        <v>0.62017299999999986</v>
      </c>
      <c r="E48" s="343"/>
      <c r="F48" s="421"/>
      <c r="G48" s="421"/>
      <c r="H48" s="389"/>
      <c r="I48" s="343"/>
      <c r="J48" s="391"/>
      <c r="K48" s="392"/>
      <c r="L48" s="347"/>
      <c r="M48" s="347"/>
      <c r="N48" s="389"/>
      <c r="O48" s="343"/>
      <c r="P48" s="389"/>
      <c r="Q48" s="343"/>
      <c r="R48" s="343"/>
      <c r="S48"/>
      <c r="T48"/>
    </row>
    <row r="49" spans="1:37" x14ac:dyDescent="0.3">
      <c r="A49" s="1019"/>
      <c r="B49" s="1158"/>
      <c r="C49" s="421"/>
      <c r="D49" s="421"/>
      <c r="E49" s="343"/>
      <c r="F49" s="421"/>
      <c r="G49" s="421"/>
      <c r="H49" s="1790"/>
      <c r="I49" s="1791"/>
      <c r="J49" s="1792"/>
      <c r="K49" s="1793"/>
      <c r="L49" s="1794"/>
      <c r="M49" s="1794"/>
      <c r="N49" s="389"/>
      <c r="O49" s="1791"/>
      <c r="P49" s="389"/>
      <c r="Q49" s="343"/>
      <c r="R49" s="343"/>
      <c r="S49"/>
      <c r="T49"/>
    </row>
    <row r="50" spans="1:37" x14ac:dyDescent="0.3">
      <c r="B50" s="1160" t="s">
        <v>416</v>
      </c>
      <c r="C50" s="363">
        <f>SUM(C24:C49)</f>
        <v>3920.2149999999997</v>
      </c>
      <c r="D50" s="363">
        <f>SUM(D24:D49)</f>
        <v>3888.5415312700002</v>
      </c>
      <c r="E50" s="343"/>
      <c r="F50" s="363"/>
      <c r="G50" s="363"/>
      <c r="H50" s="363"/>
      <c r="I50" s="363"/>
      <c r="J50" s="363"/>
      <c r="K50" s="363"/>
      <c r="L50" s="363"/>
      <c r="M50" s="363"/>
      <c r="N50" s="358"/>
      <c r="O50" s="363"/>
      <c r="P50" s="358"/>
      <c r="Q50" s="358"/>
      <c r="R50" s="343"/>
      <c r="S50"/>
      <c r="T50"/>
    </row>
    <row r="51" spans="1:37" x14ac:dyDescent="0.3">
      <c r="B51" s="1158"/>
      <c r="C51" s="421"/>
      <c r="D51" s="421"/>
      <c r="E51" s="359"/>
      <c r="F51" s="421"/>
      <c r="G51" s="421"/>
      <c r="H51" s="343"/>
      <c r="I51" s="343"/>
      <c r="J51" s="393"/>
      <c r="K51" s="392"/>
      <c r="L51" s="340"/>
      <c r="M51" s="340"/>
      <c r="N51" s="343"/>
      <c r="O51" s="343"/>
      <c r="P51" s="358"/>
      <c r="Q51" s="343"/>
      <c r="R51" s="343"/>
      <c r="S51"/>
      <c r="T51"/>
    </row>
    <row r="52" spans="1:37" x14ac:dyDescent="0.3">
      <c r="B52" s="417" t="s">
        <v>145</v>
      </c>
      <c r="C52" s="364">
        <f>SUM(C22,C50)-0.01</f>
        <v>4606.0329999999994</v>
      </c>
      <c r="D52" s="364">
        <f>SUM(D50,D22)</f>
        <v>4569.3413092700002</v>
      </c>
      <c r="E52" s="1587" t="s">
        <v>145</v>
      </c>
      <c r="F52" s="364">
        <f t="shared" ref="F52:Q52" si="23">SUM(F20,F42)</f>
        <v>4643.66</v>
      </c>
      <c r="G52" s="1616">
        <f t="shared" si="23"/>
        <v>3785.4441154999995</v>
      </c>
      <c r="H52" s="1616">
        <f t="shared" si="23"/>
        <v>4683.7759999999998</v>
      </c>
      <c r="I52" s="1616">
        <f t="shared" si="23"/>
        <v>4078.4318760599999</v>
      </c>
      <c r="J52" s="1616">
        <f t="shared" si="23"/>
        <v>4726.9920000000002</v>
      </c>
      <c r="K52" s="1616">
        <f t="shared" si="23"/>
        <v>2402.6272501999997</v>
      </c>
      <c r="L52" s="1616">
        <f t="shared" si="23"/>
        <v>2147.9685069997277</v>
      </c>
      <c r="M52" s="1616">
        <f t="shared" si="23"/>
        <v>4550.5957571997278</v>
      </c>
      <c r="N52" s="1616">
        <f t="shared" si="23"/>
        <v>4771.3724000000011</v>
      </c>
      <c r="O52" s="1616">
        <f t="shared" si="23"/>
        <v>4592.2160025841658</v>
      </c>
      <c r="P52" s="1616">
        <f t="shared" si="23"/>
        <v>4816.7119999999995</v>
      </c>
      <c r="Q52" s="1616">
        <f t="shared" si="23"/>
        <v>4635.430993703435</v>
      </c>
      <c r="R52" s="343"/>
      <c r="S52"/>
      <c r="T52"/>
    </row>
    <row r="53" spans="1:37" x14ac:dyDescent="0.3">
      <c r="B53" s="596"/>
      <c r="D53" s="1642">
        <f>O103-D52</f>
        <v>0</v>
      </c>
      <c r="G53" s="426">
        <f>$P$146-G52</f>
        <v>0</v>
      </c>
      <c r="I53" s="426">
        <f>$O$189-I52</f>
        <v>0</v>
      </c>
      <c r="M53" s="426">
        <f>$O$232-M52</f>
        <v>0</v>
      </c>
      <c r="O53" s="426">
        <f>$O$275-O52</f>
        <v>0</v>
      </c>
      <c r="Q53" s="426">
        <f>$O$313-Q52</f>
        <v>0</v>
      </c>
      <c r="T53"/>
      <c r="U53"/>
    </row>
    <row r="54" spans="1:37" hidden="1" x14ac:dyDescent="0.3">
      <c r="B54" s="596" t="s">
        <v>435</v>
      </c>
      <c r="I54" s="2097"/>
      <c r="T54"/>
      <c r="U54"/>
    </row>
    <row r="55" spans="1:37" hidden="1" x14ac:dyDescent="0.3">
      <c r="B55" s="576" t="s">
        <v>436</v>
      </c>
      <c r="T55"/>
      <c r="U55"/>
    </row>
    <row r="56" spans="1:37" hidden="1" x14ac:dyDescent="0.3">
      <c r="B56" s="576" t="s">
        <v>811</v>
      </c>
      <c r="T56"/>
      <c r="U56"/>
    </row>
    <row r="57" spans="1:37" hidden="1" x14ac:dyDescent="0.3">
      <c r="B57" s="375" t="s">
        <v>817</v>
      </c>
    </row>
    <row r="58" spans="1:37" hidden="1" x14ac:dyDescent="0.3">
      <c r="B58" s="596"/>
    </row>
    <row r="59" spans="1:37" x14ac:dyDescent="0.3">
      <c r="B59" s="597" t="s">
        <v>536</v>
      </c>
    </row>
    <row r="60" spans="1:37" x14ac:dyDescent="0.3">
      <c r="B60" s="596"/>
      <c r="C60" s="531"/>
      <c r="D60" s="531"/>
      <c r="E60" s="531"/>
      <c r="F60" s="531"/>
      <c r="G60" s="531"/>
      <c r="H60" s="531"/>
      <c r="I60" s="531"/>
      <c r="J60" s="531"/>
      <c r="K60" s="531"/>
      <c r="L60" s="531"/>
      <c r="M60" s="531"/>
      <c r="N60" s="531"/>
      <c r="O60" s="531"/>
      <c r="P60" s="530"/>
    </row>
    <row r="61" spans="1:37" x14ac:dyDescent="0.3">
      <c r="B61" s="597" t="s">
        <v>812</v>
      </c>
      <c r="C61" s="531"/>
      <c r="D61" s="531"/>
      <c r="E61" s="531"/>
      <c r="F61" s="531"/>
      <c r="G61" s="531"/>
      <c r="H61" s="531"/>
      <c r="I61" s="531"/>
      <c r="J61" s="531"/>
      <c r="K61" s="531"/>
      <c r="L61" s="531"/>
      <c r="M61" s="531"/>
      <c r="N61" s="530"/>
    </row>
    <row r="62" spans="1:37" x14ac:dyDescent="0.3">
      <c r="B62" s="597"/>
      <c r="C62" s="524"/>
      <c r="D62" s="524"/>
      <c r="O62" s="530" t="s">
        <v>150</v>
      </c>
    </row>
    <row r="63" spans="1:37" ht="28" x14ac:dyDescent="0.3">
      <c r="B63" s="1151" t="s">
        <v>292</v>
      </c>
      <c r="C63" s="1151" t="s">
        <v>151</v>
      </c>
      <c r="D63" s="1151" t="s">
        <v>152</v>
      </c>
      <c r="E63" s="1151" t="s">
        <v>153</v>
      </c>
      <c r="F63" s="1151" t="s">
        <v>154</v>
      </c>
      <c r="G63" s="1151" t="s">
        <v>155</v>
      </c>
      <c r="H63" s="1151" t="s">
        <v>156</v>
      </c>
      <c r="I63" s="1151" t="s">
        <v>157</v>
      </c>
      <c r="J63" s="1151" t="s">
        <v>158</v>
      </c>
      <c r="K63" s="1151" t="s">
        <v>159</v>
      </c>
      <c r="L63" s="1151" t="s">
        <v>160</v>
      </c>
      <c r="M63" s="1151" t="s">
        <v>161</v>
      </c>
      <c r="N63" s="1151" t="s">
        <v>162</v>
      </c>
      <c r="O63" s="1151" t="s">
        <v>145</v>
      </c>
      <c r="Y63" s="1611" t="s">
        <v>151</v>
      </c>
      <c r="Z63" s="1611" t="s">
        <v>152</v>
      </c>
      <c r="AA63" s="1611" t="s">
        <v>153</v>
      </c>
      <c r="AB63" s="1611" t="s">
        <v>154</v>
      </c>
      <c r="AC63" s="1611" t="s">
        <v>155</v>
      </c>
      <c r="AD63" s="1611" t="s">
        <v>156</v>
      </c>
      <c r="AE63" s="1611" t="s">
        <v>157</v>
      </c>
      <c r="AF63" s="1611" t="s">
        <v>158</v>
      </c>
      <c r="AG63" s="1611" t="s">
        <v>159</v>
      </c>
      <c r="AH63" s="1611" t="s">
        <v>160</v>
      </c>
      <c r="AI63" s="1611" t="s">
        <v>161</v>
      </c>
      <c r="AJ63" s="1611" t="s">
        <v>162</v>
      </c>
      <c r="AK63" s="1611" t="s">
        <v>145</v>
      </c>
    </row>
    <row r="64" spans="1:37" x14ac:dyDescent="0.3">
      <c r="B64" s="458" t="s">
        <v>293</v>
      </c>
      <c r="C64" s="428"/>
      <c r="D64" s="428"/>
      <c r="E64" s="428"/>
      <c r="F64" s="428"/>
      <c r="G64" s="428"/>
      <c r="H64" s="428"/>
      <c r="I64" s="428"/>
      <c r="J64" s="428"/>
      <c r="K64" s="428"/>
      <c r="L64" s="428"/>
      <c r="M64" s="428"/>
      <c r="N64" s="428"/>
      <c r="O64" s="428"/>
      <c r="Y64" s="428"/>
      <c r="Z64" s="428"/>
      <c r="AA64" s="428"/>
      <c r="AB64" s="428"/>
      <c r="AC64" s="428"/>
      <c r="AD64" s="428"/>
      <c r="AE64" s="428"/>
      <c r="AF64" s="428"/>
      <c r="AG64" s="428"/>
      <c r="AH64" s="428"/>
      <c r="AI64" s="428"/>
      <c r="AJ64" s="428"/>
      <c r="AK64" s="428"/>
    </row>
    <row r="65" spans="2:37" x14ac:dyDescent="0.3">
      <c r="B65" s="344"/>
      <c r="C65" s="428"/>
      <c r="D65" s="428"/>
      <c r="E65" s="428"/>
      <c r="F65" s="428"/>
      <c r="G65" s="428"/>
      <c r="H65" s="428"/>
      <c r="I65" s="428"/>
      <c r="J65" s="428"/>
      <c r="K65" s="428"/>
      <c r="L65" s="428"/>
      <c r="M65" s="428"/>
      <c r="N65" s="428"/>
      <c r="O65" s="428"/>
      <c r="Y65" s="428"/>
      <c r="Z65" s="428"/>
      <c r="AA65" s="428"/>
      <c r="AB65" s="428"/>
      <c r="AC65" s="428"/>
      <c r="AD65" s="428"/>
      <c r="AE65" s="428"/>
      <c r="AF65" s="428"/>
      <c r="AG65" s="428"/>
      <c r="AH65" s="428"/>
      <c r="AI65" s="428"/>
      <c r="AJ65" s="428"/>
      <c r="AK65" s="428"/>
    </row>
    <row r="66" spans="2:37" x14ac:dyDescent="0.3">
      <c r="B66" s="344" t="s">
        <v>891</v>
      </c>
      <c r="C66" s="343">
        <v>14.550592999999999</v>
      </c>
      <c r="D66" s="343">
        <v>15.158791000000001</v>
      </c>
      <c r="E66" s="343">
        <v>16.158584000000001</v>
      </c>
      <c r="F66" s="343">
        <v>15.712111</v>
      </c>
      <c r="G66" s="343">
        <v>15.752924</v>
      </c>
      <c r="H66" s="343">
        <v>15.411073</v>
      </c>
      <c r="I66" s="343">
        <v>14.376338000000001</v>
      </c>
      <c r="J66" s="343">
        <v>14.923400000000001</v>
      </c>
      <c r="K66" s="343">
        <v>14.883272</v>
      </c>
      <c r="L66" s="343">
        <v>14.640587</v>
      </c>
      <c r="M66" s="343">
        <v>14.007562</v>
      </c>
      <c r="N66" s="343">
        <v>13.287708</v>
      </c>
      <c r="O66" s="428">
        <f t="shared" ref="O66:O74" si="24">SUM(C66:N66)</f>
        <v>178.86294300000003</v>
      </c>
      <c r="Y66" s="428">
        <v>14.550592999999999</v>
      </c>
      <c r="Z66" s="428">
        <v>15.158791000000001</v>
      </c>
      <c r="AA66" s="428">
        <v>16.158584000000001</v>
      </c>
      <c r="AB66" s="428">
        <v>15.712111</v>
      </c>
      <c r="AC66" s="428">
        <v>15.752924</v>
      </c>
      <c r="AD66" s="428">
        <v>15.411073</v>
      </c>
      <c r="AE66" s="428">
        <v>14.376338000000001</v>
      </c>
      <c r="AF66" s="428">
        <v>14.923400000000001</v>
      </c>
      <c r="AG66" s="428">
        <v>14.883272</v>
      </c>
      <c r="AH66" s="428">
        <v>14.640587</v>
      </c>
      <c r="AI66" s="428">
        <v>14.007562</v>
      </c>
      <c r="AJ66" s="428">
        <v>13.287708</v>
      </c>
      <c r="AK66" s="428">
        <v>178.86294300000003</v>
      </c>
    </row>
    <row r="67" spans="2:37" x14ac:dyDescent="0.3">
      <c r="B67" s="344" t="s">
        <v>892</v>
      </c>
      <c r="C67" s="343">
        <v>18.032132000000001</v>
      </c>
      <c r="D67" s="343">
        <v>19.682929999999999</v>
      </c>
      <c r="E67" s="343">
        <v>21.121859000000001</v>
      </c>
      <c r="F67" s="343">
        <v>20.375964</v>
      </c>
      <c r="G67" s="343">
        <v>20.008032</v>
      </c>
      <c r="H67" s="343">
        <v>19.495965999999999</v>
      </c>
      <c r="I67" s="343">
        <v>18.274912</v>
      </c>
      <c r="J67" s="343">
        <v>19.107377</v>
      </c>
      <c r="K67" s="343">
        <v>18.835062000000001</v>
      </c>
      <c r="L67" s="343">
        <v>18.146180000000001</v>
      </c>
      <c r="M67" s="343">
        <v>16.693859</v>
      </c>
      <c r="N67" s="343">
        <v>16.053773</v>
      </c>
      <c r="O67" s="428">
        <f t="shared" si="24"/>
        <v>225.82804600000003</v>
      </c>
      <c r="Y67" s="428">
        <v>19.149740000000001</v>
      </c>
      <c r="Z67" s="428">
        <v>20.854588</v>
      </c>
      <c r="AA67" s="428">
        <v>22.563525000000002</v>
      </c>
      <c r="AB67" s="428">
        <v>22.149550000000001</v>
      </c>
      <c r="AC67" s="428">
        <v>21.583714000000001</v>
      </c>
      <c r="AD67" s="428">
        <v>21.551074</v>
      </c>
      <c r="AE67" s="428">
        <v>20.207246000000001</v>
      </c>
      <c r="AF67" s="428">
        <v>21.493579</v>
      </c>
      <c r="AG67" s="428">
        <v>20.778762</v>
      </c>
      <c r="AH67" s="428">
        <v>20.240680000000001</v>
      </c>
      <c r="AI67" s="428">
        <v>18.459475000000001</v>
      </c>
      <c r="AJ67" s="428">
        <v>17.610893000000001</v>
      </c>
      <c r="AK67" s="428">
        <v>246.64282600000001</v>
      </c>
    </row>
    <row r="68" spans="2:37" x14ac:dyDescent="0.3">
      <c r="B68" s="344" t="s">
        <v>893</v>
      </c>
      <c r="C68" s="343">
        <v>2.3053780000000001</v>
      </c>
      <c r="D68" s="343">
        <v>2.6274359999999999</v>
      </c>
      <c r="E68" s="343">
        <v>2.7451750000000001</v>
      </c>
      <c r="F68" s="343">
        <v>2.7765279999999999</v>
      </c>
      <c r="G68" s="343">
        <v>2.7264740000000001</v>
      </c>
      <c r="H68" s="343">
        <v>2.56826</v>
      </c>
      <c r="I68" s="343">
        <v>2.4481850000000001</v>
      </c>
      <c r="J68" s="343">
        <v>2.6101290000000001</v>
      </c>
      <c r="K68" s="343">
        <v>2.5302030000000002</v>
      </c>
      <c r="L68" s="343">
        <v>2.4228000000000001</v>
      </c>
      <c r="M68" s="343">
        <v>2.1360009999999998</v>
      </c>
      <c r="N68" s="343">
        <v>2.1300829999999999</v>
      </c>
      <c r="O68" s="428">
        <f t="shared" si="24"/>
        <v>30.026651999999999</v>
      </c>
      <c r="Y68" s="428">
        <v>2.3053780000000001</v>
      </c>
      <c r="Z68" s="428">
        <v>2.6274359999999999</v>
      </c>
      <c r="AA68" s="428">
        <v>2.7451750000000001</v>
      </c>
      <c r="AB68" s="428">
        <v>2.7765279999999999</v>
      </c>
      <c r="AC68" s="428">
        <v>2.7264740000000001</v>
      </c>
      <c r="AD68" s="428">
        <v>2.56826</v>
      </c>
      <c r="AE68" s="428">
        <v>2.4481850000000001</v>
      </c>
      <c r="AF68" s="428">
        <v>2.6101290000000001</v>
      </c>
      <c r="AG68" s="428">
        <v>2.5302030000000002</v>
      </c>
      <c r="AH68" s="428">
        <v>2.4228000000000001</v>
      </c>
      <c r="AI68" s="428">
        <v>2.1360009999999998</v>
      </c>
      <c r="AJ68" s="428">
        <v>2.1300829999999999</v>
      </c>
      <c r="AK68" s="428">
        <v>30.026651999999999</v>
      </c>
    </row>
    <row r="69" spans="2:37" x14ac:dyDescent="0.3">
      <c r="B69" s="581" t="s">
        <v>894</v>
      </c>
      <c r="C69" s="343">
        <v>2.5235340000000002</v>
      </c>
      <c r="D69" s="343">
        <v>2.4861659999999999</v>
      </c>
      <c r="E69" s="343">
        <v>2.5755159999999999</v>
      </c>
      <c r="F69" s="343">
        <v>3.0946020000000001</v>
      </c>
      <c r="G69" s="343">
        <v>4.6044260000000001</v>
      </c>
      <c r="H69" s="343">
        <v>3.6954379999999998</v>
      </c>
      <c r="I69" s="343">
        <v>4.3031740000000003</v>
      </c>
      <c r="J69" s="343">
        <v>3.1571660000000001</v>
      </c>
      <c r="K69" s="343">
        <v>2.8738700000000001</v>
      </c>
      <c r="L69" s="343">
        <v>2.7063380000000001</v>
      </c>
      <c r="M69" s="343">
        <v>2.7178</v>
      </c>
      <c r="N69" s="343">
        <v>2.600314</v>
      </c>
      <c r="O69" s="428">
        <f t="shared" si="24"/>
        <v>37.338343999999999</v>
      </c>
      <c r="Y69" s="428"/>
      <c r="Z69" s="428"/>
      <c r="AA69" s="428"/>
      <c r="AB69" s="428"/>
      <c r="AC69" s="428"/>
      <c r="AD69" s="428"/>
      <c r="AE69" s="428"/>
      <c r="AF69" s="428"/>
      <c r="AG69" s="428"/>
      <c r="AH69" s="428"/>
      <c r="AI69" s="428"/>
      <c r="AJ69" s="428"/>
      <c r="AK69" s="428"/>
    </row>
    <row r="70" spans="2:37" x14ac:dyDescent="0.3">
      <c r="B70" s="344" t="s">
        <v>895</v>
      </c>
      <c r="C70" s="343">
        <v>0.17513999999999999</v>
      </c>
      <c r="D70" s="343">
        <v>0.19132399999999999</v>
      </c>
      <c r="E70" s="343">
        <v>0.21387800000000001</v>
      </c>
      <c r="F70" s="343">
        <v>0.19553599999999999</v>
      </c>
      <c r="G70" s="343">
        <v>0.17317199999999999</v>
      </c>
      <c r="H70" s="343">
        <v>0.17138400000000001</v>
      </c>
      <c r="I70" s="343">
        <v>0.174036</v>
      </c>
      <c r="J70" s="343">
        <v>0.18356800000000001</v>
      </c>
      <c r="K70" s="343">
        <v>0.18762999999999999</v>
      </c>
      <c r="L70" s="343">
        <v>0.19320200000000001</v>
      </c>
      <c r="M70" s="343">
        <v>0.18107000000000001</v>
      </c>
      <c r="N70" s="343">
        <v>0.179592</v>
      </c>
      <c r="O70" s="428">
        <f t="shared" si="24"/>
        <v>2.2195320000000001</v>
      </c>
      <c r="Y70" s="428">
        <v>0.17513999999999999</v>
      </c>
      <c r="Z70" s="428">
        <v>0.19132399999999999</v>
      </c>
      <c r="AA70" s="428">
        <v>0.21387800000000001</v>
      </c>
      <c r="AB70" s="428">
        <v>0.19553599999999999</v>
      </c>
      <c r="AC70" s="428">
        <v>0.17317199999999999</v>
      </c>
      <c r="AD70" s="428">
        <v>0.17138400000000001</v>
      </c>
      <c r="AE70" s="428">
        <v>0.174036</v>
      </c>
      <c r="AF70" s="428">
        <v>0.18356800000000001</v>
      </c>
      <c r="AG70" s="428">
        <v>0.18762999999999999</v>
      </c>
      <c r="AH70" s="428">
        <v>0.19320200000000001</v>
      </c>
      <c r="AI70" s="428">
        <v>0.18107000000000001</v>
      </c>
      <c r="AJ70" s="428">
        <v>0.179592</v>
      </c>
      <c r="AK70" s="428">
        <v>2.2195320000000001</v>
      </c>
    </row>
    <row r="71" spans="2:37" ht="22.5" customHeight="1" x14ac:dyDescent="0.3">
      <c r="B71" s="1057" t="s">
        <v>921</v>
      </c>
      <c r="C71" s="343">
        <v>2.00061</v>
      </c>
      <c r="D71" s="343">
        <v>2.2596099999999999</v>
      </c>
      <c r="E71" s="343">
        <v>2.4801700000000002</v>
      </c>
      <c r="F71" s="343">
        <v>2.4170199999999999</v>
      </c>
      <c r="G71" s="343">
        <v>2.3728500000000001</v>
      </c>
      <c r="H71" s="343">
        <v>2.2823500000000001</v>
      </c>
      <c r="I71" s="343">
        <v>2.1017399999999999</v>
      </c>
      <c r="J71" s="343">
        <v>2.1857700000000002</v>
      </c>
      <c r="K71" s="343">
        <v>2.1354000000000002</v>
      </c>
      <c r="L71" s="343">
        <v>2.0120100000000001</v>
      </c>
      <c r="M71" s="343">
        <v>1.80844</v>
      </c>
      <c r="N71" s="343">
        <v>1.78738</v>
      </c>
      <c r="O71" s="428">
        <f t="shared" si="24"/>
        <v>25.843350000000001</v>
      </c>
      <c r="Y71" s="428">
        <v>2.00061</v>
      </c>
      <c r="Z71" s="428">
        <v>2.2596099999999999</v>
      </c>
      <c r="AA71" s="428">
        <v>2.4801700000000002</v>
      </c>
      <c r="AB71" s="428">
        <v>2.4170199999999999</v>
      </c>
      <c r="AC71" s="428">
        <v>2.3728500000000001</v>
      </c>
      <c r="AD71" s="428">
        <v>2.2823500000000001</v>
      </c>
      <c r="AE71" s="428">
        <v>2.1017399999999999</v>
      </c>
      <c r="AF71" s="428">
        <v>2.1857700000000002</v>
      </c>
      <c r="AG71" s="428">
        <v>2.1354000000000002</v>
      </c>
      <c r="AH71" s="428">
        <v>2.0120100000000001</v>
      </c>
      <c r="AI71" s="428">
        <v>1.80844</v>
      </c>
      <c r="AJ71" s="428">
        <v>1.78738</v>
      </c>
      <c r="AK71" s="428">
        <v>25.843350000000001</v>
      </c>
    </row>
    <row r="72" spans="2:37" x14ac:dyDescent="0.3">
      <c r="B72" s="348" t="s">
        <v>896</v>
      </c>
      <c r="C72" s="343">
        <v>12.590934000000001</v>
      </c>
      <c r="D72" s="343">
        <v>13.804879</v>
      </c>
      <c r="E72" s="343">
        <v>14.74066</v>
      </c>
      <c r="F72" s="343">
        <v>14.685575999999999</v>
      </c>
      <c r="G72" s="343">
        <v>14.976478999999999</v>
      </c>
      <c r="H72" s="343">
        <v>13.999829</v>
      </c>
      <c r="I72" s="343">
        <v>12.803309</v>
      </c>
      <c r="J72" s="343">
        <v>13.496745000000001</v>
      </c>
      <c r="K72" s="343">
        <v>13.2346</v>
      </c>
      <c r="L72" s="343">
        <v>13.024039999999999</v>
      </c>
      <c r="M72" s="343">
        <v>11.641795</v>
      </c>
      <c r="N72" s="343">
        <v>10.867285000000001</v>
      </c>
      <c r="O72" s="428">
        <f t="shared" si="24"/>
        <v>159.86613100000002</v>
      </c>
      <c r="Y72" s="428">
        <v>15.114468</v>
      </c>
      <c r="Z72" s="428">
        <v>16.291045</v>
      </c>
      <c r="AA72" s="428">
        <v>17.316175999999999</v>
      </c>
      <c r="AB72" s="428">
        <v>17.780177999999999</v>
      </c>
      <c r="AC72" s="428">
        <v>19.580905000000001</v>
      </c>
      <c r="AD72" s="428">
        <v>17.695267000000001</v>
      </c>
      <c r="AE72" s="428">
        <v>17.106483000000001</v>
      </c>
      <c r="AF72" s="428">
        <v>16.653911000000001</v>
      </c>
      <c r="AG72" s="428">
        <v>16.108470000000001</v>
      </c>
      <c r="AH72" s="428">
        <v>15.730378</v>
      </c>
      <c r="AI72" s="428">
        <v>14.359595000000001</v>
      </c>
      <c r="AJ72" s="428">
        <v>13.467599</v>
      </c>
      <c r="AK72" s="428">
        <v>197.20447500000003</v>
      </c>
    </row>
    <row r="73" spans="2:37" x14ac:dyDescent="0.3">
      <c r="B73" s="594" t="s">
        <v>897</v>
      </c>
      <c r="C73" s="343">
        <v>1.1176079999999999</v>
      </c>
      <c r="D73" s="343">
        <v>1.1716580000000001</v>
      </c>
      <c r="E73" s="343">
        <v>1.4416659999999999</v>
      </c>
      <c r="F73" s="343">
        <v>1.7735860000000001</v>
      </c>
      <c r="G73" s="343">
        <v>1.575682</v>
      </c>
      <c r="H73" s="343">
        <v>2.0551080000000002</v>
      </c>
      <c r="I73" s="343">
        <v>1.932334</v>
      </c>
      <c r="J73" s="343">
        <v>2.3862019999999999</v>
      </c>
      <c r="K73" s="343">
        <v>1.9437</v>
      </c>
      <c r="L73" s="343">
        <v>2.0945</v>
      </c>
      <c r="M73" s="343">
        <v>1.7656160000000001</v>
      </c>
      <c r="N73" s="343">
        <v>1.5571200000000001</v>
      </c>
      <c r="O73" s="428">
        <f t="shared" si="24"/>
        <v>20.814780000000003</v>
      </c>
      <c r="Y73" s="428">
        <v>0</v>
      </c>
      <c r="Z73" s="428">
        <v>0</v>
      </c>
      <c r="AA73" s="428">
        <v>0</v>
      </c>
      <c r="AB73" s="428">
        <v>0</v>
      </c>
      <c r="AC73" s="428">
        <v>0</v>
      </c>
      <c r="AD73" s="428">
        <v>0</v>
      </c>
      <c r="AE73" s="428">
        <v>0</v>
      </c>
      <c r="AF73" s="428">
        <v>0</v>
      </c>
      <c r="AG73" s="428">
        <v>0</v>
      </c>
      <c r="AH73" s="428">
        <v>0</v>
      </c>
      <c r="AI73" s="428">
        <v>0</v>
      </c>
      <c r="AJ73" s="428">
        <v>0</v>
      </c>
      <c r="AK73" s="428">
        <v>0</v>
      </c>
    </row>
    <row r="74" spans="2:37" x14ac:dyDescent="0.3">
      <c r="B74" s="594"/>
      <c r="C74" s="428"/>
      <c r="D74" s="428"/>
      <c r="E74" s="428"/>
      <c r="F74" s="428"/>
      <c r="G74" s="428"/>
      <c r="H74" s="428"/>
      <c r="I74" s="428"/>
      <c r="J74" s="428"/>
      <c r="K74" s="428"/>
      <c r="L74" s="428"/>
      <c r="M74" s="428"/>
      <c r="N74" s="428"/>
      <c r="O74" s="428">
        <f t="shared" si="24"/>
        <v>0</v>
      </c>
      <c r="Y74" s="428"/>
      <c r="Z74" s="428"/>
      <c r="AA74" s="428"/>
      <c r="AB74" s="428"/>
      <c r="AC74" s="428"/>
      <c r="AD74" s="428"/>
      <c r="AE74" s="428"/>
      <c r="AF74" s="428"/>
      <c r="AG74" s="428"/>
      <c r="AH74" s="428"/>
      <c r="AI74" s="428"/>
      <c r="AJ74" s="428"/>
      <c r="AK74" s="428">
        <v>0</v>
      </c>
    </row>
    <row r="75" spans="2:37" s="532" customFormat="1" x14ac:dyDescent="0.3">
      <c r="B75" s="434" t="s">
        <v>416</v>
      </c>
      <c r="C75" s="433">
        <f>SUM(C66:C73)</f>
        <v>53.295928999999994</v>
      </c>
      <c r="D75" s="433">
        <f t="shared" ref="D75:N75" si="25">SUM(D66:D73)</f>
        <v>57.382794000000004</v>
      </c>
      <c r="E75" s="433">
        <f t="shared" si="25"/>
        <v>61.477508000000007</v>
      </c>
      <c r="F75" s="433">
        <f t="shared" si="25"/>
        <v>61.030923000000001</v>
      </c>
      <c r="G75" s="433">
        <f t="shared" si="25"/>
        <v>62.190039000000006</v>
      </c>
      <c r="H75" s="433">
        <f t="shared" si="25"/>
        <v>59.679408000000002</v>
      </c>
      <c r="I75" s="433">
        <f t="shared" si="25"/>
        <v>56.414028000000002</v>
      </c>
      <c r="J75" s="433">
        <f t="shared" si="25"/>
        <v>58.050357000000005</v>
      </c>
      <c r="K75" s="433">
        <f t="shared" si="25"/>
        <v>56.623736999999991</v>
      </c>
      <c r="L75" s="433">
        <f t="shared" si="25"/>
        <v>55.239656999999994</v>
      </c>
      <c r="M75" s="433">
        <f t="shared" si="25"/>
        <v>50.952142999999992</v>
      </c>
      <c r="N75" s="433">
        <f t="shared" si="25"/>
        <v>48.463254999999997</v>
      </c>
      <c r="O75" s="433">
        <f t="shared" ref="O75" si="26">SUM(O66:O73)</f>
        <v>680.79977800000017</v>
      </c>
      <c r="Y75" s="433">
        <v>53.295929000000001</v>
      </c>
      <c r="Z75" s="433">
        <v>57.382794000000004</v>
      </c>
      <c r="AA75" s="433">
        <v>61.477508000000007</v>
      </c>
      <c r="AB75" s="433">
        <v>61.030922999999994</v>
      </c>
      <c r="AC75" s="433">
        <v>62.190039000000006</v>
      </c>
      <c r="AD75" s="433">
        <v>59.679408000000009</v>
      </c>
      <c r="AE75" s="433">
        <v>56.414028000000002</v>
      </c>
      <c r="AF75" s="433">
        <v>58.050356999999998</v>
      </c>
      <c r="AG75" s="433">
        <v>56.623736999999991</v>
      </c>
      <c r="AH75" s="433">
        <v>55.239657000000008</v>
      </c>
      <c r="AI75" s="433">
        <v>50.952143</v>
      </c>
      <c r="AJ75" s="433">
        <v>48.463254999999997</v>
      </c>
      <c r="AK75" s="433">
        <v>680.79977800000006</v>
      </c>
    </row>
    <row r="76" spans="2:37" x14ac:dyDescent="0.3">
      <c r="B76" s="594"/>
      <c r="C76" s="428"/>
      <c r="D76" s="428"/>
      <c r="E76" s="428"/>
      <c r="F76" s="428"/>
      <c r="G76" s="428"/>
      <c r="H76" s="428"/>
      <c r="I76" s="428"/>
      <c r="J76" s="428"/>
      <c r="K76" s="428"/>
      <c r="L76" s="428"/>
      <c r="M76" s="428"/>
      <c r="N76" s="428"/>
      <c r="O76" s="428"/>
      <c r="Y76" s="428"/>
      <c r="Z76" s="428"/>
      <c r="AA76" s="428"/>
      <c r="AB76" s="428"/>
      <c r="AC76" s="428"/>
      <c r="AD76" s="428"/>
      <c r="AE76" s="428"/>
      <c r="AF76" s="428"/>
      <c r="AG76" s="428"/>
      <c r="AH76" s="428"/>
      <c r="AI76" s="428"/>
      <c r="AJ76" s="428"/>
      <c r="AK76" s="428"/>
    </row>
    <row r="77" spans="2:37" x14ac:dyDescent="0.3">
      <c r="B77" s="458" t="s">
        <v>294</v>
      </c>
      <c r="C77" s="428"/>
      <c r="D77" s="428"/>
      <c r="E77" s="428"/>
      <c r="F77" s="428"/>
      <c r="G77" s="428"/>
      <c r="H77" s="428"/>
      <c r="I77" s="428"/>
      <c r="J77" s="428"/>
      <c r="K77" s="428"/>
      <c r="L77" s="428"/>
      <c r="M77" s="428"/>
      <c r="N77" s="428"/>
      <c r="O77" s="428"/>
      <c r="Y77" s="428"/>
      <c r="Z77" s="428"/>
      <c r="AA77" s="428"/>
      <c r="AB77" s="428"/>
      <c r="AC77" s="428"/>
      <c r="AD77" s="428"/>
      <c r="AE77" s="428"/>
      <c r="AF77" s="428"/>
      <c r="AG77" s="428"/>
      <c r="AH77" s="428"/>
      <c r="AI77" s="428"/>
      <c r="AJ77" s="428"/>
      <c r="AK77" s="428"/>
    </row>
    <row r="78" spans="2:37" x14ac:dyDescent="0.3">
      <c r="B78" s="344" t="s">
        <v>960</v>
      </c>
      <c r="C78" s="343">
        <v>1.4840000000000001E-3</v>
      </c>
      <c r="D78" s="343">
        <v>2.715E-3</v>
      </c>
      <c r="E78" s="343">
        <v>2.3E-3</v>
      </c>
      <c r="F78" s="343">
        <v>2.1770000000000001E-3</v>
      </c>
      <c r="G78" s="343">
        <v>2.745E-3</v>
      </c>
      <c r="H78" s="343">
        <v>2.643E-3</v>
      </c>
      <c r="I78" s="343">
        <v>2.9629999999999999E-3</v>
      </c>
      <c r="J78" s="343">
        <v>3.8430000000000001E-3</v>
      </c>
      <c r="K78" s="343">
        <v>4.0350000000000004E-3</v>
      </c>
      <c r="L78" s="343">
        <v>2.813E-3</v>
      </c>
      <c r="M78" s="343">
        <v>1.9189999999999999E-3</v>
      </c>
      <c r="N78" s="343">
        <v>2.5969999999999999E-3</v>
      </c>
      <c r="O78" s="428">
        <f t="shared" ref="O78:O100" si="27">SUM(C78:N78)</f>
        <v>3.2233999999999999E-2</v>
      </c>
      <c r="Y78" s="428">
        <v>1.4840000000000001E-3</v>
      </c>
      <c r="Z78" s="428">
        <v>2.715E-3</v>
      </c>
      <c r="AA78" s="428">
        <v>2.3E-3</v>
      </c>
      <c r="AB78" s="428">
        <v>2.1770000000000001E-3</v>
      </c>
      <c r="AC78" s="428">
        <v>2.745E-3</v>
      </c>
      <c r="AD78" s="428">
        <v>2.643E-3</v>
      </c>
      <c r="AE78" s="428">
        <v>2.9629999999999999E-3</v>
      </c>
      <c r="AF78" s="428">
        <v>3.8430000000000001E-3</v>
      </c>
      <c r="AG78" s="428">
        <v>4.0350000000000004E-3</v>
      </c>
      <c r="AH78" s="428">
        <v>2.813E-3</v>
      </c>
      <c r="AI78" s="428">
        <v>1.9189999999999999E-3</v>
      </c>
      <c r="AJ78" s="428">
        <v>2.5969999999999999E-3</v>
      </c>
      <c r="AK78" s="428">
        <v>3.2233999999999999E-2</v>
      </c>
    </row>
    <row r="79" spans="2:37" x14ac:dyDescent="0.3">
      <c r="B79" s="344" t="s">
        <v>961</v>
      </c>
      <c r="C79" s="343">
        <f>0/(10^6)</f>
        <v>0</v>
      </c>
      <c r="D79" s="343">
        <f t="shared" ref="D79:N79" si="28">0/(10^6)</f>
        <v>0</v>
      </c>
      <c r="E79" s="343">
        <f t="shared" si="28"/>
        <v>0</v>
      </c>
      <c r="F79" s="343">
        <f t="shared" si="28"/>
        <v>0</v>
      </c>
      <c r="G79" s="343">
        <f t="shared" si="28"/>
        <v>0</v>
      </c>
      <c r="H79" s="343">
        <f t="shared" si="28"/>
        <v>0</v>
      </c>
      <c r="I79" s="343">
        <f t="shared" si="28"/>
        <v>0</v>
      </c>
      <c r="J79" s="343">
        <f t="shared" si="28"/>
        <v>0</v>
      </c>
      <c r="K79" s="343">
        <f t="shared" si="28"/>
        <v>0</v>
      </c>
      <c r="L79" s="343">
        <f t="shared" si="28"/>
        <v>0</v>
      </c>
      <c r="M79" s="343">
        <f t="shared" si="28"/>
        <v>0</v>
      </c>
      <c r="N79" s="343">
        <f t="shared" si="28"/>
        <v>0</v>
      </c>
      <c r="O79" s="428">
        <f t="shared" si="27"/>
        <v>0</v>
      </c>
      <c r="Y79" s="428"/>
      <c r="Z79" s="428"/>
      <c r="AA79" s="428"/>
      <c r="AB79" s="428"/>
      <c r="AC79" s="428"/>
      <c r="AD79" s="428"/>
      <c r="AE79" s="428"/>
      <c r="AF79" s="428"/>
      <c r="AG79" s="428"/>
      <c r="AH79" s="428"/>
      <c r="AI79" s="428"/>
      <c r="AJ79" s="428"/>
      <c r="AK79" s="428">
        <v>0</v>
      </c>
    </row>
    <row r="80" spans="2:37" x14ac:dyDescent="0.3">
      <c r="B80" s="344" t="s">
        <v>900</v>
      </c>
      <c r="C80" s="343">
        <v>61.302028999999997</v>
      </c>
      <c r="D80" s="343">
        <v>63.846102000000002</v>
      </c>
      <c r="E80" s="343">
        <v>63.396391000000001</v>
      </c>
      <c r="F80" s="343">
        <v>63.470875999999997</v>
      </c>
      <c r="G80" s="343">
        <v>63.655994</v>
      </c>
      <c r="H80" s="343">
        <v>63.678621</v>
      </c>
      <c r="I80" s="343">
        <v>62.781605999999996</v>
      </c>
      <c r="J80" s="343">
        <v>63.662863999999999</v>
      </c>
      <c r="K80" s="343">
        <v>62.613568999999998</v>
      </c>
      <c r="L80" s="343">
        <v>61.555097000000004</v>
      </c>
      <c r="M80" s="343">
        <v>58.306828000000003</v>
      </c>
      <c r="N80" s="343">
        <v>61.833649000000001</v>
      </c>
      <c r="O80" s="428">
        <f t="shared" si="27"/>
        <v>750.10362600000019</v>
      </c>
      <c r="Y80" s="428">
        <v>61.302028999999997</v>
      </c>
      <c r="Z80" s="428">
        <v>63.846102000000002</v>
      </c>
      <c r="AA80" s="428">
        <v>63.396391000000001</v>
      </c>
      <c r="AB80" s="428">
        <v>63.470875999999997</v>
      </c>
      <c r="AC80" s="428">
        <v>63.655994</v>
      </c>
      <c r="AD80" s="428">
        <v>63.678621</v>
      </c>
      <c r="AE80" s="428">
        <v>62.781605999999996</v>
      </c>
      <c r="AF80" s="428">
        <v>63.662863999999999</v>
      </c>
      <c r="AG80" s="428">
        <v>62.613568999999998</v>
      </c>
      <c r="AH80" s="428">
        <v>61.555097000000004</v>
      </c>
      <c r="AI80" s="428">
        <v>58.306828000000003</v>
      </c>
      <c r="AJ80" s="428">
        <v>61.833649000000001</v>
      </c>
      <c r="AK80" s="428">
        <v>750.10362600000019</v>
      </c>
    </row>
    <row r="81" spans="2:37" x14ac:dyDescent="0.3">
      <c r="B81" s="344" t="s">
        <v>901</v>
      </c>
      <c r="C81" s="343">
        <v>49.845517000000001</v>
      </c>
      <c r="D81" s="343">
        <v>67.950558000000001</v>
      </c>
      <c r="E81" s="343">
        <v>70.305811000000006</v>
      </c>
      <c r="F81" s="343">
        <v>65.458561000000003</v>
      </c>
      <c r="G81" s="343">
        <v>62.860191999999998</v>
      </c>
      <c r="H81" s="343">
        <v>63.267147000000001</v>
      </c>
      <c r="I81" s="343">
        <v>58.652146000000002</v>
      </c>
      <c r="J81" s="343">
        <v>65.131743</v>
      </c>
      <c r="K81" s="343">
        <v>57.923586999999998</v>
      </c>
      <c r="L81" s="343">
        <v>49.896625999999998</v>
      </c>
      <c r="M81" s="343">
        <v>37.490361</v>
      </c>
      <c r="N81" s="343">
        <v>50.786397000000001</v>
      </c>
      <c r="O81" s="428">
        <f t="shared" si="27"/>
        <v>699.56864599999994</v>
      </c>
      <c r="Y81" s="428">
        <v>49.845517000000001</v>
      </c>
      <c r="Z81" s="428">
        <v>67.950558000000001</v>
      </c>
      <c r="AA81" s="428">
        <v>70.305811000000006</v>
      </c>
      <c r="AB81" s="428">
        <v>65.458561000000003</v>
      </c>
      <c r="AC81" s="428">
        <v>62.860191999999998</v>
      </c>
      <c r="AD81" s="428">
        <v>63.267147000000001</v>
      </c>
      <c r="AE81" s="428">
        <v>58.652146000000002</v>
      </c>
      <c r="AF81" s="428">
        <v>65.131743</v>
      </c>
      <c r="AG81" s="428">
        <v>57.923586999999998</v>
      </c>
      <c r="AH81" s="428">
        <v>49.896625999999998</v>
      </c>
      <c r="AI81" s="428">
        <v>37.490361</v>
      </c>
      <c r="AJ81" s="428">
        <v>50.786397000000001</v>
      </c>
      <c r="AK81" s="428">
        <v>699.56864599999994</v>
      </c>
    </row>
    <row r="82" spans="2:37" x14ac:dyDescent="0.3">
      <c r="B82" s="344" t="s">
        <v>902</v>
      </c>
      <c r="C82" s="343">
        <v>13.264730999999999</v>
      </c>
      <c r="D82" s="343">
        <v>25.074777000000001</v>
      </c>
      <c r="E82" s="343">
        <v>28.895409999999998</v>
      </c>
      <c r="F82" s="343">
        <v>22.611523999999999</v>
      </c>
      <c r="G82" s="343">
        <v>18.830632000000001</v>
      </c>
      <c r="H82" s="343">
        <v>19.213788000000001</v>
      </c>
      <c r="I82" s="343">
        <v>17.030393</v>
      </c>
      <c r="J82" s="343">
        <v>20.658774999999999</v>
      </c>
      <c r="K82" s="343">
        <v>17.227637999999999</v>
      </c>
      <c r="L82" s="343">
        <v>12.857443999999999</v>
      </c>
      <c r="M82" s="343">
        <v>8.452197</v>
      </c>
      <c r="N82" s="343">
        <v>13.146895000000001</v>
      </c>
      <c r="O82" s="428">
        <f t="shared" si="27"/>
        <v>217.26420399999998</v>
      </c>
      <c r="Y82" s="428">
        <v>13.402229999999999</v>
      </c>
      <c r="Z82" s="428">
        <v>25.21406</v>
      </c>
      <c r="AA82" s="428">
        <v>29.100231999999998</v>
      </c>
      <c r="AB82" s="428">
        <v>22.740680999999999</v>
      </c>
      <c r="AC82" s="428">
        <v>18.963449000000001</v>
      </c>
      <c r="AD82" s="428">
        <v>19.353394999999999</v>
      </c>
      <c r="AE82" s="428">
        <v>17.156618000000002</v>
      </c>
      <c r="AF82" s="428">
        <v>20.793023000000002</v>
      </c>
      <c r="AG82" s="428">
        <v>17.357803000000001</v>
      </c>
      <c r="AH82" s="428">
        <v>12.987083</v>
      </c>
      <c r="AI82" s="428">
        <v>8.5719030000000007</v>
      </c>
      <c r="AJ82" s="428">
        <v>13.25967</v>
      </c>
      <c r="AK82" s="428">
        <v>218.900147</v>
      </c>
    </row>
    <row r="83" spans="2:37" x14ac:dyDescent="0.3">
      <c r="B83" s="344" t="s">
        <v>903</v>
      </c>
      <c r="C83" s="343">
        <v>23.738606999999998</v>
      </c>
      <c r="D83" s="343">
        <v>39.714382000000001</v>
      </c>
      <c r="E83" s="343">
        <v>45.397430999999997</v>
      </c>
      <c r="F83" s="343">
        <v>35.367531999999997</v>
      </c>
      <c r="G83" s="343">
        <v>31.378986000000001</v>
      </c>
      <c r="H83" s="343">
        <v>32.545672000000003</v>
      </c>
      <c r="I83" s="343">
        <v>28.588450000000002</v>
      </c>
      <c r="J83" s="343">
        <v>33.688191000000003</v>
      </c>
      <c r="K83" s="343">
        <v>29.072277</v>
      </c>
      <c r="L83" s="343">
        <v>24.77262</v>
      </c>
      <c r="M83" s="343">
        <v>19.457184000000002</v>
      </c>
      <c r="N83" s="343">
        <v>24.03819</v>
      </c>
      <c r="O83" s="428">
        <f t="shared" si="27"/>
        <v>367.75952199999995</v>
      </c>
      <c r="Y83" s="428">
        <v>23.738606999999998</v>
      </c>
      <c r="Z83" s="428">
        <v>39.714382000000001</v>
      </c>
      <c r="AA83" s="428">
        <v>45.397430999999997</v>
      </c>
      <c r="AB83" s="428">
        <v>35.367531999999997</v>
      </c>
      <c r="AC83" s="428">
        <v>31.378986000000001</v>
      </c>
      <c r="AD83" s="428">
        <v>32.545672000000003</v>
      </c>
      <c r="AE83" s="428">
        <v>28.588450000000002</v>
      </c>
      <c r="AF83" s="428">
        <v>33.688191000000003</v>
      </c>
      <c r="AG83" s="428">
        <v>29.072277</v>
      </c>
      <c r="AH83" s="428">
        <v>24.77262</v>
      </c>
      <c r="AI83" s="428">
        <v>19.457184000000002</v>
      </c>
      <c r="AJ83" s="428">
        <v>24.03819</v>
      </c>
      <c r="AK83" s="428">
        <v>367.75952199999995</v>
      </c>
    </row>
    <row r="84" spans="2:37" x14ac:dyDescent="0.3">
      <c r="B84" s="344" t="s">
        <v>962</v>
      </c>
      <c r="C84" s="343">
        <v>67.546437999999995</v>
      </c>
      <c r="D84" s="343">
        <v>83.496305000000007</v>
      </c>
      <c r="E84" s="343">
        <v>85.757840999999999</v>
      </c>
      <c r="F84" s="343">
        <v>75.981936000000005</v>
      </c>
      <c r="G84" s="343">
        <v>74.690549000000004</v>
      </c>
      <c r="H84" s="343">
        <v>74.840131999999997</v>
      </c>
      <c r="I84" s="343">
        <v>72.436250999999999</v>
      </c>
      <c r="J84" s="343">
        <v>79.157563999999994</v>
      </c>
      <c r="K84" s="343">
        <v>72.580859000000004</v>
      </c>
      <c r="L84" s="343">
        <v>68.966992000000005</v>
      </c>
      <c r="M84" s="343">
        <v>60.085006</v>
      </c>
      <c r="N84" s="343">
        <v>70.196473999999995</v>
      </c>
      <c r="O84" s="428">
        <f t="shared" si="27"/>
        <v>885.73634700000002</v>
      </c>
      <c r="Y84" s="428">
        <v>68.577912999999995</v>
      </c>
      <c r="Z84" s="428">
        <v>84.453896000000015</v>
      </c>
      <c r="AA84" s="428">
        <v>86.931962999999996</v>
      </c>
      <c r="AB84" s="428">
        <v>76.897112000000007</v>
      </c>
      <c r="AC84" s="428">
        <v>75.728082000000001</v>
      </c>
      <c r="AD84" s="428">
        <v>75.921961999999994</v>
      </c>
      <c r="AE84" s="428">
        <v>73.564357999999999</v>
      </c>
      <c r="AF84" s="428">
        <v>80.273444999999995</v>
      </c>
      <c r="AG84" s="428">
        <v>73.632312999999996</v>
      </c>
      <c r="AH84" s="428">
        <v>69.948492999999999</v>
      </c>
      <c r="AI84" s="428">
        <v>60.866906</v>
      </c>
      <c r="AJ84" s="428">
        <v>71.120207999999991</v>
      </c>
      <c r="AK84" s="428">
        <v>897.916651</v>
      </c>
    </row>
    <row r="85" spans="2:37" x14ac:dyDescent="0.3">
      <c r="B85" s="344" t="s">
        <v>963</v>
      </c>
      <c r="C85" s="343">
        <v>16.714479000000001</v>
      </c>
      <c r="D85" s="343">
        <v>18.626317</v>
      </c>
      <c r="E85" s="343">
        <v>19.912175000000001</v>
      </c>
      <c r="F85" s="343">
        <v>19.127203000000002</v>
      </c>
      <c r="G85" s="343">
        <v>18.221333999999999</v>
      </c>
      <c r="H85" s="343">
        <v>17.615297999999999</v>
      </c>
      <c r="I85" s="343">
        <v>16.275388</v>
      </c>
      <c r="J85" s="343">
        <v>17.791270999999998</v>
      </c>
      <c r="K85" s="343">
        <v>17.860938999999998</v>
      </c>
      <c r="L85" s="343">
        <v>16.992528</v>
      </c>
      <c r="M85" s="343">
        <v>15.073496</v>
      </c>
      <c r="N85" s="343">
        <v>15.035565999999999</v>
      </c>
      <c r="O85" s="428">
        <f t="shared" si="27"/>
        <v>209.245994</v>
      </c>
      <c r="Y85" s="428">
        <v>16.714479000000001</v>
      </c>
      <c r="Z85" s="428">
        <v>18.626317</v>
      </c>
      <c r="AA85" s="428">
        <v>19.912175000000001</v>
      </c>
      <c r="AB85" s="428">
        <v>19.127203000000002</v>
      </c>
      <c r="AC85" s="428">
        <v>18.221333999999999</v>
      </c>
      <c r="AD85" s="428">
        <v>17.615297999999999</v>
      </c>
      <c r="AE85" s="428">
        <v>16.275388</v>
      </c>
      <c r="AF85" s="428">
        <v>17.791270999999998</v>
      </c>
      <c r="AG85" s="428">
        <v>17.860938999999998</v>
      </c>
      <c r="AH85" s="428">
        <v>16.992528</v>
      </c>
      <c r="AI85" s="428">
        <v>15.073496</v>
      </c>
      <c r="AJ85" s="428">
        <v>15.035565999999999</v>
      </c>
      <c r="AK85" s="428">
        <v>209.245994</v>
      </c>
    </row>
    <row r="86" spans="2:37" x14ac:dyDescent="0.3">
      <c r="B86" s="344" t="s">
        <v>964</v>
      </c>
      <c r="C86" s="343">
        <v>29.121721000000001</v>
      </c>
      <c r="D86" s="343">
        <v>32.268543999999999</v>
      </c>
      <c r="E86" s="343">
        <v>35.235256</v>
      </c>
      <c r="F86" s="343">
        <v>34.246876999999998</v>
      </c>
      <c r="G86" s="343">
        <v>32.501823999999999</v>
      </c>
      <c r="H86" s="343">
        <v>31.279879000000001</v>
      </c>
      <c r="I86" s="343">
        <v>28.815215999999999</v>
      </c>
      <c r="J86" s="343">
        <v>31.251619000000002</v>
      </c>
      <c r="K86" s="343">
        <v>31.168120999999999</v>
      </c>
      <c r="L86" s="343">
        <v>29.984124999999999</v>
      </c>
      <c r="M86" s="343">
        <v>26.896162</v>
      </c>
      <c r="N86" s="343">
        <v>26.637805</v>
      </c>
      <c r="O86" s="428">
        <f t="shared" si="27"/>
        <v>369.407149</v>
      </c>
      <c r="Y86" s="428">
        <v>29.121721000000001</v>
      </c>
      <c r="Z86" s="428">
        <v>32.268543999999999</v>
      </c>
      <c r="AA86" s="428">
        <v>35.235256</v>
      </c>
      <c r="AB86" s="428">
        <v>34.246876999999998</v>
      </c>
      <c r="AC86" s="428">
        <v>32.501823999999999</v>
      </c>
      <c r="AD86" s="428">
        <v>31.279879000000001</v>
      </c>
      <c r="AE86" s="428">
        <v>28.815215999999999</v>
      </c>
      <c r="AF86" s="428">
        <v>31.251619000000002</v>
      </c>
      <c r="AG86" s="428">
        <v>31.168120999999999</v>
      </c>
      <c r="AH86" s="428">
        <v>29.984124999999999</v>
      </c>
      <c r="AI86" s="428">
        <v>26.896162</v>
      </c>
      <c r="AJ86" s="428">
        <v>26.637805</v>
      </c>
      <c r="AK86" s="428">
        <v>369.407149</v>
      </c>
    </row>
    <row r="87" spans="2:37" x14ac:dyDescent="0.3">
      <c r="B87" s="344" t="s">
        <v>965</v>
      </c>
      <c r="C87" s="343">
        <v>3.6952579999999999</v>
      </c>
      <c r="D87" s="343">
        <v>4.1934620000000002</v>
      </c>
      <c r="E87" s="343">
        <v>4.0954410000000001</v>
      </c>
      <c r="F87" s="343">
        <v>3.8063769999999999</v>
      </c>
      <c r="G87" s="343">
        <v>3.985395</v>
      </c>
      <c r="H87" s="343">
        <v>3.9772919999999998</v>
      </c>
      <c r="I87" s="343">
        <v>3.9136980000000001</v>
      </c>
      <c r="J87" s="343">
        <v>4.0379839999999998</v>
      </c>
      <c r="K87" s="343">
        <v>3.8492649999999999</v>
      </c>
      <c r="L87" s="343">
        <v>3.8662640000000001</v>
      </c>
      <c r="M87" s="343">
        <v>3.5486</v>
      </c>
      <c r="N87" s="343">
        <v>3.908474</v>
      </c>
      <c r="O87" s="428">
        <f t="shared" si="27"/>
        <v>46.877510000000001</v>
      </c>
      <c r="Y87" s="428">
        <v>3.6952579999999999</v>
      </c>
      <c r="Z87" s="428">
        <v>4.1934620000000002</v>
      </c>
      <c r="AA87" s="428">
        <v>4.0954410000000001</v>
      </c>
      <c r="AB87" s="428">
        <v>3.8063769999999999</v>
      </c>
      <c r="AC87" s="428">
        <v>3.985395</v>
      </c>
      <c r="AD87" s="428">
        <v>3.9772919999999998</v>
      </c>
      <c r="AE87" s="428">
        <v>3.9136980000000001</v>
      </c>
      <c r="AF87" s="428">
        <v>4.0379839999999998</v>
      </c>
      <c r="AG87" s="428">
        <v>3.8492649999999999</v>
      </c>
      <c r="AH87" s="428">
        <v>3.8662640000000001</v>
      </c>
      <c r="AI87" s="428">
        <v>3.5486</v>
      </c>
      <c r="AJ87" s="428">
        <v>3.908474</v>
      </c>
      <c r="AK87" s="428">
        <v>46.877510000000001</v>
      </c>
    </row>
    <row r="88" spans="2:37" x14ac:dyDescent="0.3">
      <c r="B88" s="344" t="s">
        <v>966</v>
      </c>
      <c r="C88" s="343">
        <v>7.2931080000000001</v>
      </c>
      <c r="D88" s="343">
        <v>7.4639150000000001</v>
      </c>
      <c r="E88" s="343">
        <v>7.5121520000000004</v>
      </c>
      <c r="F88" s="343">
        <v>7.1730929999999997</v>
      </c>
      <c r="G88" s="343">
        <v>7.0669069999999996</v>
      </c>
      <c r="H88" s="343">
        <v>7.0364800000000001</v>
      </c>
      <c r="I88" s="343">
        <v>6.5512579999999998</v>
      </c>
      <c r="J88" s="343">
        <v>7.0328249999999999</v>
      </c>
      <c r="K88" s="343">
        <v>7.1129439999999997</v>
      </c>
      <c r="L88" s="343">
        <v>7.0863490000000002</v>
      </c>
      <c r="M88" s="343">
        <v>6.9556250000000004</v>
      </c>
      <c r="N88" s="343">
        <v>6.2026510000000004</v>
      </c>
      <c r="O88" s="428">
        <f t="shared" si="27"/>
        <v>84.487307000000001</v>
      </c>
      <c r="Y88" s="428">
        <v>7.2931080000000001</v>
      </c>
      <c r="Z88" s="428">
        <v>7.4639150000000001</v>
      </c>
      <c r="AA88" s="428">
        <v>7.5121520000000004</v>
      </c>
      <c r="AB88" s="428">
        <v>7.1730929999999997</v>
      </c>
      <c r="AC88" s="428">
        <v>7.0669069999999996</v>
      </c>
      <c r="AD88" s="428">
        <v>7.0364800000000001</v>
      </c>
      <c r="AE88" s="428">
        <v>6.5512579999999998</v>
      </c>
      <c r="AF88" s="428">
        <v>7.0328249999999999</v>
      </c>
      <c r="AG88" s="428">
        <v>7.1129439999999997</v>
      </c>
      <c r="AH88" s="428">
        <v>7.0863490000000002</v>
      </c>
      <c r="AI88" s="428">
        <v>6.9556250000000004</v>
      </c>
      <c r="AJ88" s="428">
        <v>6.2026510000000004</v>
      </c>
      <c r="AK88" s="428">
        <v>84.487307000000001</v>
      </c>
    </row>
    <row r="89" spans="2:37" ht="14.5" x14ac:dyDescent="0.3">
      <c r="B89" s="1159" t="s">
        <v>1740</v>
      </c>
      <c r="C89" s="343">
        <v>0.40919299999999997</v>
      </c>
      <c r="D89" s="343">
        <v>0.39947300000000002</v>
      </c>
      <c r="E89" s="343">
        <v>0.436527</v>
      </c>
      <c r="F89" s="343">
        <v>0.43679099999999998</v>
      </c>
      <c r="G89" s="343">
        <v>0.50160000000000005</v>
      </c>
      <c r="H89" s="343">
        <v>0.48602600000000001</v>
      </c>
      <c r="I89" s="343">
        <v>0.48715000000000003</v>
      </c>
      <c r="J89" s="343">
        <v>0.48516100000000001</v>
      </c>
      <c r="K89" s="343">
        <v>0.45305499999999999</v>
      </c>
      <c r="L89" s="343">
        <v>0.46958</v>
      </c>
      <c r="M89" s="343">
        <v>0.44759700000000002</v>
      </c>
      <c r="N89" s="343">
        <v>0.435529</v>
      </c>
      <c r="O89" s="428">
        <f t="shared" si="27"/>
        <v>5.4476819999999995</v>
      </c>
      <c r="Y89" s="428">
        <v>4.4520429999999998</v>
      </c>
      <c r="Z89" s="428">
        <v>4.8888499999999997</v>
      </c>
      <c r="AA89" s="428">
        <v>5.2507929999999998</v>
      </c>
      <c r="AB89" s="428">
        <v>5.039301</v>
      </c>
      <c r="AC89" s="428">
        <v>5.074802</v>
      </c>
      <c r="AD89" s="428">
        <v>4.9192410000000004</v>
      </c>
      <c r="AE89" s="428">
        <v>4.6581130000000002</v>
      </c>
      <c r="AF89" s="428">
        <v>4.7648469999999996</v>
      </c>
      <c r="AG89" s="428">
        <v>5.1035919999999999</v>
      </c>
      <c r="AH89" s="428">
        <v>4.5215690000000004</v>
      </c>
      <c r="AI89" s="428">
        <v>4.0533669999999997</v>
      </c>
      <c r="AJ89" s="428">
        <v>4.0668519999999999</v>
      </c>
      <c r="AK89" s="428">
        <v>56.793369999999996</v>
      </c>
    </row>
    <row r="90" spans="2:37" x14ac:dyDescent="0.3">
      <c r="B90" s="1158" t="s">
        <v>1741</v>
      </c>
      <c r="C90" s="343">
        <v>0.124059</v>
      </c>
      <c r="D90" s="343">
        <v>0.121763</v>
      </c>
      <c r="E90" s="343">
        <v>0.115079</v>
      </c>
      <c r="F90" s="343">
        <v>0.10868999999999999</v>
      </c>
      <c r="G90" s="343">
        <v>0.11770600000000001</v>
      </c>
      <c r="H90" s="343">
        <v>0.120117</v>
      </c>
      <c r="I90" s="343">
        <v>0.113695</v>
      </c>
      <c r="J90" s="343">
        <v>0.12878200000000001</v>
      </c>
      <c r="K90" s="343">
        <v>0.118882</v>
      </c>
      <c r="L90" s="343">
        <v>0.119799</v>
      </c>
      <c r="M90" s="343">
        <v>0.11649900000000001</v>
      </c>
      <c r="N90" s="343">
        <v>0.123913</v>
      </c>
      <c r="O90" s="428">
        <f t="shared" si="27"/>
        <v>1.4289839999999998</v>
      </c>
      <c r="Y90" s="428">
        <v>13.331849999999999</v>
      </c>
      <c r="Z90" s="428">
        <v>14.871355000000001</v>
      </c>
      <c r="AA90" s="428">
        <v>15.499746</v>
      </c>
      <c r="AB90" s="428">
        <v>15.536752</v>
      </c>
      <c r="AC90" s="428">
        <v>15.349366999999999</v>
      </c>
      <c r="AD90" s="428">
        <v>15.002108</v>
      </c>
      <c r="AE90" s="428">
        <v>13.902317999999999</v>
      </c>
      <c r="AF90" s="428">
        <v>14.356617</v>
      </c>
      <c r="AG90" s="428">
        <v>14.533381</v>
      </c>
      <c r="AH90" s="428">
        <v>13.629982</v>
      </c>
      <c r="AI90" s="428">
        <v>12.358470000000001</v>
      </c>
      <c r="AJ90" s="428">
        <v>12.472358</v>
      </c>
      <c r="AK90" s="428">
        <v>170.84430400000002</v>
      </c>
    </row>
    <row r="91" spans="2:37" x14ac:dyDescent="0.3">
      <c r="B91" s="1158" t="s">
        <v>912</v>
      </c>
      <c r="C91" s="343">
        <v>1.5426870100000001</v>
      </c>
      <c r="D91" s="343">
        <v>1.5385103600000001</v>
      </c>
      <c r="E91" s="343">
        <v>1.4911178999999999</v>
      </c>
      <c r="F91" s="343">
        <v>1.463854</v>
      </c>
      <c r="G91" s="343">
        <v>1.4138968000000001</v>
      </c>
      <c r="H91" s="343">
        <v>1.5072568</v>
      </c>
      <c r="I91" s="343">
        <v>1.558222</v>
      </c>
      <c r="J91" s="343">
        <v>1.7764013999999999</v>
      </c>
      <c r="K91" s="343">
        <v>1.6788400000000001</v>
      </c>
      <c r="L91" s="343">
        <v>1.7391222</v>
      </c>
      <c r="M91" s="343">
        <v>1.6558079999999999</v>
      </c>
      <c r="N91" s="343">
        <v>1.5913198</v>
      </c>
      <c r="O91" s="428">
        <f t="shared" si="27"/>
        <v>18.957036270000003</v>
      </c>
      <c r="Y91" s="428"/>
      <c r="Z91" s="428"/>
      <c r="AA91" s="428"/>
      <c r="AB91" s="428"/>
      <c r="AC91" s="428"/>
      <c r="AD91" s="428"/>
      <c r="AE91" s="428"/>
      <c r="AF91" s="428"/>
      <c r="AG91" s="428"/>
      <c r="AH91" s="428"/>
      <c r="AI91" s="428"/>
      <c r="AJ91" s="428"/>
      <c r="AK91" s="428"/>
    </row>
    <row r="92" spans="2:37" x14ac:dyDescent="0.3">
      <c r="B92" s="1158" t="s">
        <v>913</v>
      </c>
      <c r="C92" s="343">
        <v>6.5040000000000002E-3</v>
      </c>
      <c r="D92" s="343">
        <v>4.9909999999999998E-3</v>
      </c>
      <c r="E92" s="343">
        <v>7.5190999999999994E-2</v>
      </c>
      <c r="F92" s="343">
        <v>8.3580000000000008E-3</v>
      </c>
      <c r="G92" s="343">
        <v>8.0169999999999998E-3</v>
      </c>
      <c r="H92" s="343">
        <v>1.3497E-2</v>
      </c>
      <c r="I92" s="343">
        <v>1.0770999999999999E-2</v>
      </c>
      <c r="J92" s="343">
        <v>1.047E-2</v>
      </c>
      <c r="K92" s="343">
        <v>1.2933E-2</v>
      </c>
      <c r="L92" s="343">
        <v>5.9740000000000001E-3</v>
      </c>
      <c r="M92" s="343">
        <v>4.1399999999999996E-3</v>
      </c>
      <c r="N92" s="343">
        <v>4.731E-3</v>
      </c>
      <c r="O92" s="428">
        <f t="shared" si="27"/>
        <v>0.16557700000000003</v>
      </c>
      <c r="Y92" s="428"/>
      <c r="Z92" s="428"/>
      <c r="AA92" s="428"/>
      <c r="AB92" s="428"/>
      <c r="AC92" s="428"/>
      <c r="AD92" s="428"/>
      <c r="AE92" s="428"/>
      <c r="AF92" s="428"/>
      <c r="AG92" s="428"/>
      <c r="AH92" s="428"/>
      <c r="AI92" s="428"/>
      <c r="AJ92" s="428"/>
      <c r="AK92" s="428"/>
    </row>
    <row r="93" spans="2:37" x14ac:dyDescent="0.3">
      <c r="B93" s="1158" t="s">
        <v>914</v>
      </c>
      <c r="C93" s="343">
        <v>0.907416</v>
      </c>
      <c r="D93" s="343">
        <v>0.83582800000000002</v>
      </c>
      <c r="E93" s="343">
        <v>1.059043</v>
      </c>
      <c r="F93" s="343">
        <v>0.80648600000000004</v>
      </c>
      <c r="G93" s="343">
        <v>0.91982699999999995</v>
      </c>
      <c r="H93" s="343">
        <v>0.96171300000000004</v>
      </c>
      <c r="I93" s="343">
        <v>1.0144120000000001</v>
      </c>
      <c r="J93" s="343">
        <v>0.98709899999999995</v>
      </c>
      <c r="K93" s="343">
        <v>0.93257199999999996</v>
      </c>
      <c r="L93" s="343">
        <v>0.86170199999999997</v>
      </c>
      <c r="M93" s="343">
        <v>0.66540100000000002</v>
      </c>
      <c r="N93" s="343">
        <v>0.799821</v>
      </c>
      <c r="O93" s="428">
        <f t="shared" si="27"/>
        <v>10.751319999999998</v>
      </c>
      <c r="Y93" s="428"/>
      <c r="Z93" s="428"/>
      <c r="AA93" s="428"/>
      <c r="AB93" s="428"/>
      <c r="AC93" s="428"/>
      <c r="AD93" s="428"/>
      <c r="AE93" s="428"/>
      <c r="AF93" s="428"/>
      <c r="AG93" s="428"/>
      <c r="AH93" s="428"/>
      <c r="AI93" s="428"/>
      <c r="AJ93" s="428"/>
      <c r="AK93" s="428"/>
    </row>
    <row r="94" spans="2:37" x14ac:dyDescent="0.3">
      <c r="B94" s="1158" t="s">
        <v>915</v>
      </c>
      <c r="C94" s="343">
        <v>0.130995</v>
      </c>
      <c r="D94" s="343">
        <v>0.13429199999999999</v>
      </c>
      <c r="E94" s="343">
        <v>0.129631</v>
      </c>
      <c r="F94" s="343">
        <v>0.120799</v>
      </c>
      <c r="G94" s="343">
        <v>0.12479999999999999</v>
      </c>
      <c r="H94" s="343">
        <v>0.12611</v>
      </c>
      <c r="I94" s="343">
        <v>0.115454</v>
      </c>
      <c r="J94" s="343">
        <v>0.123778</v>
      </c>
      <c r="K94" s="343">
        <v>0.117232</v>
      </c>
      <c r="L94" s="343">
        <v>0.123665</v>
      </c>
      <c r="M94" s="343">
        <v>0.115566</v>
      </c>
      <c r="N94" s="343">
        <v>0.108044</v>
      </c>
      <c r="O94" s="428">
        <f t="shared" si="27"/>
        <v>1.4703659999999998</v>
      </c>
      <c r="Y94" s="428"/>
      <c r="Z94" s="428"/>
      <c r="AA94" s="428"/>
      <c r="AB94" s="428"/>
      <c r="AC94" s="428"/>
      <c r="AD94" s="428"/>
      <c r="AE94" s="428"/>
      <c r="AF94" s="428"/>
      <c r="AG94" s="428"/>
      <c r="AH94" s="428"/>
      <c r="AI94" s="428"/>
      <c r="AJ94" s="428"/>
      <c r="AK94" s="428"/>
    </row>
    <row r="95" spans="2:37" ht="28" x14ac:dyDescent="0.3">
      <c r="B95" s="1158" t="s">
        <v>920</v>
      </c>
      <c r="C95" s="343">
        <v>4.4520429999999998</v>
      </c>
      <c r="D95" s="343">
        <v>4.8888499999999997</v>
      </c>
      <c r="E95" s="343">
        <v>5.2507929999999998</v>
      </c>
      <c r="F95" s="343">
        <v>5.039301</v>
      </c>
      <c r="G95" s="343">
        <v>5.074802</v>
      </c>
      <c r="H95" s="343">
        <v>4.9192410000000004</v>
      </c>
      <c r="I95" s="343">
        <v>4.6581130000000002</v>
      </c>
      <c r="J95" s="343">
        <v>4.7648469999999996</v>
      </c>
      <c r="K95" s="343">
        <v>5.1035919999999999</v>
      </c>
      <c r="L95" s="343">
        <v>4.5215690000000004</v>
      </c>
      <c r="M95" s="343">
        <v>4.0533669999999997</v>
      </c>
      <c r="N95" s="343">
        <v>4.0668519999999999</v>
      </c>
      <c r="O95" s="428">
        <f t="shared" si="27"/>
        <v>56.793369999999996</v>
      </c>
      <c r="Y95" s="428"/>
      <c r="Z95" s="428"/>
      <c r="AA95" s="428"/>
      <c r="AB95" s="428"/>
      <c r="AC95" s="428"/>
      <c r="AD95" s="428"/>
      <c r="AE95" s="428"/>
      <c r="AF95" s="428"/>
      <c r="AG95" s="428"/>
      <c r="AH95" s="428"/>
      <c r="AI95" s="428"/>
      <c r="AJ95" s="428"/>
      <c r="AK95" s="428"/>
    </row>
    <row r="96" spans="2:37" x14ac:dyDescent="0.3">
      <c r="B96" s="1158" t="s">
        <v>916</v>
      </c>
      <c r="C96" s="343">
        <v>12.66752</v>
      </c>
      <c r="D96" s="343">
        <v>14.197637</v>
      </c>
      <c r="E96" s="343">
        <v>14.804929</v>
      </c>
      <c r="F96" s="343">
        <v>14.864387000000001</v>
      </c>
      <c r="G96" s="343">
        <v>14.611616</v>
      </c>
      <c r="H96" s="343">
        <v>14.272159</v>
      </c>
      <c r="I96" s="343">
        <v>13.178291</v>
      </c>
      <c r="J96" s="343">
        <v>13.624377000000001</v>
      </c>
      <c r="K96" s="343">
        <v>13.838965</v>
      </c>
      <c r="L96" s="343">
        <v>12.913764</v>
      </c>
      <c r="M96" s="343">
        <v>11.666567000000001</v>
      </c>
      <c r="N96" s="343">
        <v>11.784272</v>
      </c>
      <c r="O96" s="428">
        <f t="shared" si="27"/>
        <v>162.42448400000001</v>
      </c>
      <c r="Y96" s="428">
        <v>1.2875500099999999</v>
      </c>
      <c r="Z96" s="428">
        <v>1.26426536</v>
      </c>
      <c r="AA96" s="428">
        <v>1.2328279</v>
      </c>
      <c r="AB96" s="428">
        <v>1.22828</v>
      </c>
      <c r="AC96" s="428">
        <v>1.1777458000000001</v>
      </c>
      <c r="AD96" s="428">
        <v>1.2633338000000001</v>
      </c>
      <c r="AE96" s="428">
        <v>1.321345</v>
      </c>
      <c r="AF96" s="428">
        <v>1.5293223999999999</v>
      </c>
      <c r="AG96" s="428">
        <v>1.437479</v>
      </c>
      <c r="AH96" s="428">
        <v>1.4924842</v>
      </c>
      <c r="AI96" s="428">
        <v>1.411502</v>
      </c>
      <c r="AJ96" s="428">
        <v>1.3387628</v>
      </c>
      <c r="AK96" s="428">
        <v>15.98489827</v>
      </c>
    </row>
    <row r="97" spans="2:37" x14ac:dyDescent="0.3">
      <c r="B97" s="1158" t="s">
        <v>917</v>
      </c>
      <c r="C97" s="343">
        <f>0/(10^6)</f>
        <v>0</v>
      </c>
      <c r="D97" s="343">
        <f t="shared" ref="D97:N98" si="29">0/(10^6)</f>
        <v>0</v>
      </c>
      <c r="E97" s="343">
        <f t="shared" si="29"/>
        <v>0</v>
      </c>
      <c r="F97" s="343">
        <f t="shared" si="29"/>
        <v>0</v>
      </c>
      <c r="G97" s="343">
        <f t="shared" si="29"/>
        <v>0</v>
      </c>
      <c r="H97" s="343">
        <f t="shared" si="29"/>
        <v>0</v>
      </c>
      <c r="I97" s="343">
        <f t="shared" si="29"/>
        <v>0</v>
      </c>
      <c r="J97" s="343">
        <f t="shared" si="29"/>
        <v>0</v>
      </c>
      <c r="K97" s="343">
        <f t="shared" si="29"/>
        <v>0</v>
      </c>
      <c r="L97" s="343">
        <f t="shared" si="29"/>
        <v>0</v>
      </c>
      <c r="M97" s="343">
        <f t="shared" si="29"/>
        <v>0</v>
      </c>
      <c r="N97" s="343">
        <f t="shared" si="29"/>
        <v>0</v>
      </c>
      <c r="O97" s="428">
        <f t="shared" si="27"/>
        <v>0</v>
      </c>
      <c r="Y97" s="428">
        <v>0</v>
      </c>
      <c r="Z97" s="428">
        <v>0</v>
      </c>
      <c r="AA97" s="428">
        <v>0</v>
      </c>
      <c r="AB97" s="428">
        <v>0</v>
      </c>
      <c r="AC97" s="428">
        <v>0</v>
      </c>
      <c r="AD97" s="428">
        <v>0</v>
      </c>
      <c r="AE97" s="428">
        <v>0</v>
      </c>
      <c r="AF97" s="428">
        <v>0</v>
      </c>
      <c r="AG97" s="428">
        <v>0</v>
      </c>
      <c r="AH97" s="428">
        <v>0</v>
      </c>
      <c r="AI97" s="428">
        <v>0</v>
      </c>
      <c r="AJ97" s="428">
        <v>0</v>
      </c>
      <c r="AK97" s="428">
        <v>0</v>
      </c>
    </row>
    <row r="98" spans="2:37" x14ac:dyDescent="0.3">
      <c r="B98" s="1158" t="s">
        <v>918</v>
      </c>
      <c r="C98" s="343">
        <f>0/(10^6)</f>
        <v>0</v>
      </c>
      <c r="D98" s="343">
        <f t="shared" si="29"/>
        <v>0</v>
      </c>
      <c r="E98" s="343">
        <f t="shared" si="29"/>
        <v>0</v>
      </c>
      <c r="F98" s="343">
        <f t="shared" si="29"/>
        <v>0</v>
      </c>
      <c r="G98" s="343">
        <f t="shared" si="29"/>
        <v>0</v>
      </c>
      <c r="H98" s="343">
        <f t="shared" si="29"/>
        <v>0</v>
      </c>
      <c r="I98" s="343">
        <f t="shared" si="29"/>
        <v>0</v>
      </c>
      <c r="J98" s="343">
        <f t="shared" si="29"/>
        <v>0</v>
      </c>
      <c r="K98" s="343">
        <f t="shared" si="29"/>
        <v>0</v>
      </c>
      <c r="L98" s="343">
        <f t="shared" si="29"/>
        <v>0</v>
      </c>
      <c r="M98" s="343">
        <f t="shared" si="29"/>
        <v>0</v>
      </c>
      <c r="N98" s="343">
        <f t="shared" si="29"/>
        <v>0</v>
      </c>
      <c r="O98" s="428">
        <f t="shared" si="27"/>
        <v>0</v>
      </c>
      <c r="Y98" s="428">
        <v>1.8501E-2</v>
      </c>
      <c r="Z98" s="428">
        <v>2.0801E-2</v>
      </c>
      <c r="AA98" s="428">
        <v>1.9729E-2</v>
      </c>
      <c r="AB98" s="428">
        <v>2.1021999999999999E-2</v>
      </c>
      <c r="AC98" s="428">
        <v>1.7871000000000001E-2</v>
      </c>
      <c r="AD98" s="428">
        <v>2.0299000000000001E-2</v>
      </c>
      <c r="AE98" s="428">
        <v>1.5023999999999999E-2</v>
      </c>
      <c r="AF98" s="428">
        <v>1.2951000000000001E-2</v>
      </c>
      <c r="AG98" s="428">
        <v>8.4901000000000004E-2</v>
      </c>
      <c r="AH98" s="428">
        <v>9.7493999999999997E-2</v>
      </c>
      <c r="AI98" s="428">
        <v>0.14027300000000001</v>
      </c>
      <c r="AJ98" s="428">
        <v>0.151307</v>
      </c>
      <c r="AK98" s="428">
        <v>0.62017299999999997</v>
      </c>
    </row>
    <row r="99" spans="2:37" x14ac:dyDescent="0.3">
      <c r="B99" s="1158" t="s">
        <v>919</v>
      </c>
      <c r="C99" s="343">
        <v>1.8501E-2</v>
      </c>
      <c r="D99" s="343">
        <v>2.0801E-2</v>
      </c>
      <c r="E99" s="343">
        <v>1.9729E-2</v>
      </c>
      <c r="F99" s="343">
        <v>2.1021999999999999E-2</v>
      </c>
      <c r="G99" s="343">
        <v>1.7871000000000001E-2</v>
      </c>
      <c r="H99" s="343">
        <v>2.0299000000000001E-2</v>
      </c>
      <c r="I99" s="343">
        <v>1.5023999999999999E-2</v>
      </c>
      <c r="J99" s="343">
        <v>1.2951000000000001E-2</v>
      </c>
      <c r="K99" s="343">
        <v>8.4901000000000004E-2</v>
      </c>
      <c r="L99" s="343">
        <v>9.7493999999999997E-2</v>
      </c>
      <c r="M99" s="343">
        <v>0.14027300000000001</v>
      </c>
      <c r="N99" s="343">
        <v>0.151307</v>
      </c>
      <c r="O99" s="428">
        <f t="shared" si="27"/>
        <v>0.62017299999999997</v>
      </c>
      <c r="Y99" s="428"/>
      <c r="Z99" s="428"/>
      <c r="AA99" s="428"/>
      <c r="AB99" s="428"/>
      <c r="AC99" s="428"/>
      <c r="AD99" s="428"/>
      <c r="AE99" s="428"/>
      <c r="AF99" s="428"/>
      <c r="AG99" s="428"/>
      <c r="AH99" s="428"/>
      <c r="AI99" s="428"/>
      <c r="AJ99" s="428"/>
      <c r="AK99" s="428"/>
    </row>
    <row r="100" spans="2:37" x14ac:dyDescent="0.3">
      <c r="B100" s="1158"/>
      <c r="C100" s="343"/>
      <c r="D100" s="343"/>
      <c r="E100" s="343"/>
      <c r="F100" s="343"/>
      <c r="G100" s="343"/>
      <c r="H100" s="343"/>
      <c r="I100" s="343"/>
      <c r="J100" s="343"/>
      <c r="K100" s="343"/>
      <c r="L100" s="343"/>
      <c r="M100" s="343"/>
      <c r="N100" s="343"/>
      <c r="O100" s="428">
        <f t="shared" si="27"/>
        <v>0</v>
      </c>
      <c r="Y100" s="428"/>
      <c r="Z100" s="428"/>
      <c r="AA100" s="428"/>
      <c r="AB100" s="428"/>
      <c r="AC100" s="428"/>
      <c r="AD100" s="428"/>
      <c r="AE100" s="428"/>
      <c r="AF100" s="428"/>
      <c r="AG100" s="428"/>
      <c r="AH100" s="428"/>
      <c r="AI100" s="428"/>
      <c r="AJ100" s="428"/>
      <c r="AK100" s="428"/>
    </row>
    <row r="101" spans="2:37" s="532" customFormat="1" x14ac:dyDescent="0.3">
      <c r="B101" s="434" t="s">
        <v>416</v>
      </c>
      <c r="C101" s="433">
        <f t="shared" ref="C101:N101" si="30">SUM(C78:C100)</f>
        <v>292.78229001000011</v>
      </c>
      <c r="D101" s="433">
        <f t="shared" si="30"/>
        <v>364.77922235999995</v>
      </c>
      <c r="E101" s="433">
        <f t="shared" si="30"/>
        <v>383.89224789999997</v>
      </c>
      <c r="F101" s="433">
        <f t="shared" si="30"/>
        <v>350.1158440000001</v>
      </c>
      <c r="G101" s="433">
        <f t="shared" si="30"/>
        <v>335.98469379999995</v>
      </c>
      <c r="H101" s="433">
        <f t="shared" si="30"/>
        <v>335.88337079999985</v>
      </c>
      <c r="I101" s="433">
        <f t="shared" si="30"/>
        <v>316.19850099999996</v>
      </c>
      <c r="J101" s="433">
        <f t="shared" si="30"/>
        <v>344.33054539999995</v>
      </c>
      <c r="K101" s="433">
        <f t="shared" si="30"/>
        <v>321.7542059999999</v>
      </c>
      <c r="L101" s="433">
        <f t="shared" si="30"/>
        <v>296.83352719999993</v>
      </c>
      <c r="M101" s="433">
        <f t="shared" si="30"/>
        <v>255.13259600000006</v>
      </c>
      <c r="N101" s="433">
        <f t="shared" si="30"/>
        <v>290.85448679999996</v>
      </c>
      <c r="O101" s="433">
        <f>SUM(O78:O100)</f>
        <v>3888.5415312699997</v>
      </c>
      <c r="Y101" s="433">
        <v>292.78229001000005</v>
      </c>
      <c r="Z101" s="433">
        <v>364.77922236000006</v>
      </c>
      <c r="AA101" s="433">
        <v>383.89224789999997</v>
      </c>
      <c r="AB101" s="433">
        <v>350.11584399999998</v>
      </c>
      <c r="AC101" s="433">
        <v>335.9846938</v>
      </c>
      <c r="AD101" s="433">
        <v>335.88337079999997</v>
      </c>
      <c r="AE101" s="433">
        <v>316.19850100000002</v>
      </c>
      <c r="AF101" s="433">
        <v>344.33054540000001</v>
      </c>
      <c r="AG101" s="433">
        <v>321.75420600000001</v>
      </c>
      <c r="AH101" s="433">
        <v>296.83352719999993</v>
      </c>
      <c r="AI101" s="433">
        <v>255.13259600000006</v>
      </c>
      <c r="AJ101" s="433">
        <v>290.8544867999999</v>
      </c>
      <c r="AK101" s="433">
        <v>3888.5415312700002</v>
      </c>
    </row>
    <row r="102" spans="2:37" x14ac:dyDescent="0.3">
      <c r="B102" s="434"/>
      <c r="C102" s="428"/>
      <c r="D102" s="428"/>
      <c r="E102" s="428"/>
      <c r="F102" s="428"/>
      <c r="G102" s="428"/>
      <c r="H102" s="428"/>
      <c r="I102" s="428"/>
      <c r="J102" s="428"/>
      <c r="K102" s="428"/>
      <c r="L102" s="428"/>
      <c r="M102" s="428"/>
      <c r="N102" s="428"/>
      <c r="O102" s="428"/>
      <c r="Y102" s="428"/>
      <c r="Z102" s="428"/>
      <c r="AA102" s="428"/>
      <c r="AB102" s="428"/>
      <c r="AC102" s="428"/>
      <c r="AD102" s="428"/>
      <c r="AE102" s="428"/>
      <c r="AF102" s="428"/>
      <c r="AG102" s="428"/>
      <c r="AH102" s="428"/>
      <c r="AI102" s="428"/>
      <c r="AJ102" s="428"/>
      <c r="AK102" s="428"/>
    </row>
    <row r="103" spans="2:37" s="532" customFormat="1" x14ac:dyDescent="0.3">
      <c r="B103" s="433" t="s">
        <v>145</v>
      </c>
      <c r="C103" s="433">
        <f>C101+C75</f>
        <v>346.07821901000011</v>
      </c>
      <c r="D103" s="433">
        <f t="shared" ref="D103:N103" si="31">D101+D75</f>
        <v>422.16201635999994</v>
      </c>
      <c r="E103" s="433">
        <f t="shared" si="31"/>
        <v>445.36975589999997</v>
      </c>
      <c r="F103" s="433">
        <f t="shared" si="31"/>
        <v>411.14676700000007</v>
      </c>
      <c r="G103" s="433">
        <f t="shared" si="31"/>
        <v>398.17473279999996</v>
      </c>
      <c r="H103" s="433">
        <f t="shared" si="31"/>
        <v>395.56277879999988</v>
      </c>
      <c r="I103" s="433">
        <f t="shared" si="31"/>
        <v>372.61252899999999</v>
      </c>
      <c r="J103" s="433">
        <f t="shared" si="31"/>
        <v>402.38090239999997</v>
      </c>
      <c r="K103" s="433">
        <f t="shared" si="31"/>
        <v>378.3779429999999</v>
      </c>
      <c r="L103" s="433">
        <f t="shared" si="31"/>
        <v>352.0731841999999</v>
      </c>
      <c r="M103" s="433">
        <f t="shared" si="31"/>
        <v>306.08473900000007</v>
      </c>
      <c r="N103" s="433">
        <f t="shared" si="31"/>
        <v>339.31774179999996</v>
      </c>
      <c r="O103" s="433">
        <f>O101+O75</f>
        <v>4569.3413092700002</v>
      </c>
      <c r="Y103" s="433">
        <v>346.07821901000005</v>
      </c>
      <c r="Z103" s="433">
        <v>422.16201636000005</v>
      </c>
      <c r="AA103" s="433">
        <v>445.36975589999997</v>
      </c>
      <c r="AB103" s="433">
        <v>411.14676699999995</v>
      </c>
      <c r="AC103" s="433">
        <v>398.17473280000002</v>
      </c>
      <c r="AD103" s="433">
        <v>395.56277879999999</v>
      </c>
      <c r="AE103" s="433">
        <v>372.61252899999999</v>
      </c>
      <c r="AF103" s="433">
        <v>402.38090240000002</v>
      </c>
      <c r="AG103" s="433">
        <v>378.37794300000002</v>
      </c>
      <c r="AH103" s="433">
        <v>352.07318419999996</v>
      </c>
      <c r="AI103" s="433">
        <v>306.08473900000007</v>
      </c>
      <c r="AJ103" s="433">
        <v>339.31774179999991</v>
      </c>
      <c r="AK103" s="433">
        <v>4569.3413092700002</v>
      </c>
    </row>
    <row r="104" spans="2:37" hidden="1" x14ac:dyDescent="0.3">
      <c r="B104" s="591"/>
      <c r="C104" s="426">
        <v>0</v>
      </c>
      <c r="D104" s="426">
        <v>0</v>
      </c>
      <c r="E104" s="426">
        <v>0</v>
      </c>
      <c r="F104" s="426">
        <v>0</v>
      </c>
      <c r="G104" s="426">
        <v>0</v>
      </c>
      <c r="H104" s="426">
        <v>0</v>
      </c>
      <c r="I104" s="426">
        <v>0</v>
      </c>
      <c r="J104" s="426">
        <v>0</v>
      </c>
      <c r="K104" s="426">
        <v>0</v>
      </c>
      <c r="L104" s="426">
        <v>0</v>
      </c>
      <c r="M104" s="426">
        <v>0</v>
      </c>
      <c r="P104" s="901"/>
      <c r="Q104" s="901"/>
    </row>
    <row r="105" spans="2:37" hidden="1" x14ac:dyDescent="0.3">
      <c r="B105" s="596" t="s">
        <v>435</v>
      </c>
    </row>
    <row r="106" spans="2:37" hidden="1" x14ac:dyDescent="0.3">
      <c r="B106" s="576" t="s">
        <v>436</v>
      </c>
    </row>
    <row r="107" spans="2:37" hidden="1" x14ac:dyDescent="0.3">
      <c r="B107" s="1161" t="s">
        <v>438</v>
      </c>
      <c r="C107" s="573"/>
      <c r="D107" s="573"/>
      <c r="E107" s="573"/>
      <c r="F107" s="573"/>
      <c r="G107" s="573"/>
      <c r="H107" s="573"/>
      <c r="I107" s="573"/>
      <c r="J107" s="514"/>
      <c r="K107" s="514"/>
      <c r="L107" s="514"/>
      <c r="M107" s="514"/>
      <c r="N107" s="514"/>
      <c r="O107" s="514"/>
      <c r="P107" s="514"/>
    </row>
    <row r="108" spans="2:37" hidden="1" x14ac:dyDescent="0.3">
      <c r="B108" s="576" t="s">
        <v>568</v>
      </c>
      <c r="C108" s="573"/>
      <c r="D108" s="573"/>
      <c r="E108" s="573"/>
      <c r="F108" s="573"/>
      <c r="G108" s="573"/>
      <c r="H108" s="573"/>
      <c r="I108" s="573"/>
      <c r="J108" s="514"/>
      <c r="K108" s="514"/>
      <c r="L108" s="514"/>
      <c r="M108" s="514"/>
      <c r="N108" s="514"/>
      <c r="O108" s="514"/>
      <c r="P108" s="514"/>
    </row>
    <row r="109" spans="2:37" x14ac:dyDescent="0.3">
      <c r="B109" s="576"/>
      <c r="C109" s="573"/>
      <c r="D109" s="573"/>
      <c r="E109" s="573"/>
      <c r="F109" s="573"/>
      <c r="G109" s="573"/>
      <c r="H109" s="573"/>
      <c r="I109" s="573"/>
      <c r="J109" s="514"/>
      <c r="K109" s="514"/>
      <c r="L109" s="514"/>
      <c r="M109" s="514"/>
      <c r="N109" s="514"/>
      <c r="O109" s="514"/>
      <c r="P109" s="514"/>
    </row>
    <row r="110" spans="2:37" x14ac:dyDescent="0.3">
      <c r="B110" s="576"/>
      <c r="C110" s="573"/>
      <c r="D110" s="573"/>
      <c r="E110" s="573"/>
      <c r="F110" s="573"/>
      <c r="G110" s="573"/>
      <c r="H110" s="573"/>
      <c r="I110" s="573"/>
      <c r="J110" s="514"/>
      <c r="K110" s="514"/>
      <c r="L110" s="514"/>
      <c r="M110" s="514"/>
      <c r="N110" s="514"/>
      <c r="O110" s="514"/>
      <c r="P110" s="514"/>
    </row>
    <row r="111" spans="2:37" x14ac:dyDescent="0.3">
      <c r="B111" s="597" t="s">
        <v>813</v>
      </c>
      <c r="C111" s="531"/>
      <c r="D111" s="531"/>
      <c r="E111" s="531"/>
      <c r="F111" s="531"/>
      <c r="G111" s="531"/>
      <c r="H111" s="531"/>
      <c r="I111" s="531"/>
      <c r="J111" s="531"/>
      <c r="K111" s="531"/>
      <c r="L111" s="531"/>
      <c r="M111" s="531"/>
      <c r="N111" s="530"/>
      <c r="P111" s="530"/>
      <c r="Q111" s="530"/>
    </row>
    <row r="112" spans="2:37" x14ac:dyDescent="0.3">
      <c r="B112" s="597"/>
      <c r="C112" s="524"/>
      <c r="D112" s="524"/>
      <c r="O112" s="530" t="s">
        <v>150</v>
      </c>
      <c r="P112" s="530"/>
      <c r="Q112" s="530"/>
    </row>
    <row r="113" spans="2:17" ht="28" x14ac:dyDescent="0.3">
      <c r="B113" s="1151" t="s">
        <v>292</v>
      </c>
      <c r="C113" s="1151" t="s">
        <v>151</v>
      </c>
      <c r="D113" s="1151" t="s">
        <v>152</v>
      </c>
      <c r="E113" s="1151" t="s">
        <v>153</v>
      </c>
      <c r="F113" s="1151" t="s">
        <v>154</v>
      </c>
      <c r="G113" s="1151" t="s">
        <v>155</v>
      </c>
      <c r="H113" s="1151" t="s">
        <v>156</v>
      </c>
      <c r="I113" s="1151" t="s">
        <v>157</v>
      </c>
      <c r="J113" s="1151" t="s">
        <v>158</v>
      </c>
      <c r="K113" s="1151" t="s">
        <v>159</v>
      </c>
      <c r="L113" s="1151" t="s">
        <v>160</v>
      </c>
      <c r="M113" s="1151" t="s">
        <v>161</v>
      </c>
      <c r="N113" s="1151" t="s">
        <v>162</v>
      </c>
      <c r="O113" s="1644" t="s">
        <v>1820</v>
      </c>
      <c r="P113" s="1151" t="s">
        <v>145</v>
      </c>
      <c r="Q113" s="530"/>
    </row>
    <row r="114" spans="2:17" x14ac:dyDescent="0.3">
      <c r="B114" s="1588" t="s">
        <v>293</v>
      </c>
      <c r="C114" s="428"/>
      <c r="D114" s="428"/>
      <c r="E114" s="428"/>
      <c r="F114" s="428"/>
      <c r="G114" s="428"/>
      <c r="H114" s="428"/>
      <c r="I114" s="428"/>
      <c r="J114" s="428"/>
      <c r="K114" s="428"/>
      <c r="L114" s="428"/>
      <c r="M114" s="428"/>
      <c r="N114" s="428"/>
      <c r="O114" s="343"/>
      <c r="P114" s="428"/>
      <c r="Q114" s="530"/>
    </row>
    <row r="115" spans="2:17" x14ac:dyDescent="0.3">
      <c r="B115" s="343"/>
      <c r="C115" s="428"/>
      <c r="D115" s="428"/>
      <c r="E115" s="428"/>
      <c r="F115" s="428"/>
      <c r="G115" s="428"/>
      <c r="H115" s="428"/>
      <c r="I115" s="428"/>
      <c r="J115" s="428"/>
      <c r="K115" s="428"/>
      <c r="L115" s="428"/>
      <c r="M115" s="428"/>
      <c r="N115" s="428"/>
      <c r="O115" s="343"/>
      <c r="P115" s="428"/>
      <c r="Q115" s="530"/>
    </row>
    <row r="116" spans="2:17" x14ac:dyDescent="0.3">
      <c r="B116" s="507" t="s">
        <v>891</v>
      </c>
      <c r="C116" s="428">
        <v>12.964676000000001</v>
      </c>
      <c r="D116" s="428">
        <v>11.112712999999999</v>
      </c>
      <c r="E116" s="428">
        <v>11.965109999999999</v>
      </c>
      <c r="F116" s="428">
        <v>11.913169</v>
      </c>
      <c r="G116" s="428">
        <v>12.301444999999999</v>
      </c>
      <c r="H116" s="428">
        <v>12.198619000000001</v>
      </c>
      <c r="I116" s="428">
        <v>12.284727</v>
      </c>
      <c r="J116" s="428">
        <v>12.783089</v>
      </c>
      <c r="K116" s="428">
        <v>12.027127</v>
      </c>
      <c r="L116" s="428">
        <v>12.290905</v>
      </c>
      <c r="M116" s="428">
        <v>11.967577</v>
      </c>
      <c r="N116" s="428">
        <v>11.106610999999999</v>
      </c>
      <c r="O116" s="343"/>
      <c r="P116" s="428">
        <f>SUM(C116:N116)-O116</f>
        <v>144.91576799999999</v>
      </c>
      <c r="Q116" s="530"/>
    </row>
    <row r="117" spans="2:17" x14ac:dyDescent="0.3">
      <c r="B117" s="507" t="s">
        <v>892</v>
      </c>
      <c r="C117" s="428">
        <v>14.782845</v>
      </c>
      <c r="D117" s="428">
        <v>9.9783790000000003</v>
      </c>
      <c r="E117" s="428">
        <v>11.37111</v>
      </c>
      <c r="F117" s="428">
        <v>11.82883</v>
      </c>
      <c r="G117" s="428">
        <v>12.826461</v>
      </c>
      <c r="H117" s="428">
        <v>12.974092000000001</v>
      </c>
      <c r="I117" s="428">
        <v>13.907121</v>
      </c>
      <c r="J117" s="428">
        <v>15.015523999999999</v>
      </c>
      <c r="K117" s="428">
        <v>14.832319</v>
      </c>
      <c r="L117" s="428">
        <v>15.340835999999999</v>
      </c>
      <c r="M117" s="428">
        <v>15.053762000000001</v>
      </c>
      <c r="N117" s="428">
        <v>14.182993</v>
      </c>
      <c r="O117" s="343"/>
      <c r="P117" s="428">
        <f t="shared" ref="P117:P122" si="32">SUM(C117:N117)-O117</f>
        <v>162.09427200000002</v>
      </c>
      <c r="Q117" s="530"/>
    </row>
    <row r="118" spans="2:17" x14ac:dyDescent="0.3">
      <c r="B118" s="507" t="s">
        <v>893</v>
      </c>
      <c r="C118" s="428">
        <v>2.3202780000000001</v>
      </c>
      <c r="D118" s="428">
        <v>2.4393739999999999</v>
      </c>
      <c r="E118" s="428">
        <v>2.6956370000000001</v>
      </c>
      <c r="F118" s="428">
        <v>2.422234</v>
      </c>
      <c r="G118" s="428">
        <v>2.4112089999999999</v>
      </c>
      <c r="H118" s="428">
        <v>2.271636</v>
      </c>
      <c r="I118" s="428">
        <v>2.3776630000000001</v>
      </c>
      <c r="J118" s="428">
        <v>2.4743520000000001</v>
      </c>
      <c r="K118" s="428">
        <v>2.5196160000000001</v>
      </c>
      <c r="L118" s="428">
        <v>2.4642930000000001</v>
      </c>
      <c r="M118" s="428">
        <v>2.3904960000000002</v>
      </c>
      <c r="N118" s="428">
        <v>2.221822</v>
      </c>
      <c r="O118" s="343"/>
      <c r="P118" s="428">
        <f t="shared" si="32"/>
        <v>29.008610000000001</v>
      </c>
      <c r="Q118" s="530"/>
    </row>
    <row r="119" spans="2:17" x14ac:dyDescent="0.3">
      <c r="B119" s="507" t="s">
        <v>1705</v>
      </c>
      <c r="C119" s="428">
        <v>0.165682</v>
      </c>
      <c r="D119" s="428">
        <v>0.103129</v>
      </c>
      <c r="E119" s="428">
        <v>0.14685100000000001</v>
      </c>
      <c r="F119" s="428">
        <v>0.15262300000000001</v>
      </c>
      <c r="G119" s="428">
        <v>0.146953</v>
      </c>
      <c r="H119" s="428">
        <v>0.14135500000000001</v>
      </c>
      <c r="I119" s="428">
        <v>0.139788</v>
      </c>
      <c r="J119" s="428">
        <v>0.17021900000000001</v>
      </c>
      <c r="K119" s="428">
        <v>0.15386900000000001</v>
      </c>
      <c r="L119" s="428">
        <v>0.16394700000000001</v>
      </c>
      <c r="M119" s="428">
        <v>0.16759199999999999</v>
      </c>
      <c r="N119" s="428">
        <v>0.169486</v>
      </c>
      <c r="O119" s="343"/>
      <c r="P119" s="428">
        <f t="shared" si="32"/>
        <v>1.8214940000000002</v>
      </c>
      <c r="Q119" s="530"/>
    </row>
    <row r="120" spans="2:17" ht="28" x14ac:dyDescent="0.3">
      <c r="B120" s="507" t="s">
        <v>1706</v>
      </c>
      <c r="C120" s="428">
        <v>1.92787</v>
      </c>
      <c r="D120" s="428">
        <v>1.8997390000000001</v>
      </c>
      <c r="E120" s="428">
        <v>2.042395</v>
      </c>
      <c r="F120" s="428">
        <v>6.7157999999999995E-2</v>
      </c>
      <c r="G120" s="428">
        <v>1.973608</v>
      </c>
      <c r="H120" s="428">
        <v>1.9963690000000001</v>
      </c>
      <c r="I120" s="428">
        <v>2.0332620000000001</v>
      </c>
      <c r="J120" s="428">
        <v>2.1691509999999998</v>
      </c>
      <c r="K120" s="428">
        <v>1.955001</v>
      </c>
      <c r="L120" s="428">
        <v>1.944998</v>
      </c>
      <c r="M120" s="428">
        <v>1.8627279999999999</v>
      </c>
      <c r="N120" s="428">
        <v>1.930947</v>
      </c>
      <c r="O120" s="343"/>
      <c r="P120" s="428">
        <f t="shared" si="32"/>
        <v>21.803226000000002</v>
      </c>
      <c r="Q120" s="530"/>
    </row>
    <row r="121" spans="2:17" x14ac:dyDescent="0.3">
      <c r="B121" s="507" t="s">
        <v>1707</v>
      </c>
      <c r="C121" s="428">
        <v>14.532342999999999</v>
      </c>
      <c r="D121" s="428">
        <v>14.047228</v>
      </c>
      <c r="E121" s="428">
        <v>14.507958</v>
      </c>
      <c r="F121" s="428">
        <v>17.498058</v>
      </c>
      <c r="G121" s="428">
        <v>17.788602000000001</v>
      </c>
      <c r="H121" s="428">
        <v>17.451943</v>
      </c>
      <c r="I121" s="428">
        <v>16.017779000000001</v>
      </c>
      <c r="J121" s="428">
        <v>16.073878000000001</v>
      </c>
      <c r="K121" s="428">
        <v>14.454848</v>
      </c>
      <c r="L121" s="428">
        <v>14.542903000000001</v>
      </c>
      <c r="M121" s="428">
        <v>14.295425</v>
      </c>
      <c r="N121" s="428">
        <v>13.540146999999999</v>
      </c>
      <c r="O121" s="343"/>
      <c r="P121" s="428">
        <f t="shared" si="32"/>
        <v>184.75111199999998</v>
      </c>
      <c r="Q121" s="530"/>
    </row>
    <row r="122" spans="2:17" x14ac:dyDescent="0.3">
      <c r="B122" s="1057" t="s">
        <v>1704</v>
      </c>
      <c r="C122" s="428">
        <v>0</v>
      </c>
      <c r="D122" s="428">
        <v>0</v>
      </c>
      <c r="E122" s="428">
        <v>0</v>
      </c>
      <c r="F122" s="428">
        <v>0</v>
      </c>
      <c r="G122" s="428">
        <v>0</v>
      </c>
      <c r="H122" s="428">
        <v>0</v>
      </c>
      <c r="I122" s="428">
        <v>0</v>
      </c>
      <c r="J122" s="428">
        <v>0</v>
      </c>
      <c r="K122" s="428">
        <v>0</v>
      </c>
      <c r="L122" s="428">
        <v>0</v>
      </c>
      <c r="M122" s="428">
        <v>0</v>
      </c>
      <c r="N122" s="428">
        <v>0</v>
      </c>
      <c r="O122" s="343"/>
      <c r="P122" s="428">
        <f t="shared" si="32"/>
        <v>0</v>
      </c>
      <c r="Q122" s="530"/>
    </row>
    <row r="123" spans="2:17" x14ac:dyDescent="0.3">
      <c r="B123" s="343"/>
      <c r="C123" s="428"/>
      <c r="D123" s="428"/>
      <c r="E123" s="428"/>
      <c r="F123" s="428"/>
      <c r="G123" s="428"/>
      <c r="H123" s="428"/>
      <c r="I123" s="428"/>
      <c r="J123" s="428"/>
      <c r="K123" s="428"/>
      <c r="L123" s="428"/>
      <c r="M123" s="428"/>
      <c r="N123" s="428"/>
      <c r="O123" s="343"/>
      <c r="P123" s="428"/>
      <c r="Q123" s="530"/>
    </row>
    <row r="124" spans="2:17" s="532" customFormat="1" x14ac:dyDescent="0.3">
      <c r="B124" s="1588" t="s">
        <v>416</v>
      </c>
      <c r="C124" s="433">
        <f t="shared" ref="C124" si="33">SUM(C116:C122)</f>
        <v>46.693694000000001</v>
      </c>
      <c r="D124" s="433">
        <f t="shared" ref="D124:O124" si="34">SUM(D116:D122)</f>
        <v>39.580562</v>
      </c>
      <c r="E124" s="433">
        <f t="shared" si="34"/>
        <v>42.729061000000002</v>
      </c>
      <c r="F124" s="433">
        <f t="shared" si="34"/>
        <v>43.882071999999994</v>
      </c>
      <c r="G124" s="433">
        <f t="shared" si="34"/>
        <v>47.448278000000002</v>
      </c>
      <c r="H124" s="433">
        <f t="shared" si="34"/>
        <v>47.034013999999999</v>
      </c>
      <c r="I124" s="433">
        <f t="shared" si="34"/>
        <v>46.760339999999999</v>
      </c>
      <c r="J124" s="433">
        <f t="shared" si="34"/>
        <v>48.686213000000002</v>
      </c>
      <c r="K124" s="433">
        <f t="shared" si="34"/>
        <v>45.942779999999999</v>
      </c>
      <c r="L124" s="433">
        <f t="shared" si="34"/>
        <v>46.747882000000004</v>
      </c>
      <c r="M124" s="433">
        <f t="shared" si="34"/>
        <v>45.737580000000001</v>
      </c>
      <c r="N124" s="433">
        <f t="shared" si="34"/>
        <v>43.152005999999993</v>
      </c>
      <c r="O124" s="433">
        <f t="shared" si="34"/>
        <v>0</v>
      </c>
      <c r="P124" s="433">
        <f t="shared" ref="P124" si="35">SUM(P116:P122)</f>
        <v>544.39448199999993</v>
      </c>
      <c r="Q124" s="530"/>
    </row>
    <row r="125" spans="2:17" x14ac:dyDescent="0.3">
      <c r="B125" s="343"/>
      <c r="C125" s="428"/>
      <c r="D125" s="428"/>
      <c r="E125" s="428"/>
      <c r="F125" s="428"/>
      <c r="G125" s="428"/>
      <c r="H125" s="428"/>
      <c r="I125" s="428"/>
      <c r="J125" s="428"/>
      <c r="K125" s="428"/>
      <c r="L125" s="428"/>
      <c r="M125" s="428"/>
      <c r="N125" s="428"/>
      <c r="O125" s="343"/>
      <c r="P125" s="428"/>
      <c r="Q125" s="530"/>
    </row>
    <row r="126" spans="2:17" x14ac:dyDescent="0.3">
      <c r="B126" s="458" t="s">
        <v>294</v>
      </c>
      <c r="C126" s="428"/>
      <c r="D126" s="428"/>
      <c r="E126" s="428"/>
      <c r="F126" s="428"/>
      <c r="G126" s="428"/>
      <c r="H126" s="428"/>
      <c r="I126" s="428"/>
      <c r="J126" s="428"/>
      <c r="K126" s="428"/>
      <c r="L126" s="428"/>
      <c r="M126" s="428"/>
      <c r="N126" s="428"/>
      <c r="O126" s="343"/>
      <c r="P126" s="428"/>
      <c r="Q126" s="530"/>
    </row>
    <row r="127" spans="2:17" x14ac:dyDescent="0.3">
      <c r="B127" s="344" t="s">
        <v>898</v>
      </c>
      <c r="C127" s="428">
        <v>7.7800000000000005E-4</v>
      </c>
      <c r="D127" s="428">
        <v>7.7700000000000002E-4</v>
      </c>
      <c r="E127" s="428">
        <v>7.8700000000000005E-4</v>
      </c>
      <c r="F127" s="428">
        <v>1.09E-3</v>
      </c>
      <c r="G127" s="428">
        <v>1.1869999999999999E-3</v>
      </c>
      <c r="H127" s="428">
        <v>1.1460000000000001E-3</v>
      </c>
      <c r="I127" s="428">
        <v>1.266E-3</v>
      </c>
      <c r="J127" s="428">
        <v>2.2889999999999998E-3</v>
      </c>
      <c r="K127" s="428">
        <v>2.6289999999999998E-3</v>
      </c>
      <c r="L127" s="428">
        <v>2.7130000000000001E-3</v>
      </c>
      <c r="M127" s="428">
        <v>2.6189999999999998E-3</v>
      </c>
      <c r="N127" s="428">
        <v>2.8909999999999999E-3</v>
      </c>
      <c r="O127" s="343"/>
      <c r="P127" s="428">
        <f t="shared" ref="P127:P142" si="36">SUM(C127:N127)-O127</f>
        <v>2.0171999999999999E-2</v>
      </c>
      <c r="Q127" s="530"/>
    </row>
    <row r="128" spans="2:17" x14ac:dyDescent="0.3">
      <c r="B128" s="1156" t="s">
        <v>899</v>
      </c>
      <c r="C128" s="428"/>
      <c r="D128" s="428"/>
      <c r="E128" s="428"/>
      <c r="F128" s="428"/>
      <c r="G128" s="428"/>
      <c r="H128" s="428"/>
      <c r="I128" s="428"/>
      <c r="J128" s="428"/>
      <c r="K128" s="428"/>
      <c r="L128" s="428"/>
      <c r="M128" s="428"/>
      <c r="N128" s="428"/>
      <c r="O128" s="343"/>
      <c r="P128" s="428">
        <f t="shared" si="36"/>
        <v>0</v>
      </c>
      <c r="Q128" s="530"/>
    </row>
    <row r="129" spans="2:20" x14ac:dyDescent="0.3">
      <c r="B129" s="344" t="s">
        <v>900</v>
      </c>
      <c r="C129" s="428">
        <v>61.969670000000001</v>
      </c>
      <c r="D129" s="428">
        <v>61.971587</v>
      </c>
      <c r="E129" s="428">
        <v>62.16075</v>
      </c>
      <c r="F129" s="428">
        <v>61.942332</v>
      </c>
      <c r="G129" s="428">
        <v>58.781956999999998</v>
      </c>
      <c r="H129" s="428">
        <v>58.422347000000002</v>
      </c>
      <c r="I129" s="428">
        <v>60.460005000000002</v>
      </c>
      <c r="J129" s="428">
        <v>61.39714</v>
      </c>
      <c r="K129" s="428">
        <v>60.483516000000002</v>
      </c>
      <c r="L129" s="428">
        <v>59.023215</v>
      </c>
      <c r="M129" s="428">
        <v>57.674131000000003</v>
      </c>
      <c r="N129" s="428">
        <v>59.548048000000001</v>
      </c>
      <c r="O129" s="1327">
        <v>-2.0479761380991981</v>
      </c>
      <c r="P129" s="428">
        <f t="shared" si="36"/>
        <v>725.88267413809922</v>
      </c>
      <c r="Q129" s="530"/>
    </row>
    <row r="130" spans="2:20" x14ac:dyDescent="0.3">
      <c r="B130" s="344" t="s">
        <v>901</v>
      </c>
      <c r="C130" s="428">
        <v>50.691938</v>
      </c>
      <c r="D130" s="428">
        <v>50.663288999999999</v>
      </c>
      <c r="E130" s="428">
        <v>51.799658999999998</v>
      </c>
      <c r="F130" s="428">
        <v>59.461731</v>
      </c>
      <c r="G130" s="428">
        <v>55.580055000000002</v>
      </c>
      <c r="H130" s="428">
        <v>55.335569</v>
      </c>
      <c r="I130" s="428">
        <v>61.593876999999999</v>
      </c>
      <c r="J130" s="428">
        <v>63.266312999999997</v>
      </c>
      <c r="K130" s="428">
        <v>55.625463000000003</v>
      </c>
      <c r="L130" s="428">
        <v>46.632921000000003</v>
      </c>
      <c r="M130" s="428">
        <v>39.824016</v>
      </c>
      <c r="N130" s="428">
        <v>47.097228000000001</v>
      </c>
      <c r="O130" s="1327">
        <v>-1.8039096036133573</v>
      </c>
      <c r="P130" s="428">
        <f t="shared" si="36"/>
        <v>639.37596860361339</v>
      </c>
      <c r="Q130" s="530"/>
    </row>
    <row r="131" spans="2:20" x14ac:dyDescent="0.3">
      <c r="B131" s="344" t="s">
        <v>902</v>
      </c>
      <c r="C131" s="428">
        <v>13.123315</v>
      </c>
      <c r="D131" s="428">
        <v>13.080107</v>
      </c>
      <c r="E131" s="428">
        <v>14.125617</v>
      </c>
      <c r="F131" s="428">
        <v>20.971539</v>
      </c>
      <c r="G131" s="428">
        <v>17.901603000000001</v>
      </c>
      <c r="H131" s="428">
        <v>16.875986000000001</v>
      </c>
      <c r="I131" s="428">
        <v>20.330417000000001</v>
      </c>
      <c r="J131" s="428">
        <v>21.403483000000001</v>
      </c>
      <c r="K131" s="428">
        <v>16.813800000000001</v>
      </c>
      <c r="L131" s="428">
        <v>11.947689</v>
      </c>
      <c r="M131" s="428">
        <v>9.3963370000000008</v>
      </c>
      <c r="N131" s="428">
        <v>12.684831000000001</v>
      </c>
      <c r="O131" s="1327">
        <v>-0.53376879301203384</v>
      </c>
      <c r="P131" s="428">
        <f t="shared" si="36"/>
        <v>189.18849279301199</v>
      </c>
      <c r="Q131" s="530"/>
    </row>
    <row r="132" spans="2:20" x14ac:dyDescent="0.3">
      <c r="B132" s="344" t="s">
        <v>903</v>
      </c>
      <c r="C132" s="428">
        <v>24.224571999999998</v>
      </c>
      <c r="D132" s="428">
        <v>24.185556999999999</v>
      </c>
      <c r="E132" s="428">
        <v>30.341778999999999</v>
      </c>
      <c r="F132" s="428">
        <v>49.365639999999999</v>
      </c>
      <c r="G132" s="428">
        <v>32.455376999999999</v>
      </c>
      <c r="H132" s="428">
        <v>28.646485999999999</v>
      </c>
      <c r="I132" s="428">
        <v>33.165162000000002</v>
      </c>
      <c r="J132" s="428">
        <v>34.731406</v>
      </c>
      <c r="K132" s="428">
        <v>27.835056000000002</v>
      </c>
      <c r="L132" s="428">
        <v>22.059517</v>
      </c>
      <c r="M132" s="428">
        <v>18.915015</v>
      </c>
      <c r="N132" s="428">
        <v>22.071019</v>
      </c>
      <c r="O132" s="1327">
        <v>-0.98460146527541226</v>
      </c>
      <c r="P132" s="428">
        <f t="shared" si="36"/>
        <v>348.98118746527547</v>
      </c>
      <c r="Q132" s="530"/>
    </row>
    <row r="133" spans="2:20" x14ac:dyDescent="0.3">
      <c r="B133" s="507" t="s">
        <v>904</v>
      </c>
      <c r="C133" s="428">
        <v>70.326392999999996</v>
      </c>
      <c r="D133" s="428">
        <v>41.592995000000002</v>
      </c>
      <c r="E133" s="428">
        <v>14.96631</v>
      </c>
      <c r="F133" s="428">
        <v>29.742759</v>
      </c>
      <c r="G133" s="428">
        <v>29.391078</v>
      </c>
      <c r="H133" s="428">
        <v>35.550440000000002</v>
      </c>
      <c r="I133" s="428">
        <v>45.935991000000001</v>
      </c>
      <c r="J133" s="428">
        <v>55.787523999999998</v>
      </c>
      <c r="K133" s="428">
        <v>56.377130000000001</v>
      </c>
      <c r="L133" s="428">
        <v>53.949142000000002</v>
      </c>
      <c r="M133" s="428">
        <v>49.737043</v>
      </c>
      <c r="N133" s="428">
        <v>56.663722</v>
      </c>
      <c r="O133" s="1327">
        <v>6.1733430000000009</v>
      </c>
      <c r="P133" s="428">
        <f t="shared" si="36"/>
        <v>533.84718399999997</v>
      </c>
      <c r="Q133" s="530"/>
    </row>
    <row r="134" spans="2:20" ht="28" x14ac:dyDescent="0.3">
      <c r="B134" s="507" t="s">
        <v>1708</v>
      </c>
      <c r="C134" s="428">
        <v>15.832048</v>
      </c>
      <c r="D134" s="428">
        <v>16.168002000000001</v>
      </c>
      <c r="E134" s="428">
        <v>18.471571999999998</v>
      </c>
      <c r="F134" s="428">
        <v>25.707894</v>
      </c>
      <c r="G134" s="428">
        <v>9.8676329999999997</v>
      </c>
      <c r="H134" s="428">
        <v>9.1443689999999993</v>
      </c>
      <c r="I134" s="428">
        <v>10.295393000000001</v>
      </c>
      <c r="J134" s="428">
        <v>11.957141999999999</v>
      </c>
      <c r="K134" s="428">
        <v>11.379213999999999</v>
      </c>
      <c r="L134" s="428">
        <v>12.828689000000001</v>
      </c>
      <c r="M134" s="428">
        <v>11.367471999999999</v>
      </c>
      <c r="N134" s="428">
        <v>10.992221000000001</v>
      </c>
      <c r="O134" s="1327">
        <v>12.9389</v>
      </c>
      <c r="P134" s="428">
        <f t="shared" si="36"/>
        <v>151.07274899999999</v>
      </c>
      <c r="Q134" s="530"/>
    </row>
    <row r="135" spans="2:20" ht="28" x14ac:dyDescent="0.3">
      <c r="B135" s="507" t="s">
        <v>1709</v>
      </c>
      <c r="C135" s="428">
        <v>26.587479999999999</v>
      </c>
      <c r="D135" s="428">
        <v>26.529330000000002</v>
      </c>
      <c r="E135" s="428">
        <v>34.150212000000003</v>
      </c>
      <c r="F135" s="428">
        <v>48.567391999999998</v>
      </c>
      <c r="G135" s="428">
        <v>20.793638999999999</v>
      </c>
      <c r="H135" s="428">
        <v>18.238323999999999</v>
      </c>
      <c r="I135" s="428">
        <v>19.678106</v>
      </c>
      <c r="J135" s="428">
        <v>23.921724000000001</v>
      </c>
      <c r="K135" s="428">
        <v>21.585874</v>
      </c>
      <c r="L135" s="428">
        <v>22.579913000000001</v>
      </c>
      <c r="M135" s="428">
        <v>21.251183999999999</v>
      </c>
      <c r="N135" s="428">
        <v>21.29129</v>
      </c>
      <c r="O135" s="1327">
        <v>21.284855</v>
      </c>
      <c r="P135" s="428">
        <f t="shared" si="36"/>
        <v>283.889613</v>
      </c>
      <c r="Q135" s="530"/>
    </row>
    <row r="136" spans="2:20" x14ac:dyDescent="0.3">
      <c r="B136" s="507" t="s">
        <v>908</v>
      </c>
      <c r="C136" s="428">
        <v>3.9143840000000001</v>
      </c>
      <c r="D136" s="428">
        <v>5.3110850000000003</v>
      </c>
      <c r="E136" s="428">
        <v>1.453416</v>
      </c>
      <c r="F136" s="428">
        <v>6.2219280000000001</v>
      </c>
      <c r="G136" s="428">
        <v>4.9525810000000003</v>
      </c>
      <c r="H136" s="428">
        <v>5.6210019999999998</v>
      </c>
      <c r="I136" s="428">
        <v>6.6110220000000002</v>
      </c>
      <c r="J136" s="428">
        <v>7.5580059999999998</v>
      </c>
      <c r="K136" s="428">
        <v>7.499047</v>
      </c>
      <c r="L136" s="428">
        <v>7.5896629999999998</v>
      </c>
      <c r="M136" s="428">
        <v>7.3287899999999997</v>
      </c>
      <c r="N136" s="428">
        <v>7.5191679999999996</v>
      </c>
      <c r="O136" s="1327">
        <v>-1.3094299999999999</v>
      </c>
      <c r="P136" s="428">
        <f t="shared" si="36"/>
        <v>72.889521999999999</v>
      </c>
      <c r="Q136" s="530"/>
    </row>
    <row r="137" spans="2:20" x14ac:dyDescent="0.3">
      <c r="B137" s="507" t="s">
        <v>1594</v>
      </c>
      <c r="C137" s="428">
        <v>6.2313619999999998</v>
      </c>
      <c r="D137" s="428">
        <v>6.1991379999999996</v>
      </c>
      <c r="E137" s="428">
        <v>7.1365629999999998</v>
      </c>
      <c r="F137" s="428">
        <v>10.388451999999999</v>
      </c>
      <c r="G137" s="428">
        <v>5.2730940000000004</v>
      </c>
      <c r="H137" s="428">
        <v>5.0319929999999999</v>
      </c>
      <c r="I137" s="428">
        <v>5.6879549999999997</v>
      </c>
      <c r="J137" s="428">
        <v>6.3500560000000004</v>
      </c>
      <c r="K137" s="428">
        <v>5.8040019999999997</v>
      </c>
      <c r="L137" s="428">
        <v>6.6820040000000001</v>
      </c>
      <c r="M137" s="428">
        <v>6.1221290000000002</v>
      </c>
      <c r="N137" s="428">
        <v>5.9869779999999997</v>
      </c>
      <c r="O137" s="1327">
        <v>5.1162570000000001</v>
      </c>
      <c r="P137" s="428">
        <f t="shared" si="36"/>
        <v>71.777468999999996</v>
      </c>
      <c r="Q137" s="530"/>
    </row>
    <row r="138" spans="2:20" ht="28" x14ac:dyDescent="0.3">
      <c r="B138" s="507" t="s">
        <v>1710</v>
      </c>
      <c r="C138" s="428">
        <v>4.097353</v>
      </c>
      <c r="D138" s="428">
        <v>7.6159189999999999</v>
      </c>
      <c r="E138" s="428">
        <v>4.3745430000000001</v>
      </c>
      <c r="F138" s="428">
        <v>7.7470610000000004</v>
      </c>
      <c r="G138" s="428">
        <v>12.985391999999999</v>
      </c>
      <c r="H138" s="428">
        <v>4.651427</v>
      </c>
      <c r="I138" s="428">
        <v>5.2283109999999997</v>
      </c>
      <c r="J138" s="428">
        <v>4.2403599999999999</v>
      </c>
      <c r="K138" s="428">
        <v>3.944375</v>
      </c>
      <c r="L138" s="428">
        <v>3.9112990000000001</v>
      </c>
      <c r="M138" s="428">
        <v>3.9538169999999999</v>
      </c>
      <c r="N138" s="428">
        <v>3.7638069999999999</v>
      </c>
      <c r="O138" s="1327">
        <v>7.2657129999999999</v>
      </c>
      <c r="P138" s="428">
        <f t="shared" si="36"/>
        <v>59.247951000000008</v>
      </c>
      <c r="Q138" s="530"/>
    </row>
    <row r="139" spans="2:20" x14ac:dyDescent="0.3">
      <c r="B139" s="507" t="s">
        <v>1596</v>
      </c>
      <c r="C139" s="428">
        <v>13.457080999999999</v>
      </c>
      <c r="D139" s="428">
        <v>10.531616</v>
      </c>
      <c r="E139" s="428">
        <v>18.245118999999999</v>
      </c>
      <c r="F139" s="428">
        <v>25.570933</v>
      </c>
      <c r="G139" s="428">
        <v>15.940192</v>
      </c>
      <c r="H139" s="428">
        <v>11.63758</v>
      </c>
      <c r="I139" s="428">
        <v>12.498127999999999</v>
      </c>
      <c r="J139" s="428">
        <v>13.344222</v>
      </c>
      <c r="K139" s="428">
        <v>12.126106</v>
      </c>
      <c r="L139" s="428">
        <v>12.232797</v>
      </c>
      <c r="M139" s="428">
        <v>11.8161015</v>
      </c>
      <c r="N139" s="428">
        <v>11.57799</v>
      </c>
      <c r="O139" s="1327">
        <v>6.5183239999999998</v>
      </c>
      <c r="P139" s="428">
        <f t="shared" si="36"/>
        <v>162.4595415</v>
      </c>
      <c r="Q139" s="530"/>
    </row>
    <row r="140" spans="2:20" x14ac:dyDescent="0.3">
      <c r="B140" s="507" t="s">
        <v>1597</v>
      </c>
      <c r="C140" s="428"/>
      <c r="D140" s="428"/>
      <c r="E140" s="428"/>
      <c r="F140" s="428"/>
      <c r="G140" s="428"/>
      <c r="H140" s="428"/>
      <c r="I140" s="428"/>
      <c r="J140" s="428"/>
      <c r="K140" s="428"/>
      <c r="L140" s="428"/>
      <c r="M140" s="428"/>
      <c r="N140" s="428"/>
      <c r="O140" s="1327"/>
      <c r="P140" s="428">
        <f t="shared" si="36"/>
        <v>0</v>
      </c>
      <c r="Q140" s="530"/>
    </row>
    <row r="141" spans="2:20" x14ac:dyDescent="0.3">
      <c r="B141" s="507" t="s">
        <v>1598</v>
      </c>
      <c r="C141" s="428"/>
      <c r="D141" s="428"/>
      <c r="E141" s="428"/>
      <c r="F141" s="428"/>
      <c r="G141" s="428"/>
      <c r="H141" s="428"/>
      <c r="I141" s="428"/>
      <c r="J141" s="428"/>
      <c r="K141" s="428"/>
      <c r="L141" s="428"/>
      <c r="M141" s="428"/>
      <c r="N141" s="428"/>
      <c r="O141" s="1327"/>
      <c r="P141" s="428">
        <f t="shared" si="36"/>
        <v>0</v>
      </c>
      <c r="Q141" s="530"/>
    </row>
    <row r="142" spans="2:20" x14ac:dyDescent="0.3">
      <c r="B142" s="507" t="s">
        <v>1599</v>
      </c>
      <c r="C142" s="428">
        <v>0.151307</v>
      </c>
      <c r="D142" s="428">
        <v>0.151307</v>
      </c>
      <c r="E142" s="428">
        <v>0.15137600000000001</v>
      </c>
      <c r="F142" s="428">
        <v>0.34326899999999999</v>
      </c>
      <c r="G142" s="428">
        <v>0.15698300000000001</v>
      </c>
      <c r="H142" s="428">
        <v>0.15226300000000001</v>
      </c>
      <c r="I142" s="428">
        <v>0.16538900000000001</v>
      </c>
      <c r="J142" s="428">
        <v>0.20095299999999999</v>
      </c>
      <c r="K142" s="428">
        <v>0.18679699999999999</v>
      </c>
      <c r="L142" s="428">
        <v>0.32411899999999999</v>
      </c>
      <c r="M142" s="428">
        <v>0.395926</v>
      </c>
      <c r="N142" s="428">
        <v>0.387656</v>
      </c>
      <c r="O142" s="1327">
        <v>0.35023599999999999</v>
      </c>
      <c r="P142" s="428">
        <f t="shared" si="36"/>
        <v>2.417109</v>
      </c>
      <c r="Q142" s="530"/>
    </row>
    <row r="143" spans="2:20" x14ac:dyDescent="0.3">
      <c r="B143" s="343"/>
      <c r="C143" s="428"/>
      <c r="D143" s="428"/>
      <c r="E143" s="428"/>
      <c r="F143" s="428"/>
      <c r="G143" s="428"/>
      <c r="H143" s="428"/>
      <c r="I143" s="428"/>
      <c r="J143" s="428"/>
      <c r="K143" s="428"/>
      <c r="L143" s="428"/>
      <c r="M143" s="428"/>
      <c r="N143" s="428"/>
      <c r="O143" s="1327"/>
      <c r="P143" s="428"/>
      <c r="Q143" s="530"/>
    </row>
    <row r="144" spans="2:20" s="532" customFormat="1" x14ac:dyDescent="0.3">
      <c r="B144" s="1588" t="s">
        <v>416</v>
      </c>
      <c r="C144" s="433">
        <f>SUM(C127:C142)</f>
        <v>290.60768100000001</v>
      </c>
      <c r="D144" s="433">
        <f t="shared" ref="D144:N144" si="37">SUM(D127:D142)</f>
        <v>264.00070899999997</v>
      </c>
      <c r="E144" s="433">
        <f t="shared" si="37"/>
        <v>257.37770300000005</v>
      </c>
      <c r="F144" s="433">
        <f t="shared" si="37"/>
        <v>346.03201999999999</v>
      </c>
      <c r="G144" s="433">
        <f t="shared" si="37"/>
        <v>264.08077100000008</v>
      </c>
      <c r="H144" s="433">
        <f t="shared" si="37"/>
        <v>249.30893200000008</v>
      </c>
      <c r="I144" s="433">
        <f t="shared" si="37"/>
        <v>281.65102200000001</v>
      </c>
      <c r="J144" s="433">
        <f t="shared" si="37"/>
        <v>304.160618</v>
      </c>
      <c r="K144" s="433">
        <f t="shared" si="37"/>
        <v>279.66300899999999</v>
      </c>
      <c r="L144" s="433">
        <f t="shared" si="37"/>
        <v>259.76368100000002</v>
      </c>
      <c r="M144" s="433">
        <f t="shared" si="37"/>
        <v>237.78458049999998</v>
      </c>
      <c r="N144" s="433">
        <f t="shared" si="37"/>
        <v>259.58684900000003</v>
      </c>
      <c r="O144" s="433">
        <f t="shared" ref="O144:P144" si="38">SUM(O127:O142)</f>
        <v>52.967942000000001</v>
      </c>
      <c r="P144" s="433">
        <f t="shared" si="38"/>
        <v>3241.0496334999998</v>
      </c>
      <c r="Q144" s="530"/>
      <c r="R144" s="426"/>
      <c r="S144" s="426"/>
      <c r="T144" s="426"/>
    </row>
    <row r="145" spans="2:20" x14ac:dyDescent="0.3">
      <c r="B145" s="434"/>
      <c r="C145" s="428"/>
      <c r="D145" s="428"/>
      <c r="E145" s="428"/>
      <c r="F145" s="428"/>
      <c r="G145" s="428"/>
      <c r="H145" s="428"/>
      <c r="I145" s="428"/>
      <c r="J145" s="428"/>
      <c r="K145" s="428"/>
      <c r="L145" s="428"/>
      <c r="M145" s="428"/>
      <c r="N145" s="428"/>
      <c r="O145" s="428"/>
      <c r="P145" s="428"/>
      <c r="Q145" s="530"/>
    </row>
    <row r="146" spans="2:20" s="532" customFormat="1" x14ac:dyDescent="0.3">
      <c r="B146" s="433" t="s">
        <v>145</v>
      </c>
      <c r="C146" s="433">
        <f t="shared" ref="C146" si="39">C144+C124</f>
        <v>337.30137500000001</v>
      </c>
      <c r="D146" s="433">
        <f t="shared" ref="D146:N146" si="40">D144+D124</f>
        <v>303.58127099999996</v>
      </c>
      <c r="E146" s="433">
        <f t="shared" si="40"/>
        <v>300.10676400000006</v>
      </c>
      <c r="F146" s="433">
        <f t="shared" si="40"/>
        <v>389.91409199999998</v>
      </c>
      <c r="G146" s="433">
        <f t="shared" si="40"/>
        <v>311.5290490000001</v>
      </c>
      <c r="H146" s="433">
        <f t="shared" si="40"/>
        <v>296.3429460000001</v>
      </c>
      <c r="I146" s="433">
        <f t="shared" si="40"/>
        <v>328.411362</v>
      </c>
      <c r="J146" s="433">
        <f t="shared" si="40"/>
        <v>352.84683100000001</v>
      </c>
      <c r="K146" s="433">
        <f t="shared" si="40"/>
        <v>325.60578899999996</v>
      </c>
      <c r="L146" s="433">
        <f t="shared" si="40"/>
        <v>306.51156300000002</v>
      </c>
      <c r="M146" s="433">
        <f t="shared" si="40"/>
        <v>283.52216049999998</v>
      </c>
      <c r="N146" s="433">
        <f t="shared" si="40"/>
        <v>302.738855</v>
      </c>
      <c r="O146" s="433">
        <f t="shared" ref="O146:P146" si="41">O144+O124</f>
        <v>52.967942000000001</v>
      </c>
      <c r="P146" s="433">
        <f t="shared" si="41"/>
        <v>3785.4441154999995</v>
      </c>
      <c r="Q146" s="530"/>
      <c r="R146" s="426"/>
      <c r="S146" s="426"/>
      <c r="T146" s="426"/>
    </row>
    <row r="147" spans="2:20" hidden="1" x14ac:dyDescent="0.3">
      <c r="B147" s="591"/>
      <c r="C147" s="553"/>
      <c r="D147" s="553"/>
      <c r="E147" s="553"/>
      <c r="F147" s="553"/>
      <c r="G147" s="553"/>
      <c r="H147" s="553"/>
      <c r="I147" s="553"/>
      <c r="J147" s="553"/>
      <c r="K147" s="553"/>
      <c r="L147" s="553"/>
      <c r="M147" s="553"/>
      <c r="N147" s="553"/>
      <c r="O147" s="553"/>
      <c r="Q147" s="530"/>
    </row>
    <row r="148" spans="2:20" hidden="1" x14ac:dyDescent="0.3">
      <c r="B148" s="596" t="s">
        <v>435</v>
      </c>
      <c r="P148" s="530"/>
      <c r="Q148" s="530"/>
    </row>
    <row r="149" spans="2:20" hidden="1" x14ac:dyDescent="0.3">
      <c r="B149" s="576" t="s">
        <v>436</v>
      </c>
      <c r="Q149" s="530"/>
    </row>
    <row r="150" spans="2:20" hidden="1" x14ac:dyDescent="0.3">
      <c r="B150" s="573" t="s">
        <v>438</v>
      </c>
      <c r="C150" s="573"/>
      <c r="D150" s="573"/>
      <c r="E150" s="573"/>
      <c r="F150" s="573"/>
      <c r="G150" s="573"/>
      <c r="H150" s="573"/>
      <c r="I150" s="573"/>
      <c r="J150" s="514"/>
      <c r="K150" s="514"/>
      <c r="L150" s="514"/>
      <c r="M150" s="514"/>
      <c r="N150" s="514"/>
      <c r="O150" s="514"/>
      <c r="P150" s="514"/>
      <c r="Q150" s="530"/>
    </row>
    <row r="151" spans="2:20" hidden="1" x14ac:dyDescent="0.3">
      <c r="B151" s="576" t="s">
        <v>568</v>
      </c>
      <c r="C151" s="573"/>
      <c r="D151" s="573"/>
      <c r="E151" s="573"/>
      <c r="F151" s="573"/>
      <c r="G151" s="573"/>
      <c r="H151" s="573"/>
      <c r="I151" s="573"/>
      <c r="J151" s="514"/>
      <c r="K151" s="514"/>
      <c r="L151" s="514"/>
      <c r="M151" s="514"/>
      <c r="N151" s="514"/>
      <c r="O151" s="514"/>
      <c r="P151" s="514"/>
      <c r="R151" s="530"/>
      <c r="S151" s="530"/>
    </row>
    <row r="152" spans="2:20" x14ac:dyDescent="0.3">
      <c r="B152" s="576"/>
      <c r="C152" s="573"/>
      <c r="D152" s="573"/>
      <c r="E152" s="573"/>
      <c r="F152" s="573"/>
      <c r="G152" s="573"/>
      <c r="H152" s="573"/>
      <c r="I152" s="573"/>
      <c r="J152" s="514"/>
      <c r="K152" s="514"/>
      <c r="L152" s="514"/>
      <c r="M152" s="514"/>
      <c r="N152" s="514"/>
      <c r="O152" s="514"/>
      <c r="P152" s="514"/>
      <c r="R152" s="530"/>
      <c r="S152" s="530"/>
    </row>
    <row r="153" spans="2:20" hidden="1" x14ac:dyDescent="0.3">
      <c r="B153" s="576"/>
      <c r="C153" s="573"/>
      <c r="D153" s="573"/>
      <c r="E153" s="573"/>
      <c r="F153" s="573"/>
      <c r="G153" s="573"/>
      <c r="H153" s="573"/>
      <c r="I153" s="573"/>
      <c r="J153" s="514"/>
      <c r="K153" s="514"/>
      <c r="L153" s="514"/>
      <c r="M153" s="514"/>
      <c r="N153" s="514"/>
      <c r="O153" s="514"/>
      <c r="P153" s="514"/>
      <c r="R153" s="530"/>
      <c r="S153" s="530"/>
    </row>
    <row r="154" spans="2:20" x14ac:dyDescent="0.3">
      <c r="B154" s="597" t="s">
        <v>814</v>
      </c>
      <c r="C154" s="531"/>
      <c r="D154" s="531"/>
      <c r="E154" s="531"/>
      <c r="F154" s="531"/>
      <c r="G154" s="531"/>
      <c r="H154" s="531"/>
      <c r="I154" s="531"/>
      <c r="J154" s="531"/>
      <c r="K154" s="531"/>
      <c r="L154" s="531"/>
      <c r="M154" s="531"/>
      <c r="N154" s="530"/>
      <c r="O154" s="524"/>
    </row>
    <row r="155" spans="2:20" s="570" customFormat="1" x14ac:dyDescent="0.3">
      <c r="B155" s="597"/>
      <c r="C155" s="524"/>
      <c r="D155" s="524"/>
      <c r="E155" s="426"/>
      <c r="F155" s="426"/>
      <c r="G155" s="426"/>
      <c r="H155" s="426"/>
      <c r="I155" s="426"/>
      <c r="J155" s="426"/>
      <c r="K155" s="426"/>
      <c r="L155" s="426"/>
      <c r="M155" s="426"/>
      <c r="N155" s="524" t="s">
        <v>150</v>
      </c>
    </row>
    <row r="156" spans="2:20" s="576" customFormat="1" ht="28" x14ac:dyDescent="0.25">
      <c r="B156" s="1151" t="s">
        <v>292</v>
      </c>
      <c r="C156" s="1151" t="s">
        <v>151</v>
      </c>
      <c r="D156" s="1151" t="s">
        <v>152</v>
      </c>
      <c r="E156" s="1151" t="s">
        <v>153</v>
      </c>
      <c r="F156" s="1151" t="s">
        <v>154</v>
      </c>
      <c r="G156" s="1151" t="s">
        <v>155</v>
      </c>
      <c r="H156" s="1151" t="s">
        <v>156</v>
      </c>
      <c r="I156" s="1151" t="s">
        <v>157</v>
      </c>
      <c r="J156" s="1151" t="s">
        <v>158</v>
      </c>
      <c r="K156" s="1151" t="s">
        <v>159</v>
      </c>
      <c r="L156" s="1151" t="s">
        <v>160</v>
      </c>
      <c r="M156" s="1151" t="s">
        <v>161</v>
      </c>
      <c r="N156" s="1151" t="s">
        <v>162</v>
      </c>
      <c r="O156" s="1151" t="s">
        <v>145</v>
      </c>
    </row>
    <row r="157" spans="2:20" s="532" customFormat="1" x14ac:dyDescent="0.3">
      <c r="B157" s="1588" t="s">
        <v>293</v>
      </c>
      <c r="C157" s="428"/>
      <c r="D157" s="428"/>
      <c r="E157" s="428"/>
      <c r="F157" s="428"/>
      <c r="G157" s="428"/>
      <c r="H157" s="428"/>
      <c r="I157" s="428"/>
      <c r="J157" s="428"/>
      <c r="K157" s="428"/>
      <c r="L157" s="428"/>
      <c r="M157" s="428"/>
      <c r="N157" s="428"/>
      <c r="O157" s="428"/>
    </row>
    <row r="158" spans="2:20" s="532" customFormat="1" x14ac:dyDescent="0.3">
      <c r="B158" s="343"/>
      <c r="C158" s="428"/>
      <c r="D158" s="428"/>
      <c r="E158" s="428"/>
      <c r="F158" s="428"/>
      <c r="G158" s="428"/>
      <c r="H158" s="428"/>
      <c r="I158" s="428"/>
      <c r="J158" s="428"/>
      <c r="K158" s="428"/>
      <c r="L158" s="428"/>
      <c r="M158" s="428"/>
      <c r="N158" s="428"/>
      <c r="O158" s="428"/>
    </row>
    <row r="159" spans="2:20" s="532" customFormat="1" x14ac:dyDescent="0.3">
      <c r="B159" s="507" t="s">
        <v>891</v>
      </c>
      <c r="C159" s="428">
        <v>12.927192</v>
      </c>
      <c r="D159" s="428">
        <v>12.01103</v>
      </c>
      <c r="E159" s="428">
        <v>12.536804999999999</v>
      </c>
      <c r="F159" s="428">
        <v>12.465668000000001</v>
      </c>
      <c r="G159" s="428">
        <v>12.776085999999999</v>
      </c>
      <c r="H159" s="428">
        <v>12.570452</v>
      </c>
      <c r="I159" s="428">
        <v>12.219246999999999</v>
      </c>
      <c r="J159" s="428">
        <v>13.004471000000001</v>
      </c>
      <c r="K159" s="428">
        <v>12.568125999999999</v>
      </c>
      <c r="L159" s="428">
        <v>12.412245</v>
      </c>
      <c r="M159" s="428">
        <v>11.397503</v>
      </c>
      <c r="N159" s="428">
        <v>10.785204</v>
      </c>
      <c r="O159" s="428">
        <f t="shared" ref="O159:O165" si="42">SUM(C159:N159)</f>
        <v>147.67402899999999</v>
      </c>
      <c r="P159" s="532">
        <v>0</v>
      </c>
    </row>
    <row r="160" spans="2:20" s="532" customFormat="1" x14ac:dyDescent="0.3">
      <c r="B160" s="507" t="s">
        <v>892</v>
      </c>
      <c r="C160" s="428">
        <v>17.163122000000001</v>
      </c>
      <c r="D160" s="428">
        <v>15.411092999999999</v>
      </c>
      <c r="E160" s="428">
        <v>14.710292000000001</v>
      </c>
      <c r="F160" s="428">
        <v>16.188386000000001</v>
      </c>
      <c r="G160" s="428">
        <v>16.944163</v>
      </c>
      <c r="H160" s="428">
        <v>16.457487</v>
      </c>
      <c r="I160" s="428">
        <v>16.466391000000002</v>
      </c>
      <c r="J160" s="428">
        <v>18.079011000000001</v>
      </c>
      <c r="K160" s="428">
        <v>17.385501999999999</v>
      </c>
      <c r="L160" s="428">
        <v>17.399781999999998</v>
      </c>
      <c r="M160" s="428">
        <v>13.885566000000001</v>
      </c>
      <c r="N160" s="428">
        <v>13.591165</v>
      </c>
      <c r="O160" s="428">
        <f t="shared" si="42"/>
        <v>193.68196</v>
      </c>
      <c r="P160" s="532">
        <v>0</v>
      </c>
    </row>
    <row r="161" spans="2:16" s="532" customFormat="1" x14ac:dyDescent="0.3">
      <c r="B161" s="507" t="s">
        <v>893</v>
      </c>
      <c r="C161" s="428">
        <v>2.6330480000000001</v>
      </c>
      <c r="D161" s="428">
        <v>2.6514350000000002</v>
      </c>
      <c r="E161" s="428">
        <v>2.8982760000000001</v>
      </c>
      <c r="F161" s="428">
        <v>2.1548080000000001</v>
      </c>
      <c r="G161" s="428">
        <v>2.1884220000000001</v>
      </c>
      <c r="H161" s="428">
        <v>2.0995349999999999</v>
      </c>
      <c r="I161" s="428">
        <v>2.0821369999999999</v>
      </c>
      <c r="J161" s="428">
        <v>2.222448</v>
      </c>
      <c r="K161" s="428">
        <v>2.0785019999999998</v>
      </c>
      <c r="L161" s="428">
        <v>1.9559040000000001</v>
      </c>
      <c r="M161" s="428">
        <v>1.78531</v>
      </c>
      <c r="N161" s="428">
        <v>1.7842800000000001</v>
      </c>
      <c r="O161" s="428">
        <f t="shared" si="42"/>
        <v>26.534104999999997</v>
      </c>
      <c r="P161" s="532">
        <v>0</v>
      </c>
    </row>
    <row r="162" spans="2:16" s="532" customFormat="1" x14ac:dyDescent="0.3">
      <c r="B162" s="507" t="s">
        <v>1705</v>
      </c>
      <c r="C162" s="428">
        <v>0.20267399999999999</v>
      </c>
      <c r="D162" s="428">
        <v>0.21144499999999999</v>
      </c>
      <c r="E162" s="428">
        <v>0.20921400000000001</v>
      </c>
      <c r="F162" s="428">
        <v>0.21665200000000001</v>
      </c>
      <c r="G162" s="428">
        <v>0.23111000000000001</v>
      </c>
      <c r="H162" s="428">
        <v>0.20533599999999999</v>
      </c>
      <c r="I162" s="428">
        <v>0.21328900000000001</v>
      </c>
      <c r="J162" s="428">
        <v>0.215836</v>
      </c>
      <c r="K162" s="428">
        <v>0.21278900000000001</v>
      </c>
      <c r="L162" s="428">
        <v>0.20261199999999999</v>
      </c>
      <c r="M162" s="428">
        <v>0.21402199999999999</v>
      </c>
      <c r="N162" s="428">
        <v>0.188531</v>
      </c>
      <c r="O162" s="428">
        <f t="shared" si="42"/>
        <v>2.5235099999999999</v>
      </c>
      <c r="P162" s="532">
        <v>0</v>
      </c>
    </row>
    <row r="163" spans="2:16" s="532" customFormat="1" ht="28" x14ac:dyDescent="0.3">
      <c r="B163" s="507" t="s">
        <v>1706</v>
      </c>
      <c r="C163" s="428">
        <v>2.3634059999999999</v>
      </c>
      <c r="D163" s="428">
        <v>2.3323800000000001</v>
      </c>
      <c r="E163" s="428">
        <v>2.3732359999999999</v>
      </c>
      <c r="F163" s="428">
        <v>2.2956430000000001</v>
      </c>
      <c r="G163" s="428">
        <v>2.438377</v>
      </c>
      <c r="H163" s="428">
        <v>2.3577159999999999</v>
      </c>
      <c r="I163" s="428">
        <v>2.2765879999999998</v>
      </c>
      <c r="J163" s="428">
        <v>2.319976</v>
      </c>
      <c r="K163" s="428">
        <v>2.082748</v>
      </c>
      <c r="L163" s="428">
        <v>1.97451</v>
      </c>
      <c r="M163" s="428">
        <v>1.7629060000000001</v>
      </c>
      <c r="N163" s="428">
        <v>1.6830940000000001</v>
      </c>
      <c r="O163" s="428">
        <f t="shared" si="42"/>
        <v>26.260580000000001</v>
      </c>
      <c r="P163" s="532">
        <v>0</v>
      </c>
    </row>
    <row r="164" spans="2:16" s="532" customFormat="1" x14ac:dyDescent="0.3">
      <c r="B164" s="507" t="s">
        <v>1707</v>
      </c>
      <c r="C164" s="428">
        <v>16.076854000000001</v>
      </c>
      <c r="D164" s="428">
        <v>16.188876</v>
      </c>
      <c r="E164" s="428">
        <v>16.713725</v>
      </c>
      <c r="F164" s="428">
        <v>17.347756</v>
      </c>
      <c r="G164" s="428">
        <v>17.391984000000001</v>
      </c>
      <c r="H164" s="428">
        <v>16.173666000000001</v>
      </c>
      <c r="I164" s="428">
        <v>16.314913000000001</v>
      </c>
      <c r="J164" s="428">
        <v>15.499496000000001</v>
      </c>
      <c r="K164" s="428">
        <v>14.235161</v>
      </c>
      <c r="L164" s="428">
        <v>14.220646</v>
      </c>
      <c r="M164" s="428">
        <v>12.701967</v>
      </c>
      <c r="N164" s="428">
        <v>12.002506</v>
      </c>
      <c r="O164" s="428">
        <f t="shared" si="42"/>
        <v>184.86755000000002</v>
      </c>
      <c r="P164" s="532">
        <v>0</v>
      </c>
    </row>
    <row r="165" spans="2:16" x14ac:dyDescent="0.3">
      <c r="B165" s="1057" t="s">
        <v>1704</v>
      </c>
      <c r="C165" s="428">
        <v>0</v>
      </c>
      <c r="D165" s="428">
        <v>0</v>
      </c>
      <c r="E165" s="428">
        <v>0</v>
      </c>
      <c r="F165" s="428">
        <v>0</v>
      </c>
      <c r="G165" s="428">
        <v>0</v>
      </c>
      <c r="H165" s="428">
        <v>0</v>
      </c>
      <c r="I165" s="428">
        <v>0</v>
      </c>
      <c r="J165" s="428">
        <v>0</v>
      </c>
      <c r="K165" s="428">
        <v>0</v>
      </c>
      <c r="L165" s="428">
        <v>0</v>
      </c>
      <c r="M165" s="428">
        <v>0</v>
      </c>
      <c r="N165" s="428">
        <v>0</v>
      </c>
      <c r="O165" s="428">
        <f t="shared" si="42"/>
        <v>0</v>
      </c>
      <c r="P165" s="532"/>
    </row>
    <row r="166" spans="2:16" x14ac:dyDescent="0.3">
      <c r="B166" s="343"/>
      <c r="C166" s="428"/>
      <c r="D166" s="428"/>
      <c r="E166" s="428"/>
      <c r="F166" s="428"/>
      <c r="G166" s="428"/>
      <c r="H166" s="428"/>
      <c r="I166" s="428"/>
      <c r="J166" s="428"/>
      <c r="K166" s="428"/>
      <c r="L166" s="428"/>
      <c r="M166" s="428"/>
      <c r="N166" s="428"/>
      <c r="O166" s="428"/>
      <c r="P166" s="532"/>
    </row>
    <row r="167" spans="2:16" s="532" customFormat="1" x14ac:dyDescent="0.3">
      <c r="B167" s="1588" t="s">
        <v>416</v>
      </c>
      <c r="C167" s="433">
        <f>SUM(C159:C165)</f>
        <v>51.366296000000006</v>
      </c>
      <c r="D167" s="433">
        <f t="shared" ref="D167:N167" si="43">SUM(D159:D165)</f>
        <v>48.806258999999997</v>
      </c>
      <c r="E167" s="433">
        <f t="shared" si="43"/>
        <v>49.441547999999997</v>
      </c>
      <c r="F167" s="433">
        <f t="shared" si="43"/>
        <v>50.668913000000003</v>
      </c>
      <c r="G167" s="433">
        <f t="shared" si="43"/>
        <v>51.970142000000003</v>
      </c>
      <c r="H167" s="433">
        <f t="shared" si="43"/>
        <v>49.864192000000003</v>
      </c>
      <c r="I167" s="433">
        <f t="shared" si="43"/>
        <v>49.572564999999997</v>
      </c>
      <c r="J167" s="433">
        <f t="shared" si="43"/>
        <v>51.341238000000004</v>
      </c>
      <c r="K167" s="433">
        <f t="shared" si="43"/>
        <v>48.562827999999996</v>
      </c>
      <c r="L167" s="433">
        <f t="shared" si="43"/>
        <v>48.165699000000004</v>
      </c>
      <c r="M167" s="433">
        <f t="shared" si="43"/>
        <v>41.747274000000004</v>
      </c>
      <c r="N167" s="433">
        <f t="shared" si="43"/>
        <v>40.034779999999998</v>
      </c>
      <c r="O167" s="433">
        <f t="shared" ref="O167" si="44">SUM(O159:O165)</f>
        <v>581.54173400000002</v>
      </c>
    </row>
    <row r="168" spans="2:16" x14ac:dyDescent="0.3">
      <c r="B168" s="343"/>
      <c r="C168" s="428"/>
      <c r="D168" s="428"/>
      <c r="E168" s="428"/>
      <c r="F168" s="428"/>
      <c r="G168" s="428"/>
      <c r="H168" s="428"/>
      <c r="I168" s="428"/>
      <c r="J168" s="428"/>
      <c r="K168" s="428"/>
      <c r="L168" s="428"/>
      <c r="M168" s="428"/>
      <c r="N168" s="428"/>
      <c r="O168" s="428"/>
      <c r="P168" s="532"/>
    </row>
    <row r="169" spans="2:16" s="425" customFormat="1" x14ac:dyDescent="0.3">
      <c r="B169" s="458" t="s">
        <v>294</v>
      </c>
      <c r="C169" s="428"/>
      <c r="D169" s="428"/>
      <c r="E169" s="428"/>
      <c r="F169" s="428"/>
      <c r="G169" s="428"/>
      <c r="H169" s="428"/>
      <c r="I169" s="428"/>
      <c r="J169" s="428"/>
      <c r="K169" s="428"/>
      <c r="L169" s="428"/>
      <c r="M169" s="428"/>
      <c r="N169" s="428"/>
      <c r="O169" s="428"/>
      <c r="P169" s="532"/>
    </row>
    <row r="170" spans="2:16" x14ac:dyDescent="0.3">
      <c r="B170" s="344" t="s">
        <v>898</v>
      </c>
      <c r="C170" s="428">
        <v>6.4700000000000001E-4</v>
      </c>
      <c r="D170" s="428">
        <v>6.2200000000000005E-4</v>
      </c>
      <c r="E170" s="428">
        <v>6.0700000000000001E-4</v>
      </c>
      <c r="F170" s="428">
        <v>6.6699999999999995E-4</v>
      </c>
      <c r="G170" s="428">
        <v>7.7700000000000002E-4</v>
      </c>
      <c r="H170" s="428">
        <v>8.9099999999999997E-4</v>
      </c>
      <c r="I170" s="428">
        <v>7.1699999999999997E-4</v>
      </c>
      <c r="J170" s="428">
        <v>7.5000000000000002E-4</v>
      </c>
      <c r="K170" s="428">
        <v>5.0799999999999999E-4</v>
      </c>
      <c r="L170" s="428">
        <v>6.8199999999999999E-4</v>
      </c>
      <c r="M170" s="428">
        <v>6.3100000000000005E-4</v>
      </c>
      <c r="N170" s="428">
        <v>8.5899999999999995E-4</v>
      </c>
      <c r="O170" s="428">
        <f t="shared" ref="O170:O186" si="45">SUM(C170:N170)</f>
        <v>8.3580000000000008E-3</v>
      </c>
      <c r="P170" s="532">
        <v>0</v>
      </c>
    </row>
    <row r="171" spans="2:16" x14ac:dyDescent="0.3">
      <c r="B171" s="1156" t="s">
        <v>899</v>
      </c>
      <c r="C171" s="428"/>
      <c r="D171" s="428"/>
      <c r="E171" s="428"/>
      <c r="F171" s="428"/>
      <c r="G171" s="428"/>
      <c r="H171" s="428"/>
      <c r="I171" s="428"/>
      <c r="J171" s="428"/>
      <c r="K171" s="428"/>
      <c r="L171" s="428"/>
      <c r="M171" s="428"/>
      <c r="N171" s="428"/>
      <c r="O171" s="428">
        <f t="shared" si="45"/>
        <v>0</v>
      </c>
      <c r="P171" s="532"/>
    </row>
    <row r="172" spans="2:16" x14ac:dyDescent="0.3">
      <c r="B172" s="344" t="s">
        <v>900</v>
      </c>
      <c r="C172" s="428">
        <v>62.272542999999999</v>
      </c>
      <c r="D172" s="428">
        <v>61.721919</v>
      </c>
      <c r="E172" s="428">
        <v>60.547241999999997</v>
      </c>
      <c r="F172" s="428">
        <v>60.925823000000001</v>
      </c>
      <c r="G172" s="428">
        <v>62.190230999999997</v>
      </c>
      <c r="H172" s="428">
        <v>62.160674999999998</v>
      </c>
      <c r="I172" s="428">
        <v>62.381765000000001</v>
      </c>
      <c r="J172" s="428">
        <v>62.708055999999999</v>
      </c>
      <c r="K172" s="428">
        <v>61.009870999999997</v>
      </c>
      <c r="L172" s="428">
        <v>59.106368000000003</v>
      </c>
      <c r="M172" s="428">
        <v>55.660502999999999</v>
      </c>
      <c r="N172" s="428">
        <v>59.185920000000003</v>
      </c>
      <c r="O172" s="428">
        <f t="shared" si="45"/>
        <v>729.87091599999997</v>
      </c>
      <c r="P172" s="532">
        <v>0</v>
      </c>
    </row>
    <row r="173" spans="2:16" x14ac:dyDescent="0.3">
      <c r="B173" s="344" t="s">
        <v>901</v>
      </c>
      <c r="C173" s="428">
        <v>62.641074000000003</v>
      </c>
      <c r="D173" s="428">
        <v>67.815209999999993</v>
      </c>
      <c r="E173" s="428">
        <v>64.254265000000004</v>
      </c>
      <c r="F173" s="428">
        <v>59.288144000000003</v>
      </c>
      <c r="G173" s="428">
        <v>62.547536000000001</v>
      </c>
      <c r="H173" s="428">
        <v>59.895654999999998</v>
      </c>
      <c r="I173" s="428">
        <v>61.126596999999997</v>
      </c>
      <c r="J173" s="428">
        <v>64.277249999999995</v>
      </c>
      <c r="K173" s="428">
        <v>53.935257</v>
      </c>
      <c r="L173" s="428">
        <v>44.456938999999998</v>
      </c>
      <c r="M173" s="428">
        <v>34.114272</v>
      </c>
      <c r="N173" s="428">
        <v>46.158039000000002</v>
      </c>
      <c r="O173" s="428">
        <f t="shared" si="45"/>
        <v>680.51023800000007</v>
      </c>
      <c r="P173" s="532">
        <v>0</v>
      </c>
    </row>
    <row r="174" spans="2:16" x14ac:dyDescent="0.3">
      <c r="B174" s="344" t="s">
        <v>902</v>
      </c>
      <c r="C174" s="428">
        <v>21.440241</v>
      </c>
      <c r="D174" s="428">
        <v>27.044267000000001</v>
      </c>
      <c r="E174" s="428">
        <v>24.626671999999999</v>
      </c>
      <c r="F174" s="428">
        <v>19.105775999999999</v>
      </c>
      <c r="G174" s="428">
        <v>19.707978000000001</v>
      </c>
      <c r="H174" s="428">
        <v>17.928843000000001</v>
      </c>
      <c r="I174" s="428">
        <v>18.820492000000002</v>
      </c>
      <c r="J174" s="428">
        <v>21.423179999999999</v>
      </c>
      <c r="K174" s="428">
        <v>15.625714</v>
      </c>
      <c r="L174" s="428">
        <v>10.978498</v>
      </c>
      <c r="M174" s="428">
        <v>7.7969419999999996</v>
      </c>
      <c r="N174" s="428">
        <v>12.385399</v>
      </c>
      <c r="O174" s="428">
        <f t="shared" si="45"/>
        <v>216.88400200000001</v>
      </c>
      <c r="P174" s="532">
        <v>0</v>
      </c>
    </row>
    <row r="175" spans="2:16" x14ac:dyDescent="0.3">
      <c r="B175" s="344" t="s">
        <v>903</v>
      </c>
      <c r="C175" s="428">
        <v>34.051921999999998</v>
      </c>
      <c r="D175" s="428">
        <v>41.694662999999998</v>
      </c>
      <c r="E175" s="428">
        <v>38.191743000000002</v>
      </c>
      <c r="F175" s="428">
        <v>30.097961999999999</v>
      </c>
      <c r="G175" s="428">
        <v>32.132750000000001</v>
      </c>
      <c r="H175" s="428">
        <v>29.892275999999999</v>
      </c>
      <c r="I175" s="428">
        <v>30.195039999999999</v>
      </c>
      <c r="J175" s="428">
        <v>34.722402000000002</v>
      </c>
      <c r="K175" s="428">
        <v>26.55302</v>
      </c>
      <c r="L175" s="428">
        <v>22.986142000000001</v>
      </c>
      <c r="M175" s="428">
        <v>17.802192999999999</v>
      </c>
      <c r="N175" s="428">
        <v>22.141748</v>
      </c>
      <c r="O175" s="428">
        <f t="shared" si="45"/>
        <v>360.461861</v>
      </c>
      <c r="P175" s="532">
        <v>0</v>
      </c>
    </row>
    <row r="176" spans="2:16" x14ac:dyDescent="0.3">
      <c r="B176" s="507" t="s">
        <v>904</v>
      </c>
      <c r="C176" s="428">
        <v>63.408754999999999</v>
      </c>
      <c r="D176" s="428">
        <v>46.962795999999997</v>
      </c>
      <c r="E176" s="428">
        <v>40.172136000000002</v>
      </c>
      <c r="F176" s="428">
        <v>47.166065000000003</v>
      </c>
      <c r="G176" s="428">
        <v>56.874932000000001</v>
      </c>
      <c r="H176" s="428">
        <v>61.218229000000001</v>
      </c>
      <c r="I176" s="428">
        <v>64.876754000000005</v>
      </c>
      <c r="J176" s="428">
        <v>70.442920000000001</v>
      </c>
      <c r="K176" s="428">
        <v>62.248044</v>
      </c>
      <c r="L176" s="428">
        <v>57.539408999999999</v>
      </c>
      <c r="M176" s="428">
        <v>47.385236999999996</v>
      </c>
      <c r="N176" s="428">
        <v>57.789580000000001</v>
      </c>
      <c r="O176" s="428">
        <f t="shared" si="45"/>
        <v>676.08485699999994</v>
      </c>
      <c r="P176" s="532">
        <v>0</v>
      </c>
    </row>
    <row r="177" spans="2:19" ht="28" x14ac:dyDescent="0.3">
      <c r="B177" s="507" t="s">
        <v>1708</v>
      </c>
      <c r="C177" s="428">
        <v>13.671571</v>
      </c>
      <c r="D177" s="428">
        <v>10.54566</v>
      </c>
      <c r="E177" s="428">
        <v>9.9053140000000006</v>
      </c>
      <c r="F177" s="428">
        <v>11.040887</v>
      </c>
      <c r="G177" s="428">
        <v>11.858412</v>
      </c>
      <c r="H177" s="428">
        <v>12.084007</v>
      </c>
      <c r="I177" s="428">
        <v>12.366685</v>
      </c>
      <c r="J177" s="428">
        <v>14.052732000000001</v>
      </c>
      <c r="K177" s="428">
        <v>13.442769</v>
      </c>
      <c r="L177" s="428">
        <v>12.507636</v>
      </c>
      <c r="M177" s="428">
        <v>10.397943</v>
      </c>
      <c r="N177" s="428">
        <v>12.520054</v>
      </c>
      <c r="O177" s="428">
        <f t="shared" si="45"/>
        <v>144.39367000000001</v>
      </c>
      <c r="P177" s="532">
        <v>0</v>
      </c>
    </row>
    <row r="178" spans="2:19" ht="28" x14ac:dyDescent="0.3">
      <c r="B178" s="507" t="s">
        <v>1709</v>
      </c>
      <c r="C178" s="428">
        <v>26.225303</v>
      </c>
      <c r="D178" s="428">
        <v>21.110517999999999</v>
      </c>
      <c r="E178" s="428">
        <v>20.481695999999999</v>
      </c>
      <c r="F178" s="428">
        <v>22.459883999999999</v>
      </c>
      <c r="G178" s="428">
        <v>24.570195999999999</v>
      </c>
      <c r="H178" s="428">
        <v>25.068902999999999</v>
      </c>
      <c r="I178" s="428">
        <v>25.333265999999998</v>
      </c>
      <c r="J178" s="428">
        <v>28.363994999999999</v>
      </c>
      <c r="K178" s="428">
        <v>27.578880000000002</v>
      </c>
      <c r="L178" s="428">
        <v>26.462662999999999</v>
      </c>
      <c r="M178" s="428">
        <v>21.495753000000001</v>
      </c>
      <c r="N178" s="428">
        <v>21.808153000000001</v>
      </c>
      <c r="O178" s="428">
        <f t="shared" si="45"/>
        <v>290.95920999999998</v>
      </c>
      <c r="P178" s="532">
        <v>0</v>
      </c>
    </row>
    <row r="179" spans="2:19" x14ac:dyDescent="0.3">
      <c r="B179" s="507" t="s">
        <v>908</v>
      </c>
      <c r="C179" s="428">
        <v>8.1193779999999993</v>
      </c>
      <c r="D179" s="428">
        <v>7.1553500000000003</v>
      </c>
      <c r="E179" s="428">
        <v>6.640803</v>
      </c>
      <c r="F179" s="428">
        <v>7.1608999999999998</v>
      </c>
      <c r="G179" s="428">
        <v>8.0098129999999994</v>
      </c>
      <c r="H179" s="428">
        <v>8.1806049999999999</v>
      </c>
      <c r="I179" s="428">
        <v>8.3084120000000006</v>
      </c>
      <c r="J179" s="428">
        <v>8.6121110000000005</v>
      </c>
      <c r="K179" s="428">
        <v>7.8267740000000003</v>
      </c>
      <c r="L179" s="428">
        <v>8.1337139999999994</v>
      </c>
      <c r="M179" s="428">
        <v>7.487304</v>
      </c>
      <c r="N179" s="428">
        <v>8.0818680000000001</v>
      </c>
      <c r="O179" s="428">
        <f t="shared" si="45"/>
        <v>93.717031999999989</v>
      </c>
      <c r="P179" s="532">
        <v>0</v>
      </c>
    </row>
    <row r="180" spans="2:19" x14ac:dyDescent="0.3">
      <c r="B180" s="507" t="s">
        <v>1594</v>
      </c>
      <c r="C180" s="428">
        <v>6.6602059999999996</v>
      </c>
      <c r="D180" s="428">
        <v>5.6756320000000002</v>
      </c>
      <c r="E180" s="428">
        <v>5.2930229999999998</v>
      </c>
      <c r="F180" s="428">
        <v>5.7824400000000002</v>
      </c>
      <c r="G180" s="428">
        <v>6.5434049999999999</v>
      </c>
      <c r="H180" s="428">
        <v>6.6229519999999997</v>
      </c>
      <c r="I180" s="428">
        <v>6.7073929999999997</v>
      </c>
      <c r="J180" s="428">
        <v>7.2860800000000001</v>
      </c>
      <c r="K180" s="428">
        <v>6.522837</v>
      </c>
      <c r="L180" s="428">
        <v>7.9731230000000002</v>
      </c>
      <c r="M180" s="428">
        <v>6.2180439999999999</v>
      </c>
      <c r="N180" s="428">
        <v>5.8983540000000003</v>
      </c>
      <c r="O180" s="428">
        <f t="shared" si="45"/>
        <v>77.183488999999994</v>
      </c>
      <c r="P180" s="532">
        <v>0</v>
      </c>
    </row>
    <row r="181" spans="2:19" ht="28" x14ac:dyDescent="0.3">
      <c r="B181" s="507" t="s">
        <v>1710</v>
      </c>
      <c r="C181" s="428">
        <v>4.5675780000000001</v>
      </c>
      <c r="D181" s="428">
        <v>4.6588419999999999</v>
      </c>
      <c r="E181" s="428">
        <v>4.691338</v>
      </c>
      <c r="F181" s="428">
        <v>4.8957230000000003</v>
      </c>
      <c r="G181" s="428">
        <v>4.8139760000000003</v>
      </c>
      <c r="H181" s="428">
        <v>4.756653</v>
      </c>
      <c r="I181" s="428">
        <v>4.6752440000000002</v>
      </c>
      <c r="J181" s="428">
        <v>4.7355119999999999</v>
      </c>
      <c r="K181" s="428">
        <v>4.4720909999999998</v>
      </c>
      <c r="L181" s="428">
        <v>4.2720419999999999</v>
      </c>
      <c r="M181" s="428">
        <v>4.0963890000000003</v>
      </c>
      <c r="N181" s="428">
        <v>3.7536670000000001</v>
      </c>
      <c r="O181" s="428">
        <f t="shared" si="45"/>
        <v>54.389055000000006</v>
      </c>
      <c r="P181" s="532">
        <v>0</v>
      </c>
    </row>
    <row r="182" spans="2:19" x14ac:dyDescent="0.3">
      <c r="B182" s="507" t="s">
        <v>1596</v>
      </c>
      <c r="C182" s="428">
        <v>14.24294426</v>
      </c>
      <c r="D182" s="428">
        <v>13.212752999999999</v>
      </c>
      <c r="E182" s="428">
        <v>13.229433200000001</v>
      </c>
      <c r="F182" s="428">
        <v>13.3686303</v>
      </c>
      <c r="G182" s="428">
        <v>13.920833200000001</v>
      </c>
      <c r="H182" s="428">
        <v>13.8148959</v>
      </c>
      <c r="I182" s="428">
        <v>13.955122600000001</v>
      </c>
      <c r="J182" s="428">
        <v>14.819394600000001</v>
      </c>
      <c r="K182" s="428">
        <v>14.152809299999999</v>
      </c>
      <c r="L182" s="428">
        <v>13.3292103</v>
      </c>
      <c r="M182" s="428">
        <v>11.3717814</v>
      </c>
      <c r="N182" s="428">
        <v>11.732882</v>
      </c>
      <c r="O182" s="428">
        <f t="shared" si="45"/>
        <v>161.15069005999999</v>
      </c>
      <c r="P182" s="532">
        <v>0</v>
      </c>
    </row>
    <row r="183" spans="2:19" x14ac:dyDescent="0.3">
      <c r="B183" s="507" t="s">
        <v>1597</v>
      </c>
      <c r="C183" s="428"/>
      <c r="D183" s="428"/>
      <c r="E183" s="428"/>
      <c r="F183" s="428"/>
      <c r="G183" s="428"/>
      <c r="H183" s="428"/>
      <c r="I183" s="428"/>
      <c r="J183" s="428"/>
      <c r="K183" s="428"/>
      <c r="L183" s="428"/>
      <c r="M183" s="428"/>
      <c r="N183" s="428"/>
      <c r="O183" s="428">
        <f t="shared" si="45"/>
        <v>0</v>
      </c>
      <c r="P183" s="532"/>
    </row>
    <row r="184" spans="2:19" x14ac:dyDescent="0.3">
      <c r="B184" s="507" t="s">
        <v>1598</v>
      </c>
      <c r="C184" s="428">
        <v>0</v>
      </c>
      <c r="D184" s="428">
        <v>0</v>
      </c>
      <c r="E184" s="428">
        <v>0</v>
      </c>
      <c r="F184" s="428">
        <v>0</v>
      </c>
      <c r="G184" s="428">
        <v>0</v>
      </c>
      <c r="H184" s="428">
        <v>0</v>
      </c>
      <c r="I184" s="428">
        <v>0</v>
      </c>
      <c r="J184" s="428">
        <v>4.8560000000000001E-3</v>
      </c>
      <c r="K184" s="428">
        <v>4.7270000000000003E-3</v>
      </c>
      <c r="L184" s="428">
        <v>4.4819999999999999E-3</v>
      </c>
      <c r="M184" s="428">
        <v>4.2209999999999999E-3</v>
      </c>
      <c r="N184" s="428">
        <v>3.718E-3</v>
      </c>
      <c r="O184" s="428">
        <f t="shared" si="45"/>
        <v>2.2003999999999999E-2</v>
      </c>
      <c r="P184" s="532"/>
    </row>
    <row r="185" spans="2:19" x14ac:dyDescent="0.3">
      <c r="B185" s="507" t="s">
        <v>1599</v>
      </c>
      <c r="C185" s="428">
        <v>0.59770100000000004</v>
      </c>
      <c r="D185" s="428">
        <v>0.65929599999999999</v>
      </c>
      <c r="E185" s="428">
        <v>0.70002699999999995</v>
      </c>
      <c r="F185" s="428">
        <v>0.66807700000000003</v>
      </c>
      <c r="G185" s="428">
        <v>0.79575799999999997</v>
      </c>
      <c r="H185" s="428">
        <v>0.88233499999999998</v>
      </c>
      <c r="I185" s="428">
        <v>0.83613300000000002</v>
      </c>
      <c r="J185" s="428">
        <v>1.1787939999999999</v>
      </c>
      <c r="K185" s="428">
        <v>1.2656810000000001</v>
      </c>
      <c r="L185" s="428">
        <v>1.2535780000000001</v>
      </c>
      <c r="M185" s="428">
        <v>1.220242</v>
      </c>
      <c r="N185" s="428">
        <v>1.197138</v>
      </c>
      <c r="O185" s="428">
        <f t="shared" si="45"/>
        <v>11.254760000000001</v>
      </c>
      <c r="P185" s="532">
        <v>0</v>
      </c>
    </row>
    <row r="186" spans="2:19" x14ac:dyDescent="0.3">
      <c r="B186" s="1158"/>
      <c r="C186" s="428"/>
      <c r="D186" s="428"/>
      <c r="E186" s="428"/>
      <c r="F186" s="428"/>
      <c r="G186" s="428"/>
      <c r="H186" s="428"/>
      <c r="I186" s="428"/>
      <c r="J186" s="428"/>
      <c r="K186" s="428"/>
      <c r="L186" s="428"/>
      <c r="M186" s="428"/>
      <c r="N186" s="428"/>
      <c r="O186" s="428">
        <f t="shared" si="45"/>
        <v>0</v>
      </c>
    </row>
    <row r="187" spans="2:19" s="532" customFormat="1" x14ac:dyDescent="0.3">
      <c r="B187" s="1588" t="s">
        <v>416</v>
      </c>
      <c r="C187" s="433">
        <f>SUM(C170:C186)</f>
        <v>317.89986326000002</v>
      </c>
      <c r="D187" s="433">
        <f t="shared" ref="D187:O187" si="46">SUM(D170:D186)</f>
        <v>308.25752799999998</v>
      </c>
      <c r="E187" s="433">
        <f t="shared" si="46"/>
        <v>288.73429919999995</v>
      </c>
      <c r="F187" s="433">
        <f t="shared" si="46"/>
        <v>281.96097829999997</v>
      </c>
      <c r="G187" s="433">
        <f t="shared" si="46"/>
        <v>303.96659720000002</v>
      </c>
      <c r="H187" s="433">
        <f t="shared" si="46"/>
        <v>302.50691990000007</v>
      </c>
      <c r="I187" s="433">
        <f t="shared" si="46"/>
        <v>309.58362060000002</v>
      </c>
      <c r="J187" s="433">
        <f t="shared" si="46"/>
        <v>332.62803260000004</v>
      </c>
      <c r="K187" s="433">
        <f t="shared" si="46"/>
        <v>294.63898229999995</v>
      </c>
      <c r="L187" s="433">
        <f t="shared" si="46"/>
        <v>269.00448629999994</v>
      </c>
      <c r="M187" s="433">
        <f t="shared" si="46"/>
        <v>225.05145540000001</v>
      </c>
      <c r="N187" s="433">
        <f t="shared" si="46"/>
        <v>262.65737899999999</v>
      </c>
      <c r="O187" s="433">
        <f t="shared" si="46"/>
        <v>3496.89014206</v>
      </c>
    </row>
    <row r="188" spans="2:19" x14ac:dyDescent="0.3">
      <c r="B188" s="434"/>
      <c r="C188" s="428"/>
      <c r="D188" s="428"/>
      <c r="E188" s="428"/>
      <c r="F188" s="428"/>
      <c r="G188" s="428"/>
      <c r="H188" s="428"/>
      <c r="I188" s="428"/>
      <c r="J188" s="428"/>
      <c r="K188" s="428"/>
      <c r="L188" s="428"/>
      <c r="M188" s="428"/>
      <c r="N188" s="428"/>
      <c r="O188" s="428"/>
    </row>
    <row r="189" spans="2:19" s="532" customFormat="1" x14ac:dyDescent="0.3">
      <c r="B189" s="433" t="s">
        <v>145</v>
      </c>
      <c r="C189" s="433">
        <f t="shared" ref="C189" si="47">C187+C167</f>
        <v>369.26615925999999</v>
      </c>
      <c r="D189" s="433">
        <f t="shared" ref="D189:N189" si="48">D187+D167</f>
        <v>357.06378699999999</v>
      </c>
      <c r="E189" s="433">
        <f t="shared" si="48"/>
        <v>338.17584719999996</v>
      </c>
      <c r="F189" s="433">
        <f t="shared" si="48"/>
        <v>332.62989129999994</v>
      </c>
      <c r="G189" s="433">
        <f t="shared" si="48"/>
        <v>355.93673920000003</v>
      </c>
      <c r="H189" s="433">
        <f t="shared" si="48"/>
        <v>352.37111190000007</v>
      </c>
      <c r="I189" s="433">
        <f t="shared" si="48"/>
        <v>359.15618560000001</v>
      </c>
      <c r="J189" s="433">
        <f t="shared" si="48"/>
        <v>383.96927060000007</v>
      </c>
      <c r="K189" s="433">
        <f t="shared" si="48"/>
        <v>343.20181029999992</v>
      </c>
      <c r="L189" s="433">
        <f t="shared" si="48"/>
        <v>317.17018529999996</v>
      </c>
      <c r="M189" s="433">
        <f t="shared" si="48"/>
        <v>266.79872940000001</v>
      </c>
      <c r="N189" s="433">
        <f t="shared" si="48"/>
        <v>302.692159</v>
      </c>
      <c r="O189" s="433">
        <f t="shared" ref="O189" si="49">O187+O167</f>
        <v>4078.4318760599999</v>
      </c>
    </row>
    <row r="190" spans="2:19" hidden="1" x14ac:dyDescent="0.3">
      <c r="B190" s="591"/>
      <c r="C190" s="553"/>
      <c r="D190" s="553"/>
      <c r="E190" s="553"/>
      <c r="F190" s="553"/>
      <c r="G190" s="553"/>
      <c r="H190" s="553"/>
      <c r="I190" s="553"/>
      <c r="J190" s="553"/>
      <c r="K190" s="553"/>
      <c r="L190" s="553"/>
      <c r="M190" s="553"/>
      <c r="N190" s="553"/>
      <c r="P190" s="901"/>
      <c r="Q190" s="901"/>
    </row>
    <row r="191" spans="2:19" hidden="1" x14ac:dyDescent="0.3">
      <c r="B191" s="596" t="s">
        <v>435</v>
      </c>
    </row>
    <row r="192" spans="2:19" s="425" customFormat="1" ht="16" hidden="1" x14ac:dyDescent="0.3">
      <c r="B192" s="576" t="s">
        <v>436</v>
      </c>
      <c r="C192" s="426"/>
      <c r="D192" s="426"/>
      <c r="E192" s="426"/>
      <c r="F192" s="426"/>
      <c r="G192" s="426"/>
      <c r="H192" s="426"/>
      <c r="I192" s="426"/>
      <c r="J192" s="426"/>
      <c r="K192" s="426"/>
      <c r="L192" s="426"/>
      <c r="M192" s="426"/>
      <c r="N192" s="426"/>
      <c r="O192" s="426"/>
      <c r="P192" s="426"/>
      <c r="Q192" s="514"/>
      <c r="R192" s="885"/>
      <c r="S192" s="885"/>
    </row>
    <row r="193" spans="2:20" s="425" customFormat="1" ht="16" hidden="1" x14ac:dyDescent="0.3">
      <c r="B193" s="573" t="s">
        <v>438</v>
      </c>
      <c r="C193" s="573"/>
      <c r="D193" s="573"/>
      <c r="E193" s="573"/>
      <c r="F193" s="573"/>
      <c r="G193" s="573"/>
      <c r="H193" s="573"/>
      <c r="I193" s="573"/>
      <c r="J193" s="514"/>
      <c r="K193" s="514"/>
      <c r="L193" s="514"/>
      <c r="M193" s="514"/>
      <c r="N193" s="514"/>
      <c r="O193" s="514"/>
      <c r="P193" s="514"/>
      <c r="Q193" s="514"/>
      <c r="R193" s="885"/>
      <c r="S193" s="885"/>
    </row>
    <row r="194" spans="2:20" s="425" customFormat="1" ht="16" hidden="1" x14ac:dyDescent="0.3">
      <c r="B194" s="576" t="s">
        <v>568</v>
      </c>
      <c r="C194" s="573"/>
      <c r="D194" s="573"/>
      <c r="E194" s="573"/>
      <c r="F194" s="573"/>
      <c r="G194" s="573"/>
      <c r="H194" s="573"/>
      <c r="I194" s="573"/>
      <c r="J194" s="514"/>
      <c r="K194" s="514"/>
      <c r="L194" s="514"/>
      <c r="M194" s="514"/>
      <c r="N194" s="514"/>
      <c r="O194" s="514"/>
      <c r="P194" s="514"/>
      <c r="Q194" s="514"/>
      <c r="R194" s="885"/>
      <c r="S194" s="885"/>
    </row>
    <row r="195" spans="2:20" s="425" customFormat="1" ht="16" x14ac:dyDescent="0.3">
      <c r="B195" s="576"/>
      <c r="C195" s="573"/>
      <c r="D195" s="573"/>
      <c r="E195" s="573"/>
      <c r="F195" s="573"/>
      <c r="G195" s="573"/>
      <c r="H195" s="573"/>
      <c r="I195" s="573"/>
      <c r="J195" s="514"/>
      <c r="K195" s="514"/>
      <c r="L195" s="514"/>
      <c r="M195" s="514"/>
      <c r="N195" s="514"/>
      <c r="O195" s="514"/>
      <c r="P195" s="514"/>
      <c r="Q195" s="530"/>
      <c r="R195" s="885"/>
      <c r="S195" s="885"/>
      <c r="T195" s="1162"/>
    </row>
    <row r="196" spans="2:20" s="425" customFormat="1" ht="16" x14ac:dyDescent="0.3">
      <c r="B196" s="597" t="s">
        <v>815</v>
      </c>
      <c r="C196" s="531"/>
      <c r="D196" s="531"/>
      <c r="E196" s="531"/>
      <c r="F196" s="531"/>
      <c r="G196" s="531"/>
      <c r="H196" s="531"/>
      <c r="I196" s="530"/>
      <c r="J196" s="530"/>
      <c r="K196" s="530"/>
      <c r="L196" s="530"/>
      <c r="M196" s="530"/>
      <c r="N196" s="530"/>
      <c r="O196" s="524"/>
      <c r="P196" s="532"/>
      <c r="Q196" s="885"/>
    </row>
    <row r="197" spans="2:20" s="375" customFormat="1" ht="16" x14ac:dyDescent="0.3">
      <c r="B197" s="597"/>
      <c r="C197" s="524"/>
      <c r="D197" s="524"/>
      <c r="E197" s="524"/>
      <c r="F197" s="524"/>
      <c r="G197" s="426"/>
      <c r="H197" s="426"/>
      <c r="I197" s="426"/>
      <c r="J197" s="426"/>
      <c r="K197" s="426"/>
      <c r="L197" s="426"/>
      <c r="M197" s="426"/>
      <c r="N197" s="524" t="s">
        <v>150</v>
      </c>
      <c r="O197" s="496"/>
      <c r="P197" s="519"/>
      <c r="Q197" s="1163"/>
      <c r="R197" s="1163"/>
    </row>
    <row r="198" spans="2:20" s="496" customFormat="1" ht="15" customHeight="1" x14ac:dyDescent="0.25">
      <c r="B198" s="2192" t="s">
        <v>292</v>
      </c>
      <c r="C198" s="2198" t="s">
        <v>12</v>
      </c>
      <c r="D198" s="2199"/>
      <c r="E198" s="2199"/>
      <c r="F198" s="2199"/>
      <c r="G198" s="2199"/>
      <c r="H198" s="2199"/>
      <c r="I198" s="2190" t="s">
        <v>22</v>
      </c>
      <c r="J198" s="2197"/>
      <c r="K198" s="2197"/>
      <c r="L198" s="2197"/>
      <c r="M198" s="2197"/>
      <c r="N198" s="2191"/>
      <c r="O198" s="2200" t="s">
        <v>306</v>
      </c>
      <c r="P198" s="519"/>
    </row>
    <row r="199" spans="2:20" s="576" customFormat="1" x14ac:dyDescent="0.3">
      <c r="B199" s="2192"/>
      <c r="C199" s="1151" t="s">
        <v>151</v>
      </c>
      <c r="D199" s="1151" t="s">
        <v>152</v>
      </c>
      <c r="E199" s="1151" t="s">
        <v>153</v>
      </c>
      <c r="F199" s="1151" t="s">
        <v>154</v>
      </c>
      <c r="G199" s="1151" t="s">
        <v>155</v>
      </c>
      <c r="H199" s="1151" t="s">
        <v>156</v>
      </c>
      <c r="I199" s="1580" t="s">
        <v>157</v>
      </c>
      <c r="J199" s="1580" t="s">
        <v>158</v>
      </c>
      <c r="K199" s="1580" t="s">
        <v>159</v>
      </c>
      <c r="L199" s="1580" t="s">
        <v>160</v>
      </c>
      <c r="M199" s="1580" t="s">
        <v>161</v>
      </c>
      <c r="N199" s="1580" t="s">
        <v>162</v>
      </c>
      <c r="O199" s="2201"/>
      <c r="P199" s="532"/>
    </row>
    <row r="200" spans="2:20" s="532" customFormat="1" x14ac:dyDescent="0.3">
      <c r="B200" s="1588" t="s">
        <v>293</v>
      </c>
      <c r="C200" s="430"/>
      <c r="D200" s="430"/>
      <c r="E200" s="430"/>
      <c r="F200" s="430"/>
      <c r="G200" s="430"/>
      <c r="H200" s="430"/>
      <c r="I200" s="430"/>
      <c r="J200" s="430"/>
      <c r="K200" s="430"/>
      <c r="L200" s="430"/>
      <c r="M200" s="430"/>
      <c r="N200" s="431"/>
      <c r="O200" s="432"/>
    </row>
    <row r="201" spans="2:20" s="532" customFormat="1" x14ac:dyDescent="0.3">
      <c r="B201" s="343"/>
      <c r="C201" s="349"/>
      <c r="D201" s="349"/>
      <c r="E201" s="417"/>
      <c r="F201" s="417"/>
      <c r="G201" s="346"/>
      <c r="H201" s="417"/>
      <c r="I201" s="416"/>
      <c r="J201" s="416"/>
      <c r="K201" s="416"/>
      <c r="L201" s="416"/>
      <c r="M201" s="416"/>
      <c r="N201" s="432"/>
      <c r="O201" s="432"/>
    </row>
    <row r="202" spans="2:20" s="532" customFormat="1" x14ac:dyDescent="0.3">
      <c r="B202" s="507" t="s">
        <v>891</v>
      </c>
      <c r="C202" s="343">
        <f>'Sales Forecast'!U10</f>
        <v>13.141249999999999</v>
      </c>
      <c r="D202" s="343">
        <f>'Sales Forecast'!V10</f>
        <v>14.390719000000001</v>
      </c>
      <c r="E202" s="343">
        <f>'Sales Forecast'!W10</f>
        <v>15.175905</v>
      </c>
      <c r="F202" s="343">
        <f>'Sales Forecast'!X10</f>
        <v>14.764668</v>
      </c>
      <c r="G202" s="343">
        <f>'Sales Forecast'!Y10</f>
        <v>14.473258</v>
      </c>
      <c r="H202" s="343">
        <f>'Sales Forecast'!Z10</f>
        <v>14.438412</v>
      </c>
      <c r="I202" s="343">
        <f>'Sales Forecast'!AA10</f>
        <v>15.711242063578407</v>
      </c>
      <c r="J202" s="343">
        <f>'Sales Forecast'!AB10</f>
        <v>19.977274916787895</v>
      </c>
      <c r="K202" s="343">
        <f>'Sales Forecast'!AC10</f>
        <v>18.424848024625824</v>
      </c>
      <c r="L202" s="343">
        <f>'Sales Forecast'!AD10</f>
        <v>17.318446442548883</v>
      </c>
      <c r="M202" s="343">
        <f>'Sales Forecast'!AE10</f>
        <v>17.047413671472658</v>
      </c>
      <c r="N202" s="343">
        <f>'Sales Forecast'!AF10</f>
        <v>15.525270238349778</v>
      </c>
      <c r="O202" s="343">
        <f t="shared" ref="O202:O207" si="50">SUM(C202:N202)</f>
        <v>190.38870735736347</v>
      </c>
    </row>
    <row r="203" spans="2:20" s="532" customFormat="1" x14ac:dyDescent="0.3">
      <c r="B203" s="507" t="s">
        <v>892</v>
      </c>
      <c r="C203" s="343">
        <f>'Sales Forecast'!U11</f>
        <v>18.082190000000001</v>
      </c>
      <c r="D203" s="343">
        <f>'Sales Forecast'!V11</f>
        <v>19.416951000000001</v>
      </c>
      <c r="E203" s="343">
        <f>'Sales Forecast'!W11</f>
        <v>21.328130999999999</v>
      </c>
      <c r="F203" s="343">
        <f>'Sales Forecast'!X11</f>
        <v>20.552119999999999</v>
      </c>
      <c r="G203" s="343">
        <f>'Sales Forecast'!Y11</f>
        <v>19.261130999999999</v>
      </c>
      <c r="H203" s="343">
        <f>'Sales Forecast'!Z11</f>
        <v>18.830874999999999</v>
      </c>
      <c r="I203" s="343">
        <f>'Sales Forecast'!AA11</f>
        <v>16.663730409218154</v>
      </c>
      <c r="J203" s="343">
        <f>'Sales Forecast'!AB11</f>
        <v>17.244830850082625</v>
      </c>
      <c r="K203" s="343">
        <f>'Sales Forecast'!AC11</f>
        <v>15.672329835945179</v>
      </c>
      <c r="L203" s="343">
        <f>'Sales Forecast'!AD11</f>
        <v>14.565935357373281</v>
      </c>
      <c r="M203" s="343">
        <f>'Sales Forecast'!AE11</f>
        <v>13.996672261448612</v>
      </c>
      <c r="N203" s="343">
        <f>'Sales Forecast'!AF11</f>
        <v>12.836164650262095</v>
      </c>
      <c r="O203" s="343">
        <f t="shared" si="50"/>
        <v>208.45106136432997</v>
      </c>
    </row>
    <row r="204" spans="2:20" s="532" customFormat="1" x14ac:dyDescent="0.3">
      <c r="B204" s="507" t="s">
        <v>893</v>
      </c>
      <c r="C204" s="343">
        <f>'Sales Forecast'!U12</f>
        <v>2.1974529999999999</v>
      </c>
      <c r="D204" s="343">
        <f>'Sales Forecast'!V12</f>
        <v>2.9579749999999998</v>
      </c>
      <c r="E204" s="343">
        <f>'Sales Forecast'!W12</f>
        <v>3.2539959999999999</v>
      </c>
      <c r="F204" s="343">
        <f>'Sales Forecast'!X12</f>
        <v>2.9993599999999998</v>
      </c>
      <c r="G204" s="343">
        <f>'Sales Forecast'!Y12</f>
        <v>2.8924799999999999</v>
      </c>
      <c r="H204" s="343">
        <f>'Sales Forecast'!Z12</f>
        <v>2.8831820000000001</v>
      </c>
      <c r="I204" s="343">
        <f>'Sales Forecast'!AA12</f>
        <v>2.6931514232156322</v>
      </c>
      <c r="J204" s="343">
        <f>'Sales Forecast'!AB12</f>
        <v>2.9805748688723228</v>
      </c>
      <c r="K204" s="343">
        <f>'Sales Forecast'!AC12</f>
        <v>2.6813509488714451</v>
      </c>
      <c r="L204" s="343">
        <f>'Sales Forecast'!AD12</f>
        <v>2.3631004919620482</v>
      </c>
      <c r="M204" s="343">
        <f>'Sales Forecast'!AE12</f>
        <v>2.2191007738865736</v>
      </c>
      <c r="N204" s="343">
        <f>'Sales Forecast'!AF12</f>
        <v>1.9996002218237159</v>
      </c>
      <c r="O204" s="343">
        <f t="shared" si="50"/>
        <v>32.121324728631734</v>
      </c>
    </row>
    <row r="205" spans="2:20" s="532" customFormat="1" x14ac:dyDescent="0.3">
      <c r="B205" s="507" t="s">
        <v>1705</v>
      </c>
      <c r="C205" s="343">
        <f>'Sales Forecast'!U13</f>
        <v>0.225715</v>
      </c>
      <c r="D205" s="343">
        <f>'Sales Forecast'!V13</f>
        <v>0.226831</v>
      </c>
      <c r="E205" s="343">
        <f>'Sales Forecast'!W13</f>
        <v>0.24124399999999999</v>
      </c>
      <c r="F205" s="343">
        <f>'Sales Forecast'!X13</f>
        <v>0.21940999999999999</v>
      </c>
      <c r="G205" s="343">
        <f>'Sales Forecast'!Y13</f>
        <v>0.21296599999999999</v>
      </c>
      <c r="H205" s="343">
        <f>'Sales Forecast'!Z13</f>
        <v>0.195049</v>
      </c>
      <c r="I205" s="343">
        <f>'Sales Forecast'!AA13</f>
        <v>0.20544542610604047</v>
      </c>
      <c r="J205" s="343">
        <f>'Sales Forecast'!AB13</f>
        <v>0.2289852733787876</v>
      </c>
      <c r="K205" s="343">
        <f>'Sales Forecast'!AC13</f>
        <v>0.2286183251737208</v>
      </c>
      <c r="L205" s="343">
        <f>'Sales Forecast'!AD13</f>
        <v>0.21654980642930272</v>
      </c>
      <c r="M205" s="343">
        <f>'Sales Forecast'!AE13</f>
        <v>0.19622375389374172</v>
      </c>
      <c r="N205" s="343">
        <f>'Sales Forecast'!AF13</f>
        <v>0.17468413409175074</v>
      </c>
      <c r="O205" s="343">
        <f t="shared" si="50"/>
        <v>2.5717217190733441</v>
      </c>
    </row>
    <row r="206" spans="2:20" s="532" customFormat="1" ht="28" x14ac:dyDescent="0.3">
      <c r="B206" s="507" t="s">
        <v>1706</v>
      </c>
      <c r="C206" s="343">
        <f>'Sales Forecast'!U14</f>
        <v>2.3998979999999999</v>
      </c>
      <c r="D206" s="343">
        <f>'Sales Forecast'!V14</f>
        <v>2.6586859999999999</v>
      </c>
      <c r="E206" s="343">
        <f>'Sales Forecast'!W14</f>
        <v>2.8057539999999999</v>
      </c>
      <c r="F206" s="343">
        <f>'Sales Forecast'!X14</f>
        <v>2.5216789999999998</v>
      </c>
      <c r="G206" s="343">
        <f>'Sales Forecast'!Y14</f>
        <v>2.3740070000000002</v>
      </c>
      <c r="H206" s="343">
        <f>'Sales Forecast'!Z14</f>
        <v>2.4074390000000001</v>
      </c>
      <c r="I206" s="343">
        <f>'Sales Forecast'!AA14</f>
        <v>2.3005963004811347</v>
      </c>
      <c r="J206" s="343">
        <f>'Sales Forecast'!AB14</f>
        <v>2.5095420800987469</v>
      </c>
      <c r="K206" s="343">
        <f>'Sales Forecast'!AC14</f>
        <v>2.208209500318393</v>
      </c>
      <c r="L206" s="343">
        <f>'Sales Forecast'!AD14</f>
        <v>1.9312057230221249</v>
      </c>
      <c r="M206" s="343">
        <f>'Sales Forecast'!AE14</f>
        <v>1.9475363011702409</v>
      </c>
      <c r="N206" s="343">
        <f>'Sales Forecast'!AF14</f>
        <v>1.7192632196650577</v>
      </c>
      <c r="O206" s="343">
        <f t="shared" si="50"/>
        <v>27.783816124755699</v>
      </c>
    </row>
    <row r="207" spans="2:20" s="532" customFormat="1" x14ac:dyDescent="0.3">
      <c r="B207" s="507" t="s">
        <v>1707</v>
      </c>
      <c r="C207" s="343">
        <f>'Sales Forecast'!U15</f>
        <v>15.423522999999999</v>
      </c>
      <c r="D207" s="343">
        <f>'Sales Forecast'!V15</f>
        <v>15.898403999999999</v>
      </c>
      <c r="E207" s="343">
        <f>'Sales Forecast'!W15</f>
        <v>17.247337000000002</v>
      </c>
      <c r="F207" s="343">
        <f>'Sales Forecast'!X15</f>
        <v>17.113676000000002</v>
      </c>
      <c r="G207" s="343">
        <f>'Sales Forecast'!Y15</f>
        <v>18.289261</v>
      </c>
      <c r="H207" s="343">
        <f>'Sales Forecast'!Z15</f>
        <v>17.378643</v>
      </c>
      <c r="I207" s="343">
        <f>'Sales Forecast'!AA15</f>
        <v>15.26433941591025</v>
      </c>
      <c r="J207" s="343">
        <f>'Sales Forecast'!AB15</f>
        <v>16.246422986660292</v>
      </c>
      <c r="K207" s="343">
        <f>'Sales Forecast'!AC15</f>
        <v>14.820197282102916</v>
      </c>
      <c r="L207" s="343">
        <f>'Sales Forecast'!AD15</f>
        <v>13.901335509554004</v>
      </c>
      <c r="M207" s="343">
        <f>'Sales Forecast'!AE15</f>
        <v>13.044793973217496</v>
      </c>
      <c r="N207" s="343">
        <f>'Sales Forecast'!AF15</f>
        <v>11.382958178872272</v>
      </c>
      <c r="O207" s="343">
        <f t="shared" si="50"/>
        <v>186.01089134631724</v>
      </c>
    </row>
    <row r="208" spans="2:20" x14ac:dyDescent="0.3">
      <c r="B208" s="1057" t="s">
        <v>1704</v>
      </c>
      <c r="C208" s="343">
        <f>'Sales Forecast'!U16</f>
        <v>0</v>
      </c>
      <c r="D208" s="343">
        <f>'Sales Forecast'!V16</f>
        <v>0</v>
      </c>
      <c r="E208" s="343">
        <f>'Sales Forecast'!W16</f>
        <v>0</v>
      </c>
      <c r="F208" s="343">
        <f>'Sales Forecast'!X16</f>
        <v>0</v>
      </c>
      <c r="G208" s="343">
        <f>'Sales Forecast'!Y16</f>
        <v>0</v>
      </c>
      <c r="H208" s="343">
        <f>'Sales Forecast'!Z16</f>
        <v>0</v>
      </c>
      <c r="I208" s="343">
        <f>'Sales Forecast'!AA16</f>
        <v>0</v>
      </c>
      <c r="J208" s="343">
        <f>'Sales Forecast'!AB16</f>
        <v>0</v>
      </c>
      <c r="K208" s="343">
        <f>'Sales Forecast'!AC16</f>
        <v>0</v>
      </c>
      <c r="L208" s="343">
        <f>'Sales Forecast'!AD16</f>
        <v>0</v>
      </c>
      <c r="M208" s="343">
        <f>'Sales Forecast'!AE16</f>
        <v>0</v>
      </c>
      <c r="N208" s="343">
        <f>'Sales Forecast'!AF16</f>
        <v>0</v>
      </c>
      <c r="O208" s="343"/>
      <c r="P208" s="532"/>
    </row>
    <row r="209" spans="2:16" x14ac:dyDescent="0.3">
      <c r="B209" s="343"/>
      <c r="C209" s="343"/>
      <c r="D209" s="343"/>
      <c r="E209" s="343"/>
      <c r="F209" s="343"/>
      <c r="G209" s="343"/>
      <c r="H209" s="343"/>
      <c r="I209" s="343"/>
      <c r="J209" s="343"/>
      <c r="K209" s="343"/>
      <c r="L209" s="343"/>
      <c r="M209" s="343"/>
      <c r="N209" s="343"/>
      <c r="O209" s="343"/>
      <c r="P209" s="532"/>
    </row>
    <row r="210" spans="2:16" s="532" customFormat="1" x14ac:dyDescent="0.3">
      <c r="B210" s="1588" t="s">
        <v>416</v>
      </c>
      <c r="C210" s="349">
        <f t="shared" ref="C210:H210" si="51">SUM(C202:C208)</f>
        <v>51.470028999999997</v>
      </c>
      <c r="D210" s="349">
        <f t="shared" si="51"/>
        <v>55.549565999999999</v>
      </c>
      <c r="E210" s="349">
        <f t="shared" si="51"/>
        <v>60.052367000000004</v>
      </c>
      <c r="F210" s="349">
        <f t="shared" si="51"/>
        <v>58.170913000000013</v>
      </c>
      <c r="G210" s="349">
        <f t="shared" si="51"/>
        <v>57.503102999999996</v>
      </c>
      <c r="H210" s="349">
        <f t="shared" si="51"/>
        <v>56.133599999999987</v>
      </c>
      <c r="I210" s="349">
        <f t="shared" ref="I210" si="52">SUM(I202:I208)</f>
        <v>52.838505038509609</v>
      </c>
      <c r="J210" s="349">
        <f t="shared" ref="J210:N210" si="53">SUM(J202:J208)</f>
        <v>59.187630975880673</v>
      </c>
      <c r="K210" s="349">
        <f t="shared" si="53"/>
        <v>54.035553917037483</v>
      </c>
      <c r="L210" s="349">
        <f t="shared" si="53"/>
        <v>50.296573330889643</v>
      </c>
      <c r="M210" s="349">
        <f t="shared" si="53"/>
        <v>48.451740735089317</v>
      </c>
      <c r="N210" s="349">
        <f t="shared" si="53"/>
        <v>43.637940643064674</v>
      </c>
      <c r="O210" s="349">
        <f t="shared" ref="O210:O230" si="54">SUM(C210:N210)</f>
        <v>647.32752264047133</v>
      </c>
    </row>
    <row r="211" spans="2:16" x14ac:dyDescent="0.3">
      <c r="B211" s="343"/>
      <c r="C211" s="343"/>
      <c r="D211" s="343"/>
      <c r="E211" s="343"/>
      <c r="F211" s="343"/>
      <c r="G211" s="343"/>
      <c r="H211" s="343"/>
      <c r="I211" s="343"/>
      <c r="J211" s="343"/>
      <c r="K211" s="343"/>
      <c r="L211" s="343"/>
      <c r="M211" s="343"/>
      <c r="N211" s="343"/>
      <c r="O211" s="343">
        <f t="shared" si="54"/>
        <v>0</v>
      </c>
      <c r="P211" s="532"/>
    </row>
    <row r="212" spans="2:16" s="425" customFormat="1" x14ac:dyDescent="0.3">
      <c r="B212" s="458" t="s">
        <v>294</v>
      </c>
      <c r="C212" s="343"/>
      <c r="D212" s="343"/>
      <c r="E212" s="343"/>
      <c r="F212" s="343"/>
      <c r="G212" s="343"/>
      <c r="H212" s="343"/>
      <c r="I212" s="343"/>
      <c r="J212" s="343"/>
      <c r="K212" s="343"/>
      <c r="L212" s="343"/>
      <c r="M212" s="343"/>
      <c r="N212" s="343"/>
      <c r="O212" s="343">
        <f t="shared" si="54"/>
        <v>0</v>
      </c>
      <c r="P212" s="532"/>
    </row>
    <row r="213" spans="2:16" x14ac:dyDescent="0.3">
      <c r="B213" s="344" t="s">
        <v>898</v>
      </c>
      <c r="C213" s="343">
        <f>'Sales Forecast'!U21</f>
        <v>1.555E-3</v>
      </c>
      <c r="D213" s="343">
        <f>'Sales Forecast'!V21</f>
        <v>1.6069999999999999E-3</v>
      </c>
      <c r="E213" s="343">
        <f>'Sales Forecast'!W21</f>
        <v>1.3990000000000001E-3</v>
      </c>
      <c r="F213" s="343">
        <f>'Sales Forecast'!X21</f>
        <v>1.2279999999999999E-3</v>
      </c>
      <c r="G213" s="343">
        <f>'Sales Forecast'!Y21</f>
        <v>1.7619999999999999E-3</v>
      </c>
      <c r="H213" s="343">
        <f>'Sales Forecast'!Z21</f>
        <v>1.575E-3</v>
      </c>
      <c r="I213" s="343">
        <f>'Sales Forecast'!AA21</f>
        <v>3.9576187034839816E-3</v>
      </c>
      <c r="J213" s="343">
        <f>'Sales Forecast'!AB21</f>
        <v>4.4119007658289288E-3</v>
      </c>
      <c r="K213" s="343">
        <f>'Sales Forecast'!AC21</f>
        <v>4.9429628950490769E-3</v>
      </c>
      <c r="L213" s="343">
        <f>'Sales Forecast'!AD21</f>
        <v>4.6191085104088005E-3</v>
      </c>
      <c r="M213" s="343">
        <f>'Sales Forecast'!AE21</f>
        <v>3.851307841656779E-3</v>
      </c>
      <c r="N213" s="343">
        <f>'Sales Forecast'!AF21</f>
        <v>5.0891403300614814E-3</v>
      </c>
      <c r="O213" s="343">
        <f t="shared" si="54"/>
        <v>3.5998039046489051E-2</v>
      </c>
    </row>
    <row r="214" spans="2:16" x14ac:dyDescent="0.3">
      <c r="B214" s="1156" t="s">
        <v>899</v>
      </c>
      <c r="C214" s="343">
        <f>'Sales Forecast'!U22</f>
        <v>0</v>
      </c>
      <c r="D214" s="343">
        <f>'Sales Forecast'!V22</f>
        <v>0</v>
      </c>
      <c r="E214" s="343">
        <f>'Sales Forecast'!W22</f>
        <v>0</v>
      </c>
      <c r="F214" s="343">
        <f>'Sales Forecast'!X22</f>
        <v>0</v>
      </c>
      <c r="G214" s="343">
        <f>'Sales Forecast'!Y22</f>
        <v>0</v>
      </c>
      <c r="H214" s="343">
        <f>'Sales Forecast'!Z22</f>
        <v>0</v>
      </c>
      <c r="I214" s="343">
        <f>'Sales Forecast'!AA22</f>
        <v>0</v>
      </c>
      <c r="J214" s="343">
        <f>'Sales Forecast'!AB22</f>
        <v>0</v>
      </c>
      <c r="K214" s="343">
        <f>'Sales Forecast'!AC22</f>
        <v>0</v>
      </c>
      <c r="L214" s="343">
        <f>'Sales Forecast'!AD22</f>
        <v>0</v>
      </c>
      <c r="M214" s="343">
        <f>'Sales Forecast'!AE22</f>
        <v>0</v>
      </c>
      <c r="N214" s="343">
        <f>'Sales Forecast'!AF22</f>
        <v>0</v>
      </c>
      <c r="O214" s="343">
        <f t="shared" si="54"/>
        <v>0</v>
      </c>
    </row>
    <row r="215" spans="2:16" x14ac:dyDescent="0.3">
      <c r="B215" s="344" t="s">
        <v>900</v>
      </c>
      <c r="C215" s="343">
        <f>'Sales Forecast'!U23</f>
        <v>62.818406000000003</v>
      </c>
      <c r="D215" s="343">
        <f>'Sales Forecast'!V23</f>
        <v>63.883254999999998</v>
      </c>
      <c r="E215" s="343">
        <f>'Sales Forecast'!W23</f>
        <v>62.559505999999999</v>
      </c>
      <c r="F215" s="343">
        <f>'Sales Forecast'!X23</f>
        <v>62.999949999999998</v>
      </c>
      <c r="G215" s="343">
        <f>'Sales Forecast'!Y23</f>
        <v>63.278716000000003</v>
      </c>
      <c r="H215" s="343">
        <f>'Sales Forecast'!Z23</f>
        <v>63.410466999999997</v>
      </c>
      <c r="I215" s="343">
        <f>'Sales Forecast'!AA23</f>
        <v>64.551221101942033</v>
      </c>
      <c r="J215" s="343">
        <f>'Sales Forecast'!AB23</f>
        <v>64.257034519678854</v>
      </c>
      <c r="K215" s="343">
        <f>'Sales Forecast'!AC23</f>
        <v>63.254076715500254</v>
      </c>
      <c r="L215" s="343">
        <f>'Sales Forecast'!AD23</f>
        <v>61.462593297630427</v>
      </c>
      <c r="M215" s="343">
        <f>'Sales Forecast'!AE23</f>
        <v>57.300051741641809</v>
      </c>
      <c r="N215" s="343">
        <f>'Sales Forecast'!AF23</f>
        <v>59.939233451822183</v>
      </c>
      <c r="O215" s="343">
        <f t="shared" si="54"/>
        <v>749.71451082821545</v>
      </c>
    </row>
    <row r="216" spans="2:16" x14ac:dyDescent="0.3">
      <c r="B216" s="344" t="s">
        <v>901</v>
      </c>
      <c r="C216" s="343">
        <f>'Sales Forecast'!U24</f>
        <v>62.502167999999998</v>
      </c>
      <c r="D216" s="343">
        <f>'Sales Forecast'!V24</f>
        <v>72.792362999999995</v>
      </c>
      <c r="E216" s="343">
        <f>'Sales Forecast'!W24</f>
        <v>66.047042000000005</v>
      </c>
      <c r="F216" s="343">
        <f>'Sales Forecast'!X24</f>
        <v>62.363261999999999</v>
      </c>
      <c r="G216" s="343">
        <f>'Sales Forecast'!Y24</f>
        <v>61.580354</v>
      </c>
      <c r="H216" s="343">
        <f>'Sales Forecast'!Z24</f>
        <v>61.551347</v>
      </c>
      <c r="I216" s="343">
        <f>'Sales Forecast'!AA24</f>
        <v>71.414875140240781</v>
      </c>
      <c r="J216" s="343">
        <f>'Sales Forecast'!AB24</f>
        <v>70.913355079397732</v>
      </c>
      <c r="K216" s="343">
        <f>'Sales Forecast'!AC24</f>
        <v>62.03710484394702</v>
      </c>
      <c r="L216" s="343">
        <f>'Sales Forecast'!AD24</f>
        <v>49.867452967650095</v>
      </c>
      <c r="M216" s="343">
        <f>'Sales Forecast'!AE24</f>
        <v>35.769338791407833</v>
      </c>
      <c r="N216" s="343">
        <f>'Sales Forecast'!AF24</f>
        <v>44.257143177113498</v>
      </c>
      <c r="O216" s="343">
        <f t="shared" si="54"/>
        <v>721.09580599975686</v>
      </c>
    </row>
    <row r="217" spans="2:16" x14ac:dyDescent="0.3">
      <c r="B217" s="344" t="s">
        <v>902</v>
      </c>
      <c r="C217" s="343">
        <f>'Sales Forecast'!U25</f>
        <v>21.124392</v>
      </c>
      <c r="D217" s="343">
        <f>'Sales Forecast'!V25</f>
        <v>30.599404</v>
      </c>
      <c r="E217" s="343">
        <f>'Sales Forecast'!W25</f>
        <v>26.024875000000002</v>
      </c>
      <c r="F217" s="343">
        <f>'Sales Forecast'!X25</f>
        <v>19.681785000000001</v>
      </c>
      <c r="G217" s="343">
        <f>'Sales Forecast'!Y25</f>
        <v>18.293196999999999</v>
      </c>
      <c r="H217" s="343">
        <f>'Sales Forecast'!Z25</f>
        <v>18.395444000000001</v>
      </c>
      <c r="I217" s="343">
        <f>'Sales Forecast'!AA25</f>
        <v>24.664341455183493</v>
      </c>
      <c r="J217" s="343">
        <f>'Sales Forecast'!AB25</f>
        <v>26.32852680938662</v>
      </c>
      <c r="K217" s="343">
        <f>'Sales Forecast'!AC25</f>
        <v>19.527737245989375</v>
      </c>
      <c r="L217" s="343">
        <f>'Sales Forecast'!AD25</f>
        <v>13.9470072115429</v>
      </c>
      <c r="M217" s="343">
        <f>'Sales Forecast'!AE25</f>
        <v>8.2712966829925296</v>
      </c>
      <c r="N217" s="343">
        <f>'Sales Forecast'!AF25</f>
        <v>10.76484388502158</v>
      </c>
      <c r="O217" s="343">
        <f t="shared" si="54"/>
        <v>237.62285029011653</v>
      </c>
    </row>
    <row r="218" spans="2:16" x14ac:dyDescent="0.3">
      <c r="B218" s="344" t="s">
        <v>903</v>
      </c>
      <c r="C218" s="343">
        <f>'Sales Forecast'!U26</f>
        <v>34.108908</v>
      </c>
      <c r="D218" s="343">
        <f>'Sales Forecast'!V26</f>
        <v>48.922634000000002</v>
      </c>
      <c r="E218" s="343">
        <f>'Sales Forecast'!W26</f>
        <v>41.288401</v>
      </c>
      <c r="F218" s="343">
        <f>'Sales Forecast'!X26</f>
        <v>31.676314999999999</v>
      </c>
      <c r="G218" s="343">
        <f>'Sales Forecast'!Y26</f>
        <v>32.540858999999998</v>
      </c>
      <c r="H218" s="343">
        <f>'Sales Forecast'!Z26</f>
        <v>31.828137999999999</v>
      </c>
      <c r="I218" s="343">
        <f>'Sales Forecast'!AA26</f>
        <v>37.214598809272275</v>
      </c>
      <c r="J218" s="343">
        <f>'Sales Forecast'!AB26</f>
        <v>40.919329252926261</v>
      </c>
      <c r="K218" s="343">
        <f>'Sales Forecast'!AC26</f>
        <v>32.530610875796953</v>
      </c>
      <c r="L218" s="343">
        <f>'Sales Forecast'!AD26</f>
        <v>25.012557839450373</v>
      </c>
      <c r="M218" s="343">
        <f>'Sales Forecast'!AE26</f>
        <v>18.743881126675209</v>
      </c>
      <c r="N218" s="343">
        <f>'Sales Forecast'!AF26</f>
        <v>20.541111356586011</v>
      </c>
      <c r="O218" s="343">
        <f t="shared" si="54"/>
        <v>395.32734426070704</v>
      </c>
    </row>
    <row r="219" spans="2:16" x14ac:dyDescent="0.3">
      <c r="B219" s="507" t="s">
        <v>904</v>
      </c>
      <c r="C219" s="343">
        <f>'Sales Forecast'!U27</f>
        <v>70.117185000000006</v>
      </c>
      <c r="D219" s="343">
        <f>'Sales Forecast'!V27</f>
        <v>80.276100999999997</v>
      </c>
      <c r="E219" s="343">
        <f>'Sales Forecast'!W27</f>
        <v>73.664889000000002</v>
      </c>
      <c r="F219" s="343">
        <f>'Sales Forecast'!X27</f>
        <v>68.375157000000002</v>
      </c>
      <c r="G219" s="343">
        <f>'Sales Forecast'!Y27</f>
        <v>68.450813999999994</v>
      </c>
      <c r="H219" s="343">
        <f>'Sales Forecast'!Z27</f>
        <v>69.532748999999995</v>
      </c>
      <c r="I219" s="343">
        <f>'Sales Forecast'!AA27</f>
        <v>76.231749346916089</v>
      </c>
      <c r="J219" s="343">
        <f>'Sales Forecast'!AB27</f>
        <v>76.32137780404274</v>
      </c>
      <c r="K219" s="343">
        <f>'Sales Forecast'!AC27</f>
        <v>69.25967073336318</v>
      </c>
      <c r="L219" s="343">
        <f>'Sales Forecast'!AD27</f>
        <v>61.974061440655213</v>
      </c>
      <c r="M219" s="343">
        <f>'Sales Forecast'!AE27</f>
        <v>52.672342365181237</v>
      </c>
      <c r="N219" s="343">
        <f>'Sales Forecast'!AF27</f>
        <v>59.615183073012346</v>
      </c>
      <c r="O219" s="343">
        <f t="shared" si="54"/>
        <v>826.49127976317072</v>
      </c>
    </row>
    <row r="220" spans="2:16" ht="28" x14ac:dyDescent="0.3">
      <c r="B220" s="507" t="s">
        <v>1708</v>
      </c>
      <c r="C220" s="343">
        <f>'Sales Forecast'!U28</f>
        <v>14.783083</v>
      </c>
      <c r="D220" s="343">
        <f>'Sales Forecast'!V28</f>
        <v>15.731424000000001</v>
      </c>
      <c r="E220" s="343">
        <f>'Sales Forecast'!W28</f>
        <v>16.789165000000001</v>
      </c>
      <c r="F220" s="343">
        <f>'Sales Forecast'!X28</f>
        <v>15.586944000000001</v>
      </c>
      <c r="G220" s="343">
        <f>'Sales Forecast'!Y28</f>
        <v>14.047637999999999</v>
      </c>
      <c r="H220" s="343">
        <f>'Sales Forecast'!Z28</f>
        <v>14.036979000000001</v>
      </c>
      <c r="I220" s="343">
        <f>'Sales Forecast'!AA28</f>
        <v>13.915287731965405</v>
      </c>
      <c r="J220" s="343">
        <f>'Sales Forecast'!AB28</f>
        <v>15.982644622742274</v>
      </c>
      <c r="K220" s="343">
        <f>'Sales Forecast'!AC28</f>
        <v>14.0768528935972</v>
      </c>
      <c r="L220" s="343">
        <f>'Sales Forecast'!AD28</f>
        <v>12.743363941057259</v>
      </c>
      <c r="M220" s="343">
        <f>'Sales Forecast'!AE28</f>
        <v>11.875438171580642</v>
      </c>
      <c r="N220" s="343">
        <f>'Sales Forecast'!AF28</f>
        <v>11.188633303908823</v>
      </c>
      <c r="O220" s="343">
        <f t="shared" si="54"/>
        <v>170.7574536648516</v>
      </c>
    </row>
    <row r="221" spans="2:16" ht="28" x14ac:dyDescent="0.3">
      <c r="B221" s="507" t="s">
        <v>1709</v>
      </c>
      <c r="C221" s="343">
        <f>'Sales Forecast'!U29</f>
        <v>30.147994000000001</v>
      </c>
      <c r="D221" s="343">
        <f>'Sales Forecast'!V29</f>
        <v>32.767401</v>
      </c>
      <c r="E221" s="343">
        <f>'Sales Forecast'!W29</f>
        <v>35.315922999999998</v>
      </c>
      <c r="F221" s="343">
        <f>'Sales Forecast'!X29</f>
        <v>32.943264999999997</v>
      </c>
      <c r="G221" s="343">
        <f>'Sales Forecast'!Y29</f>
        <v>30.200312</v>
      </c>
      <c r="H221" s="343">
        <f>'Sales Forecast'!Z29</f>
        <v>30.420096000000001</v>
      </c>
      <c r="I221" s="343">
        <f>'Sales Forecast'!AA29</f>
        <v>28.937710695102741</v>
      </c>
      <c r="J221" s="343">
        <f>'Sales Forecast'!AB29</f>
        <v>33.47249359298187</v>
      </c>
      <c r="K221" s="343">
        <f>'Sales Forecast'!AC29</f>
        <v>29.518267418991297</v>
      </c>
      <c r="L221" s="343">
        <f>'Sales Forecast'!AD29</f>
        <v>26.411988244099156</v>
      </c>
      <c r="M221" s="343">
        <f>'Sales Forecast'!AE29</f>
        <v>24.90639315380696</v>
      </c>
      <c r="N221" s="343">
        <f>'Sales Forecast'!AF29</f>
        <v>23.192545059551655</v>
      </c>
      <c r="O221" s="343">
        <f t="shared" si="54"/>
        <v>358.2343891645337</v>
      </c>
    </row>
    <row r="222" spans="2:16" x14ac:dyDescent="0.3">
      <c r="B222" s="507" t="s">
        <v>908</v>
      </c>
      <c r="C222" s="343">
        <f>'Sales Forecast'!U30</f>
        <v>8.1939659999999996</v>
      </c>
      <c r="D222" s="343">
        <f>'Sales Forecast'!V30</f>
        <v>8.8921720000000004</v>
      </c>
      <c r="E222" s="343">
        <f>'Sales Forecast'!W30</f>
        <v>8.0106610000000007</v>
      </c>
      <c r="F222" s="343">
        <f>'Sales Forecast'!X30</f>
        <v>8.343629</v>
      </c>
      <c r="G222" s="343">
        <f>'Sales Forecast'!Y30</f>
        <v>8.8732399999999991</v>
      </c>
      <c r="H222" s="343">
        <f>'Sales Forecast'!Z30</f>
        <v>8.9088460000000005</v>
      </c>
      <c r="I222" s="343">
        <f>'Sales Forecast'!AA30</f>
        <v>9.4406769316606987</v>
      </c>
      <c r="J222" s="343">
        <f>'Sales Forecast'!AB30</f>
        <v>9.6176372381018123</v>
      </c>
      <c r="K222" s="343">
        <f>'Sales Forecast'!AC30</f>
        <v>9.0226297119287793</v>
      </c>
      <c r="L222" s="343">
        <f>'Sales Forecast'!AD30</f>
        <v>8.6399447407953609</v>
      </c>
      <c r="M222" s="343">
        <f>'Sales Forecast'!AE30</f>
        <v>8.7017791916651408</v>
      </c>
      <c r="N222" s="343">
        <f>'Sales Forecast'!AF30</f>
        <v>9.0940750897378102</v>
      </c>
      <c r="O222" s="343">
        <f t="shared" si="54"/>
        <v>105.7392569038896</v>
      </c>
    </row>
    <row r="223" spans="2:16" x14ac:dyDescent="0.3">
      <c r="B223" s="507" t="s">
        <v>1594</v>
      </c>
      <c r="C223" s="343">
        <f>'Sales Forecast'!U31</f>
        <v>6.963355</v>
      </c>
      <c r="D223" s="343">
        <f>'Sales Forecast'!V31</f>
        <v>6.8979689999999998</v>
      </c>
      <c r="E223" s="343">
        <f>'Sales Forecast'!W31</f>
        <v>7.0801959999999999</v>
      </c>
      <c r="F223" s="343">
        <f>'Sales Forecast'!X31</f>
        <v>6.8399150000000004</v>
      </c>
      <c r="G223" s="343">
        <f>'Sales Forecast'!Y31</f>
        <v>6.6852729999999996</v>
      </c>
      <c r="H223" s="343">
        <f>'Sales Forecast'!Z31</f>
        <v>6.6050880000000003</v>
      </c>
      <c r="I223" s="343">
        <f>'Sales Forecast'!AA31</f>
        <v>6.5835935223922322</v>
      </c>
      <c r="J223" s="343">
        <f>'Sales Forecast'!AB31</f>
        <v>7.3093487309523058</v>
      </c>
      <c r="K223" s="343">
        <f>'Sales Forecast'!AC31</f>
        <v>6.364912664709812</v>
      </c>
      <c r="L223" s="343">
        <f>'Sales Forecast'!AD31</f>
        <v>6.6479934324208294</v>
      </c>
      <c r="M223" s="343">
        <f>'Sales Forecast'!AE31</f>
        <v>6.1142830520131346</v>
      </c>
      <c r="N223" s="343">
        <f>'Sales Forecast'!AF31</f>
        <v>5.7151567138077377</v>
      </c>
      <c r="O223" s="343">
        <f t="shared" si="54"/>
        <v>79.807084116296068</v>
      </c>
    </row>
    <row r="224" spans="2:16" ht="28" x14ac:dyDescent="0.3">
      <c r="B224" s="507" t="s">
        <v>1710</v>
      </c>
      <c r="C224" s="343">
        <f>'Sales Forecast'!U32</f>
        <v>5.1079439999999998</v>
      </c>
      <c r="D224" s="343">
        <f>'Sales Forecast'!V32</f>
        <v>5.6684390000000002</v>
      </c>
      <c r="E224" s="343">
        <f>'Sales Forecast'!W32</f>
        <v>5.7215610000000003</v>
      </c>
      <c r="F224" s="343">
        <f>'Sales Forecast'!X32</f>
        <v>5.4936629999999997</v>
      </c>
      <c r="G224" s="343">
        <f>'Sales Forecast'!Y32</f>
        <v>5.3757029999999997</v>
      </c>
      <c r="H224" s="343">
        <f>'Sales Forecast'!Z32</f>
        <v>5.3172230000000003</v>
      </c>
      <c r="I224" s="343">
        <f>'Sales Forecast'!AA32</f>
        <v>5.2614319081163972</v>
      </c>
      <c r="J224" s="343">
        <f>'Sales Forecast'!AB32</f>
        <v>5.8138448832831502</v>
      </c>
      <c r="K224" s="343">
        <f>'Sales Forecast'!AC32</f>
        <v>4.9758695748860697</v>
      </c>
      <c r="L224" s="343">
        <f>'Sales Forecast'!AD32</f>
        <v>4.4465071526999704</v>
      </c>
      <c r="M224" s="343">
        <f>'Sales Forecast'!AE32</f>
        <v>4.2250458685535595</v>
      </c>
      <c r="N224" s="343">
        <f>'Sales Forecast'!AF32</f>
        <v>3.9900501605198913</v>
      </c>
      <c r="O224" s="343">
        <f t="shared" si="54"/>
        <v>61.397282548059046</v>
      </c>
    </row>
    <row r="225" spans="2:20" x14ac:dyDescent="0.3">
      <c r="B225" s="507" t="s">
        <v>1596</v>
      </c>
      <c r="C225" s="343">
        <f>'Sales Forecast'!U33</f>
        <v>15.789392400000001</v>
      </c>
      <c r="D225" s="343">
        <f>'Sales Forecast'!V33</f>
        <v>16.391738199999999</v>
      </c>
      <c r="E225" s="343">
        <f>'Sales Forecast'!W33</f>
        <v>16.6137759</v>
      </c>
      <c r="F225" s="343">
        <f>'Sales Forecast'!X33</f>
        <v>16.142716</v>
      </c>
      <c r="G225" s="343">
        <f>'Sales Forecast'!Y33</f>
        <v>15.6557584</v>
      </c>
      <c r="H225" s="343">
        <f>'Sales Forecast'!Z33</f>
        <v>15.598434300000001</v>
      </c>
      <c r="I225" s="343">
        <f>'Sales Forecast'!AA33</f>
        <v>15.147769029841001</v>
      </c>
      <c r="J225" s="343">
        <f>'Sales Forecast'!AB33</f>
        <v>16.66373456308645</v>
      </c>
      <c r="K225" s="343">
        <f>'Sales Forecast'!AC33</f>
        <v>14.161420423622149</v>
      </c>
      <c r="L225" s="343">
        <f>'Sales Forecast'!AD33</f>
        <v>13.117746421184263</v>
      </c>
      <c r="M225" s="343">
        <f>'Sales Forecast'!AE33</f>
        <v>12.233085157671706</v>
      </c>
      <c r="N225" s="343">
        <f>'Sales Forecast'!AF33</f>
        <v>11.304297185207398</v>
      </c>
      <c r="O225" s="343">
        <f t="shared" ref="O225" si="55">SUM(C225:N225)</f>
        <v>178.81986798061297</v>
      </c>
    </row>
    <row r="226" spans="2:20" x14ac:dyDescent="0.3">
      <c r="B226" s="507" t="s">
        <v>1597</v>
      </c>
      <c r="C226" s="343"/>
      <c r="D226" s="343"/>
      <c r="E226" s="343"/>
      <c r="F226" s="343"/>
      <c r="G226" s="343"/>
      <c r="H226" s="343"/>
      <c r="I226" s="343"/>
      <c r="J226" s="343"/>
      <c r="K226" s="343"/>
      <c r="L226" s="343"/>
      <c r="M226" s="343"/>
      <c r="N226" s="343"/>
      <c r="O226" s="343">
        <f t="shared" si="54"/>
        <v>0</v>
      </c>
    </row>
    <row r="227" spans="2:20" x14ac:dyDescent="0.3">
      <c r="B227" s="507" t="s">
        <v>1598</v>
      </c>
      <c r="C227" s="343">
        <f>'Sales Forecast'!U34</f>
        <v>5.1580000000000003E-3</v>
      </c>
      <c r="D227" s="343">
        <f>'Sales Forecast'!V34</f>
        <v>5.1850000000000004E-3</v>
      </c>
      <c r="E227" s="343">
        <f>'Sales Forecast'!W34</f>
        <v>6.2360000000000002E-3</v>
      </c>
      <c r="F227" s="343">
        <f>'Sales Forecast'!X34</f>
        <v>5.8019999999999999E-3</v>
      </c>
      <c r="G227" s="343">
        <f>'Sales Forecast'!Y34</f>
        <v>3.4450000000000001E-3</v>
      </c>
      <c r="H227" s="343">
        <f>'Sales Forecast'!Z34</f>
        <v>3.6610000000000002E-3</v>
      </c>
      <c r="I227" s="343">
        <f>'Sales Forecast'!AA34</f>
        <v>3.6610000000000002E-3</v>
      </c>
      <c r="J227" s="343">
        <f>'Sales Forecast'!AB34</f>
        <v>3.6610000000000002E-3</v>
      </c>
      <c r="K227" s="343">
        <f>'Sales Forecast'!AC34</f>
        <v>3.6610000000000002E-3</v>
      </c>
      <c r="L227" s="343">
        <f>'Sales Forecast'!AD34</f>
        <v>3.6610000000000002E-3</v>
      </c>
      <c r="M227" s="343">
        <f>'Sales Forecast'!AE34</f>
        <v>3.6610000000000002E-3</v>
      </c>
      <c r="N227" s="343">
        <f>'Sales Forecast'!AF34</f>
        <v>3.6610000000000002E-3</v>
      </c>
      <c r="O227" s="343">
        <f t="shared" si="54"/>
        <v>5.1452999999999992E-2</v>
      </c>
    </row>
    <row r="228" spans="2:20" x14ac:dyDescent="0.3">
      <c r="B228" s="507" t="s">
        <v>1599</v>
      </c>
      <c r="C228" s="343">
        <f>'Sales Forecast'!U35</f>
        <v>1.484861</v>
      </c>
      <c r="D228" s="343">
        <f>'Sales Forecast'!V35</f>
        <v>1.520289</v>
      </c>
      <c r="E228" s="343">
        <f>'Sales Forecast'!W35</f>
        <v>1.623901</v>
      </c>
      <c r="F228" s="343">
        <f>'Sales Forecast'!X35</f>
        <v>1.5294099999999999</v>
      </c>
      <c r="G228" s="343">
        <f>'Sales Forecast'!Y35</f>
        <v>1.406039</v>
      </c>
      <c r="H228" s="343">
        <f>'Sales Forecast'!Z35</f>
        <v>1.5155940000000001</v>
      </c>
      <c r="I228" s="343">
        <f>'Sales Forecast'!AA35</f>
        <v>1.5155940000000001</v>
      </c>
      <c r="J228" s="343">
        <f>'Sales Forecast'!AB35</f>
        <v>1.5155940000000001</v>
      </c>
      <c r="K228" s="343">
        <f>'Sales Forecast'!AC35</f>
        <v>1.5155940000000001</v>
      </c>
      <c r="L228" s="343">
        <f>'Sales Forecast'!AD35</f>
        <v>1.5155940000000001</v>
      </c>
      <c r="M228" s="343">
        <f>'Sales Forecast'!AE35</f>
        <v>1.5155940000000001</v>
      </c>
      <c r="N228" s="343">
        <f>'Sales Forecast'!AF35</f>
        <v>1.5155940000000001</v>
      </c>
      <c r="O228" s="343">
        <f t="shared" si="54"/>
        <v>18.173658000000003</v>
      </c>
    </row>
    <row r="229" spans="2:20" x14ac:dyDescent="0.3">
      <c r="B229" s="343"/>
      <c r="C229" s="343"/>
      <c r="D229" s="343"/>
      <c r="E229" s="343"/>
      <c r="F229" s="343"/>
      <c r="G229" s="343"/>
      <c r="H229" s="343"/>
      <c r="I229" s="343"/>
      <c r="J229" s="343"/>
      <c r="K229" s="343"/>
      <c r="L229" s="343"/>
      <c r="M229" s="343"/>
      <c r="N229" s="343"/>
      <c r="O229" s="343">
        <f t="shared" si="54"/>
        <v>0</v>
      </c>
    </row>
    <row r="230" spans="2:20" x14ac:dyDescent="0.3">
      <c r="B230" s="1588" t="s">
        <v>416</v>
      </c>
      <c r="C230" s="349">
        <f t="shared" ref="C230:H230" si="56">SUM(C213:C228)</f>
        <v>333.14836739999993</v>
      </c>
      <c r="D230" s="349">
        <f t="shared" si="56"/>
        <v>384.34998119999995</v>
      </c>
      <c r="E230" s="349">
        <f t="shared" si="56"/>
        <v>360.74753090000007</v>
      </c>
      <c r="F230" s="349">
        <f t="shared" si="56"/>
        <v>331.98304100000007</v>
      </c>
      <c r="G230" s="349">
        <f t="shared" si="56"/>
        <v>326.39311040000001</v>
      </c>
      <c r="H230" s="349">
        <f t="shared" si="56"/>
        <v>327.12564130000004</v>
      </c>
      <c r="I230" s="349">
        <f t="shared" ref="I230" si="57">SUM(I213:I228)</f>
        <v>354.88646829133666</v>
      </c>
      <c r="J230" s="349">
        <f t="shared" ref="J230:N230" si="58">SUM(J213:J228)</f>
        <v>369.12299399734599</v>
      </c>
      <c r="K230" s="349">
        <f t="shared" si="58"/>
        <v>326.25335106522721</v>
      </c>
      <c r="L230" s="349">
        <f t="shared" si="58"/>
        <v>285.79509079769628</v>
      </c>
      <c r="M230" s="349">
        <f t="shared" si="58"/>
        <v>242.33604161103139</v>
      </c>
      <c r="N230" s="349">
        <f t="shared" si="58"/>
        <v>261.12661659661904</v>
      </c>
      <c r="O230" s="349">
        <f t="shared" si="54"/>
        <v>3903.2682345592571</v>
      </c>
    </row>
    <row r="231" spans="2:20" x14ac:dyDescent="0.3">
      <c r="B231" s="434"/>
      <c r="C231" s="343"/>
      <c r="D231" s="343"/>
      <c r="E231" s="343"/>
      <c r="F231" s="343"/>
      <c r="G231" s="343"/>
      <c r="H231" s="343"/>
      <c r="I231" s="343"/>
      <c r="J231" s="343"/>
      <c r="K231" s="343"/>
      <c r="L231" s="343"/>
      <c r="M231" s="343"/>
      <c r="N231" s="343"/>
      <c r="O231" s="349"/>
    </row>
    <row r="232" spans="2:20" x14ac:dyDescent="0.3">
      <c r="B232" s="433" t="s">
        <v>145</v>
      </c>
      <c r="C232" s="349">
        <f t="shared" ref="C232:H232" si="59">C230+C210</f>
        <v>384.61839639999994</v>
      </c>
      <c r="D232" s="349">
        <f t="shared" si="59"/>
        <v>439.89954719999992</v>
      </c>
      <c r="E232" s="349">
        <f t="shared" si="59"/>
        <v>420.79989790000008</v>
      </c>
      <c r="F232" s="349">
        <f t="shared" si="59"/>
        <v>390.15395400000011</v>
      </c>
      <c r="G232" s="349">
        <f t="shared" si="59"/>
        <v>383.89621340000002</v>
      </c>
      <c r="H232" s="349">
        <f t="shared" si="59"/>
        <v>383.25924130000004</v>
      </c>
      <c r="I232" s="349">
        <f t="shared" ref="I232:O232" si="60">I230+I210</f>
        <v>407.72497332984625</v>
      </c>
      <c r="J232" s="349">
        <f t="shared" ref="J232:N232" si="61">J230+J210</f>
        <v>428.31062497322665</v>
      </c>
      <c r="K232" s="349">
        <f t="shared" si="61"/>
        <v>380.28890498226468</v>
      </c>
      <c r="L232" s="349">
        <f t="shared" si="61"/>
        <v>336.09166412858593</v>
      </c>
      <c r="M232" s="349">
        <f t="shared" si="61"/>
        <v>290.78778234612071</v>
      </c>
      <c r="N232" s="349">
        <f t="shared" si="61"/>
        <v>304.76455723968371</v>
      </c>
      <c r="O232" s="349">
        <f t="shared" si="60"/>
        <v>4550.5957571997287</v>
      </c>
      <c r="P232" s="532"/>
      <c r="Q232" s="532"/>
      <c r="R232" s="532"/>
    </row>
    <row r="233" spans="2:20" hidden="1" x14ac:dyDescent="0.3">
      <c r="B233" s="591"/>
      <c r="G233" s="886"/>
      <c r="H233" s="886"/>
      <c r="I233" s="886"/>
      <c r="J233" s="886"/>
      <c r="K233" s="886"/>
      <c r="L233" s="886"/>
      <c r="M233" s="886"/>
      <c r="N233" s="888"/>
      <c r="O233" s="426">
        <f>'Sales Forecast'!AG39-O232</f>
        <v>0</v>
      </c>
      <c r="P233" s="901"/>
      <c r="Q233" s="901"/>
    </row>
    <row r="234" spans="2:20" hidden="1" x14ac:dyDescent="0.3">
      <c r="B234" s="596" t="s">
        <v>435</v>
      </c>
    </row>
    <row r="235" spans="2:20" s="425" customFormat="1" ht="16" hidden="1" x14ac:dyDescent="0.3">
      <c r="B235" s="576" t="s">
        <v>436</v>
      </c>
      <c r="C235" s="426"/>
      <c r="D235" s="426"/>
      <c r="E235" s="426"/>
      <c r="F235" s="426"/>
      <c r="G235" s="426"/>
      <c r="H235" s="426"/>
      <c r="I235" s="426"/>
      <c r="J235" s="426"/>
      <c r="K235" s="426"/>
      <c r="L235" s="426"/>
      <c r="M235" s="426"/>
      <c r="N235" s="426"/>
      <c r="O235" s="426"/>
      <c r="P235" s="426"/>
      <c r="Q235" s="514"/>
      <c r="R235" s="885"/>
      <c r="S235" s="885"/>
    </row>
    <row r="236" spans="2:20" s="425" customFormat="1" ht="16" hidden="1" x14ac:dyDescent="0.3">
      <c r="B236" s="573" t="s">
        <v>438</v>
      </c>
      <c r="C236" s="573"/>
      <c r="D236" s="573"/>
      <c r="E236" s="573"/>
      <c r="F236" s="573"/>
      <c r="G236" s="573"/>
      <c r="H236" s="573"/>
      <c r="I236" s="573"/>
      <c r="J236" s="514"/>
      <c r="K236" s="514"/>
      <c r="L236" s="514"/>
      <c r="M236" s="514"/>
      <c r="N236" s="514"/>
      <c r="O236" s="514"/>
      <c r="P236" s="514"/>
      <c r="Q236" s="514"/>
      <c r="R236" s="885"/>
      <c r="S236" s="885"/>
    </row>
    <row r="237" spans="2:20" hidden="1" x14ac:dyDescent="0.3">
      <c r="B237" s="576" t="s">
        <v>568</v>
      </c>
      <c r="C237" s="573"/>
      <c r="D237" s="573"/>
      <c r="E237" s="573"/>
      <c r="F237" s="573"/>
      <c r="G237" s="573"/>
      <c r="H237" s="573"/>
      <c r="I237" s="573"/>
      <c r="J237" s="514"/>
      <c r="K237" s="514"/>
      <c r="L237" s="514"/>
      <c r="M237" s="514"/>
      <c r="N237" s="514"/>
      <c r="O237" s="514"/>
      <c r="P237" s="514"/>
    </row>
    <row r="238" spans="2:20" hidden="1" x14ac:dyDescent="0.3">
      <c r="B238" s="576"/>
      <c r="C238" s="573"/>
      <c r="D238" s="573"/>
      <c r="E238" s="573"/>
      <c r="F238" s="573"/>
      <c r="G238" s="573"/>
      <c r="H238" s="573"/>
      <c r="I238" s="573"/>
      <c r="J238" s="514"/>
      <c r="K238" s="514"/>
      <c r="L238" s="514"/>
      <c r="M238" s="514"/>
      <c r="N238" s="514"/>
      <c r="O238" s="514"/>
      <c r="P238" s="514"/>
    </row>
    <row r="239" spans="2:20" s="425" customFormat="1" ht="16" x14ac:dyDescent="0.3">
      <c r="B239" s="426"/>
      <c r="C239" s="426"/>
      <c r="D239" s="426"/>
      <c r="E239" s="426"/>
      <c r="F239" s="426"/>
      <c r="G239" s="426"/>
      <c r="H239" s="426"/>
      <c r="I239" s="426"/>
      <c r="J239" s="426"/>
      <c r="K239" s="426"/>
      <c r="L239" s="426"/>
      <c r="M239" s="426"/>
      <c r="N239" s="426"/>
      <c r="O239" s="426"/>
      <c r="P239" s="426"/>
      <c r="Q239" s="530"/>
      <c r="R239" s="885"/>
      <c r="S239" s="885"/>
      <c r="T239" s="1162"/>
    </row>
    <row r="240" spans="2:20" s="425" customFormat="1" ht="16" x14ac:dyDescent="0.3">
      <c r="B240" s="597" t="s">
        <v>836</v>
      </c>
      <c r="C240" s="531"/>
      <c r="D240" s="531"/>
      <c r="E240" s="531"/>
      <c r="F240" s="531"/>
      <c r="G240" s="531"/>
      <c r="H240" s="531"/>
      <c r="I240" s="531"/>
      <c r="J240" s="531"/>
      <c r="K240" s="531"/>
      <c r="L240" s="531"/>
      <c r="M240" s="531"/>
      <c r="N240" s="530"/>
      <c r="O240" s="524"/>
      <c r="P240" s="532"/>
      <c r="Q240" s="885"/>
    </row>
    <row r="241" spans="2:16" s="496" customFormat="1" x14ac:dyDescent="0.3">
      <c r="B241" s="597"/>
      <c r="C241" s="524"/>
      <c r="D241" s="524"/>
      <c r="E241" s="426"/>
      <c r="F241" s="426"/>
      <c r="G241" s="426"/>
      <c r="H241" s="426"/>
      <c r="I241" s="426"/>
      <c r="J241" s="426"/>
      <c r="K241" s="426"/>
      <c r="L241" s="426"/>
      <c r="M241" s="426"/>
      <c r="N241" s="524" t="s">
        <v>150</v>
      </c>
      <c r="P241" s="519"/>
    </row>
    <row r="242" spans="2:16" s="576" customFormat="1" ht="28" x14ac:dyDescent="0.3">
      <c r="B242" s="1164" t="s">
        <v>292</v>
      </c>
      <c r="C242" s="1151" t="s">
        <v>151</v>
      </c>
      <c r="D242" s="1151" t="s">
        <v>152</v>
      </c>
      <c r="E242" s="1151" t="s">
        <v>153</v>
      </c>
      <c r="F242" s="1151" t="s">
        <v>154</v>
      </c>
      <c r="G242" s="1151" t="s">
        <v>155</v>
      </c>
      <c r="H242" s="1151" t="s">
        <v>156</v>
      </c>
      <c r="I242" s="1151" t="s">
        <v>157</v>
      </c>
      <c r="J242" s="1151" t="s">
        <v>158</v>
      </c>
      <c r="K242" s="1151" t="s">
        <v>159</v>
      </c>
      <c r="L242" s="1151" t="s">
        <v>160</v>
      </c>
      <c r="M242" s="1151" t="s">
        <v>161</v>
      </c>
      <c r="N242" s="1151" t="s">
        <v>162</v>
      </c>
      <c r="O242" s="1151" t="s">
        <v>145</v>
      </c>
      <c r="P242" s="532"/>
    </row>
    <row r="243" spans="2:16" s="532" customFormat="1" x14ac:dyDescent="0.3">
      <c r="B243" s="1588" t="s">
        <v>293</v>
      </c>
      <c r="C243" s="430"/>
      <c r="D243" s="430"/>
      <c r="E243" s="430"/>
      <c r="F243" s="430"/>
      <c r="G243" s="430"/>
      <c r="H243" s="430"/>
      <c r="I243" s="430"/>
      <c r="J243" s="430"/>
      <c r="K243" s="430"/>
      <c r="L243" s="430"/>
      <c r="M243" s="430"/>
      <c r="N243" s="431"/>
      <c r="O243" s="432"/>
    </row>
    <row r="244" spans="2:16" s="532" customFormat="1" x14ac:dyDescent="0.3">
      <c r="B244" s="343"/>
      <c r="C244" s="349"/>
      <c r="D244" s="349"/>
      <c r="E244" s="417"/>
      <c r="F244" s="417"/>
      <c r="G244" s="346"/>
      <c r="H244" s="417"/>
      <c r="I244" s="416"/>
      <c r="J244" s="416"/>
      <c r="K244" s="416"/>
      <c r="L244" s="416"/>
      <c r="M244" s="416"/>
      <c r="N244" s="432"/>
      <c r="O244" s="432"/>
    </row>
    <row r="245" spans="2:16" s="532" customFormat="1" x14ac:dyDescent="0.3">
      <c r="B245" s="507" t="s">
        <v>891</v>
      </c>
      <c r="C245" s="343">
        <f>'Sales Forecast'!U45</f>
        <v>13.141249999999999</v>
      </c>
      <c r="D245" s="343">
        <f>'Sales Forecast'!V45</f>
        <v>14.390719000000001</v>
      </c>
      <c r="E245" s="343">
        <f>'Sales Forecast'!W45</f>
        <v>15.175905</v>
      </c>
      <c r="F245" s="343">
        <f>'Sales Forecast'!X45</f>
        <v>14.764668</v>
      </c>
      <c r="G245" s="343">
        <f>'Sales Forecast'!Y45</f>
        <v>14.473258</v>
      </c>
      <c r="H245" s="343">
        <f>'Sales Forecast'!Z45</f>
        <v>14.438412</v>
      </c>
      <c r="I245" s="343">
        <f>'Sales Forecast'!AA45</f>
        <v>15.711242063578407</v>
      </c>
      <c r="J245" s="343">
        <f>'Sales Forecast'!AB45</f>
        <v>19.977274916787895</v>
      </c>
      <c r="K245" s="343">
        <f>'Sales Forecast'!AC45</f>
        <v>18.424848024625824</v>
      </c>
      <c r="L245" s="343">
        <f>'Sales Forecast'!AD45</f>
        <v>17.318446442548883</v>
      </c>
      <c r="M245" s="343">
        <f>'Sales Forecast'!AE45</f>
        <v>17.047413671472658</v>
      </c>
      <c r="N245" s="343">
        <f>'Sales Forecast'!AF45</f>
        <v>15.525270238349778</v>
      </c>
      <c r="O245" s="343">
        <f t="shared" ref="O245:O251" si="62">SUM(C245:N245)</f>
        <v>190.38870735736347</v>
      </c>
    </row>
    <row r="246" spans="2:16" s="532" customFormat="1" x14ac:dyDescent="0.3">
      <c r="B246" s="507" t="s">
        <v>892</v>
      </c>
      <c r="C246" s="343">
        <f>'Sales Forecast'!U46</f>
        <v>18.082190000000001</v>
      </c>
      <c r="D246" s="343">
        <f>'Sales Forecast'!V46</f>
        <v>19.416951000000001</v>
      </c>
      <c r="E246" s="343">
        <f>'Sales Forecast'!W46</f>
        <v>21.328130999999999</v>
      </c>
      <c r="F246" s="343">
        <f>'Sales Forecast'!X46</f>
        <v>20.552119999999999</v>
      </c>
      <c r="G246" s="343">
        <f>'Sales Forecast'!Y46</f>
        <v>19.261130999999999</v>
      </c>
      <c r="H246" s="343">
        <f>'Sales Forecast'!Z46</f>
        <v>18.830874999999999</v>
      </c>
      <c r="I246" s="343">
        <f>'Sales Forecast'!AA46</f>
        <v>16.663730409218154</v>
      </c>
      <c r="J246" s="343">
        <f>'Sales Forecast'!AB46</f>
        <v>17.244830850082625</v>
      </c>
      <c r="K246" s="343">
        <f>'Sales Forecast'!AC46</f>
        <v>15.672329835945179</v>
      </c>
      <c r="L246" s="343">
        <f>'Sales Forecast'!AD46</f>
        <v>14.565935357373281</v>
      </c>
      <c r="M246" s="343">
        <f>'Sales Forecast'!AE46</f>
        <v>13.996672261448612</v>
      </c>
      <c r="N246" s="343">
        <f>'Sales Forecast'!AF46</f>
        <v>12.836164650262095</v>
      </c>
      <c r="O246" s="343">
        <f t="shared" si="62"/>
        <v>208.45106136432997</v>
      </c>
    </row>
    <row r="247" spans="2:16" s="532" customFormat="1" x14ac:dyDescent="0.3">
      <c r="B247" s="507" t="s">
        <v>893</v>
      </c>
      <c r="C247" s="343">
        <f>'Sales Forecast'!U47</f>
        <v>2.1974529999999999</v>
      </c>
      <c r="D247" s="343">
        <f>'Sales Forecast'!V47</f>
        <v>2.9579749999999998</v>
      </c>
      <c r="E247" s="343">
        <f>'Sales Forecast'!W47</f>
        <v>3.2539959999999999</v>
      </c>
      <c r="F247" s="343">
        <f>'Sales Forecast'!X47</f>
        <v>2.9993599999999998</v>
      </c>
      <c r="G247" s="343">
        <f>'Sales Forecast'!Y47</f>
        <v>2.8924799999999999</v>
      </c>
      <c r="H247" s="343">
        <f>'Sales Forecast'!Z47</f>
        <v>2.8831820000000001</v>
      </c>
      <c r="I247" s="343">
        <f>'Sales Forecast'!AA47</f>
        <v>2.6931514232156322</v>
      </c>
      <c r="J247" s="343">
        <f>'Sales Forecast'!AB47</f>
        <v>2.9805748688723228</v>
      </c>
      <c r="K247" s="343">
        <f>'Sales Forecast'!AC47</f>
        <v>2.6813509488714451</v>
      </c>
      <c r="L247" s="343">
        <f>'Sales Forecast'!AD47</f>
        <v>2.3631004919620482</v>
      </c>
      <c r="M247" s="343">
        <f>'Sales Forecast'!AE47</f>
        <v>2.2191007738865736</v>
      </c>
      <c r="N247" s="343">
        <f>'Sales Forecast'!AF47</f>
        <v>1.9996002218237159</v>
      </c>
      <c r="O247" s="343">
        <f t="shared" si="62"/>
        <v>32.121324728631734</v>
      </c>
    </row>
    <row r="248" spans="2:16" s="532" customFormat="1" x14ac:dyDescent="0.3">
      <c r="B248" s="507" t="s">
        <v>1705</v>
      </c>
      <c r="C248" s="343">
        <f>'Sales Forecast'!U48</f>
        <v>0.225715</v>
      </c>
      <c r="D248" s="343">
        <f>'Sales Forecast'!V48</f>
        <v>0.226831</v>
      </c>
      <c r="E248" s="343">
        <f>'Sales Forecast'!W48</f>
        <v>0.24124399999999999</v>
      </c>
      <c r="F248" s="343">
        <f>'Sales Forecast'!X48</f>
        <v>0.21940999999999999</v>
      </c>
      <c r="G248" s="343">
        <f>'Sales Forecast'!Y48</f>
        <v>0.21296599999999999</v>
      </c>
      <c r="H248" s="343">
        <f>'Sales Forecast'!Z48</f>
        <v>0.195049</v>
      </c>
      <c r="I248" s="343">
        <f>'Sales Forecast'!AA48</f>
        <v>0.20544542610604047</v>
      </c>
      <c r="J248" s="343">
        <f>'Sales Forecast'!AB48</f>
        <v>0.2289852733787876</v>
      </c>
      <c r="K248" s="343">
        <f>'Sales Forecast'!AC48</f>
        <v>0.2286183251737208</v>
      </c>
      <c r="L248" s="343">
        <f>'Sales Forecast'!AD48</f>
        <v>0.21654980642930272</v>
      </c>
      <c r="M248" s="343">
        <f>'Sales Forecast'!AE48</f>
        <v>0.19622375389374172</v>
      </c>
      <c r="N248" s="343">
        <f>'Sales Forecast'!AF48</f>
        <v>0.17468413409175074</v>
      </c>
      <c r="O248" s="343">
        <f t="shared" si="62"/>
        <v>2.5717217190733441</v>
      </c>
    </row>
    <row r="249" spans="2:16" s="532" customFormat="1" ht="28" x14ac:dyDescent="0.3">
      <c r="B249" s="507" t="s">
        <v>1706</v>
      </c>
      <c r="C249" s="343">
        <f>'Sales Forecast'!U49</f>
        <v>2.3998979999999999</v>
      </c>
      <c r="D249" s="343">
        <f>'Sales Forecast'!V49</f>
        <v>2.6586859999999999</v>
      </c>
      <c r="E249" s="343">
        <f>'Sales Forecast'!W49</f>
        <v>2.8057539999999999</v>
      </c>
      <c r="F249" s="343">
        <f>'Sales Forecast'!X49</f>
        <v>2.5216789999999998</v>
      </c>
      <c r="G249" s="343">
        <f>'Sales Forecast'!Y49</f>
        <v>2.3740070000000002</v>
      </c>
      <c r="H249" s="343">
        <f>'Sales Forecast'!Z49</f>
        <v>2.4074390000000001</v>
      </c>
      <c r="I249" s="343">
        <f>'Sales Forecast'!AA49</f>
        <v>2.3005963004811347</v>
      </c>
      <c r="J249" s="343">
        <f>'Sales Forecast'!AB49</f>
        <v>2.5095420800987469</v>
      </c>
      <c r="K249" s="343">
        <f>'Sales Forecast'!AC49</f>
        <v>2.208209500318393</v>
      </c>
      <c r="L249" s="343">
        <f>'Sales Forecast'!AD49</f>
        <v>1.9312057230221249</v>
      </c>
      <c r="M249" s="343">
        <f>'Sales Forecast'!AE49</f>
        <v>1.9475363011702409</v>
      </c>
      <c r="N249" s="343">
        <f>'Sales Forecast'!AF49</f>
        <v>1.7192632196650577</v>
      </c>
      <c r="O249" s="343">
        <f t="shared" si="62"/>
        <v>27.783816124755699</v>
      </c>
    </row>
    <row r="250" spans="2:16" s="532" customFormat="1" x14ac:dyDescent="0.3">
      <c r="B250" s="507" t="s">
        <v>1707</v>
      </c>
      <c r="C250" s="343">
        <f>'Sales Forecast'!U50</f>
        <v>15.423522999999999</v>
      </c>
      <c r="D250" s="343">
        <f>'Sales Forecast'!V50</f>
        <v>15.898403999999999</v>
      </c>
      <c r="E250" s="343">
        <f>'Sales Forecast'!W50</f>
        <v>17.247337000000002</v>
      </c>
      <c r="F250" s="343">
        <f>'Sales Forecast'!X50</f>
        <v>17.113676000000002</v>
      </c>
      <c r="G250" s="343">
        <f>'Sales Forecast'!Y50</f>
        <v>18.289261</v>
      </c>
      <c r="H250" s="343">
        <f>'Sales Forecast'!Z50</f>
        <v>17.378643</v>
      </c>
      <c r="I250" s="343">
        <f>'Sales Forecast'!AA50</f>
        <v>15.26433941591025</v>
      </c>
      <c r="J250" s="343">
        <f>'Sales Forecast'!AB50</f>
        <v>16.246422986660292</v>
      </c>
      <c r="K250" s="343">
        <f>'Sales Forecast'!AC50</f>
        <v>14.820197282102916</v>
      </c>
      <c r="L250" s="343">
        <f>'Sales Forecast'!AD50</f>
        <v>13.901335509554004</v>
      </c>
      <c r="M250" s="343">
        <f>'Sales Forecast'!AE50</f>
        <v>13.044793973217496</v>
      </c>
      <c r="N250" s="343">
        <f>'Sales Forecast'!AF50</f>
        <v>11.382958178872272</v>
      </c>
      <c r="O250" s="343">
        <f t="shared" si="62"/>
        <v>186.01089134631724</v>
      </c>
    </row>
    <row r="251" spans="2:16" x14ac:dyDescent="0.3">
      <c r="B251" s="1057" t="s">
        <v>1704</v>
      </c>
      <c r="C251" s="343">
        <f>'Sales Forecast'!U51</f>
        <v>0</v>
      </c>
      <c r="D251" s="343">
        <f>'Sales Forecast'!V51</f>
        <v>0</v>
      </c>
      <c r="E251" s="343">
        <f>'Sales Forecast'!W51</f>
        <v>0</v>
      </c>
      <c r="F251" s="343">
        <f>'Sales Forecast'!X51</f>
        <v>0</v>
      </c>
      <c r="G251" s="343">
        <f>'Sales Forecast'!Y51</f>
        <v>0</v>
      </c>
      <c r="H251" s="343">
        <f>'Sales Forecast'!Z51</f>
        <v>0</v>
      </c>
      <c r="I251" s="343">
        <f>'Sales Forecast'!AA51</f>
        <v>0</v>
      </c>
      <c r="J251" s="343">
        <f>'Sales Forecast'!AB51</f>
        <v>0</v>
      </c>
      <c r="K251" s="343">
        <f>'Sales Forecast'!AC51</f>
        <v>0</v>
      </c>
      <c r="L251" s="343">
        <f>'Sales Forecast'!AD51</f>
        <v>0</v>
      </c>
      <c r="M251" s="343">
        <f>'Sales Forecast'!AE51</f>
        <v>0</v>
      </c>
      <c r="N251" s="343">
        <f>'Sales Forecast'!AF51</f>
        <v>0</v>
      </c>
      <c r="O251" s="343">
        <f t="shared" si="62"/>
        <v>0</v>
      </c>
      <c r="P251" s="532"/>
    </row>
    <row r="252" spans="2:16" x14ac:dyDescent="0.3">
      <c r="B252" s="343"/>
      <c r="C252" s="343"/>
      <c r="D252" s="343"/>
      <c r="E252" s="343"/>
      <c r="F252" s="343"/>
      <c r="G252" s="343"/>
      <c r="H252" s="343"/>
      <c r="I252" s="343"/>
      <c r="J252" s="343"/>
      <c r="K252" s="343"/>
      <c r="L252" s="343"/>
      <c r="M252" s="343"/>
      <c r="N252" s="489"/>
      <c r="O252" s="343"/>
      <c r="P252" s="532"/>
    </row>
    <row r="253" spans="2:16" x14ac:dyDescent="0.3">
      <c r="B253" s="1588" t="s">
        <v>416</v>
      </c>
      <c r="C253" s="349">
        <f>SUM(C245:C251)</f>
        <v>51.470028999999997</v>
      </c>
      <c r="D253" s="349">
        <f t="shared" ref="D253" si="63">SUM(D245:D251)</f>
        <v>55.549565999999999</v>
      </c>
      <c r="E253" s="349">
        <f t="shared" ref="E253:N253" si="64">SUM(E245:E251)</f>
        <v>60.052367000000004</v>
      </c>
      <c r="F253" s="349">
        <f t="shared" si="64"/>
        <v>58.170913000000013</v>
      </c>
      <c r="G253" s="349">
        <f t="shared" si="64"/>
        <v>57.503102999999996</v>
      </c>
      <c r="H253" s="349">
        <f t="shared" si="64"/>
        <v>56.133599999999987</v>
      </c>
      <c r="I253" s="349">
        <f t="shared" si="64"/>
        <v>52.838505038509609</v>
      </c>
      <c r="J253" s="349">
        <f t="shared" si="64"/>
        <v>59.187630975880673</v>
      </c>
      <c r="K253" s="349">
        <f t="shared" si="64"/>
        <v>54.035553917037483</v>
      </c>
      <c r="L253" s="349">
        <f t="shared" si="64"/>
        <v>50.296573330889643</v>
      </c>
      <c r="M253" s="349">
        <f t="shared" si="64"/>
        <v>48.451740735089317</v>
      </c>
      <c r="N253" s="349">
        <f t="shared" si="64"/>
        <v>43.637940643064674</v>
      </c>
      <c r="O253" s="349">
        <f>SUM(C253:N253)</f>
        <v>647.32752264047133</v>
      </c>
      <c r="P253" s="532"/>
    </row>
    <row r="254" spans="2:16" x14ac:dyDescent="0.3">
      <c r="B254" s="343"/>
      <c r="C254" s="343"/>
      <c r="D254" s="343"/>
      <c r="E254" s="343"/>
      <c r="F254" s="343"/>
      <c r="G254" s="343"/>
      <c r="H254" s="343"/>
      <c r="I254" s="343"/>
      <c r="J254" s="343"/>
      <c r="K254" s="343"/>
      <c r="L254" s="343"/>
      <c r="M254" s="343"/>
      <c r="N254" s="489"/>
      <c r="O254" s="343"/>
      <c r="P254" s="532"/>
    </row>
    <row r="255" spans="2:16" s="425" customFormat="1" x14ac:dyDescent="0.3">
      <c r="B255" s="458" t="s">
        <v>294</v>
      </c>
      <c r="C255" s="343"/>
      <c r="D255" s="343"/>
      <c r="E255" s="343"/>
      <c r="F255" s="343"/>
      <c r="G255" s="343"/>
      <c r="H255" s="343"/>
      <c r="I255" s="343"/>
      <c r="J255" s="343"/>
      <c r="K255" s="343"/>
      <c r="L255" s="343"/>
      <c r="M255" s="343"/>
      <c r="N255" s="489"/>
      <c r="O255" s="343">
        <f t="shared" ref="O255:O271" si="65">SUM(C255:N255)</f>
        <v>0</v>
      </c>
      <c r="P255" s="532"/>
    </row>
    <row r="256" spans="2:16" s="425" customFormat="1" x14ac:dyDescent="0.3">
      <c r="B256" s="344" t="s">
        <v>898</v>
      </c>
      <c r="C256" s="343">
        <f>'Sales Forecast'!U56</f>
        <v>1.555E-3</v>
      </c>
      <c r="D256" s="343">
        <f>'Sales Forecast'!V56</f>
        <v>1.6069999999999999E-3</v>
      </c>
      <c r="E256" s="343">
        <f>'Sales Forecast'!W56</f>
        <v>1.3990000000000001E-3</v>
      </c>
      <c r="F256" s="343">
        <f>'Sales Forecast'!X56</f>
        <v>1.2279999999999999E-3</v>
      </c>
      <c r="G256" s="343">
        <f>'Sales Forecast'!Y56</f>
        <v>1.7619999999999999E-3</v>
      </c>
      <c r="H256" s="343">
        <f>'Sales Forecast'!Z56</f>
        <v>1.575E-3</v>
      </c>
      <c r="I256" s="343">
        <f>'Sales Forecast'!AA56</f>
        <v>3.9576187034839816E-3</v>
      </c>
      <c r="J256" s="343">
        <f>'Sales Forecast'!AB56</f>
        <v>4.4119007658289288E-3</v>
      </c>
      <c r="K256" s="343">
        <f>'Sales Forecast'!AC56</f>
        <v>4.9429628950490769E-3</v>
      </c>
      <c r="L256" s="343">
        <f>'Sales Forecast'!AD56</f>
        <v>4.6191085104088005E-3</v>
      </c>
      <c r="M256" s="343">
        <f>'Sales Forecast'!AE56</f>
        <v>3.851307841656779E-3</v>
      </c>
      <c r="N256" s="343">
        <f>'Sales Forecast'!AF56</f>
        <v>5.0891403300614814E-3</v>
      </c>
      <c r="O256" s="343">
        <f t="shared" si="65"/>
        <v>3.5998039046489051E-2</v>
      </c>
      <c r="P256" s="532"/>
    </row>
    <row r="257" spans="2:16" s="425" customFormat="1" x14ac:dyDescent="0.3">
      <c r="B257" s="1156" t="s">
        <v>899</v>
      </c>
      <c r="C257" s="343">
        <f>'Sales Forecast'!U57</f>
        <v>0</v>
      </c>
      <c r="D257" s="343">
        <f>'Sales Forecast'!V57</f>
        <v>0</v>
      </c>
      <c r="E257" s="343">
        <f>'Sales Forecast'!W57</f>
        <v>0</v>
      </c>
      <c r="F257" s="343">
        <f>'Sales Forecast'!X57</f>
        <v>0</v>
      </c>
      <c r="G257" s="343">
        <f>'Sales Forecast'!Y57</f>
        <v>0</v>
      </c>
      <c r="H257" s="343">
        <f>'Sales Forecast'!Z57</f>
        <v>0</v>
      </c>
      <c r="I257" s="343">
        <f>'Sales Forecast'!AA57</f>
        <v>0</v>
      </c>
      <c r="J257" s="343">
        <f>'Sales Forecast'!AB57</f>
        <v>0</v>
      </c>
      <c r="K257" s="343">
        <f>'Sales Forecast'!AC57</f>
        <v>0</v>
      </c>
      <c r="L257" s="343">
        <f>'Sales Forecast'!AD57</f>
        <v>0</v>
      </c>
      <c r="M257" s="343">
        <f>'Sales Forecast'!AE57</f>
        <v>0</v>
      </c>
      <c r="N257" s="343">
        <f>'Sales Forecast'!AF57</f>
        <v>0</v>
      </c>
      <c r="O257" s="343">
        <f t="shared" si="65"/>
        <v>0</v>
      </c>
      <c r="P257" s="532"/>
    </row>
    <row r="258" spans="2:16" s="425" customFormat="1" x14ac:dyDescent="0.3">
      <c r="B258" s="344" t="s">
        <v>900</v>
      </c>
      <c r="C258" s="343">
        <f>'Sales Forecast'!U58</f>
        <v>63.666454481000009</v>
      </c>
      <c r="D258" s="343">
        <f>'Sales Forecast'!V58</f>
        <v>64.745678942500007</v>
      </c>
      <c r="E258" s="343">
        <f>'Sales Forecast'!W58</f>
        <v>63.404059331000006</v>
      </c>
      <c r="F258" s="343">
        <f>'Sales Forecast'!X58</f>
        <v>63.850449325</v>
      </c>
      <c r="G258" s="343">
        <f>'Sales Forecast'!Y58</f>
        <v>64.132978666000014</v>
      </c>
      <c r="H258" s="343">
        <f>'Sales Forecast'!Z58</f>
        <v>64.266508304500007</v>
      </c>
      <c r="I258" s="343">
        <f>'Sales Forecast'!AA58</f>
        <v>65.422662586818262</v>
      </c>
      <c r="J258" s="343">
        <f>'Sales Forecast'!AB58</f>
        <v>65.124504485694516</v>
      </c>
      <c r="K258" s="343">
        <f>'Sales Forecast'!AC58</f>
        <v>64.108006751159508</v>
      </c>
      <c r="L258" s="343">
        <f>'Sales Forecast'!AD58</f>
        <v>62.292338307148441</v>
      </c>
      <c r="M258" s="343">
        <f>'Sales Forecast'!AE58</f>
        <v>58.073602440153977</v>
      </c>
      <c r="N258" s="343">
        <f>'Sales Forecast'!AF58</f>
        <v>60.74841310342179</v>
      </c>
      <c r="O258" s="343">
        <f t="shared" si="65"/>
        <v>759.83565672439647</v>
      </c>
      <c r="P258" s="532"/>
    </row>
    <row r="259" spans="2:16" s="425" customFormat="1" x14ac:dyDescent="0.3">
      <c r="B259" s="344" t="s">
        <v>901</v>
      </c>
      <c r="C259" s="343">
        <f>'Sales Forecast'!U59</f>
        <v>63.345947268000003</v>
      </c>
      <c r="D259" s="343">
        <f>'Sales Forecast'!V59</f>
        <v>73.775059900499997</v>
      </c>
      <c r="E259" s="343">
        <f>'Sales Forecast'!W59</f>
        <v>66.938677067000015</v>
      </c>
      <c r="F259" s="343">
        <f>'Sales Forecast'!X59</f>
        <v>63.205166037000005</v>
      </c>
      <c r="G259" s="343">
        <f>'Sales Forecast'!Y59</f>
        <v>62.411688779000002</v>
      </c>
      <c r="H259" s="343">
        <f>'Sales Forecast'!Z59</f>
        <v>62.382290184500008</v>
      </c>
      <c r="I259" s="343">
        <f>'Sales Forecast'!AA59</f>
        <v>72.378975954634043</v>
      </c>
      <c r="J259" s="343">
        <f>'Sales Forecast'!AB59</f>
        <v>71.870685372969604</v>
      </c>
      <c r="K259" s="343">
        <f>'Sales Forecast'!AC59</f>
        <v>62.874605759340312</v>
      </c>
      <c r="L259" s="343">
        <f>'Sales Forecast'!AD59</f>
        <v>50.540663582713378</v>
      </c>
      <c r="M259" s="343">
        <f>'Sales Forecast'!AE59</f>
        <v>36.25222486509184</v>
      </c>
      <c r="N259" s="343">
        <f>'Sales Forecast'!AF59</f>
        <v>44.854614610004532</v>
      </c>
      <c r="O259" s="343">
        <f t="shared" si="65"/>
        <v>730.83059938075382</v>
      </c>
      <c r="P259" s="532"/>
    </row>
    <row r="260" spans="2:16" s="425" customFormat="1" x14ac:dyDescent="0.3">
      <c r="B260" s="344" t="s">
        <v>902</v>
      </c>
      <c r="C260" s="343">
        <f>'Sales Forecast'!U60</f>
        <v>21.409571292000003</v>
      </c>
      <c r="D260" s="343">
        <f>'Sales Forecast'!V60</f>
        <v>31.012495954000002</v>
      </c>
      <c r="E260" s="343">
        <f>'Sales Forecast'!W60</f>
        <v>26.376210812500002</v>
      </c>
      <c r="F260" s="343">
        <f>'Sales Forecast'!X60</f>
        <v>19.947489097500004</v>
      </c>
      <c r="G260" s="343">
        <f>'Sales Forecast'!Y60</f>
        <v>18.540155159499999</v>
      </c>
      <c r="H260" s="343">
        <f>'Sales Forecast'!Z60</f>
        <v>18.643782494000003</v>
      </c>
      <c r="I260" s="343">
        <f>'Sales Forecast'!AA60</f>
        <v>24.997310064828472</v>
      </c>
      <c r="J260" s="343">
        <f>'Sales Forecast'!AB60</f>
        <v>26.68396192131334</v>
      </c>
      <c r="K260" s="343">
        <f>'Sales Forecast'!AC60</f>
        <v>19.791361698810231</v>
      </c>
      <c r="L260" s="343">
        <f>'Sales Forecast'!AD60</f>
        <v>14.13529180889873</v>
      </c>
      <c r="M260" s="343">
        <f>'Sales Forecast'!AE60</f>
        <v>8.3829591882129293</v>
      </c>
      <c r="N260" s="343">
        <f>'Sales Forecast'!AF60</f>
        <v>10.910169277469372</v>
      </c>
      <c r="O260" s="343">
        <f t="shared" si="65"/>
        <v>240.83075876903308</v>
      </c>
      <c r="P260" s="532"/>
    </row>
    <row r="261" spans="2:16" s="425" customFormat="1" x14ac:dyDescent="0.3">
      <c r="B261" s="344" t="s">
        <v>903</v>
      </c>
      <c r="C261" s="343">
        <f>'Sales Forecast'!U61</f>
        <v>34.569378258</v>
      </c>
      <c r="D261" s="343">
        <f>'Sales Forecast'!V61</f>
        <v>49.583089559000008</v>
      </c>
      <c r="E261" s="343">
        <f>'Sales Forecast'!W61</f>
        <v>41.845794413500002</v>
      </c>
      <c r="F261" s="343">
        <f>'Sales Forecast'!X61</f>
        <v>32.103945252500004</v>
      </c>
      <c r="G261" s="343">
        <f>'Sales Forecast'!Y61</f>
        <v>32.980160596499999</v>
      </c>
      <c r="H261" s="343">
        <f>'Sales Forecast'!Z61</f>
        <v>32.257817863</v>
      </c>
      <c r="I261" s="343">
        <f>'Sales Forecast'!AA61</f>
        <v>37.716995893197456</v>
      </c>
      <c r="J261" s="343">
        <f>'Sales Forecast'!AB61</f>
        <v>41.471740197840766</v>
      </c>
      <c r="K261" s="343">
        <f>'Sales Forecast'!AC61</f>
        <v>32.969774122620215</v>
      </c>
      <c r="L261" s="343">
        <f>'Sales Forecast'!AD61</f>
        <v>25.350227370282955</v>
      </c>
      <c r="M261" s="343">
        <f>'Sales Forecast'!AE61</f>
        <v>18.996923521885325</v>
      </c>
      <c r="N261" s="343">
        <f>'Sales Forecast'!AF61</f>
        <v>20.818416359899924</v>
      </c>
      <c r="O261" s="343">
        <f t="shared" si="65"/>
        <v>400.66426340822659</v>
      </c>
      <c r="P261" s="532"/>
    </row>
    <row r="262" spans="2:16" s="425" customFormat="1" x14ac:dyDescent="0.3">
      <c r="B262" s="507" t="s">
        <v>904</v>
      </c>
      <c r="C262" s="343">
        <f>'Sales Forecast'!U62</f>
        <v>70.727204509499998</v>
      </c>
      <c r="D262" s="343">
        <f>'Sales Forecast'!V62</f>
        <v>80.974503078699996</v>
      </c>
      <c r="E262" s="343">
        <f>'Sales Forecast'!W62</f>
        <v>74.305773534300002</v>
      </c>
      <c r="F262" s="343">
        <f>'Sales Forecast'!X62</f>
        <v>68.970020865899997</v>
      </c>
      <c r="G262" s="343">
        <f>'Sales Forecast'!Y62</f>
        <v>69.046336081799993</v>
      </c>
      <c r="H262" s="343">
        <f>'Sales Forecast'!Z62</f>
        <v>70.137683916299991</v>
      </c>
      <c r="I262" s="343">
        <f>'Sales Forecast'!AA62</f>
        <v>76.894965566234248</v>
      </c>
      <c r="J262" s="343">
        <f>'Sales Forecast'!AB62</f>
        <v>76.985373790937913</v>
      </c>
      <c r="K262" s="343">
        <f>'Sales Forecast'!AC62</f>
        <v>69.862229868743441</v>
      </c>
      <c r="L262" s="343">
        <f>'Sales Forecast'!AD62</f>
        <v>62.51323577518891</v>
      </c>
      <c r="M262" s="343">
        <f>'Sales Forecast'!AE62</f>
        <v>53.130591743758309</v>
      </c>
      <c r="N262" s="343">
        <f>'Sales Forecast'!AF62</f>
        <v>60.133835165747549</v>
      </c>
      <c r="O262" s="343">
        <f t="shared" si="65"/>
        <v>833.6817538971103</v>
      </c>
      <c r="P262" s="532"/>
    </row>
    <row r="263" spans="2:16" s="425" customFormat="1" ht="28" x14ac:dyDescent="0.3">
      <c r="B263" s="507" t="s">
        <v>1708</v>
      </c>
      <c r="C263" s="343">
        <f>'Sales Forecast'!U63</f>
        <v>14.911695822099999</v>
      </c>
      <c r="D263" s="343">
        <f>'Sales Forecast'!V63</f>
        <v>15.868287388799999</v>
      </c>
      <c r="E263" s="343">
        <f>'Sales Forecast'!W63</f>
        <v>16.935230735499999</v>
      </c>
      <c r="F263" s="343">
        <f>'Sales Forecast'!X63</f>
        <v>15.7225504128</v>
      </c>
      <c r="G263" s="343">
        <f>'Sales Forecast'!Y63</f>
        <v>14.169852450599999</v>
      </c>
      <c r="H263" s="343">
        <f>'Sales Forecast'!Z63</f>
        <v>14.159100717299999</v>
      </c>
      <c r="I263" s="343">
        <f>'Sales Forecast'!AA63</f>
        <v>14.036350735233503</v>
      </c>
      <c r="J263" s="343">
        <f>'Sales Forecast'!AB63</f>
        <v>16.121693630960131</v>
      </c>
      <c r="K263" s="343">
        <f>'Sales Forecast'!AC63</f>
        <v>14.199321513771496</v>
      </c>
      <c r="L263" s="343">
        <f>'Sales Forecast'!AD63</f>
        <v>12.854231207344457</v>
      </c>
      <c r="M263" s="343">
        <f>'Sales Forecast'!AE63</f>
        <v>11.978754483673393</v>
      </c>
      <c r="N263" s="343">
        <f>'Sales Forecast'!AF63</f>
        <v>11.285974413652829</v>
      </c>
      <c r="O263" s="343">
        <f t="shared" si="65"/>
        <v>172.24304351173583</v>
      </c>
      <c r="P263" s="532"/>
    </row>
    <row r="264" spans="2:16" s="425" customFormat="1" ht="28" x14ac:dyDescent="0.3">
      <c r="B264" s="507" t="s">
        <v>1709</v>
      </c>
      <c r="C264" s="343">
        <f>'Sales Forecast'!U64</f>
        <v>30.147994000000001</v>
      </c>
      <c r="D264" s="343">
        <f>'Sales Forecast'!V64</f>
        <v>32.767401</v>
      </c>
      <c r="E264" s="343">
        <f>'Sales Forecast'!W64</f>
        <v>35.315922999999998</v>
      </c>
      <c r="F264" s="343">
        <f>'Sales Forecast'!X64</f>
        <v>32.943264999999997</v>
      </c>
      <c r="G264" s="343">
        <f>'Sales Forecast'!Y64</f>
        <v>30.200312</v>
      </c>
      <c r="H264" s="343">
        <f>'Sales Forecast'!Z64</f>
        <v>30.420096000000001</v>
      </c>
      <c r="I264" s="343">
        <f>'Sales Forecast'!AA64</f>
        <v>28.937710695102741</v>
      </c>
      <c r="J264" s="343">
        <f>'Sales Forecast'!AB64</f>
        <v>33.47249359298187</v>
      </c>
      <c r="K264" s="343">
        <f>'Sales Forecast'!AC64</f>
        <v>29.518267418991297</v>
      </c>
      <c r="L264" s="343">
        <f>'Sales Forecast'!AD64</f>
        <v>26.411988244099156</v>
      </c>
      <c r="M264" s="343">
        <f>'Sales Forecast'!AE64</f>
        <v>24.90639315380696</v>
      </c>
      <c r="N264" s="343">
        <f>'Sales Forecast'!AF64</f>
        <v>23.192545059551655</v>
      </c>
      <c r="O264" s="343">
        <f t="shared" si="65"/>
        <v>358.2343891645337</v>
      </c>
      <c r="P264" s="532"/>
    </row>
    <row r="265" spans="2:16" s="425" customFormat="1" x14ac:dyDescent="0.3">
      <c r="B265" s="507" t="s">
        <v>908</v>
      </c>
      <c r="C265" s="343">
        <f>'Sales Forecast'!U65</f>
        <v>8.1939659999999996</v>
      </c>
      <c r="D265" s="343">
        <f>'Sales Forecast'!V65</f>
        <v>8.8921720000000004</v>
      </c>
      <c r="E265" s="343">
        <f>'Sales Forecast'!W65</f>
        <v>8.0106610000000007</v>
      </c>
      <c r="F265" s="343">
        <f>'Sales Forecast'!X65</f>
        <v>8.343629</v>
      </c>
      <c r="G265" s="343">
        <f>'Sales Forecast'!Y65</f>
        <v>8.8732399999999991</v>
      </c>
      <c r="H265" s="343">
        <f>'Sales Forecast'!Z65</f>
        <v>8.9088460000000005</v>
      </c>
      <c r="I265" s="343">
        <f>'Sales Forecast'!AA65</f>
        <v>9.4406769316606987</v>
      </c>
      <c r="J265" s="343">
        <f>'Sales Forecast'!AB65</f>
        <v>9.6176372381018123</v>
      </c>
      <c r="K265" s="343">
        <f>'Sales Forecast'!AC65</f>
        <v>9.0226297119287793</v>
      </c>
      <c r="L265" s="343">
        <f>'Sales Forecast'!AD65</f>
        <v>8.6399447407953609</v>
      </c>
      <c r="M265" s="343">
        <f>'Sales Forecast'!AE65</f>
        <v>8.7017791916651408</v>
      </c>
      <c r="N265" s="343">
        <f>'Sales Forecast'!AF65</f>
        <v>9.0940750897378102</v>
      </c>
      <c r="O265" s="343">
        <f t="shared" si="65"/>
        <v>105.7392569038896</v>
      </c>
      <c r="P265" s="532"/>
    </row>
    <row r="266" spans="2:16" s="425" customFormat="1" x14ac:dyDescent="0.3">
      <c r="B266" s="507" t="s">
        <v>1594</v>
      </c>
      <c r="C266" s="343">
        <f>'Sales Forecast'!U66</f>
        <v>6.963355</v>
      </c>
      <c r="D266" s="343">
        <f>'Sales Forecast'!V66</f>
        <v>6.8979689999999998</v>
      </c>
      <c r="E266" s="343">
        <f>'Sales Forecast'!W66</f>
        <v>7.0801959999999999</v>
      </c>
      <c r="F266" s="343">
        <f>'Sales Forecast'!X66</f>
        <v>6.8399150000000004</v>
      </c>
      <c r="G266" s="343">
        <f>'Sales Forecast'!Y66</f>
        <v>6.6852729999999996</v>
      </c>
      <c r="H266" s="343">
        <f>'Sales Forecast'!Z66</f>
        <v>6.6050880000000003</v>
      </c>
      <c r="I266" s="343">
        <f>'Sales Forecast'!AA66</f>
        <v>6.5835935223922322</v>
      </c>
      <c r="J266" s="343">
        <f>'Sales Forecast'!AB66</f>
        <v>7.3093487309523058</v>
      </c>
      <c r="K266" s="343">
        <f>'Sales Forecast'!AC66</f>
        <v>6.364912664709812</v>
      </c>
      <c r="L266" s="343">
        <f>'Sales Forecast'!AD66</f>
        <v>6.6479934324208294</v>
      </c>
      <c r="M266" s="343">
        <f>'Sales Forecast'!AE66</f>
        <v>6.1142830520131346</v>
      </c>
      <c r="N266" s="343">
        <f>'Sales Forecast'!AF66</f>
        <v>5.7151567138077377</v>
      </c>
      <c r="O266" s="343">
        <f t="shared" si="65"/>
        <v>79.807084116296068</v>
      </c>
      <c r="P266" s="532"/>
    </row>
    <row r="267" spans="2:16" s="425" customFormat="1" ht="28" x14ac:dyDescent="0.3">
      <c r="B267" s="507" t="s">
        <v>1710</v>
      </c>
      <c r="C267" s="343">
        <f>'Sales Forecast'!U67</f>
        <v>5.1079439999999998</v>
      </c>
      <c r="D267" s="343">
        <f>'Sales Forecast'!V67</f>
        <v>5.6684390000000002</v>
      </c>
      <c r="E267" s="343">
        <f>'Sales Forecast'!W67</f>
        <v>5.7215610000000003</v>
      </c>
      <c r="F267" s="343">
        <f>'Sales Forecast'!X67</f>
        <v>5.4936629999999997</v>
      </c>
      <c r="G267" s="343">
        <f>'Sales Forecast'!Y67</f>
        <v>5.3757029999999997</v>
      </c>
      <c r="H267" s="343">
        <f>'Sales Forecast'!Z67</f>
        <v>5.3172230000000003</v>
      </c>
      <c r="I267" s="343">
        <f>'Sales Forecast'!AA67</f>
        <v>5.2614319081163972</v>
      </c>
      <c r="J267" s="343">
        <f>'Sales Forecast'!AB67</f>
        <v>5.8138448832831502</v>
      </c>
      <c r="K267" s="343">
        <f>'Sales Forecast'!AC67</f>
        <v>4.9758695748860697</v>
      </c>
      <c r="L267" s="343">
        <f>'Sales Forecast'!AD67</f>
        <v>4.4465071526999704</v>
      </c>
      <c r="M267" s="343">
        <f>'Sales Forecast'!AE67</f>
        <v>4.2250458685535595</v>
      </c>
      <c r="N267" s="343">
        <f>'Sales Forecast'!AF67</f>
        <v>3.9900501605198913</v>
      </c>
      <c r="O267" s="343">
        <f t="shared" si="65"/>
        <v>61.397282548059046</v>
      </c>
      <c r="P267" s="532"/>
    </row>
    <row r="268" spans="2:16" s="425" customFormat="1" x14ac:dyDescent="0.3">
      <c r="B268" s="507" t="s">
        <v>1596</v>
      </c>
      <c r="C268" s="343">
        <f>'Sales Forecast'!U68</f>
        <v>15.789392400000001</v>
      </c>
      <c r="D268" s="343">
        <f>'Sales Forecast'!V68</f>
        <v>16.391738199999999</v>
      </c>
      <c r="E268" s="343">
        <f>'Sales Forecast'!W68</f>
        <v>16.6137759</v>
      </c>
      <c r="F268" s="343">
        <f>'Sales Forecast'!X68</f>
        <v>16.142716</v>
      </c>
      <c r="G268" s="343">
        <f>'Sales Forecast'!Y68</f>
        <v>15.6557584</v>
      </c>
      <c r="H268" s="343">
        <f>'Sales Forecast'!Z68</f>
        <v>15.598434300000001</v>
      </c>
      <c r="I268" s="343">
        <f>'Sales Forecast'!AA68</f>
        <v>15.147769029841001</v>
      </c>
      <c r="J268" s="343">
        <f>'Sales Forecast'!AB68</f>
        <v>16.66373456308645</v>
      </c>
      <c r="K268" s="343">
        <f>'Sales Forecast'!AC68</f>
        <v>14.161420423622149</v>
      </c>
      <c r="L268" s="343">
        <f>'Sales Forecast'!AD68</f>
        <v>13.117746421184263</v>
      </c>
      <c r="M268" s="343">
        <f>'Sales Forecast'!AE68</f>
        <v>12.233085157671706</v>
      </c>
      <c r="N268" s="343">
        <f>'Sales Forecast'!AF68</f>
        <v>11.304297185207398</v>
      </c>
      <c r="O268" s="343">
        <f t="shared" si="65"/>
        <v>178.81986798061297</v>
      </c>
      <c r="P268" s="532"/>
    </row>
    <row r="269" spans="2:16" s="425" customFormat="1" x14ac:dyDescent="0.3">
      <c r="B269" s="507" t="s">
        <v>1597</v>
      </c>
      <c r="C269" s="343"/>
      <c r="D269" s="343"/>
      <c r="E269" s="343"/>
      <c r="F269" s="343"/>
      <c r="G269" s="343"/>
      <c r="H269" s="343"/>
      <c r="I269" s="343"/>
      <c r="J269" s="343"/>
      <c r="K269" s="343"/>
      <c r="L269" s="343"/>
      <c r="M269" s="343"/>
      <c r="N269" s="343"/>
      <c r="O269" s="343">
        <f t="shared" si="65"/>
        <v>0</v>
      </c>
      <c r="P269" s="532"/>
    </row>
    <row r="270" spans="2:16" s="425" customFormat="1" x14ac:dyDescent="0.3">
      <c r="B270" s="507" t="s">
        <v>1598</v>
      </c>
      <c r="C270" s="343">
        <f>'Sales Forecast'!U69</f>
        <v>5.1580000000000003E-3</v>
      </c>
      <c r="D270" s="343">
        <f>'Sales Forecast'!V69</f>
        <v>5.1850000000000004E-3</v>
      </c>
      <c r="E270" s="343">
        <f>'Sales Forecast'!W69</f>
        <v>6.2360000000000002E-3</v>
      </c>
      <c r="F270" s="343">
        <f>'Sales Forecast'!X69</f>
        <v>5.8019999999999999E-3</v>
      </c>
      <c r="G270" s="343">
        <f>'Sales Forecast'!Y69</f>
        <v>3.4450000000000001E-3</v>
      </c>
      <c r="H270" s="343">
        <f>'Sales Forecast'!Z69</f>
        <v>3.6610000000000002E-3</v>
      </c>
      <c r="I270" s="343">
        <f>'Sales Forecast'!AA69</f>
        <v>3.6610000000000002E-3</v>
      </c>
      <c r="J270" s="343">
        <f>'Sales Forecast'!AB69</f>
        <v>3.6610000000000002E-3</v>
      </c>
      <c r="K270" s="343">
        <f>'Sales Forecast'!AC69</f>
        <v>3.6610000000000002E-3</v>
      </c>
      <c r="L270" s="343">
        <f>'Sales Forecast'!AD69</f>
        <v>3.6610000000000002E-3</v>
      </c>
      <c r="M270" s="343">
        <f>'Sales Forecast'!AE69</f>
        <v>3.6610000000000002E-3</v>
      </c>
      <c r="N270" s="343">
        <f>'Sales Forecast'!AF69</f>
        <v>3.6610000000000002E-3</v>
      </c>
      <c r="O270" s="343">
        <f t="shared" si="65"/>
        <v>5.1452999999999992E-2</v>
      </c>
      <c r="P270" s="532"/>
    </row>
    <row r="271" spans="2:16" s="425" customFormat="1" x14ac:dyDescent="0.3">
      <c r="B271" s="507" t="s">
        <v>1599</v>
      </c>
      <c r="C271" s="343">
        <f>'Sales Forecast'!U70</f>
        <v>1.8560762500000001</v>
      </c>
      <c r="D271" s="343">
        <f>'Sales Forecast'!V70</f>
        <v>1.90036125</v>
      </c>
      <c r="E271" s="343">
        <f>'Sales Forecast'!W70</f>
        <v>2.02987625</v>
      </c>
      <c r="F271" s="343">
        <f>'Sales Forecast'!X70</f>
        <v>1.9117625</v>
      </c>
      <c r="G271" s="343">
        <f>'Sales Forecast'!Y70</f>
        <v>1.75754875</v>
      </c>
      <c r="H271" s="343">
        <f>'Sales Forecast'!Z70</f>
        <v>1.8944925000000001</v>
      </c>
      <c r="I271" s="343">
        <f>'Sales Forecast'!AA70</f>
        <v>1.8944925000000001</v>
      </c>
      <c r="J271" s="343">
        <f>'Sales Forecast'!AB70</f>
        <v>1.8944925000000001</v>
      </c>
      <c r="K271" s="343">
        <f>'Sales Forecast'!AC70</f>
        <v>1.8944925000000001</v>
      </c>
      <c r="L271" s="343">
        <f>'Sales Forecast'!AD70</f>
        <v>1.8944925000000001</v>
      </c>
      <c r="M271" s="343">
        <f>'Sales Forecast'!AE70</f>
        <v>1.8944925000000001</v>
      </c>
      <c r="N271" s="343">
        <f>'Sales Forecast'!AF70</f>
        <v>1.8944925000000001</v>
      </c>
      <c r="O271" s="343">
        <f t="shared" si="65"/>
        <v>22.717072499999993</v>
      </c>
      <c r="P271" s="532"/>
    </row>
    <row r="272" spans="2:16" s="425" customFormat="1" x14ac:dyDescent="0.3">
      <c r="B272" s="343"/>
      <c r="C272" s="343"/>
      <c r="D272" s="343"/>
      <c r="E272" s="393"/>
      <c r="F272" s="393"/>
      <c r="G272" s="392"/>
      <c r="H272" s="393"/>
      <c r="I272" s="393"/>
      <c r="J272" s="393"/>
      <c r="K272" s="393"/>
      <c r="L272" s="393"/>
      <c r="M272" s="393"/>
      <c r="N272" s="490"/>
      <c r="O272" s="343"/>
      <c r="P272" s="532"/>
    </row>
    <row r="273" spans="2:19" s="425" customFormat="1" ht="16" x14ac:dyDescent="0.3">
      <c r="B273" s="1588" t="s">
        <v>416</v>
      </c>
      <c r="C273" s="349">
        <f>SUM(C256:C271)</f>
        <v>336.69569228059993</v>
      </c>
      <c r="D273" s="349">
        <f t="shared" ref="D273" si="66">SUM(D256:D271)</f>
        <v>388.48398727350002</v>
      </c>
      <c r="E273" s="349">
        <f t="shared" ref="E273:N273" si="67">SUM(E256:E271)</f>
        <v>364.58537404380002</v>
      </c>
      <c r="F273" s="349">
        <f t="shared" si="67"/>
        <v>335.48160149070009</v>
      </c>
      <c r="G273" s="349">
        <f t="shared" si="67"/>
        <v>329.83421388340003</v>
      </c>
      <c r="H273" s="349">
        <f t="shared" si="67"/>
        <v>330.59659927960007</v>
      </c>
      <c r="I273" s="349">
        <f t="shared" si="67"/>
        <v>358.72055400676254</v>
      </c>
      <c r="J273" s="349">
        <f t="shared" si="67"/>
        <v>373.03758380888769</v>
      </c>
      <c r="K273" s="349">
        <f t="shared" si="67"/>
        <v>329.75149597147839</v>
      </c>
      <c r="L273" s="349">
        <f t="shared" si="67"/>
        <v>288.85294065128693</v>
      </c>
      <c r="M273" s="349">
        <f t="shared" si="67"/>
        <v>244.89764747432793</v>
      </c>
      <c r="N273" s="349">
        <f t="shared" si="67"/>
        <v>263.9507897793506</v>
      </c>
      <c r="O273" s="349">
        <f>SUM(C273:N273)</f>
        <v>3944.8884799436946</v>
      </c>
      <c r="P273" s="885"/>
      <c r="Q273" s="885"/>
      <c r="R273" s="1162"/>
    </row>
    <row r="274" spans="2:19" s="425" customFormat="1" ht="16" x14ac:dyDescent="0.3">
      <c r="B274" s="434"/>
      <c r="C274" s="343"/>
      <c r="D274" s="343"/>
      <c r="E274" s="393"/>
      <c r="F274" s="393"/>
      <c r="G274" s="392"/>
      <c r="H274" s="393"/>
      <c r="I274" s="393"/>
      <c r="J274" s="393"/>
      <c r="K274" s="393"/>
      <c r="L274" s="393"/>
      <c r="M274" s="393"/>
      <c r="N274" s="490"/>
      <c r="O274" s="349"/>
      <c r="P274" s="885"/>
      <c r="Q274" s="885"/>
      <c r="R274" s="1162"/>
    </row>
    <row r="275" spans="2:19" s="425" customFormat="1" x14ac:dyDescent="0.3">
      <c r="B275" s="433" t="s">
        <v>145</v>
      </c>
      <c r="C275" s="349">
        <f t="shared" ref="C275:D275" si="68">C273+C253</f>
        <v>388.16572128059994</v>
      </c>
      <c r="D275" s="349">
        <f t="shared" si="68"/>
        <v>444.03355327350005</v>
      </c>
      <c r="E275" s="349">
        <f t="shared" ref="E275:O275" si="69">E273+E253</f>
        <v>424.63774104380002</v>
      </c>
      <c r="F275" s="349">
        <f t="shared" si="69"/>
        <v>393.65251449070013</v>
      </c>
      <c r="G275" s="349">
        <f t="shared" si="69"/>
        <v>387.33731688340004</v>
      </c>
      <c r="H275" s="349">
        <f t="shared" si="69"/>
        <v>386.73019927960007</v>
      </c>
      <c r="I275" s="349">
        <f t="shared" si="69"/>
        <v>411.55905904527214</v>
      </c>
      <c r="J275" s="349">
        <f t="shared" si="69"/>
        <v>432.22521478476835</v>
      </c>
      <c r="K275" s="349">
        <f t="shared" si="69"/>
        <v>383.78704988851587</v>
      </c>
      <c r="L275" s="349">
        <f t="shared" si="69"/>
        <v>339.14951398217659</v>
      </c>
      <c r="M275" s="349">
        <f t="shared" si="69"/>
        <v>293.34938820941727</v>
      </c>
      <c r="N275" s="349">
        <f t="shared" si="69"/>
        <v>307.58873042241527</v>
      </c>
      <c r="O275" s="349">
        <f t="shared" si="69"/>
        <v>4592.2160025841658</v>
      </c>
      <c r="P275" s="532">
        <f>SUM(D275:I275)</f>
        <v>2447.9503840162724</v>
      </c>
      <c r="Q275" s="532">
        <f>SUM(I275:N275)</f>
        <v>2167.6589563325656</v>
      </c>
      <c r="R275" s="532">
        <f>P275+Q275</f>
        <v>4615.6093403488376</v>
      </c>
    </row>
    <row r="276" spans="2:19" s="425" customFormat="1" hidden="1" x14ac:dyDescent="0.3">
      <c r="B276" s="591"/>
      <c r="C276" s="531"/>
      <c r="D276" s="531"/>
      <c r="E276" s="531"/>
      <c r="F276" s="531"/>
      <c r="G276" s="531"/>
      <c r="H276" s="531"/>
      <c r="I276" s="531"/>
      <c r="J276" s="531"/>
      <c r="K276" s="531"/>
      <c r="L276" s="531"/>
      <c r="M276" s="531"/>
      <c r="N276" s="530"/>
      <c r="O276" s="524">
        <f>'Sales Forecast'!AG74-O275</f>
        <v>0</v>
      </c>
      <c r="P276" s="901">
        <f>P275/R275</f>
        <v>0.53036342625809441</v>
      </c>
      <c r="Q276" s="901">
        <f>Q275/R275</f>
        <v>0.46963657374190571</v>
      </c>
      <c r="R276" s="426"/>
    </row>
    <row r="277" spans="2:19" s="425" customFormat="1" ht="16" x14ac:dyDescent="0.3">
      <c r="B277" s="591"/>
      <c r="C277" s="531"/>
      <c r="D277" s="531"/>
      <c r="E277" s="531"/>
      <c r="F277" s="531"/>
      <c r="G277" s="531"/>
      <c r="H277" s="531"/>
      <c r="I277" s="531"/>
      <c r="J277" s="531"/>
      <c r="K277" s="531"/>
      <c r="L277" s="531"/>
      <c r="M277" s="531"/>
      <c r="N277" s="531"/>
      <c r="O277" s="531"/>
      <c r="P277" s="530"/>
      <c r="Q277" s="524"/>
      <c r="R277" s="532"/>
      <c r="S277" s="885"/>
    </row>
    <row r="278" spans="2:19" s="425" customFormat="1" ht="16" x14ac:dyDescent="0.3">
      <c r="B278" s="597" t="s">
        <v>838</v>
      </c>
      <c r="C278" s="531"/>
      <c r="D278" s="531"/>
      <c r="E278" s="531"/>
      <c r="F278" s="531"/>
      <c r="G278" s="531"/>
      <c r="H278" s="531"/>
      <c r="I278" s="531"/>
      <c r="J278" s="531"/>
      <c r="K278" s="531"/>
      <c r="L278" s="531"/>
      <c r="M278" s="531"/>
      <c r="N278" s="530"/>
      <c r="O278" s="524"/>
      <c r="P278" s="532"/>
      <c r="Q278" s="885"/>
    </row>
    <row r="279" spans="2:19" s="496" customFormat="1" x14ac:dyDescent="0.3">
      <c r="B279" s="597"/>
      <c r="C279" s="524"/>
      <c r="D279" s="524"/>
      <c r="E279" s="426"/>
      <c r="F279" s="426"/>
      <c r="G279" s="426"/>
      <c r="H279" s="426"/>
      <c r="I279" s="426"/>
      <c r="J279" s="426"/>
      <c r="K279" s="426"/>
      <c r="L279" s="426"/>
      <c r="M279" s="426"/>
      <c r="N279" s="524" t="s">
        <v>150</v>
      </c>
      <c r="P279" s="519"/>
    </row>
    <row r="280" spans="2:19" s="576" customFormat="1" ht="28" x14ac:dyDescent="0.3">
      <c r="B280" s="1164" t="s">
        <v>292</v>
      </c>
      <c r="C280" s="1151" t="s">
        <v>151</v>
      </c>
      <c r="D280" s="1151" t="s">
        <v>152</v>
      </c>
      <c r="E280" s="1151" t="s">
        <v>153</v>
      </c>
      <c r="F280" s="1151" t="s">
        <v>154</v>
      </c>
      <c r="G280" s="1151" t="s">
        <v>155</v>
      </c>
      <c r="H280" s="1151" t="s">
        <v>156</v>
      </c>
      <c r="I280" s="1151" t="s">
        <v>157</v>
      </c>
      <c r="J280" s="1151" t="s">
        <v>158</v>
      </c>
      <c r="K280" s="1151" t="s">
        <v>159</v>
      </c>
      <c r="L280" s="1151" t="s">
        <v>160</v>
      </c>
      <c r="M280" s="1151" t="s">
        <v>161</v>
      </c>
      <c r="N280" s="1151" t="s">
        <v>162</v>
      </c>
      <c r="O280" s="1151" t="s">
        <v>145</v>
      </c>
      <c r="P280" s="532"/>
    </row>
    <row r="281" spans="2:19" s="532" customFormat="1" x14ac:dyDescent="0.3">
      <c r="B281" s="1588" t="s">
        <v>293</v>
      </c>
      <c r="C281" s="430"/>
      <c r="D281" s="430"/>
      <c r="E281" s="430"/>
      <c r="F281" s="430"/>
      <c r="G281" s="430"/>
      <c r="H281" s="430"/>
      <c r="I281" s="430"/>
      <c r="J281" s="430"/>
      <c r="K281" s="430"/>
      <c r="L281" s="430"/>
      <c r="M281" s="430"/>
      <c r="N281" s="431"/>
      <c r="O281" s="432"/>
    </row>
    <row r="282" spans="2:19" s="532" customFormat="1" x14ac:dyDescent="0.3">
      <c r="B282" s="343"/>
      <c r="C282" s="349"/>
      <c r="D282" s="349"/>
      <c r="E282" s="417"/>
      <c r="F282" s="417"/>
      <c r="G282" s="346"/>
      <c r="H282" s="417"/>
      <c r="I282" s="416"/>
      <c r="J282" s="416"/>
      <c r="K282" s="416"/>
      <c r="L282" s="416"/>
      <c r="M282" s="416"/>
      <c r="N282" s="432"/>
      <c r="O282" s="432"/>
    </row>
    <row r="283" spans="2:19" s="532" customFormat="1" x14ac:dyDescent="0.3">
      <c r="B283" s="507" t="s">
        <v>891</v>
      </c>
      <c r="C283" s="343">
        <f>'Sales Forecast'!U80</f>
        <v>13.141249999999999</v>
      </c>
      <c r="D283" s="343">
        <f>'Sales Forecast'!V80</f>
        <v>14.390719000000001</v>
      </c>
      <c r="E283" s="343">
        <f>'Sales Forecast'!W80</f>
        <v>15.175905</v>
      </c>
      <c r="F283" s="343">
        <f>'Sales Forecast'!X80</f>
        <v>14.764668</v>
      </c>
      <c r="G283" s="343">
        <f>'Sales Forecast'!Y80</f>
        <v>14.473258</v>
      </c>
      <c r="H283" s="343">
        <f>'Sales Forecast'!Z80</f>
        <v>14.438412</v>
      </c>
      <c r="I283" s="343">
        <f>'Sales Forecast'!AA80</f>
        <v>15.711242063578407</v>
      </c>
      <c r="J283" s="343">
        <f>'Sales Forecast'!AB80</f>
        <v>19.977274916787895</v>
      </c>
      <c r="K283" s="343">
        <f>'Sales Forecast'!AC80</f>
        <v>18.424848024625824</v>
      </c>
      <c r="L283" s="343">
        <f>'Sales Forecast'!AD80</f>
        <v>17.318446442548883</v>
      </c>
      <c r="M283" s="343">
        <f>'Sales Forecast'!AE80</f>
        <v>17.047413671472658</v>
      </c>
      <c r="N283" s="343">
        <f>'Sales Forecast'!AF80</f>
        <v>15.525270238349778</v>
      </c>
      <c r="O283" s="343">
        <f t="shared" ref="O283:O289" si="70">SUM(C283:N283)</f>
        <v>190.38870735736347</v>
      </c>
    </row>
    <row r="284" spans="2:19" s="532" customFormat="1" x14ac:dyDescent="0.3">
      <c r="B284" s="507" t="s">
        <v>892</v>
      </c>
      <c r="C284" s="343">
        <f>'Sales Forecast'!U81</f>
        <v>18.082190000000001</v>
      </c>
      <c r="D284" s="343">
        <f>'Sales Forecast'!V81</f>
        <v>19.416951000000001</v>
      </c>
      <c r="E284" s="343">
        <f>'Sales Forecast'!W81</f>
        <v>21.328130999999999</v>
      </c>
      <c r="F284" s="343">
        <f>'Sales Forecast'!X81</f>
        <v>20.552119999999999</v>
      </c>
      <c r="G284" s="343">
        <f>'Sales Forecast'!Y81</f>
        <v>19.261130999999999</v>
      </c>
      <c r="H284" s="343">
        <f>'Sales Forecast'!Z81</f>
        <v>18.830874999999999</v>
      </c>
      <c r="I284" s="343">
        <f>'Sales Forecast'!AA81</f>
        <v>16.663730409218154</v>
      </c>
      <c r="J284" s="343">
        <f>'Sales Forecast'!AB81</f>
        <v>17.244830850082625</v>
      </c>
      <c r="K284" s="343">
        <f>'Sales Forecast'!AC81</f>
        <v>15.672329835945179</v>
      </c>
      <c r="L284" s="343">
        <f>'Sales Forecast'!AD81</f>
        <v>14.565935357373281</v>
      </c>
      <c r="M284" s="343">
        <f>'Sales Forecast'!AE81</f>
        <v>13.996672261448612</v>
      </c>
      <c r="N284" s="343">
        <f>'Sales Forecast'!AF81</f>
        <v>12.836164650262095</v>
      </c>
      <c r="O284" s="343">
        <f t="shared" si="70"/>
        <v>208.45106136432997</v>
      </c>
    </row>
    <row r="285" spans="2:19" s="532" customFormat="1" x14ac:dyDescent="0.3">
      <c r="B285" s="507" t="s">
        <v>893</v>
      </c>
      <c r="C285" s="343">
        <f>'Sales Forecast'!U82</f>
        <v>2.1974529999999999</v>
      </c>
      <c r="D285" s="343">
        <f>'Sales Forecast'!V82</f>
        <v>2.9579749999999998</v>
      </c>
      <c r="E285" s="343">
        <f>'Sales Forecast'!W82</f>
        <v>3.2539959999999999</v>
      </c>
      <c r="F285" s="343">
        <f>'Sales Forecast'!X82</f>
        <v>2.9993599999999998</v>
      </c>
      <c r="G285" s="343">
        <f>'Sales Forecast'!Y82</f>
        <v>2.8924799999999999</v>
      </c>
      <c r="H285" s="343">
        <f>'Sales Forecast'!Z82</f>
        <v>2.8831820000000001</v>
      </c>
      <c r="I285" s="343">
        <f>'Sales Forecast'!AA82</f>
        <v>2.6931514232156322</v>
      </c>
      <c r="J285" s="343">
        <f>'Sales Forecast'!AB82</f>
        <v>2.9805748688723228</v>
      </c>
      <c r="K285" s="343">
        <f>'Sales Forecast'!AC82</f>
        <v>2.6813509488714451</v>
      </c>
      <c r="L285" s="343">
        <f>'Sales Forecast'!AD82</f>
        <v>2.3631004919620482</v>
      </c>
      <c r="M285" s="343">
        <f>'Sales Forecast'!AE82</f>
        <v>2.2191007738865736</v>
      </c>
      <c r="N285" s="343">
        <f>'Sales Forecast'!AF82</f>
        <v>1.9996002218237159</v>
      </c>
      <c r="O285" s="343">
        <f t="shared" si="70"/>
        <v>32.121324728631734</v>
      </c>
    </row>
    <row r="286" spans="2:19" s="532" customFormat="1" x14ac:dyDescent="0.3">
      <c r="B286" s="507" t="s">
        <v>1705</v>
      </c>
      <c r="C286" s="343">
        <f>'Sales Forecast'!U83</f>
        <v>0.225715</v>
      </c>
      <c r="D286" s="343">
        <f>'Sales Forecast'!V83</f>
        <v>0.226831</v>
      </c>
      <c r="E286" s="343">
        <f>'Sales Forecast'!W83</f>
        <v>0.24124399999999999</v>
      </c>
      <c r="F286" s="343">
        <f>'Sales Forecast'!X83</f>
        <v>0.21940999999999999</v>
      </c>
      <c r="G286" s="343">
        <f>'Sales Forecast'!Y83</f>
        <v>0.21296599999999999</v>
      </c>
      <c r="H286" s="343">
        <f>'Sales Forecast'!Z83</f>
        <v>0.195049</v>
      </c>
      <c r="I286" s="343">
        <f>'Sales Forecast'!AA83</f>
        <v>0.20544542610604047</v>
      </c>
      <c r="J286" s="343">
        <f>'Sales Forecast'!AB83</f>
        <v>0.2289852733787876</v>
      </c>
      <c r="K286" s="343">
        <f>'Sales Forecast'!AC83</f>
        <v>0.2286183251737208</v>
      </c>
      <c r="L286" s="343">
        <f>'Sales Forecast'!AD83</f>
        <v>0.21654980642930272</v>
      </c>
      <c r="M286" s="343">
        <f>'Sales Forecast'!AE83</f>
        <v>0.19622375389374172</v>
      </c>
      <c r="N286" s="343">
        <f>'Sales Forecast'!AF83</f>
        <v>0.17468413409175074</v>
      </c>
      <c r="O286" s="343">
        <f t="shared" si="70"/>
        <v>2.5717217190733441</v>
      </c>
    </row>
    <row r="287" spans="2:19" s="532" customFormat="1" ht="28" x14ac:dyDescent="0.3">
      <c r="B287" s="507" t="s">
        <v>1706</v>
      </c>
      <c r="C287" s="343">
        <f>'Sales Forecast'!U84</f>
        <v>2.3998979999999999</v>
      </c>
      <c r="D287" s="343">
        <f>'Sales Forecast'!V84</f>
        <v>2.6586859999999999</v>
      </c>
      <c r="E287" s="343">
        <f>'Sales Forecast'!W84</f>
        <v>2.8057539999999999</v>
      </c>
      <c r="F287" s="343">
        <f>'Sales Forecast'!X84</f>
        <v>2.5216789999999998</v>
      </c>
      <c r="G287" s="343">
        <f>'Sales Forecast'!Y84</f>
        <v>2.3740070000000002</v>
      </c>
      <c r="H287" s="343">
        <f>'Sales Forecast'!Z84</f>
        <v>2.4074390000000001</v>
      </c>
      <c r="I287" s="343">
        <f>'Sales Forecast'!AA84</f>
        <v>2.3005963004811347</v>
      </c>
      <c r="J287" s="343">
        <f>'Sales Forecast'!AB84</f>
        <v>2.5095420800987469</v>
      </c>
      <c r="K287" s="343">
        <f>'Sales Forecast'!AC84</f>
        <v>2.208209500318393</v>
      </c>
      <c r="L287" s="343">
        <f>'Sales Forecast'!AD84</f>
        <v>1.9312057230221249</v>
      </c>
      <c r="M287" s="343">
        <f>'Sales Forecast'!AE84</f>
        <v>1.9475363011702409</v>
      </c>
      <c r="N287" s="343">
        <f>'Sales Forecast'!AF84</f>
        <v>1.7192632196650577</v>
      </c>
      <c r="O287" s="343">
        <f t="shared" si="70"/>
        <v>27.783816124755699</v>
      </c>
    </row>
    <row r="288" spans="2:19" s="532" customFormat="1" x14ac:dyDescent="0.3">
      <c r="B288" s="507" t="s">
        <v>1707</v>
      </c>
      <c r="C288" s="343">
        <f>'Sales Forecast'!U85</f>
        <v>15.423522999999999</v>
      </c>
      <c r="D288" s="343">
        <f>'Sales Forecast'!V85</f>
        <v>15.898403999999999</v>
      </c>
      <c r="E288" s="343">
        <f>'Sales Forecast'!W85</f>
        <v>17.247337000000002</v>
      </c>
      <c r="F288" s="343">
        <f>'Sales Forecast'!X85</f>
        <v>17.113676000000002</v>
      </c>
      <c r="G288" s="343">
        <f>'Sales Forecast'!Y85</f>
        <v>18.289261</v>
      </c>
      <c r="H288" s="343">
        <f>'Sales Forecast'!Z85</f>
        <v>17.378643</v>
      </c>
      <c r="I288" s="343">
        <f>'Sales Forecast'!AA85</f>
        <v>15.26433941591025</v>
      </c>
      <c r="J288" s="343">
        <f>'Sales Forecast'!AB85</f>
        <v>16.246422986660292</v>
      </c>
      <c r="K288" s="343">
        <f>'Sales Forecast'!AC85</f>
        <v>14.820197282102916</v>
      </c>
      <c r="L288" s="343">
        <f>'Sales Forecast'!AD85</f>
        <v>13.901335509554004</v>
      </c>
      <c r="M288" s="343">
        <f>'Sales Forecast'!AE85</f>
        <v>13.044793973217496</v>
      </c>
      <c r="N288" s="343">
        <f>'Sales Forecast'!AF85</f>
        <v>11.382958178872272</v>
      </c>
      <c r="O288" s="343">
        <f t="shared" si="70"/>
        <v>186.01089134631724</v>
      </c>
    </row>
    <row r="289" spans="2:16" x14ac:dyDescent="0.3">
      <c r="B289" s="1057" t="s">
        <v>1704</v>
      </c>
      <c r="C289" s="343">
        <f>'Sales Forecast'!U86</f>
        <v>0</v>
      </c>
      <c r="D289" s="343">
        <f>'Sales Forecast'!V86</f>
        <v>0</v>
      </c>
      <c r="E289" s="343">
        <f>'Sales Forecast'!W86</f>
        <v>0</v>
      </c>
      <c r="F289" s="343">
        <f>'Sales Forecast'!X86</f>
        <v>0</v>
      </c>
      <c r="G289" s="343">
        <f>'Sales Forecast'!Y86</f>
        <v>0</v>
      </c>
      <c r="H289" s="343">
        <f>'Sales Forecast'!Z86</f>
        <v>0</v>
      </c>
      <c r="I289" s="343">
        <f>'Sales Forecast'!AA86</f>
        <v>0</v>
      </c>
      <c r="J289" s="343">
        <f>'Sales Forecast'!AB86</f>
        <v>0</v>
      </c>
      <c r="K289" s="343">
        <f>'Sales Forecast'!AC86</f>
        <v>0</v>
      </c>
      <c r="L289" s="343">
        <f>'Sales Forecast'!AD86</f>
        <v>0</v>
      </c>
      <c r="M289" s="343">
        <f>'Sales Forecast'!AE86</f>
        <v>0</v>
      </c>
      <c r="N289" s="343">
        <f>'Sales Forecast'!AF86</f>
        <v>0</v>
      </c>
      <c r="O289" s="343">
        <f t="shared" si="70"/>
        <v>0</v>
      </c>
      <c r="P289" s="532"/>
    </row>
    <row r="290" spans="2:16" x14ac:dyDescent="0.3">
      <c r="B290" s="343"/>
      <c r="C290" s="343"/>
      <c r="D290" s="343"/>
      <c r="E290" s="343"/>
      <c r="F290" s="343"/>
      <c r="G290" s="343"/>
      <c r="H290" s="343"/>
      <c r="I290" s="343"/>
      <c r="J290" s="343"/>
      <c r="K290" s="343"/>
      <c r="L290" s="343"/>
      <c r="M290" s="343"/>
      <c r="N290" s="489"/>
      <c r="O290" s="343"/>
      <c r="P290" s="532"/>
    </row>
    <row r="291" spans="2:16" x14ac:dyDescent="0.3">
      <c r="B291" s="1588" t="s">
        <v>416</v>
      </c>
      <c r="C291" s="349">
        <f>SUM(C283:C289)</f>
        <v>51.470028999999997</v>
      </c>
      <c r="D291" s="349">
        <f t="shared" ref="D291" si="71">SUM(D283:D289)</f>
        <v>55.549565999999999</v>
      </c>
      <c r="E291" s="349">
        <f t="shared" ref="E291:N291" si="72">SUM(E283:E289)</f>
        <v>60.052367000000004</v>
      </c>
      <c r="F291" s="349">
        <f t="shared" si="72"/>
        <v>58.170913000000013</v>
      </c>
      <c r="G291" s="349">
        <f t="shared" si="72"/>
        <v>57.503102999999996</v>
      </c>
      <c r="H291" s="349">
        <f t="shared" si="72"/>
        <v>56.133599999999987</v>
      </c>
      <c r="I291" s="349">
        <f t="shared" si="72"/>
        <v>52.838505038509609</v>
      </c>
      <c r="J291" s="349">
        <f t="shared" si="72"/>
        <v>59.187630975880673</v>
      </c>
      <c r="K291" s="349">
        <f t="shared" si="72"/>
        <v>54.035553917037483</v>
      </c>
      <c r="L291" s="349">
        <f t="shared" si="72"/>
        <v>50.296573330889643</v>
      </c>
      <c r="M291" s="349">
        <f t="shared" si="72"/>
        <v>48.451740735089317</v>
      </c>
      <c r="N291" s="349">
        <f t="shared" si="72"/>
        <v>43.637940643064674</v>
      </c>
      <c r="O291" s="349">
        <f>SUM(C291:N291)</f>
        <v>647.32752264047133</v>
      </c>
      <c r="P291" s="532"/>
    </row>
    <row r="292" spans="2:16" x14ac:dyDescent="0.3">
      <c r="B292" s="343"/>
      <c r="C292" s="343"/>
      <c r="D292" s="343"/>
      <c r="E292" s="343"/>
      <c r="F292" s="343"/>
      <c r="G292" s="343"/>
      <c r="H292" s="343"/>
      <c r="I292" s="343"/>
      <c r="J292" s="343"/>
      <c r="K292" s="343"/>
      <c r="L292" s="343"/>
      <c r="M292" s="343"/>
      <c r="N292" s="489"/>
      <c r="O292" s="343"/>
      <c r="P292" s="532"/>
    </row>
    <row r="293" spans="2:16" s="425" customFormat="1" x14ac:dyDescent="0.3">
      <c r="B293" s="458" t="s">
        <v>294</v>
      </c>
      <c r="C293" s="343"/>
      <c r="D293" s="343"/>
      <c r="E293" s="343"/>
      <c r="F293" s="343"/>
      <c r="G293" s="343"/>
      <c r="H293" s="343"/>
      <c r="I293" s="343"/>
      <c r="J293" s="343"/>
      <c r="K293" s="343"/>
      <c r="L293" s="343"/>
      <c r="M293" s="343"/>
      <c r="N293" s="489"/>
      <c r="O293" s="343">
        <f>SUM(C293:N293)</f>
        <v>0</v>
      </c>
      <c r="P293" s="532"/>
    </row>
    <row r="294" spans="2:16" s="425" customFormat="1" x14ac:dyDescent="0.3">
      <c r="B294" s="344" t="s">
        <v>898</v>
      </c>
      <c r="C294" s="343">
        <f>'Sales Forecast'!U91</f>
        <v>1.555E-3</v>
      </c>
      <c r="D294" s="343">
        <f>'Sales Forecast'!V91</f>
        <v>1.6069999999999999E-3</v>
      </c>
      <c r="E294" s="343">
        <f>'Sales Forecast'!W91</f>
        <v>1.3990000000000001E-3</v>
      </c>
      <c r="F294" s="343">
        <f>'Sales Forecast'!X91</f>
        <v>1.2279999999999999E-3</v>
      </c>
      <c r="G294" s="343">
        <f>'Sales Forecast'!Y91</f>
        <v>1.7619999999999999E-3</v>
      </c>
      <c r="H294" s="343">
        <f>'Sales Forecast'!Z91</f>
        <v>1.575E-3</v>
      </c>
      <c r="I294" s="343">
        <f>'Sales Forecast'!AA91</f>
        <v>3.9576187034839816E-3</v>
      </c>
      <c r="J294" s="343">
        <f>'Sales Forecast'!AB91</f>
        <v>4.4119007658289288E-3</v>
      </c>
      <c r="K294" s="343">
        <f>'Sales Forecast'!AC91</f>
        <v>4.9429628950490769E-3</v>
      </c>
      <c r="L294" s="343">
        <f>'Sales Forecast'!AD91</f>
        <v>4.6191085104088005E-3</v>
      </c>
      <c r="M294" s="343">
        <f>'Sales Forecast'!AE91</f>
        <v>3.851307841656779E-3</v>
      </c>
      <c r="N294" s="343">
        <f>'Sales Forecast'!AF91</f>
        <v>5.0891403300614814E-3</v>
      </c>
      <c r="O294" s="343">
        <f>SUM(C294:N294)</f>
        <v>3.5998039046489051E-2</v>
      </c>
      <c r="P294" s="532"/>
    </row>
    <row r="295" spans="2:16" s="425" customFormat="1" x14ac:dyDescent="0.3">
      <c r="B295" s="1156" t="s">
        <v>899</v>
      </c>
      <c r="C295" s="343">
        <f>'Sales Forecast'!U92</f>
        <v>0</v>
      </c>
      <c r="D295" s="343">
        <f>'Sales Forecast'!V92</f>
        <v>0</v>
      </c>
      <c r="E295" s="343">
        <f>'Sales Forecast'!W92</f>
        <v>0</v>
      </c>
      <c r="F295" s="343">
        <f>'Sales Forecast'!X92</f>
        <v>0</v>
      </c>
      <c r="G295" s="343">
        <f>'Sales Forecast'!Y92</f>
        <v>0</v>
      </c>
      <c r="H295" s="343">
        <f>'Sales Forecast'!Z92</f>
        <v>0</v>
      </c>
      <c r="I295" s="343">
        <f>'Sales Forecast'!AA92</f>
        <v>0</v>
      </c>
      <c r="J295" s="343">
        <f>'Sales Forecast'!AB92</f>
        <v>0</v>
      </c>
      <c r="K295" s="343">
        <f>'Sales Forecast'!AC92</f>
        <v>0</v>
      </c>
      <c r="L295" s="343">
        <f>'Sales Forecast'!AD92</f>
        <v>0</v>
      </c>
      <c r="M295" s="343">
        <f>'Sales Forecast'!AE92</f>
        <v>0</v>
      </c>
      <c r="N295" s="343">
        <f>'Sales Forecast'!AF92</f>
        <v>0</v>
      </c>
      <c r="O295" s="343"/>
      <c r="P295" s="532"/>
    </row>
    <row r="296" spans="2:16" s="425" customFormat="1" x14ac:dyDescent="0.3">
      <c r="B296" s="344" t="s">
        <v>900</v>
      </c>
      <c r="C296" s="343">
        <f>'Sales Forecast'!U93</f>
        <v>64.525951616493515</v>
      </c>
      <c r="D296" s="343">
        <f>'Sales Forecast'!V93</f>
        <v>65.619745608223766</v>
      </c>
      <c r="E296" s="343">
        <f>'Sales Forecast'!W93</f>
        <v>64.260014131968504</v>
      </c>
      <c r="F296" s="343">
        <f>'Sales Forecast'!X93</f>
        <v>64.712430390887505</v>
      </c>
      <c r="G296" s="343">
        <f>'Sales Forecast'!Y93</f>
        <v>64.998773877991013</v>
      </c>
      <c r="H296" s="343">
        <f>'Sales Forecast'!Z93</f>
        <v>65.134106166610763</v>
      </c>
      <c r="I296" s="343">
        <f>'Sales Forecast'!AA93</f>
        <v>66.305868531740316</v>
      </c>
      <c r="J296" s="343">
        <f>'Sales Forecast'!AB93</f>
        <v>66.00368529625139</v>
      </c>
      <c r="K296" s="343">
        <f>'Sales Forecast'!AC93</f>
        <v>64.97346484230016</v>
      </c>
      <c r="L296" s="343">
        <f>'Sales Forecast'!AD93</f>
        <v>63.133284874294951</v>
      </c>
      <c r="M296" s="343">
        <f>'Sales Forecast'!AE93</f>
        <v>58.857596073096062</v>
      </c>
      <c r="N296" s="343">
        <f>'Sales Forecast'!AF93</f>
        <v>61.568516680317991</v>
      </c>
      <c r="O296" s="343">
        <f t="shared" ref="O296:O309" si="73">SUM(C296:N296)</f>
        <v>770.09343809017594</v>
      </c>
      <c r="P296" s="532"/>
    </row>
    <row r="297" spans="2:16" s="425" customFormat="1" x14ac:dyDescent="0.3">
      <c r="B297" s="344" t="s">
        <v>901</v>
      </c>
      <c r="C297" s="343">
        <f>'Sales Forecast'!U94</f>
        <v>64.201117556118007</v>
      </c>
      <c r="D297" s="343">
        <f>'Sales Forecast'!V94</f>
        <v>74.771023209156752</v>
      </c>
      <c r="E297" s="343">
        <f>'Sales Forecast'!W94</f>
        <v>67.842349207404524</v>
      </c>
      <c r="F297" s="343">
        <f>'Sales Forecast'!X94</f>
        <v>64.058435778499515</v>
      </c>
      <c r="G297" s="343">
        <f>'Sales Forecast'!Y94</f>
        <v>63.254246577516504</v>
      </c>
      <c r="H297" s="343">
        <f>'Sales Forecast'!Z94</f>
        <v>63.224451101990759</v>
      </c>
      <c r="I297" s="343">
        <f>'Sales Forecast'!AA94</f>
        <v>73.356092130021608</v>
      </c>
      <c r="J297" s="343">
        <f>'Sales Forecast'!AB94</f>
        <v>72.840939625504703</v>
      </c>
      <c r="K297" s="343">
        <f>'Sales Forecast'!AC94</f>
        <v>63.72341293709141</v>
      </c>
      <c r="L297" s="343">
        <f>'Sales Forecast'!AD94</f>
        <v>51.222962541080015</v>
      </c>
      <c r="M297" s="343">
        <f>'Sales Forecast'!AE94</f>
        <v>36.741629900770583</v>
      </c>
      <c r="N297" s="343">
        <f>'Sales Forecast'!AF94</f>
        <v>45.460151907239599</v>
      </c>
      <c r="O297" s="343">
        <f t="shared" si="73"/>
        <v>740.69681247239407</v>
      </c>
      <c r="P297" s="532"/>
    </row>
    <row r="298" spans="2:16" s="425" customFormat="1" x14ac:dyDescent="0.3">
      <c r="B298" s="344" t="s">
        <v>902</v>
      </c>
      <c r="C298" s="343">
        <f>'Sales Forecast'!U95</f>
        <v>21.698600504442005</v>
      </c>
      <c r="D298" s="343">
        <f>'Sales Forecast'!V95</f>
        <v>31.431164649379003</v>
      </c>
      <c r="E298" s="343">
        <f>'Sales Forecast'!W95</f>
        <v>26.732289658468755</v>
      </c>
      <c r="F298" s="343">
        <f>'Sales Forecast'!X95</f>
        <v>20.216780200316254</v>
      </c>
      <c r="G298" s="343">
        <f>'Sales Forecast'!Y95</f>
        <v>18.79044725415325</v>
      </c>
      <c r="H298" s="343">
        <f>'Sales Forecast'!Z95</f>
        <v>18.895473557669003</v>
      </c>
      <c r="I298" s="343">
        <f>'Sales Forecast'!AA95</f>
        <v>25.334773750703658</v>
      </c>
      <c r="J298" s="343">
        <f>'Sales Forecast'!AB95</f>
        <v>27.044195407251074</v>
      </c>
      <c r="K298" s="343">
        <f>'Sales Forecast'!AC95</f>
        <v>20.058545081744171</v>
      </c>
      <c r="L298" s="343">
        <f>'Sales Forecast'!AD95</f>
        <v>14.326118248318863</v>
      </c>
      <c r="M298" s="343">
        <f>'Sales Forecast'!AE95</f>
        <v>8.4961291372538046</v>
      </c>
      <c r="N298" s="343">
        <f>'Sales Forecast'!AF95</f>
        <v>11.05745656271521</v>
      </c>
      <c r="O298" s="343">
        <f t="shared" si="73"/>
        <v>244.08197401241503</v>
      </c>
      <c r="P298" s="532"/>
    </row>
    <row r="299" spans="2:16" s="425" customFormat="1" x14ac:dyDescent="0.3">
      <c r="B299" s="344" t="s">
        <v>903</v>
      </c>
      <c r="C299" s="343">
        <f>'Sales Forecast'!U96</f>
        <v>35.036064864483002</v>
      </c>
      <c r="D299" s="343">
        <f>'Sales Forecast'!V96</f>
        <v>50.25246126804651</v>
      </c>
      <c r="E299" s="343">
        <f>'Sales Forecast'!W96</f>
        <v>42.410712638082252</v>
      </c>
      <c r="F299" s="343">
        <f>'Sales Forecast'!X96</f>
        <v>32.537348513408759</v>
      </c>
      <c r="G299" s="343">
        <f>'Sales Forecast'!Y96</f>
        <v>33.425392764552754</v>
      </c>
      <c r="H299" s="343">
        <f>'Sales Forecast'!Z96</f>
        <v>32.693298404150504</v>
      </c>
      <c r="I299" s="343">
        <f>'Sales Forecast'!AA96</f>
        <v>38.226175337755627</v>
      </c>
      <c r="J299" s="343">
        <f>'Sales Forecast'!AB96</f>
        <v>42.031608690511618</v>
      </c>
      <c r="K299" s="343">
        <f>'Sales Forecast'!AC96</f>
        <v>33.41486607327559</v>
      </c>
      <c r="L299" s="343">
        <f>'Sales Forecast'!AD96</f>
        <v>25.692455439781778</v>
      </c>
      <c r="M299" s="343">
        <f>'Sales Forecast'!AE96</f>
        <v>19.253381989430778</v>
      </c>
      <c r="N299" s="343">
        <f>'Sales Forecast'!AF96</f>
        <v>21.099464980758576</v>
      </c>
      <c r="O299" s="343">
        <f t="shared" si="73"/>
        <v>406.07323096423778</v>
      </c>
      <c r="P299" s="532"/>
    </row>
    <row r="300" spans="2:16" s="425" customFormat="1" x14ac:dyDescent="0.3">
      <c r="B300" s="507" t="s">
        <v>904</v>
      </c>
      <c r="C300" s="343">
        <f>'Sales Forecast'!U97</f>
        <v>71.34253118873265</v>
      </c>
      <c r="D300" s="343">
        <f>'Sales Forecast'!V97</f>
        <v>81.678981255484686</v>
      </c>
      <c r="E300" s="343">
        <f>'Sales Forecast'!W97</f>
        <v>74.952233764048401</v>
      </c>
      <c r="F300" s="343">
        <f>'Sales Forecast'!X97</f>
        <v>69.570060047433316</v>
      </c>
      <c r="G300" s="343">
        <f>'Sales Forecast'!Y97</f>
        <v>69.64703920571165</v>
      </c>
      <c r="H300" s="343">
        <f>'Sales Forecast'!Z97</f>
        <v>70.74788176637179</v>
      </c>
      <c r="I300" s="343">
        <f>'Sales Forecast'!AA97</f>
        <v>77.56395176666048</v>
      </c>
      <c r="J300" s="343">
        <f>'Sales Forecast'!AB97</f>
        <v>77.65514654291907</v>
      </c>
      <c r="K300" s="343">
        <f>'Sales Forecast'!AC97</f>
        <v>70.470031268601502</v>
      </c>
      <c r="L300" s="343">
        <f>'Sales Forecast'!AD97</f>
        <v>63.057100926433051</v>
      </c>
      <c r="M300" s="343">
        <f>'Sales Forecast'!AE97</f>
        <v>53.592827891929005</v>
      </c>
      <c r="N300" s="343">
        <f>'Sales Forecast'!AF97</f>
        <v>60.65699953168955</v>
      </c>
      <c r="O300" s="343">
        <f t="shared" si="73"/>
        <v>840.9347851560151</v>
      </c>
      <c r="P300" s="532"/>
    </row>
    <row r="301" spans="2:16" s="425" customFormat="1" ht="28" x14ac:dyDescent="0.3">
      <c r="B301" s="507" t="s">
        <v>1708</v>
      </c>
      <c r="C301" s="343">
        <f>'Sales Forecast'!U98</f>
        <v>15.041427575752268</v>
      </c>
      <c r="D301" s="343">
        <f>'Sales Forecast'!V98</f>
        <v>16.006341489082558</v>
      </c>
      <c r="E301" s="343">
        <f>'Sales Forecast'!W98</f>
        <v>17.082567242898847</v>
      </c>
      <c r="F301" s="343">
        <f>'Sales Forecast'!X98</f>
        <v>15.859336601391359</v>
      </c>
      <c r="G301" s="343">
        <f>'Sales Forecast'!Y98</f>
        <v>14.293130166920218</v>
      </c>
      <c r="H301" s="343">
        <f>'Sales Forecast'!Z98</f>
        <v>14.282284893540508</v>
      </c>
      <c r="I301" s="343">
        <f>'Sales Forecast'!AA98</f>
        <v>14.158466986630033</v>
      </c>
      <c r="J301" s="343">
        <f>'Sales Forecast'!AB98</f>
        <v>16.261952365549483</v>
      </c>
      <c r="K301" s="343">
        <f>'Sales Forecast'!AC98</f>
        <v>14.322855610941307</v>
      </c>
      <c r="L301" s="343">
        <f>'Sales Forecast'!AD98</f>
        <v>12.966063018848352</v>
      </c>
      <c r="M301" s="343">
        <f>'Sales Forecast'!AE98</f>
        <v>12.082969647681351</v>
      </c>
      <c r="N301" s="343">
        <f>'Sales Forecast'!AF98</f>
        <v>11.384162391051607</v>
      </c>
      <c r="O301" s="343">
        <f t="shared" si="73"/>
        <v>173.7415579902879</v>
      </c>
      <c r="P301" s="532"/>
    </row>
    <row r="302" spans="2:16" s="425" customFormat="1" ht="28" x14ac:dyDescent="0.3">
      <c r="B302" s="507" t="s">
        <v>1709</v>
      </c>
      <c r="C302" s="343">
        <f>'Sales Forecast'!U99</f>
        <v>30.147994000000001</v>
      </c>
      <c r="D302" s="343">
        <f>'Sales Forecast'!V99</f>
        <v>32.767401</v>
      </c>
      <c r="E302" s="343">
        <f>'Sales Forecast'!W99</f>
        <v>35.315922999999998</v>
      </c>
      <c r="F302" s="343">
        <f>'Sales Forecast'!X99</f>
        <v>32.943264999999997</v>
      </c>
      <c r="G302" s="343">
        <f>'Sales Forecast'!Y99</f>
        <v>30.200312</v>
      </c>
      <c r="H302" s="343">
        <f>'Sales Forecast'!Z99</f>
        <v>30.420096000000001</v>
      </c>
      <c r="I302" s="343">
        <f>'Sales Forecast'!AA99</f>
        <v>28.937710695102741</v>
      </c>
      <c r="J302" s="343">
        <f>'Sales Forecast'!AB99</f>
        <v>33.47249359298187</v>
      </c>
      <c r="K302" s="343">
        <f>'Sales Forecast'!AC99</f>
        <v>29.518267418991297</v>
      </c>
      <c r="L302" s="343">
        <f>'Sales Forecast'!AD99</f>
        <v>26.411988244099156</v>
      </c>
      <c r="M302" s="343">
        <f>'Sales Forecast'!AE99</f>
        <v>24.90639315380696</v>
      </c>
      <c r="N302" s="343">
        <f>'Sales Forecast'!AF99</f>
        <v>23.192545059551655</v>
      </c>
      <c r="O302" s="343">
        <f t="shared" si="73"/>
        <v>358.2343891645337</v>
      </c>
      <c r="P302" s="532"/>
    </row>
    <row r="303" spans="2:16" s="425" customFormat="1" x14ac:dyDescent="0.3">
      <c r="B303" s="507" t="s">
        <v>908</v>
      </c>
      <c r="C303" s="343">
        <f>'Sales Forecast'!U100</f>
        <v>8.1939659999999996</v>
      </c>
      <c r="D303" s="343">
        <f>'Sales Forecast'!V100</f>
        <v>8.8921720000000004</v>
      </c>
      <c r="E303" s="343">
        <f>'Sales Forecast'!W100</f>
        <v>8.0106610000000007</v>
      </c>
      <c r="F303" s="343">
        <f>'Sales Forecast'!X100</f>
        <v>8.343629</v>
      </c>
      <c r="G303" s="343">
        <f>'Sales Forecast'!Y100</f>
        <v>8.8732399999999991</v>
      </c>
      <c r="H303" s="343">
        <f>'Sales Forecast'!Z100</f>
        <v>8.9088460000000005</v>
      </c>
      <c r="I303" s="343">
        <f>'Sales Forecast'!AA100</f>
        <v>9.4406769316606987</v>
      </c>
      <c r="J303" s="343">
        <f>'Sales Forecast'!AB100</f>
        <v>9.6176372381018123</v>
      </c>
      <c r="K303" s="343">
        <f>'Sales Forecast'!AC100</f>
        <v>9.0226297119287793</v>
      </c>
      <c r="L303" s="343">
        <f>'Sales Forecast'!AD100</f>
        <v>8.6399447407953609</v>
      </c>
      <c r="M303" s="343">
        <f>'Sales Forecast'!AE100</f>
        <v>8.7017791916651408</v>
      </c>
      <c r="N303" s="343">
        <f>'Sales Forecast'!AF100</f>
        <v>9.0940750897378102</v>
      </c>
      <c r="O303" s="343">
        <f t="shared" si="73"/>
        <v>105.7392569038896</v>
      </c>
      <c r="P303" s="532"/>
    </row>
    <row r="304" spans="2:16" s="425" customFormat="1" x14ac:dyDescent="0.3">
      <c r="B304" s="507" t="s">
        <v>1594</v>
      </c>
      <c r="C304" s="343">
        <f>'Sales Forecast'!U101</f>
        <v>6.963355</v>
      </c>
      <c r="D304" s="343">
        <f>'Sales Forecast'!V101</f>
        <v>6.8979689999999998</v>
      </c>
      <c r="E304" s="343">
        <f>'Sales Forecast'!W101</f>
        <v>7.0801959999999999</v>
      </c>
      <c r="F304" s="343">
        <f>'Sales Forecast'!X101</f>
        <v>6.8399150000000004</v>
      </c>
      <c r="G304" s="343">
        <f>'Sales Forecast'!Y101</f>
        <v>6.6852729999999996</v>
      </c>
      <c r="H304" s="343">
        <f>'Sales Forecast'!Z101</f>
        <v>6.6050880000000003</v>
      </c>
      <c r="I304" s="343">
        <f>'Sales Forecast'!AA101</f>
        <v>6.5835935223922322</v>
      </c>
      <c r="J304" s="343">
        <f>'Sales Forecast'!AB101</f>
        <v>7.3093487309523058</v>
      </c>
      <c r="K304" s="343">
        <f>'Sales Forecast'!AC101</f>
        <v>6.364912664709812</v>
      </c>
      <c r="L304" s="343">
        <f>'Sales Forecast'!AD101</f>
        <v>6.6479934324208294</v>
      </c>
      <c r="M304" s="343">
        <f>'Sales Forecast'!AE101</f>
        <v>6.1142830520131346</v>
      </c>
      <c r="N304" s="343">
        <f>'Sales Forecast'!AF101</f>
        <v>5.7151567138077377</v>
      </c>
      <c r="O304" s="343">
        <f t="shared" si="73"/>
        <v>79.807084116296068</v>
      </c>
      <c r="P304" s="532"/>
    </row>
    <row r="305" spans="2:16" s="425" customFormat="1" ht="28" x14ac:dyDescent="0.3">
      <c r="B305" s="507" t="s">
        <v>1710</v>
      </c>
      <c r="C305" s="343">
        <f>'Sales Forecast'!U102</f>
        <v>5.1079439999999998</v>
      </c>
      <c r="D305" s="343">
        <f>'Sales Forecast'!V102</f>
        <v>5.6684390000000002</v>
      </c>
      <c r="E305" s="343">
        <f>'Sales Forecast'!W102</f>
        <v>5.7215610000000003</v>
      </c>
      <c r="F305" s="343">
        <f>'Sales Forecast'!X102</f>
        <v>5.4936629999999997</v>
      </c>
      <c r="G305" s="343">
        <f>'Sales Forecast'!Y102</f>
        <v>5.3757029999999997</v>
      </c>
      <c r="H305" s="343">
        <f>'Sales Forecast'!Z102</f>
        <v>5.3172230000000003</v>
      </c>
      <c r="I305" s="343">
        <f>'Sales Forecast'!AA102</f>
        <v>5.2614319081163972</v>
      </c>
      <c r="J305" s="343">
        <f>'Sales Forecast'!AB102</f>
        <v>5.8138448832831502</v>
      </c>
      <c r="K305" s="343">
        <f>'Sales Forecast'!AC102</f>
        <v>4.9758695748860697</v>
      </c>
      <c r="L305" s="343">
        <f>'Sales Forecast'!AD102</f>
        <v>4.4465071526999704</v>
      </c>
      <c r="M305" s="343">
        <f>'Sales Forecast'!AE102</f>
        <v>4.2250458685535595</v>
      </c>
      <c r="N305" s="343">
        <f>'Sales Forecast'!AF102</f>
        <v>3.9900501605198913</v>
      </c>
      <c r="O305" s="343">
        <f t="shared" si="73"/>
        <v>61.397282548059046</v>
      </c>
      <c r="P305" s="426"/>
    </row>
    <row r="306" spans="2:16" s="425" customFormat="1" x14ac:dyDescent="0.3">
      <c r="B306" s="507" t="s">
        <v>1596</v>
      </c>
      <c r="C306" s="343">
        <f>'Sales Forecast'!U103</f>
        <v>15.789392400000001</v>
      </c>
      <c r="D306" s="343">
        <f>'Sales Forecast'!V103</f>
        <v>16.391738199999999</v>
      </c>
      <c r="E306" s="343">
        <f>'Sales Forecast'!W103</f>
        <v>16.6137759</v>
      </c>
      <c r="F306" s="343">
        <f>'Sales Forecast'!X103</f>
        <v>16.142716</v>
      </c>
      <c r="G306" s="343">
        <f>'Sales Forecast'!Y103</f>
        <v>15.6557584</v>
      </c>
      <c r="H306" s="343">
        <f>'Sales Forecast'!Z103</f>
        <v>15.598434300000001</v>
      </c>
      <c r="I306" s="343">
        <f>'Sales Forecast'!AA103</f>
        <v>15.147769029841001</v>
      </c>
      <c r="J306" s="343">
        <f>'Sales Forecast'!AB103</f>
        <v>16.66373456308645</v>
      </c>
      <c r="K306" s="343">
        <f>'Sales Forecast'!AC103</f>
        <v>14.161420423622149</v>
      </c>
      <c r="L306" s="343">
        <f>'Sales Forecast'!AD103</f>
        <v>13.117746421184263</v>
      </c>
      <c r="M306" s="343">
        <f>'Sales Forecast'!AE103</f>
        <v>12.233085157671706</v>
      </c>
      <c r="N306" s="343">
        <f>'Sales Forecast'!AF103</f>
        <v>11.304297185207398</v>
      </c>
      <c r="O306" s="343">
        <f t="shared" si="73"/>
        <v>178.81986798061297</v>
      </c>
      <c r="P306" s="426"/>
    </row>
    <row r="307" spans="2:16" s="425" customFormat="1" x14ac:dyDescent="0.3">
      <c r="B307" s="507" t="s">
        <v>1597</v>
      </c>
      <c r="C307" s="343"/>
      <c r="D307" s="343"/>
      <c r="E307" s="343"/>
      <c r="F307" s="343"/>
      <c r="G307" s="343"/>
      <c r="H307" s="343"/>
      <c r="I307" s="343"/>
      <c r="J307" s="343"/>
      <c r="K307" s="343"/>
      <c r="L307" s="343"/>
      <c r="M307" s="343"/>
      <c r="N307" s="343"/>
      <c r="O307" s="343">
        <f t="shared" si="73"/>
        <v>0</v>
      </c>
      <c r="P307" s="532"/>
    </row>
    <row r="308" spans="2:16" s="425" customFormat="1" x14ac:dyDescent="0.3">
      <c r="B308" s="507" t="s">
        <v>1598</v>
      </c>
      <c r="C308" s="343">
        <f>'Sales Forecast'!U104</f>
        <v>5.1580000000000003E-3</v>
      </c>
      <c r="D308" s="343">
        <f>'Sales Forecast'!V104</f>
        <v>5.1850000000000004E-3</v>
      </c>
      <c r="E308" s="343">
        <f>'Sales Forecast'!W104</f>
        <v>6.2360000000000002E-3</v>
      </c>
      <c r="F308" s="343">
        <f>'Sales Forecast'!X104</f>
        <v>5.8019999999999999E-3</v>
      </c>
      <c r="G308" s="343">
        <f>'Sales Forecast'!Y104</f>
        <v>3.4450000000000001E-3</v>
      </c>
      <c r="H308" s="343">
        <f>'Sales Forecast'!Z104</f>
        <v>3.6610000000000002E-3</v>
      </c>
      <c r="I308" s="343">
        <f>'Sales Forecast'!AA104</f>
        <v>3.6610000000000002E-3</v>
      </c>
      <c r="J308" s="343">
        <f>'Sales Forecast'!AB104</f>
        <v>3.6610000000000002E-3</v>
      </c>
      <c r="K308" s="343">
        <f>'Sales Forecast'!AC104</f>
        <v>3.6610000000000002E-3</v>
      </c>
      <c r="L308" s="343">
        <f>'Sales Forecast'!AD104</f>
        <v>3.6610000000000002E-3</v>
      </c>
      <c r="M308" s="343">
        <f>'Sales Forecast'!AE104</f>
        <v>3.6610000000000002E-3</v>
      </c>
      <c r="N308" s="343">
        <f>'Sales Forecast'!AF104</f>
        <v>3.6610000000000002E-3</v>
      </c>
      <c r="O308" s="343">
        <f t="shared" si="73"/>
        <v>5.1452999999999992E-2</v>
      </c>
      <c r="P308" s="426"/>
    </row>
    <row r="309" spans="2:16" s="425" customFormat="1" x14ac:dyDescent="0.3">
      <c r="B309" s="507" t="s">
        <v>1599</v>
      </c>
      <c r="C309" s="343">
        <f>'Sales Forecast'!U105</f>
        <v>2.3200953125000003</v>
      </c>
      <c r="D309" s="343">
        <f>'Sales Forecast'!V105</f>
        <v>2.3754515624999999</v>
      </c>
      <c r="E309" s="343">
        <f>'Sales Forecast'!W105</f>
        <v>2.5373453125000003</v>
      </c>
      <c r="F309" s="343">
        <f>'Sales Forecast'!X105</f>
        <v>2.389703125</v>
      </c>
      <c r="G309" s="343">
        <f>'Sales Forecast'!Y105</f>
        <v>2.1969359375000002</v>
      </c>
      <c r="H309" s="343">
        <f>'Sales Forecast'!Z105</f>
        <v>2.3681156250000002</v>
      </c>
      <c r="I309" s="343">
        <f>'Sales Forecast'!AA105</f>
        <v>2.3681156250000002</v>
      </c>
      <c r="J309" s="343">
        <f>'Sales Forecast'!AB105</f>
        <v>2.3681156250000002</v>
      </c>
      <c r="K309" s="343">
        <f>'Sales Forecast'!AC105</f>
        <v>2.3681156250000002</v>
      </c>
      <c r="L309" s="343">
        <f>'Sales Forecast'!AD105</f>
        <v>2.3681156250000002</v>
      </c>
      <c r="M309" s="343">
        <f>'Sales Forecast'!AE105</f>
        <v>2.3681156250000002</v>
      </c>
      <c r="N309" s="343">
        <f>'Sales Forecast'!AF105</f>
        <v>2.3681156250000002</v>
      </c>
      <c r="O309" s="343">
        <f t="shared" si="73"/>
        <v>28.396340625000008</v>
      </c>
    </row>
    <row r="310" spans="2:16" s="425" customFormat="1" x14ac:dyDescent="0.3">
      <c r="B310" s="343"/>
      <c r="C310" s="343"/>
      <c r="D310" s="343"/>
      <c r="E310" s="393"/>
      <c r="F310" s="393"/>
      <c r="G310" s="392"/>
      <c r="H310" s="393"/>
      <c r="I310" s="393"/>
      <c r="J310" s="393"/>
      <c r="K310" s="393"/>
      <c r="L310" s="393"/>
      <c r="M310" s="393"/>
      <c r="N310" s="490"/>
      <c r="O310" s="343"/>
      <c r="P310" s="532"/>
    </row>
    <row r="311" spans="2:16" s="425" customFormat="1" x14ac:dyDescent="0.3">
      <c r="B311" s="1588" t="s">
        <v>416</v>
      </c>
      <c r="C311" s="349">
        <f>SUM(C294:C309)</f>
        <v>340.3751530185213</v>
      </c>
      <c r="D311" s="349">
        <f t="shared" ref="D311" si="74">SUM(D294:D309)</f>
        <v>392.7596802418733</v>
      </c>
      <c r="E311" s="349">
        <f t="shared" ref="E311:N311" si="75">SUM(E294:E309)</f>
        <v>368.56726385537132</v>
      </c>
      <c r="F311" s="349">
        <f t="shared" si="75"/>
        <v>339.11431265693676</v>
      </c>
      <c r="G311" s="349">
        <f t="shared" si="75"/>
        <v>333.40145918434536</v>
      </c>
      <c r="H311" s="349">
        <f t="shared" si="75"/>
        <v>334.20053481533336</v>
      </c>
      <c r="I311" s="349">
        <f t="shared" si="75"/>
        <v>362.69224483432822</v>
      </c>
      <c r="J311" s="349">
        <f t="shared" si="75"/>
        <v>377.09077546215872</v>
      </c>
      <c r="K311" s="349">
        <f t="shared" si="75"/>
        <v>333.38299519598729</v>
      </c>
      <c r="L311" s="349">
        <f t="shared" si="75"/>
        <v>292.03856077346705</v>
      </c>
      <c r="M311" s="349">
        <f t="shared" si="75"/>
        <v>247.58074899671371</v>
      </c>
      <c r="N311" s="349">
        <f t="shared" si="75"/>
        <v>266.89974202792712</v>
      </c>
      <c r="O311" s="349">
        <f>SUM(C311:N311)</f>
        <v>3988.1034710629629</v>
      </c>
      <c r="P311" s="532"/>
    </row>
    <row r="312" spans="2:16" x14ac:dyDescent="0.3">
      <c r="B312" s="434"/>
      <c r="C312" s="343"/>
      <c r="D312" s="343"/>
      <c r="E312" s="393"/>
      <c r="F312" s="393"/>
      <c r="G312" s="392"/>
      <c r="H312" s="393"/>
      <c r="I312" s="393"/>
      <c r="J312" s="393"/>
      <c r="K312" s="393"/>
      <c r="L312" s="393"/>
      <c r="M312" s="393"/>
      <c r="N312" s="490"/>
      <c r="O312" s="349"/>
    </row>
    <row r="313" spans="2:16" x14ac:dyDescent="0.3">
      <c r="B313" s="433" t="s">
        <v>145</v>
      </c>
      <c r="C313" s="491">
        <f t="shared" ref="C313:N313" si="76">C311+C291</f>
        <v>391.84518201852131</v>
      </c>
      <c r="D313" s="491">
        <f t="shared" si="76"/>
        <v>448.30924624187332</v>
      </c>
      <c r="E313" s="491">
        <f t="shared" si="76"/>
        <v>428.61963085537133</v>
      </c>
      <c r="F313" s="491">
        <f t="shared" si="76"/>
        <v>397.28522565693675</v>
      </c>
      <c r="G313" s="491">
        <f t="shared" si="76"/>
        <v>390.90456218434537</v>
      </c>
      <c r="H313" s="491">
        <f t="shared" si="76"/>
        <v>390.33413481533336</v>
      </c>
      <c r="I313" s="491">
        <f t="shared" si="76"/>
        <v>415.53074987283782</v>
      </c>
      <c r="J313" s="491">
        <f t="shared" si="76"/>
        <v>436.27840643803938</v>
      </c>
      <c r="K313" s="491">
        <f t="shared" si="76"/>
        <v>387.41854911302477</v>
      </c>
      <c r="L313" s="491">
        <f t="shared" si="76"/>
        <v>342.33513410435671</v>
      </c>
      <c r="M313" s="491">
        <f t="shared" si="76"/>
        <v>296.03248973180303</v>
      </c>
      <c r="N313" s="491">
        <f t="shared" si="76"/>
        <v>310.53768267099179</v>
      </c>
      <c r="O313" s="349">
        <f>SUM(C313:N313)</f>
        <v>4635.430993703435</v>
      </c>
    </row>
    <row r="314" spans="2:16" x14ac:dyDescent="0.3">
      <c r="B314" s="591"/>
      <c r="E314" s="886"/>
      <c r="F314" s="886"/>
      <c r="G314" s="887"/>
      <c r="H314" s="886"/>
      <c r="I314" s="886"/>
      <c r="J314" s="886"/>
      <c r="K314" s="886"/>
      <c r="L314" s="886"/>
      <c r="M314" s="886"/>
      <c r="N314" s="888"/>
      <c r="O314" s="426">
        <f>'Sales Forecast'!AG109-O313</f>
        <v>0</v>
      </c>
    </row>
    <row r="315" spans="2:16" hidden="1" x14ac:dyDescent="0.3">
      <c r="B315" s="591"/>
      <c r="G315" s="886"/>
      <c r="H315" s="886"/>
      <c r="I315" s="887"/>
      <c r="J315" s="886"/>
      <c r="K315" s="886"/>
      <c r="L315" s="886"/>
      <c r="M315" s="886"/>
      <c r="N315" s="886"/>
      <c r="O315" s="886"/>
      <c r="P315" s="888"/>
    </row>
    <row r="316" spans="2:16" x14ac:dyDescent="0.3">
      <c r="B316" s="532" t="s">
        <v>417</v>
      </c>
    </row>
    <row r="318" spans="2:16" ht="28" x14ac:dyDescent="0.3">
      <c r="B318" s="1151" t="s">
        <v>292</v>
      </c>
      <c r="C318" s="1151" t="s">
        <v>177</v>
      </c>
      <c r="D318" s="1151" t="s">
        <v>178</v>
      </c>
      <c r="E318" s="1151" t="s">
        <v>179</v>
      </c>
      <c r="F318" s="1151" t="s">
        <v>186</v>
      </c>
      <c r="G318" s="1151" t="s">
        <v>426</v>
      </c>
    </row>
    <row r="319" spans="2:16" x14ac:dyDescent="0.3">
      <c r="B319" s="458" t="s">
        <v>293</v>
      </c>
      <c r="C319" s="430"/>
      <c r="D319" s="430"/>
      <c r="E319" s="430"/>
      <c r="F319" s="430"/>
      <c r="G319" s="430"/>
    </row>
    <row r="320" spans="2:16" x14ac:dyDescent="0.3">
      <c r="B320" s="344"/>
      <c r="C320" s="349"/>
      <c r="D320" s="349"/>
      <c r="E320" s="349"/>
      <c r="F320" s="349"/>
      <c r="G320" s="417"/>
    </row>
    <row r="321" spans="1:19" x14ac:dyDescent="0.3">
      <c r="B321" s="507" t="s">
        <v>891</v>
      </c>
      <c r="C321" s="343">
        <v>138.98023000000001</v>
      </c>
      <c r="D321" s="343">
        <v>156.864136</v>
      </c>
      <c r="E321" s="343">
        <v>178.86294300000003</v>
      </c>
      <c r="F321" s="343">
        <v>144.91576799999999</v>
      </c>
      <c r="G321" s="343">
        <v>147.67402899999999</v>
      </c>
    </row>
    <row r="322" spans="1:19" x14ac:dyDescent="0.3">
      <c r="B322" s="507" t="s">
        <v>892</v>
      </c>
      <c r="C322" s="343">
        <v>281.68260799999996</v>
      </c>
      <c r="D322" s="343">
        <v>268.123965</v>
      </c>
      <c r="E322" s="343">
        <v>246.64282600000001</v>
      </c>
      <c r="F322" s="343">
        <v>160.23829000000003</v>
      </c>
      <c r="G322" s="343">
        <v>193.68196</v>
      </c>
    </row>
    <row r="323" spans="1:19" x14ac:dyDescent="0.3">
      <c r="B323" s="507" t="s">
        <v>893</v>
      </c>
      <c r="C323" s="343">
        <v>32.128862999999996</v>
      </c>
      <c r="D323" s="343">
        <v>30.67191</v>
      </c>
      <c r="E323" s="343">
        <v>30.026651999999999</v>
      </c>
      <c r="F323" s="343">
        <v>29.008610000000001</v>
      </c>
      <c r="G323" s="343">
        <v>26.534104999999997</v>
      </c>
    </row>
    <row r="324" spans="1:19" x14ac:dyDescent="0.3">
      <c r="B324" s="507" t="s">
        <v>1705</v>
      </c>
      <c r="C324" s="343">
        <v>2.284802</v>
      </c>
      <c r="D324" s="343">
        <v>2.1445720000000001</v>
      </c>
      <c r="E324" s="343">
        <v>2.2195320000000001</v>
      </c>
      <c r="F324" s="343">
        <v>1.8214940000000002</v>
      </c>
      <c r="G324" s="343">
        <v>2.5235099999999999</v>
      </c>
    </row>
    <row r="325" spans="1:19" ht="28" x14ac:dyDescent="0.3">
      <c r="B325" s="507" t="s">
        <v>1706</v>
      </c>
      <c r="C325" s="343">
        <v>26.464669999999998</v>
      </c>
      <c r="D325" s="343">
        <v>26.608910000000005</v>
      </c>
      <c r="E325" s="343">
        <v>25.843350000000001</v>
      </c>
      <c r="F325" s="343">
        <v>21.803226000000002</v>
      </c>
      <c r="G325" s="343">
        <v>26.260580000000001</v>
      </c>
    </row>
    <row r="326" spans="1:19" x14ac:dyDescent="0.3">
      <c r="B326" s="507" t="s">
        <v>1707</v>
      </c>
      <c r="C326" s="343">
        <v>205.52410800000001</v>
      </c>
      <c r="D326" s="343">
        <v>196.829938</v>
      </c>
      <c r="E326" s="343">
        <v>197.20447500000003</v>
      </c>
      <c r="F326" s="343">
        <v>182.86253699999997</v>
      </c>
      <c r="G326" s="343">
        <v>184.86755000000002</v>
      </c>
    </row>
    <row r="327" spans="1:19" x14ac:dyDescent="0.3">
      <c r="B327" s="1057" t="s">
        <v>1704</v>
      </c>
      <c r="C327" s="343">
        <v>0</v>
      </c>
      <c r="D327" s="343">
        <v>0</v>
      </c>
      <c r="E327" s="343">
        <v>0</v>
      </c>
      <c r="F327" s="343">
        <v>0</v>
      </c>
      <c r="G327" s="343">
        <v>0</v>
      </c>
    </row>
    <row r="328" spans="1:19" x14ac:dyDescent="0.3">
      <c r="B328" s="594"/>
      <c r="C328" s="343"/>
      <c r="D328" s="343"/>
      <c r="E328" s="343"/>
      <c r="F328" s="343"/>
      <c r="G328" s="343"/>
    </row>
    <row r="329" spans="1:19" x14ac:dyDescent="0.3">
      <c r="B329" s="434" t="s">
        <v>416</v>
      </c>
      <c r="C329" s="349">
        <f>SUM(C321:C328)</f>
        <v>687.06528100000003</v>
      </c>
      <c r="D329" s="349">
        <f t="shared" ref="D329:G329" si="77">SUM(D321:D328)</f>
        <v>681.24343099999999</v>
      </c>
      <c r="E329" s="349">
        <f t="shared" si="77"/>
        <v>680.79977800000006</v>
      </c>
      <c r="F329" s="349">
        <f t="shared" si="77"/>
        <v>540.64992499999994</v>
      </c>
      <c r="G329" s="349">
        <f t="shared" si="77"/>
        <v>581.54173400000002</v>
      </c>
    </row>
    <row r="330" spans="1:19" x14ac:dyDescent="0.3">
      <c r="B330" s="594"/>
      <c r="C330" s="343"/>
      <c r="D330" s="343"/>
      <c r="E330" s="343"/>
      <c r="F330" s="343"/>
      <c r="G330" s="343"/>
    </row>
    <row r="331" spans="1:19" x14ac:dyDescent="0.3">
      <c r="B331" s="458" t="s">
        <v>294</v>
      </c>
      <c r="C331" s="343">
        <v>0</v>
      </c>
      <c r="D331" s="343">
        <v>0</v>
      </c>
      <c r="E331" s="343">
        <v>0</v>
      </c>
      <c r="F331" s="343">
        <v>0</v>
      </c>
      <c r="G331" s="343">
        <v>0</v>
      </c>
    </row>
    <row r="332" spans="1:19" s="425" customFormat="1" ht="16" x14ac:dyDescent="0.3">
      <c r="B332" s="344" t="s">
        <v>960</v>
      </c>
      <c r="C332" s="343">
        <v>0.21506400000000001</v>
      </c>
      <c r="D332" s="343">
        <v>7.3140000000000011E-2</v>
      </c>
      <c r="E332" s="343">
        <v>3.2233999999999999E-2</v>
      </c>
      <c r="F332" s="343">
        <v>2.0171999999999999E-2</v>
      </c>
      <c r="G332" s="343">
        <v>8.3580000000000008E-3</v>
      </c>
      <c r="J332" s="426"/>
      <c r="K332" s="426"/>
      <c r="L332" s="426"/>
      <c r="M332" s="426"/>
      <c r="N332" s="426"/>
      <c r="O332" s="426"/>
      <c r="P332" s="426"/>
      <c r="Q332" s="514"/>
      <c r="R332" s="885"/>
      <c r="S332" s="885"/>
    </row>
    <row r="333" spans="1:19" ht="28" x14ac:dyDescent="0.3">
      <c r="B333" s="344" t="s">
        <v>1711</v>
      </c>
      <c r="C333" s="343">
        <v>734.42353100000003</v>
      </c>
      <c r="D333" s="343">
        <v>739.96272599999998</v>
      </c>
      <c r="E333" s="343">
        <v>750.10362600000019</v>
      </c>
      <c r="F333" s="343">
        <v>723.834698</v>
      </c>
      <c r="G333" s="343">
        <v>729.87091599999997</v>
      </c>
      <c r="J333" s="514"/>
      <c r="K333" s="514"/>
      <c r="L333" s="514"/>
      <c r="M333" s="514"/>
      <c r="N333" s="514"/>
      <c r="O333" s="514"/>
      <c r="P333" s="514"/>
    </row>
    <row r="334" spans="1:19" x14ac:dyDescent="0.3">
      <c r="B334" s="344" t="s">
        <v>901</v>
      </c>
      <c r="C334" s="343">
        <v>667.72282199999995</v>
      </c>
      <c r="D334" s="343">
        <v>684.18194600000004</v>
      </c>
      <c r="E334" s="343">
        <v>699.56864599999994</v>
      </c>
      <c r="F334" s="343">
        <v>637.57205900000008</v>
      </c>
      <c r="G334" s="343">
        <v>680.51023800000007</v>
      </c>
    </row>
    <row r="335" spans="1:19" x14ac:dyDescent="0.3">
      <c r="A335" s="573"/>
      <c r="B335" s="344" t="s">
        <v>902</v>
      </c>
      <c r="C335" s="343">
        <v>208.08785599999999</v>
      </c>
      <c r="D335" s="343">
        <v>220.738304</v>
      </c>
      <c r="E335" s="343">
        <v>218.900147</v>
      </c>
      <c r="F335" s="343">
        <v>188.65472399999996</v>
      </c>
      <c r="G335" s="343">
        <v>216.88400200000001</v>
      </c>
    </row>
    <row r="336" spans="1:19" x14ac:dyDescent="0.3">
      <c r="B336" s="344" t="s">
        <v>903</v>
      </c>
      <c r="C336" s="343">
        <v>359.13563900000003</v>
      </c>
      <c r="D336" s="343">
        <v>377.45933500000001</v>
      </c>
      <c r="E336" s="343">
        <v>367.75952199999995</v>
      </c>
      <c r="F336" s="343">
        <v>347.99658600000004</v>
      </c>
      <c r="G336" s="343">
        <v>360.461861</v>
      </c>
    </row>
    <row r="337" spans="2:7" x14ac:dyDescent="0.3">
      <c r="B337" s="507" t="s">
        <v>904</v>
      </c>
      <c r="C337" s="343">
        <v>913.96372400000018</v>
      </c>
      <c r="D337" s="343">
        <v>905.1632330000001</v>
      </c>
      <c r="E337" s="343">
        <v>897.916651</v>
      </c>
      <c r="F337" s="343">
        <v>541.87650900000006</v>
      </c>
      <c r="G337" s="343">
        <v>676.08485699999994</v>
      </c>
    </row>
    <row r="338" spans="2:7" ht="28" x14ac:dyDescent="0.3">
      <c r="B338" s="507" t="s">
        <v>1708</v>
      </c>
      <c r="C338" s="343">
        <v>214.43356200000002</v>
      </c>
      <c r="D338" s="343">
        <v>211.31035400000002</v>
      </c>
      <c r="E338" s="343">
        <v>209.245994</v>
      </c>
      <c r="F338" s="343">
        <v>164.01164899999998</v>
      </c>
      <c r="G338" s="343">
        <v>144.39367000000001</v>
      </c>
    </row>
    <row r="339" spans="2:7" ht="28" x14ac:dyDescent="0.3">
      <c r="B339" s="507" t="s">
        <v>1709</v>
      </c>
      <c r="C339" s="343">
        <v>368.80243999999999</v>
      </c>
      <c r="D339" s="343">
        <v>370.32386600000001</v>
      </c>
      <c r="E339" s="343">
        <v>369.407149</v>
      </c>
      <c r="F339" s="343">
        <v>305.17446799999999</v>
      </c>
      <c r="G339" s="343">
        <v>290.95920999999998</v>
      </c>
    </row>
    <row r="340" spans="2:7" x14ac:dyDescent="0.3">
      <c r="B340" s="507" t="s">
        <v>908</v>
      </c>
      <c r="C340" s="343">
        <v>43.090337000000005</v>
      </c>
      <c r="D340" s="343">
        <v>43.270800000000008</v>
      </c>
      <c r="E340" s="343">
        <v>46.877510000000001</v>
      </c>
      <c r="F340" s="343">
        <v>71.580091999999993</v>
      </c>
      <c r="G340" s="343">
        <v>93.717031999999989</v>
      </c>
    </row>
    <row r="341" spans="2:7" x14ac:dyDescent="0.3">
      <c r="B341" s="507" t="s">
        <v>1594</v>
      </c>
      <c r="C341" s="343">
        <v>90.043571999999998</v>
      </c>
      <c r="D341" s="343">
        <v>90.386606</v>
      </c>
      <c r="E341" s="343">
        <v>84.487307000000001</v>
      </c>
      <c r="F341" s="343">
        <v>76.893726000000001</v>
      </c>
      <c r="G341" s="343">
        <v>77.183488999999994</v>
      </c>
    </row>
    <row r="342" spans="2:7" ht="28" x14ac:dyDescent="0.3">
      <c r="B342" s="507" t="s">
        <v>1710</v>
      </c>
      <c r="C342" s="343">
        <v>55.203111999999997</v>
      </c>
      <c r="D342" s="343">
        <v>54.776781999999997</v>
      </c>
      <c r="E342" s="343">
        <v>56.793369999999996</v>
      </c>
      <c r="F342" s="343">
        <v>66.513664000000006</v>
      </c>
      <c r="G342" s="343">
        <v>54.389055000000006</v>
      </c>
    </row>
    <row r="343" spans="2:7" x14ac:dyDescent="0.3">
      <c r="B343" s="507" t="s">
        <v>1596</v>
      </c>
      <c r="C343" s="343">
        <v>176.87971900000002</v>
      </c>
      <c r="D343" s="343">
        <v>173.24083800000002</v>
      </c>
      <c r="E343" s="343">
        <v>170.84430400000002</v>
      </c>
      <c r="F343" s="343">
        <v>154.94916599999999</v>
      </c>
      <c r="G343" s="343">
        <v>145.91715899999997</v>
      </c>
    </row>
    <row r="344" spans="2:7" x14ac:dyDescent="0.3">
      <c r="B344" s="507" t="s">
        <v>1597</v>
      </c>
      <c r="C344" s="343">
        <v>25.126228489999999</v>
      </c>
      <c r="D344" s="343">
        <v>19.841640820000006</v>
      </c>
      <c r="E344" s="343">
        <v>15.98489827</v>
      </c>
      <c r="F344" s="343">
        <v>15.9172745</v>
      </c>
      <c r="G344" s="343">
        <v>15.233531060000001</v>
      </c>
    </row>
    <row r="345" spans="2:7" x14ac:dyDescent="0.3">
      <c r="B345" s="507" t="s">
        <v>1598</v>
      </c>
      <c r="C345" s="343">
        <v>0</v>
      </c>
      <c r="D345" s="343">
        <v>0</v>
      </c>
      <c r="E345" s="343">
        <v>0</v>
      </c>
      <c r="F345" s="343">
        <v>0</v>
      </c>
      <c r="G345" s="343">
        <v>2.2003999999999999E-2</v>
      </c>
    </row>
    <row r="346" spans="2:7" x14ac:dyDescent="0.3">
      <c r="B346" s="507" t="s">
        <v>1599</v>
      </c>
      <c r="C346" s="343">
        <v>0</v>
      </c>
      <c r="D346" s="343">
        <v>3.3160000000000002E-2</v>
      </c>
      <c r="E346" s="343">
        <v>0.62017299999999997</v>
      </c>
      <c r="F346" s="343">
        <v>2.7673449999999997</v>
      </c>
      <c r="G346" s="343">
        <v>11.254760000000001</v>
      </c>
    </row>
    <row r="347" spans="2:7" x14ac:dyDescent="0.3">
      <c r="B347" s="428"/>
      <c r="C347" s="343"/>
      <c r="D347" s="343"/>
      <c r="E347" s="343"/>
      <c r="F347" s="343"/>
      <c r="G347" s="343"/>
    </row>
    <row r="348" spans="2:7" x14ac:dyDescent="0.3">
      <c r="B348" s="434" t="s">
        <v>416</v>
      </c>
      <c r="C348" s="349">
        <f>SUM(C332:C347)</f>
        <v>3857.1276064900007</v>
      </c>
      <c r="D348" s="349">
        <f t="shared" ref="D348:G348" si="78">SUM(D332:D347)</f>
        <v>3890.7627308200003</v>
      </c>
      <c r="E348" s="349">
        <f t="shared" si="78"/>
        <v>3888.5415312699997</v>
      </c>
      <c r="F348" s="349">
        <f t="shared" si="78"/>
        <v>3297.7621325000005</v>
      </c>
      <c r="G348" s="349">
        <f t="shared" si="78"/>
        <v>3496.89014206</v>
      </c>
    </row>
    <row r="349" spans="2:7" x14ac:dyDescent="0.3">
      <c r="B349" s="594"/>
      <c r="C349" s="343"/>
      <c r="D349" s="343"/>
      <c r="E349" s="343"/>
      <c r="F349" s="343"/>
      <c r="G349" s="343"/>
    </row>
    <row r="350" spans="2:7" x14ac:dyDescent="0.3">
      <c r="B350" s="417" t="s">
        <v>145</v>
      </c>
      <c r="C350" s="349">
        <f>C348+C329</f>
        <v>4544.1928874900004</v>
      </c>
      <c r="D350" s="349">
        <f t="shared" ref="D350:G350" si="79">D348+D329</f>
        <v>4572.0061618200007</v>
      </c>
      <c r="E350" s="349">
        <f t="shared" si="79"/>
        <v>4569.3413092699993</v>
      </c>
      <c r="F350" s="349">
        <f t="shared" si="79"/>
        <v>3838.4120575000006</v>
      </c>
      <c r="G350" s="349">
        <f t="shared" si="79"/>
        <v>4078.4318760599999</v>
      </c>
    </row>
    <row r="351" spans="2:7" hidden="1" x14ac:dyDescent="0.3">
      <c r="B351" s="596" t="s">
        <v>435</v>
      </c>
      <c r="C351" s="426">
        <v>0</v>
      </c>
      <c r="D351" s="426">
        <v>0</v>
      </c>
      <c r="E351" s="426">
        <v>0</v>
      </c>
      <c r="F351" s="426">
        <v>0</v>
      </c>
      <c r="G351" s="426">
        <v>0</v>
      </c>
    </row>
    <row r="352" spans="2:7" hidden="1" x14ac:dyDescent="0.3">
      <c r="B352" s="576" t="s">
        <v>436</v>
      </c>
    </row>
    <row r="353" spans="2:2" hidden="1" x14ac:dyDescent="0.3">
      <c r="B353" s="573" t="s">
        <v>438</v>
      </c>
    </row>
    <row r="354" spans="2:2" hidden="1" x14ac:dyDescent="0.3">
      <c r="B354" s="576" t="s">
        <v>568</v>
      </c>
    </row>
  </sheetData>
  <mergeCells count="13">
    <mergeCell ref="N9:O9"/>
    <mergeCell ref="P9:Q9"/>
    <mergeCell ref="R9:R11"/>
    <mergeCell ref="B9:B11"/>
    <mergeCell ref="B198:B199"/>
    <mergeCell ref="H9:I9"/>
    <mergeCell ref="J9:M9"/>
    <mergeCell ref="C9:D9"/>
    <mergeCell ref="F9:G9"/>
    <mergeCell ref="E9:E11"/>
    <mergeCell ref="C198:H198"/>
    <mergeCell ref="I198:N198"/>
    <mergeCell ref="O198:O199"/>
  </mergeCells>
  <pageMargins left="1.0236220472440944" right="0.23622047244094491" top="0.98425196850393704" bottom="0.98425196850393704" header="0.23622047244094491" footer="0.23622047244094491"/>
  <pageSetup paperSize="9" scale="37" orientation="landscape" r:id="rId1"/>
  <headerFooter alignWithMargins="0">
    <oddHeader>&amp;F</oddHeader>
  </headerFooter>
  <rowBreaks count="7" manualBreakCount="7">
    <brk id="52" max="17" man="1"/>
    <brk id="103" max="17" man="1"/>
    <brk id="146" max="17" man="1"/>
    <brk id="189" max="17" man="1"/>
    <brk id="232" max="17" man="1"/>
    <brk id="275" max="17" man="1"/>
    <brk id="314" max="16383" man="1"/>
  </rowBreaks>
  <colBreaks count="1" manualBreakCount="1">
    <brk id="18" min="1" max="354"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42"/>
  <sheetViews>
    <sheetView showGridLines="0" view="pageBreakPreview" topLeftCell="B1" zoomScale="49" zoomScaleNormal="75" zoomScaleSheetLayoutView="115" zoomScalePageLayoutView="110" workbookViewId="0">
      <selection activeCell="B197" sqref="B197"/>
    </sheetView>
  </sheetViews>
  <sheetFormatPr defaultColWidth="9.1796875" defaultRowHeight="14" x14ac:dyDescent="0.3"/>
  <cols>
    <col min="1" max="1" width="9.1796875" style="426"/>
    <col min="2" max="2" width="30.453125" style="426" customWidth="1"/>
    <col min="3" max="3" width="13.7265625" style="426" customWidth="1"/>
    <col min="4" max="4" width="14.81640625" style="426" customWidth="1"/>
    <col min="5" max="5" width="28.26953125" style="426" customWidth="1"/>
    <col min="6" max="6" width="14.81640625" style="426" customWidth="1"/>
    <col min="7" max="8" width="14.26953125" style="426" customWidth="1"/>
    <col min="9" max="9" width="15.453125" style="426" customWidth="1"/>
    <col min="10" max="10" width="14.81640625" style="426" customWidth="1"/>
    <col min="11" max="14" width="14.54296875" style="426" customWidth="1"/>
    <col min="15" max="15" width="16" style="426" customWidth="1"/>
    <col min="16" max="16" width="14.453125" style="426" customWidth="1"/>
    <col min="17" max="17" width="16.7265625" style="426" customWidth="1"/>
    <col min="18" max="19" width="14.81640625" style="426" customWidth="1"/>
    <col min="20" max="255" width="9.1796875" style="426"/>
    <col min="256" max="256" width="15.7265625" style="426" customWidth="1"/>
    <col min="257" max="257" width="30.453125" style="426" customWidth="1"/>
    <col min="258" max="269" width="10.7265625" style="426" customWidth="1"/>
    <col min="270" max="270" width="12.54296875" style="426" customWidth="1"/>
    <col min="271" max="271" width="6.26953125" style="426" bestFit="1" customWidth="1"/>
    <col min="272" max="272" width="11.54296875" style="426" customWidth="1"/>
    <col min="273" max="511" width="9.1796875" style="426"/>
    <col min="512" max="512" width="15.7265625" style="426" customWidth="1"/>
    <col min="513" max="513" width="30.453125" style="426" customWidth="1"/>
    <col min="514" max="525" width="10.7265625" style="426" customWidth="1"/>
    <col min="526" max="526" width="12.54296875" style="426" customWidth="1"/>
    <col min="527" max="527" width="6.26953125" style="426" bestFit="1" customWidth="1"/>
    <col min="528" max="528" width="11.54296875" style="426" customWidth="1"/>
    <col min="529" max="767" width="9.1796875" style="426"/>
    <col min="768" max="768" width="15.7265625" style="426" customWidth="1"/>
    <col min="769" max="769" width="30.453125" style="426" customWidth="1"/>
    <col min="770" max="781" width="10.7265625" style="426" customWidth="1"/>
    <col min="782" max="782" width="12.54296875" style="426" customWidth="1"/>
    <col min="783" max="783" width="6.26953125" style="426" bestFit="1" customWidth="1"/>
    <col min="784" max="784" width="11.54296875" style="426" customWidth="1"/>
    <col min="785" max="1023" width="9.1796875" style="426"/>
    <col min="1024" max="1024" width="15.7265625" style="426" customWidth="1"/>
    <col min="1025" max="1025" width="30.453125" style="426" customWidth="1"/>
    <col min="1026" max="1037" width="10.7265625" style="426" customWidth="1"/>
    <col min="1038" max="1038" width="12.54296875" style="426" customWidth="1"/>
    <col min="1039" max="1039" width="6.26953125" style="426" bestFit="1" customWidth="1"/>
    <col min="1040" max="1040" width="11.54296875" style="426" customWidth="1"/>
    <col min="1041" max="1279" width="9.1796875" style="426"/>
    <col min="1280" max="1280" width="15.7265625" style="426" customWidth="1"/>
    <col min="1281" max="1281" width="30.453125" style="426" customWidth="1"/>
    <col min="1282" max="1293" width="10.7265625" style="426" customWidth="1"/>
    <col min="1294" max="1294" width="12.54296875" style="426" customWidth="1"/>
    <col min="1295" max="1295" width="6.26953125" style="426" bestFit="1" customWidth="1"/>
    <col min="1296" max="1296" width="11.54296875" style="426" customWidth="1"/>
    <col min="1297" max="1535" width="9.1796875" style="426"/>
    <col min="1536" max="1536" width="15.7265625" style="426" customWidth="1"/>
    <col min="1537" max="1537" width="30.453125" style="426" customWidth="1"/>
    <col min="1538" max="1549" width="10.7265625" style="426" customWidth="1"/>
    <col min="1550" max="1550" width="12.54296875" style="426" customWidth="1"/>
    <col min="1551" max="1551" width="6.26953125" style="426" bestFit="1" customWidth="1"/>
    <col min="1552" max="1552" width="11.54296875" style="426" customWidth="1"/>
    <col min="1553" max="1791" width="9.1796875" style="426"/>
    <col min="1792" max="1792" width="15.7265625" style="426" customWidth="1"/>
    <col min="1793" max="1793" width="30.453125" style="426" customWidth="1"/>
    <col min="1794" max="1805" width="10.7265625" style="426" customWidth="1"/>
    <col min="1806" max="1806" width="12.54296875" style="426" customWidth="1"/>
    <col min="1807" max="1807" width="6.26953125" style="426" bestFit="1" customWidth="1"/>
    <col min="1808" max="1808" width="11.54296875" style="426" customWidth="1"/>
    <col min="1809" max="2047" width="9.1796875" style="426"/>
    <col min="2048" max="2048" width="15.7265625" style="426" customWidth="1"/>
    <col min="2049" max="2049" width="30.453125" style="426" customWidth="1"/>
    <col min="2050" max="2061" width="10.7265625" style="426" customWidth="1"/>
    <col min="2062" max="2062" width="12.54296875" style="426" customWidth="1"/>
    <col min="2063" max="2063" width="6.26953125" style="426" bestFit="1" customWidth="1"/>
    <col min="2064" max="2064" width="11.54296875" style="426" customWidth="1"/>
    <col min="2065" max="2303" width="9.1796875" style="426"/>
    <col min="2304" max="2304" width="15.7265625" style="426" customWidth="1"/>
    <col min="2305" max="2305" width="30.453125" style="426" customWidth="1"/>
    <col min="2306" max="2317" width="10.7265625" style="426" customWidth="1"/>
    <col min="2318" max="2318" width="12.54296875" style="426" customWidth="1"/>
    <col min="2319" max="2319" width="6.26953125" style="426" bestFit="1" customWidth="1"/>
    <col min="2320" max="2320" width="11.54296875" style="426" customWidth="1"/>
    <col min="2321" max="2559" width="9.1796875" style="426"/>
    <col min="2560" max="2560" width="15.7265625" style="426" customWidth="1"/>
    <col min="2561" max="2561" width="30.453125" style="426" customWidth="1"/>
    <col min="2562" max="2573" width="10.7265625" style="426" customWidth="1"/>
    <col min="2574" max="2574" width="12.54296875" style="426" customWidth="1"/>
    <col min="2575" max="2575" width="6.26953125" style="426" bestFit="1" customWidth="1"/>
    <col min="2576" max="2576" width="11.54296875" style="426" customWidth="1"/>
    <col min="2577" max="2815" width="9.1796875" style="426"/>
    <col min="2816" max="2816" width="15.7265625" style="426" customWidth="1"/>
    <col min="2817" max="2817" width="30.453125" style="426" customWidth="1"/>
    <col min="2818" max="2829" width="10.7265625" style="426" customWidth="1"/>
    <col min="2830" max="2830" width="12.54296875" style="426" customWidth="1"/>
    <col min="2831" max="2831" width="6.26953125" style="426" bestFit="1" customWidth="1"/>
    <col min="2832" max="2832" width="11.54296875" style="426" customWidth="1"/>
    <col min="2833" max="3071" width="9.1796875" style="426"/>
    <col min="3072" max="3072" width="15.7265625" style="426" customWidth="1"/>
    <col min="3073" max="3073" width="30.453125" style="426" customWidth="1"/>
    <col min="3074" max="3085" width="10.7265625" style="426" customWidth="1"/>
    <col min="3086" max="3086" width="12.54296875" style="426" customWidth="1"/>
    <col min="3087" max="3087" width="6.26953125" style="426" bestFit="1" customWidth="1"/>
    <col min="3088" max="3088" width="11.54296875" style="426" customWidth="1"/>
    <col min="3089" max="3327" width="9.1796875" style="426"/>
    <col min="3328" max="3328" width="15.7265625" style="426" customWidth="1"/>
    <col min="3329" max="3329" width="30.453125" style="426" customWidth="1"/>
    <col min="3330" max="3341" width="10.7265625" style="426" customWidth="1"/>
    <col min="3342" max="3342" width="12.54296875" style="426" customWidth="1"/>
    <col min="3343" max="3343" width="6.26953125" style="426" bestFit="1" customWidth="1"/>
    <col min="3344" max="3344" width="11.54296875" style="426" customWidth="1"/>
    <col min="3345" max="3583" width="9.1796875" style="426"/>
    <col min="3584" max="3584" width="15.7265625" style="426" customWidth="1"/>
    <col min="3585" max="3585" width="30.453125" style="426" customWidth="1"/>
    <col min="3586" max="3597" width="10.7265625" style="426" customWidth="1"/>
    <col min="3598" max="3598" width="12.54296875" style="426" customWidth="1"/>
    <col min="3599" max="3599" width="6.26953125" style="426" bestFit="1" customWidth="1"/>
    <col min="3600" max="3600" width="11.54296875" style="426" customWidth="1"/>
    <col min="3601" max="3839" width="9.1796875" style="426"/>
    <col min="3840" max="3840" width="15.7265625" style="426" customWidth="1"/>
    <col min="3841" max="3841" width="30.453125" style="426" customWidth="1"/>
    <col min="3842" max="3853" width="10.7265625" style="426" customWidth="1"/>
    <col min="3854" max="3854" width="12.54296875" style="426" customWidth="1"/>
    <col min="3855" max="3855" width="6.26953125" style="426" bestFit="1" customWidth="1"/>
    <col min="3856" max="3856" width="11.54296875" style="426" customWidth="1"/>
    <col min="3857" max="4095" width="9.1796875" style="426"/>
    <col min="4096" max="4096" width="15.7265625" style="426" customWidth="1"/>
    <col min="4097" max="4097" width="30.453125" style="426" customWidth="1"/>
    <col min="4098" max="4109" width="10.7265625" style="426" customWidth="1"/>
    <col min="4110" max="4110" width="12.54296875" style="426" customWidth="1"/>
    <col min="4111" max="4111" width="6.26953125" style="426" bestFit="1" customWidth="1"/>
    <col min="4112" max="4112" width="11.54296875" style="426" customWidth="1"/>
    <col min="4113" max="4351" width="9.1796875" style="426"/>
    <col min="4352" max="4352" width="15.7265625" style="426" customWidth="1"/>
    <col min="4353" max="4353" width="30.453125" style="426" customWidth="1"/>
    <col min="4354" max="4365" width="10.7265625" style="426" customWidth="1"/>
    <col min="4366" max="4366" width="12.54296875" style="426" customWidth="1"/>
    <col min="4367" max="4367" width="6.26953125" style="426" bestFit="1" customWidth="1"/>
    <col min="4368" max="4368" width="11.54296875" style="426" customWidth="1"/>
    <col min="4369" max="4607" width="9.1796875" style="426"/>
    <col min="4608" max="4608" width="15.7265625" style="426" customWidth="1"/>
    <col min="4609" max="4609" width="30.453125" style="426" customWidth="1"/>
    <col min="4610" max="4621" width="10.7265625" style="426" customWidth="1"/>
    <col min="4622" max="4622" width="12.54296875" style="426" customWidth="1"/>
    <col min="4623" max="4623" width="6.26953125" style="426" bestFit="1" customWidth="1"/>
    <col min="4624" max="4624" width="11.54296875" style="426" customWidth="1"/>
    <col min="4625" max="4863" width="9.1796875" style="426"/>
    <col min="4864" max="4864" width="15.7265625" style="426" customWidth="1"/>
    <col min="4865" max="4865" width="30.453125" style="426" customWidth="1"/>
    <col min="4866" max="4877" width="10.7265625" style="426" customWidth="1"/>
    <col min="4878" max="4878" width="12.54296875" style="426" customWidth="1"/>
    <col min="4879" max="4879" width="6.26953125" style="426" bestFit="1" customWidth="1"/>
    <col min="4880" max="4880" width="11.54296875" style="426" customWidth="1"/>
    <col min="4881" max="5119" width="9.1796875" style="426"/>
    <col min="5120" max="5120" width="15.7265625" style="426" customWidth="1"/>
    <col min="5121" max="5121" width="30.453125" style="426" customWidth="1"/>
    <col min="5122" max="5133" width="10.7265625" style="426" customWidth="1"/>
    <col min="5134" max="5134" width="12.54296875" style="426" customWidth="1"/>
    <col min="5135" max="5135" width="6.26953125" style="426" bestFit="1" customWidth="1"/>
    <col min="5136" max="5136" width="11.54296875" style="426" customWidth="1"/>
    <col min="5137" max="5375" width="9.1796875" style="426"/>
    <col min="5376" max="5376" width="15.7265625" style="426" customWidth="1"/>
    <col min="5377" max="5377" width="30.453125" style="426" customWidth="1"/>
    <col min="5378" max="5389" width="10.7265625" style="426" customWidth="1"/>
    <col min="5390" max="5390" width="12.54296875" style="426" customWidth="1"/>
    <col min="5391" max="5391" width="6.26953125" style="426" bestFit="1" customWidth="1"/>
    <col min="5392" max="5392" width="11.54296875" style="426" customWidth="1"/>
    <col min="5393" max="5631" width="9.1796875" style="426"/>
    <col min="5632" max="5632" width="15.7265625" style="426" customWidth="1"/>
    <col min="5633" max="5633" width="30.453125" style="426" customWidth="1"/>
    <col min="5634" max="5645" width="10.7265625" style="426" customWidth="1"/>
    <col min="5646" max="5646" width="12.54296875" style="426" customWidth="1"/>
    <col min="5647" max="5647" width="6.26953125" style="426" bestFit="1" customWidth="1"/>
    <col min="5648" max="5648" width="11.54296875" style="426" customWidth="1"/>
    <col min="5649" max="5887" width="9.1796875" style="426"/>
    <col min="5888" max="5888" width="15.7265625" style="426" customWidth="1"/>
    <col min="5889" max="5889" width="30.453125" style="426" customWidth="1"/>
    <col min="5890" max="5901" width="10.7265625" style="426" customWidth="1"/>
    <col min="5902" max="5902" width="12.54296875" style="426" customWidth="1"/>
    <col min="5903" max="5903" width="6.26953125" style="426" bestFit="1" customWidth="1"/>
    <col min="5904" max="5904" width="11.54296875" style="426" customWidth="1"/>
    <col min="5905" max="6143" width="9.1796875" style="426"/>
    <col min="6144" max="6144" width="15.7265625" style="426" customWidth="1"/>
    <col min="6145" max="6145" width="30.453125" style="426" customWidth="1"/>
    <col min="6146" max="6157" width="10.7265625" style="426" customWidth="1"/>
    <col min="6158" max="6158" width="12.54296875" style="426" customWidth="1"/>
    <col min="6159" max="6159" width="6.26953125" style="426" bestFit="1" customWidth="1"/>
    <col min="6160" max="6160" width="11.54296875" style="426" customWidth="1"/>
    <col min="6161" max="6399" width="9.1796875" style="426"/>
    <col min="6400" max="6400" width="15.7265625" style="426" customWidth="1"/>
    <col min="6401" max="6401" width="30.453125" style="426" customWidth="1"/>
    <col min="6402" max="6413" width="10.7265625" style="426" customWidth="1"/>
    <col min="6414" max="6414" width="12.54296875" style="426" customWidth="1"/>
    <col min="6415" max="6415" width="6.26953125" style="426" bestFit="1" customWidth="1"/>
    <col min="6416" max="6416" width="11.54296875" style="426" customWidth="1"/>
    <col min="6417" max="6655" width="9.1796875" style="426"/>
    <col min="6656" max="6656" width="15.7265625" style="426" customWidth="1"/>
    <col min="6657" max="6657" width="30.453125" style="426" customWidth="1"/>
    <col min="6658" max="6669" width="10.7265625" style="426" customWidth="1"/>
    <col min="6670" max="6670" width="12.54296875" style="426" customWidth="1"/>
    <col min="6671" max="6671" width="6.26953125" style="426" bestFit="1" customWidth="1"/>
    <col min="6672" max="6672" width="11.54296875" style="426" customWidth="1"/>
    <col min="6673" max="6911" width="9.1796875" style="426"/>
    <col min="6912" max="6912" width="15.7265625" style="426" customWidth="1"/>
    <col min="6913" max="6913" width="30.453125" style="426" customWidth="1"/>
    <col min="6914" max="6925" width="10.7265625" style="426" customWidth="1"/>
    <col min="6926" max="6926" width="12.54296875" style="426" customWidth="1"/>
    <col min="6927" max="6927" width="6.26953125" style="426" bestFit="1" customWidth="1"/>
    <col min="6928" max="6928" width="11.54296875" style="426" customWidth="1"/>
    <col min="6929" max="7167" width="9.1796875" style="426"/>
    <col min="7168" max="7168" width="15.7265625" style="426" customWidth="1"/>
    <col min="7169" max="7169" width="30.453125" style="426" customWidth="1"/>
    <col min="7170" max="7181" width="10.7265625" style="426" customWidth="1"/>
    <col min="7182" max="7182" width="12.54296875" style="426" customWidth="1"/>
    <col min="7183" max="7183" width="6.26953125" style="426" bestFit="1" customWidth="1"/>
    <col min="7184" max="7184" width="11.54296875" style="426" customWidth="1"/>
    <col min="7185" max="7423" width="9.1796875" style="426"/>
    <col min="7424" max="7424" width="15.7265625" style="426" customWidth="1"/>
    <col min="7425" max="7425" width="30.453125" style="426" customWidth="1"/>
    <col min="7426" max="7437" width="10.7265625" style="426" customWidth="1"/>
    <col min="7438" max="7438" width="12.54296875" style="426" customWidth="1"/>
    <col min="7439" max="7439" width="6.26953125" style="426" bestFit="1" customWidth="1"/>
    <col min="7440" max="7440" width="11.54296875" style="426" customWidth="1"/>
    <col min="7441" max="7679" width="9.1796875" style="426"/>
    <col min="7680" max="7680" width="15.7265625" style="426" customWidth="1"/>
    <col min="7681" max="7681" width="30.453125" style="426" customWidth="1"/>
    <col min="7682" max="7693" width="10.7265625" style="426" customWidth="1"/>
    <col min="7694" max="7694" width="12.54296875" style="426" customWidth="1"/>
    <col min="7695" max="7695" width="6.26953125" style="426" bestFit="1" customWidth="1"/>
    <col min="7696" max="7696" width="11.54296875" style="426" customWidth="1"/>
    <col min="7697" max="7935" width="9.1796875" style="426"/>
    <col min="7936" max="7936" width="15.7265625" style="426" customWidth="1"/>
    <col min="7937" max="7937" width="30.453125" style="426" customWidth="1"/>
    <col min="7938" max="7949" width="10.7265625" style="426" customWidth="1"/>
    <col min="7950" max="7950" width="12.54296875" style="426" customWidth="1"/>
    <col min="7951" max="7951" width="6.26953125" style="426" bestFit="1" customWidth="1"/>
    <col min="7952" max="7952" width="11.54296875" style="426" customWidth="1"/>
    <col min="7953" max="8191" width="9.1796875" style="426"/>
    <col min="8192" max="8192" width="15.7265625" style="426" customWidth="1"/>
    <col min="8193" max="8193" width="30.453125" style="426" customWidth="1"/>
    <col min="8194" max="8205" width="10.7265625" style="426" customWidth="1"/>
    <col min="8206" max="8206" width="12.54296875" style="426" customWidth="1"/>
    <col min="8207" max="8207" width="6.26953125" style="426" bestFit="1" customWidth="1"/>
    <col min="8208" max="8208" width="11.54296875" style="426" customWidth="1"/>
    <col min="8209" max="8447" width="9.1796875" style="426"/>
    <col min="8448" max="8448" width="15.7265625" style="426" customWidth="1"/>
    <col min="8449" max="8449" width="30.453125" style="426" customWidth="1"/>
    <col min="8450" max="8461" width="10.7265625" style="426" customWidth="1"/>
    <col min="8462" max="8462" width="12.54296875" style="426" customWidth="1"/>
    <col min="8463" max="8463" width="6.26953125" style="426" bestFit="1" customWidth="1"/>
    <col min="8464" max="8464" width="11.54296875" style="426" customWidth="1"/>
    <col min="8465" max="8703" width="9.1796875" style="426"/>
    <col min="8704" max="8704" width="15.7265625" style="426" customWidth="1"/>
    <col min="8705" max="8705" width="30.453125" style="426" customWidth="1"/>
    <col min="8706" max="8717" width="10.7265625" style="426" customWidth="1"/>
    <col min="8718" max="8718" width="12.54296875" style="426" customWidth="1"/>
    <col min="8719" max="8719" width="6.26953125" style="426" bestFit="1" customWidth="1"/>
    <col min="8720" max="8720" width="11.54296875" style="426" customWidth="1"/>
    <col min="8721" max="8959" width="9.1796875" style="426"/>
    <col min="8960" max="8960" width="15.7265625" style="426" customWidth="1"/>
    <col min="8961" max="8961" width="30.453125" style="426" customWidth="1"/>
    <col min="8962" max="8973" width="10.7265625" style="426" customWidth="1"/>
    <col min="8974" max="8974" width="12.54296875" style="426" customWidth="1"/>
    <col min="8975" max="8975" width="6.26953125" style="426" bestFit="1" customWidth="1"/>
    <col min="8976" max="8976" width="11.54296875" style="426" customWidth="1"/>
    <col min="8977" max="9215" width="9.1796875" style="426"/>
    <col min="9216" max="9216" width="15.7265625" style="426" customWidth="1"/>
    <col min="9217" max="9217" width="30.453125" style="426" customWidth="1"/>
    <col min="9218" max="9229" width="10.7265625" style="426" customWidth="1"/>
    <col min="9230" max="9230" width="12.54296875" style="426" customWidth="1"/>
    <col min="9231" max="9231" width="6.26953125" style="426" bestFit="1" customWidth="1"/>
    <col min="9232" max="9232" width="11.54296875" style="426" customWidth="1"/>
    <col min="9233" max="9471" width="9.1796875" style="426"/>
    <col min="9472" max="9472" width="15.7265625" style="426" customWidth="1"/>
    <col min="9473" max="9473" width="30.453125" style="426" customWidth="1"/>
    <col min="9474" max="9485" width="10.7265625" style="426" customWidth="1"/>
    <col min="9486" max="9486" width="12.54296875" style="426" customWidth="1"/>
    <col min="9487" max="9487" width="6.26953125" style="426" bestFit="1" customWidth="1"/>
    <col min="9488" max="9488" width="11.54296875" style="426" customWidth="1"/>
    <col min="9489" max="9727" width="9.1796875" style="426"/>
    <col min="9728" max="9728" width="15.7265625" style="426" customWidth="1"/>
    <col min="9729" max="9729" width="30.453125" style="426" customWidth="1"/>
    <col min="9730" max="9741" width="10.7265625" style="426" customWidth="1"/>
    <col min="9742" max="9742" width="12.54296875" style="426" customWidth="1"/>
    <col min="9743" max="9743" width="6.26953125" style="426" bestFit="1" customWidth="1"/>
    <col min="9744" max="9744" width="11.54296875" style="426" customWidth="1"/>
    <col min="9745" max="9983" width="9.1796875" style="426"/>
    <col min="9984" max="9984" width="15.7265625" style="426" customWidth="1"/>
    <col min="9985" max="9985" width="30.453125" style="426" customWidth="1"/>
    <col min="9986" max="9997" width="10.7265625" style="426" customWidth="1"/>
    <col min="9998" max="9998" width="12.54296875" style="426" customWidth="1"/>
    <col min="9999" max="9999" width="6.26953125" style="426" bestFit="1" customWidth="1"/>
    <col min="10000" max="10000" width="11.54296875" style="426" customWidth="1"/>
    <col min="10001" max="10239" width="9.1796875" style="426"/>
    <col min="10240" max="10240" width="15.7265625" style="426" customWidth="1"/>
    <col min="10241" max="10241" width="30.453125" style="426" customWidth="1"/>
    <col min="10242" max="10253" width="10.7265625" style="426" customWidth="1"/>
    <col min="10254" max="10254" width="12.54296875" style="426" customWidth="1"/>
    <col min="10255" max="10255" width="6.26953125" style="426" bestFit="1" customWidth="1"/>
    <col min="10256" max="10256" width="11.54296875" style="426" customWidth="1"/>
    <col min="10257" max="10495" width="9.1796875" style="426"/>
    <col min="10496" max="10496" width="15.7265625" style="426" customWidth="1"/>
    <col min="10497" max="10497" width="30.453125" style="426" customWidth="1"/>
    <col min="10498" max="10509" width="10.7265625" style="426" customWidth="1"/>
    <col min="10510" max="10510" width="12.54296875" style="426" customWidth="1"/>
    <col min="10511" max="10511" width="6.26953125" style="426" bestFit="1" customWidth="1"/>
    <col min="10512" max="10512" width="11.54296875" style="426" customWidth="1"/>
    <col min="10513" max="10751" width="9.1796875" style="426"/>
    <col min="10752" max="10752" width="15.7265625" style="426" customWidth="1"/>
    <col min="10753" max="10753" width="30.453125" style="426" customWidth="1"/>
    <col min="10754" max="10765" width="10.7265625" style="426" customWidth="1"/>
    <col min="10766" max="10766" width="12.54296875" style="426" customWidth="1"/>
    <col min="10767" max="10767" width="6.26953125" style="426" bestFit="1" customWidth="1"/>
    <col min="10768" max="10768" width="11.54296875" style="426" customWidth="1"/>
    <col min="10769" max="11007" width="9.1796875" style="426"/>
    <col min="11008" max="11008" width="15.7265625" style="426" customWidth="1"/>
    <col min="11009" max="11009" width="30.453125" style="426" customWidth="1"/>
    <col min="11010" max="11021" width="10.7265625" style="426" customWidth="1"/>
    <col min="11022" max="11022" width="12.54296875" style="426" customWidth="1"/>
    <col min="11023" max="11023" width="6.26953125" style="426" bestFit="1" customWidth="1"/>
    <col min="11024" max="11024" width="11.54296875" style="426" customWidth="1"/>
    <col min="11025" max="11263" width="9.1796875" style="426"/>
    <col min="11264" max="11264" width="15.7265625" style="426" customWidth="1"/>
    <col min="11265" max="11265" width="30.453125" style="426" customWidth="1"/>
    <col min="11266" max="11277" width="10.7265625" style="426" customWidth="1"/>
    <col min="11278" max="11278" width="12.54296875" style="426" customWidth="1"/>
    <col min="11279" max="11279" width="6.26953125" style="426" bestFit="1" customWidth="1"/>
    <col min="11280" max="11280" width="11.54296875" style="426" customWidth="1"/>
    <col min="11281" max="11519" width="9.1796875" style="426"/>
    <col min="11520" max="11520" width="15.7265625" style="426" customWidth="1"/>
    <col min="11521" max="11521" width="30.453125" style="426" customWidth="1"/>
    <col min="11522" max="11533" width="10.7265625" style="426" customWidth="1"/>
    <col min="11534" max="11534" width="12.54296875" style="426" customWidth="1"/>
    <col min="11535" max="11535" width="6.26953125" style="426" bestFit="1" customWidth="1"/>
    <col min="11536" max="11536" width="11.54296875" style="426" customWidth="1"/>
    <col min="11537" max="11775" width="9.1796875" style="426"/>
    <col min="11776" max="11776" width="15.7265625" style="426" customWidth="1"/>
    <col min="11777" max="11777" width="30.453125" style="426" customWidth="1"/>
    <col min="11778" max="11789" width="10.7265625" style="426" customWidth="1"/>
    <col min="11790" max="11790" width="12.54296875" style="426" customWidth="1"/>
    <col min="11791" max="11791" width="6.26953125" style="426" bestFit="1" customWidth="1"/>
    <col min="11792" max="11792" width="11.54296875" style="426" customWidth="1"/>
    <col min="11793" max="12031" width="9.1796875" style="426"/>
    <col min="12032" max="12032" width="15.7265625" style="426" customWidth="1"/>
    <col min="12033" max="12033" width="30.453125" style="426" customWidth="1"/>
    <col min="12034" max="12045" width="10.7265625" style="426" customWidth="1"/>
    <col min="12046" max="12046" width="12.54296875" style="426" customWidth="1"/>
    <col min="12047" max="12047" width="6.26953125" style="426" bestFit="1" customWidth="1"/>
    <col min="12048" max="12048" width="11.54296875" style="426" customWidth="1"/>
    <col min="12049" max="12287" width="9.1796875" style="426"/>
    <col min="12288" max="12288" width="15.7265625" style="426" customWidth="1"/>
    <col min="12289" max="12289" width="30.453125" style="426" customWidth="1"/>
    <col min="12290" max="12301" width="10.7265625" style="426" customWidth="1"/>
    <col min="12302" max="12302" width="12.54296875" style="426" customWidth="1"/>
    <col min="12303" max="12303" width="6.26953125" style="426" bestFit="1" customWidth="1"/>
    <col min="12304" max="12304" width="11.54296875" style="426" customWidth="1"/>
    <col min="12305" max="12543" width="9.1796875" style="426"/>
    <col min="12544" max="12544" width="15.7265625" style="426" customWidth="1"/>
    <col min="12545" max="12545" width="30.453125" style="426" customWidth="1"/>
    <col min="12546" max="12557" width="10.7265625" style="426" customWidth="1"/>
    <col min="12558" max="12558" width="12.54296875" style="426" customWidth="1"/>
    <col min="12559" max="12559" width="6.26953125" style="426" bestFit="1" customWidth="1"/>
    <col min="12560" max="12560" width="11.54296875" style="426" customWidth="1"/>
    <col min="12561" max="12799" width="9.1796875" style="426"/>
    <col min="12800" max="12800" width="15.7265625" style="426" customWidth="1"/>
    <col min="12801" max="12801" width="30.453125" style="426" customWidth="1"/>
    <col min="12802" max="12813" width="10.7265625" style="426" customWidth="1"/>
    <col min="12814" max="12814" width="12.54296875" style="426" customWidth="1"/>
    <col min="12815" max="12815" width="6.26953125" style="426" bestFit="1" customWidth="1"/>
    <col min="12816" max="12816" width="11.54296875" style="426" customWidth="1"/>
    <col min="12817" max="13055" width="9.1796875" style="426"/>
    <col min="13056" max="13056" width="15.7265625" style="426" customWidth="1"/>
    <col min="13057" max="13057" width="30.453125" style="426" customWidth="1"/>
    <col min="13058" max="13069" width="10.7265625" style="426" customWidth="1"/>
    <col min="13070" max="13070" width="12.54296875" style="426" customWidth="1"/>
    <col min="13071" max="13071" width="6.26953125" style="426" bestFit="1" customWidth="1"/>
    <col min="13072" max="13072" width="11.54296875" style="426" customWidth="1"/>
    <col min="13073" max="13311" width="9.1796875" style="426"/>
    <col min="13312" max="13312" width="15.7265625" style="426" customWidth="1"/>
    <col min="13313" max="13313" width="30.453125" style="426" customWidth="1"/>
    <col min="13314" max="13325" width="10.7265625" style="426" customWidth="1"/>
    <col min="13326" max="13326" width="12.54296875" style="426" customWidth="1"/>
    <col min="13327" max="13327" width="6.26953125" style="426" bestFit="1" customWidth="1"/>
    <col min="13328" max="13328" width="11.54296875" style="426" customWidth="1"/>
    <col min="13329" max="13567" width="9.1796875" style="426"/>
    <col min="13568" max="13568" width="15.7265625" style="426" customWidth="1"/>
    <col min="13569" max="13569" width="30.453125" style="426" customWidth="1"/>
    <col min="13570" max="13581" width="10.7265625" style="426" customWidth="1"/>
    <col min="13582" max="13582" width="12.54296875" style="426" customWidth="1"/>
    <col min="13583" max="13583" width="6.26953125" style="426" bestFit="1" customWidth="1"/>
    <col min="13584" max="13584" width="11.54296875" style="426" customWidth="1"/>
    <col min="13585" max="13823" width="9.1796875" style="426"/>
    <col min="13824" max="13824" width="15.7265625" style="426" customWidth="1"/>
    <col min="13825" max="13825" width="30.453125" style="426" customWidth="1"/>
    <col min="13826" max="13837" width="10.7265625" style="426" customWidth="1"/>
    <col min="13838" max="13838" width="12.54296875" style="426" customWidth="1"/>
    <col min="13839" max="13839" width="6.26953125" style="426" bestFit="1" customWidth="1"/>
    <col min="13840" max="13840" width="11.54296875" style="426" customWidth="1"/>
    <col min="13841" max="14079" width="9.1796875" style="426"/>
    <col min="14080" max="14080" width="15.7265625" style="426" customWidth="1"/>
    <col min="14081" max="14081" width="30.453125" style="426" customWidth="1"/>
    <col min="14082" max="14093" width="10.7265625" style="426" customWidth="1"/>
    <col min="14094" max="14094" width="12.54296875" style="426" customWidth="1"/>
    <col min="14095" max="14095" width="6.26953125" style="426" bestFit="1" customWidth="1"/>
    <col min="14096" max="14096" width="11.54296875" style="426" customWidth="1"/>
    <col min="14097" max="14335" width="9.1796875" style="426"/>
    <col min="14336" max="14336" width="15.7265625" style="426" customWidth="1"/>
    <col min="14337" max="14337" width="30.453125" style="426" customWidth="1"/>
    <col min="14338" max="14349" width="10.7265625" style="426" customWidth="1"/>
    <col min="14350" max="14350" width="12.54296875" style="426" customWidth="1"/>
    <col min="14351" max="14351" width="6.26953125" style="426" bestFit="1" customWidth="1"/>
    <col min="14352" max="14352" width="11.54296875" style="426" customWidth="1"/>
    <col min="14353" max="14591" width="9.1796875" style="426"/>
    <col min="14592" max="14592" width="15.7265625" style="426" customWidth="1"/>
    <col min="14593" max="14593" width="30.453125" style="426" customWidth="1"/>
    <col min="14594" max="14605" width="10.7265625" style="426" customWidth="1"/>
    <col min="14606" max="14606" width="12.54296875" style="426" customWidth="1"/>
    <col min="14607" max="14607" width="6.26953125" style="426" bestFit="1" customWidth="1"/>
    <col min="14608" max="14608" width="11.54296875" style="426" customWidth="1"/>
    <col min="14609" max="14847" width="9.1796875" style="426"/>
    <col min="14848" max="14848" width="15.7265625" style="426" customWidth="1"/>
    <col min="14849" max="14849" width="30.453125" style="426" customWidth="1"/>
    <col min="14850" max="14861" width="10.7265625" style="426" customWidth="1"/>
    <col min="14862" max="14862" width="12.54296875" style="426" customWidth="1"/>
    <col min="14863" max="14863" width="6.26953125" style="426" bestFit="1" customWidth="1"/>
    <col min="14864" max="14864" width="11.54296875" style="426" customWidth="1"/>
    <col min="14865" max="15103" width="9.1796875" style="426"/>
    <col min="15104" max="15104" width="15.7265625" style="426" customWidth="1"/>
    <col min="15105" max="15105" width="30.453125" style="426" customWidth="1"/>
    <col min="15106" max="15117" width="10.7265625" style="426" customWidth="1"/>
    <col min="15118" max="15118" width="12.54296875" style="426" customWidth="1"/>
    <col min="15119" max="15119" width="6.26953125" style="426" bestFit="1" customWidth="1"/>
    <col min="15120" max="15120" width="11.54296875" style="426" customWidth="1"/>
    <col min="15121" max="15359" width="9.1796875" style="426"/>
    <col min="15360" max="15360" width="15.7265625" style="426" customWidth="1"/>
    <col min="15361" max="15361" width="30.453125" style="426" customWidth="1"/>
    <col min="15362" max="15373" width="10.7265625" style="426" customWidth="1"/>
    <col min="15374" max="15374" width="12.54296875" style="426" customWidth="1"/>
    <col min="15375" max="15375" width="6.26953125" style="426" bestFit="1" customWidth="1"/>
    <col min="15376" max="15376" width="11.54296875" style="426" customWidth="1"/>
    <col min="15377" max="15615" width="9.1796875" style="426"/>
    <col min="15616" max="15616" width="15.7265625" style="426" customWidth="1"/>
    <col min="15617" max="15617" width="30.453125" style="426" customWidth="1"/>
    <col min="15618" max="15629" width="10.7265625" style="426" customWidth="1"/>
    <col min="15630" max="15630" width="12.54296875" style="426" customWidth="1"/>
    <col min="15631" max="15631" width="6.26953125" style="426" bestFit="1" customWidth="1"/>
    <col min="15632" max="15632" width="11.54296875" style="426" customWidth="1"/>
    <col min="15633" max="15871" width="9.1796875" style="426"/>
    <col min="15872" max="15872" width="15.7265625" style="426" customWidth="1"/>
    <col min="15873" max="15873" width="30.453125" style="426" customWidth="1"/>
    <col min="15874" max="15885" width="10.7265625" style="426" customWidth="1"/>
    <col min="15886" max="15886" width="12.54296875" style="426" customWidth="1"/>
    <col min="15887" max="15887" width="6.26953125" style="426" bestFit="1" customWidth="1"/>
    <col min="15888" max="15888" width="11.54296875" style="426" customWidth="1"/>
    <col min="15889" max="16127" width="9.1796875" style="426"/>
    <col min="16128" max="16128" width="15.7265625" style="426" customWidth="1"/>
    <col min="16129" max="16129" width="30.453125" style="426" customWidth="1"/>
    <col min="16130" max="16141" width="10.7265625" style="426" customWidth="1"/>
    <col min="16142" max="16142" width="12.54296875" style="426" customWidth="1"/>
    <col min="16143" max="16143" width="6.26953125" style="426" bestFit="1" customWidth="1"/>
    <col min="16144" max="16144" width="11.54296875" style="426" customWidth="1"/>
    <col min="16145" max="16384" width="9.1796875" style="426"/>
  </cols>
  <sheetData>
    <row r="2" spans="2:20" x14ac:dyDescent="0.3">
      <c r="C2" s="590"/>
      <c r="D2" s="590"/>
      <c r="E2" s="590"/>
      <c r="F2" s="590"/>
      <c r="G2" s="590"/>
      <c r="H2" s="590"/>
      <c r="I2" s="523" t="s">
        <v>1027</v>
      </c>
      <c r="J2" s="590"/>
      <c r="K2" s="590"/>
      <c r="L2" s="590"/>
      <c r="M2" s="590"/>
      <c r="N2" s="590"/>
      <c r="O2" s="590"/>
      <c r="P2" s="590"/>
      <c r="Q2" s="590"/>
    </row>
    <row r="3" spans="2:20" x14ac:dyDescent="0.3">
      <c r="C3" s="590"/>
      <c r="D3" s="590"/>
      <c r="E3" s="590"/>
      <c r="F3" s="590"/>
      <c r="G3" s="590"/>
      <c r="H3" s="590"/>
      <c r="I3" s="523" t="s">
        <v>803</v>
      </c>
      <c r="J3" s="590"/>
      <c r="K3" s="590"/>
      <c r="L3" s="590"/>
      <c r="M3" s="590"/>
      <c r="N3" s="590"/>
      <c r="O3" s="590"/>
      <c r="P3" s="590"/>
      <c r="Q3" s="590"/>
    </row>
    <row r="4" spans="2:20" x14ac:dyDescent="0.3">
      <c r="C4" s="590"/>
      <c r="D4" s="590"/>
      <c r="E4" s="590"/>
      <c r="F4" s="590"/>
      <c r="G4" s="590"/>
      <c r="H4" s="590"/>
      <c r="I4" s="523" t="s">
        <v>307</v>
      </c>
      <c r="J4" s="590"/>
      <c r="K4" s="590"/>
      <c r="L4" s="590"/>
      <c r="M4" s="590"/>
      <c r="N4" s="590"/>
      <c r="O4" s="590"/>
      <c r="P4" s="590"/>
      <c r="Q4" s="590"/>
      <c r="R4" s="530"/>
      <c r="S4" s="530"/>
    </row>
    <row r="5" spans="2:20" x14ac:dyDescent="0.3">
      <c r="B5" s="487"/>
      <c r="C5" s="531"/>
      <c r="D5" s="531"/>
      <c r="E5" s="531"/>
      <c r="F5" s="531"/>
      <c r="G5" s="531"/>
      <c r="H5" s="531"/>
      <c r="I5" s="531"/>
      <c r="J5" s="531"/>
      <c r="K5" s="531"/>
      <c r="L5" s="531"/>
      <c r="M5" s="531"/>
      <c r="N5" s="531"/>
      <c r="O5" s="531"/>
      <c r="P5" s="531"/>
      <c r="Q5" s="531"/>
      <c r="R5" s="530"/>
      <c r="S5" s="530"/>
    </row>
    <row r="6" spans="2:20" x14ac:dyDescent="0.3">
      <c r="B6" s="487"/>
      <c r="C6" s="531"/>
      <c r="D6" s="531"/>
      <c r="E6" s="531"/>
      <c r="F6" s="531"/>
      <c r="G6" s="531"/>
      <c r="H6" s="531"/>
      <c r="I6" s="531"/>
      <c r="J6" s="531"/>
      <c r="K6" s="531"/>
      <c r="L6" s="531"/>
      <c r="M6" s="531"/>
      <c r="N6" s="531"/>
      <c r="O6" s="531"/>
      <c r="P6" s="531"/>
      <c r="Q6" s="531"/>
      <c r="R6" s="530"/>
      <c r="S6" s="530"/>
    </row>
    <row r="7" spans="2:20" x14ac:dyDescent="0.3">
      <c r="B7" s="597" t="s">
        <v>1713</v>
      </c>
      <c r="C7" s="531"/>
      <c r="D7" s="531"/>
      <c r="E7" s="531"/>
      <c r="F7" s="531"/>
      <c r="G7" s="531"/>
      <c r="H7" s="531"/>
      <c r="I7" s="531"/>
      <c r="J7" s="531"/>
      <c r="K7" s="531"/>
      <c r="L7" s="531"/>
      <c r="M7" s="531"/>
      <c r="N7" s="531"/>
      <c r="O7" s="531"/>
      <c r="P7" s="531"/>
      <c r="Q7" s="530"/>
    </row>
    <row r="8" spans="2:20" x14ac:dyDescent="0.3">
      <c r="B8" s="597" t="s">
        <v>1822</v>
      </c>
      <c r="C8" s="531"/>
      <c r="D8" s="531"/>
      <c r="E8" s="531"/>
      <c r="F8" s="531"/>
      <c r="G8" s="531"/>
      <c r="H8" s="531"/>
      <c r="I8" s="531"/>
      <c r="J8" s="531"/>
      <c r="K8" s="531"/>
      <c r="L8" s="531"/>
      <c r="M8" s="531"/>
      <c r="N8" s="531"/>
      <c r="O8" s="531"/>
      <c r="P8" s="531"/>
      <c r="Q8" s="530"/>
    </row>
    <row r="9" spans="2:20" x14ac:dyDescent="0.3">
      <c r="B9" s="2194" t="s">
        <v>292</v>
      </c>
      <c r="C9" s="2192" t="s">
        <v>804</v>
      </c>
      <c r="D9" s="2192"/>
      <c r="E9" s="2194" t="s">
        <v>292</v>
      </c>
      <c r="F9" s="2190" t="s">
        <v>186</v>
      </c>
      <c r="G9" s="2191"/>
      <c r="H9" s="2190" t="s">
        <v>426</v>
      </c>
      <c r="I9" s="2191"/>
      <c r="J9" s="2190" t="s">
        <v>427</v>
      </c>
      <c r="K9" s="2197"/>
      <c r="L9" s="2197"/>
      <c r="M9" s="2191"/>
      <c r="N9" s="2190" t="s">
        <v>428</v>
      </c>
      <c r="O9" s="2191"/>
      <c r="P9" s="2190" t="s">
        <v>429</v>
      </c>
      <c r="Q9" s="2191"/>
      <c r="R9" s="2192" t="s">
        <v>39</v>
      </c>
      <c r="T9" s="524"/>
    </row>
    <row r="10" spans="2:20" ht="28" x14ac:dyDescent="0.3">
      <c r="B10" s="2195"/>
      <c r="C10" s="828" t="s">
        <v>404</v>
      </c>
      <c r="D10" s="827" t="s">
        <v>405</v>
      </c>
      <c r="E10" s="2195"/>
      <c r="F10" s="1585" t="s">
        <v>404</v>
      </c>
      <c r="G10" s="1580" t="s">
        <v>405</v>
      </c>
      <c r="H10" s="1585" t="s">
        <v>404</v>
      </c>
      <c r="I10" s="1580" t="s">
        <v>405</v>
      </c>
      <c r="J10" s="1580" t="s">
        <v>404</v>
      </c>
      <c r="K10" s="1580" t="s">
        <v>408</v>
      </c>
      <c r="L10" s="1580" t="s">
        <v>333</v>
      </c>
      <c r="M10" s="1580" t="s">
        <v>72</v>
      </c>
      <c r="N10" s="1580" t="s">
        <v>404</v>
      </c>
      <c r="O10" s="1580" t="s">
        <v>805</v>
      </c>
      <c r="P10" s="1580" t="s">
        <v>404</v>
      </c>
      <c r="Q10" s="1580" t="s">
        <v>805</v>
      </c>
      <c r="R10" s="2192"/>
    </row>
    <row r="11" spans="2:20" x14ac:dyDescent="0.3">
      <c r="B11" s="2196"/>
      <c r="C11" s="827" t="s">
        <v>73</v>
      </c>
      <c r="D11" s="827" t="s">
        <v>74</v>
      </c>
      <c r="E11" s="2196"/>
      <c r="F11" s="1580" t="s">
        <v>690</v>
      </c>
      <c r="G11" s="1580" t="s">
        <v>411</v>
      </c>
      <c r="H11" s="1580" t="s">
        <v>412</v>
      </c>
      <c r="I11" s="1580" t="s">
        <v>581</v>
      </c>
      <c r="J11" s="1580" t="s">
        <v>668</v>
      </c>
      <c r="K11" s="1580" t="s">
        <v>582</v>
      </c>
      <c r="L11" s="1580" t="s">
        <v>759</v>
      </c>
      <c r="M11" s="1580" t="s">
        <v>810</v>
      </c>
      <c r="N11" s="1580" t="s">
        <v>583</v>
      </c>
      <c r="O11" s="1580" t="s">
        <v>760</v>
      </c>
      <c r="P11" s="1580" t="s">
        <v>585</v>
      </c>
      <c r="Q11" s="1580" t="s">
        <v>761</v>
      </c>
      <c r="R11" s="2193"/>
    </row>
    <row r="12" spans="2:20" x14ac:dyDescent="0.3">
      <c r="B12" s="458" t="s">
        <v>293</v>
      </c>
      <c r="C12" s="348"/>
      <c r="D12" s="348"/>
      <c r="E12" s="1588" t="s">
        <v>293</v>
      </c>
      <c r="F12" s="348"/>
      <c r="G12" s="348"/>
      <c r="H12" s="348"/>
      <c r="I12" s="348"/>
      <c r="J12" s="349"/>
      <c r="K12" s="349"/>
      <c r="L12" s="343"/>
      <c r="M12" s="349"/>
      <c r="N12" s="349"/>
      <c r="O12" s="340"/>
      <c r="P12" s="340"/>
      <c r="Q12" s="343"/>
      <c r="R12" s="343"/>
    </row>
    <row r="13" spans="2:20" x14ac:dyDescent="0.3">
      <c r="B13" s="344" t="s">
        <v>891</v>
      </c>
      <c r="C13" s="359">
        <f>'F1'!C13</f>
        <v>156.77000000000001</v>
      </c>
      <c r="D13" s="359">
        <f ca="1">'F1'!D13*(1+wheeling!$C$32)</f>
        <v>180.81802368626225</v>
      </c>
      <c r="E13" s="507" t="s">
        <v>891</v>
      </c>
      <c r="F13" s="359">
        <f>'F1'!F13</f>
        <v>156.72499999999999</v>
      </c>
      <c r="G13" s="359">
        <f ca="1">'F1'!G13*(1+wheeling!$D$32)</f>
        <v>146.25053512951663</v>
      </c>
      <c r="H13" s="359">
        <f>'F1'!H13</f>
        <v>156.66</v>
      </c>
      <c r="I13" s="359">
        <f ca="1">'F1'!I13*(1+wheeling!$E$32)</f>
        <v>149.2855910025043</v>
      </c>
      <c r="J13" s="359">
        <f>'F1'!J13</f>
        <v>156.56</v>
      </c>
      <c r="K13" s="359">
        <f>'F1'!K13*(1+wheeling!$F$32)</f>
        <v>87.305228602699799</v>
      </c>
      <c r="L13" s="359">
        <f>'F1'!L13*(1+wheeling!$F$32)</f>
        <v>105.11337700091592</v>
      </c>
      <c r="M13" s="359">
        <f>SUM(K13:L13)</f>
        <v>192.41860560361573</v>
      </c>
      <c r="N13" s="359">
        <f>'F1'!N13</f>
        <v>156.41</v>
      </c>
      <c r="O13" s="359">
        <f>'F1'!O13*(1+wheeling!$G$32)</f>
        <v>192.37171838397435</v>
      </c>
      <c r="P13" s="359">
        <f>'F1'!P13</f>
        <v>156.18</v>
      </c>
      <c r="Q13" s="343">
        <f>'F1'!Q13*(1+wheeling!$H$32)</f>
        <v>192.32492918297962</v>
      </c>
      <c r="R13" s="343"/>
    </row>
    <row r="14" spans="2:20" x14ac:dyDescent="0.3">
      <c r="B14" s="344" t="s">
        <v>892</v>
      </c>
      <c r="C14" s="359">
        <f>'F1'!C14</f>
        <v>246.67400000000001</v>
      </c>
      <c r="D14" s="359">
        <f ca="1">'F1'!D14*(1+wheeling!$C$32)</f>
        <v>228.2964838091159</v>
      </c>
      <c r="E14" s="507" t="s">
        <v>892</v>
      </c>
      <c r="F14" s="359">
        <f>'F1'!F14</f>
        <v>278.97500000000002</v>
      </c>
      <c r="G14" s="359">
        <f ca="1">'F1'!G14*(1+wheeling!$D$32)</f>
        <v>163.58726416458305</v>
      </c>
      <c r="H14" s="359">
        <f>'F1'!H14</f>
        <v>286.41000000000003</v>
      </c>
      <c r="I14" s="359">
        <f ca="1">'F1'!I14*(1+wheeling!$E$32)</f>
        <v>195.79560509670529</v>
      </c>
      <c r="J14" s="359">
        <f>'F1'!J14</f>
        <v>295.54000000000002</v>
      </c>
      <c r="K14" s="359">
        <f>'F1'!K14*(1+wheeling!$F$32)</f>
        <v>118.72386190972873</v>
      </c>
      <c r="L14" s="359">
        <f>'F1'!L14*(1+wheeling!$F$32)</f>
        <v>91.949676038249876</v>
      </c>
      <c r="M14" s="359">
        <f t="shared" ref="M14:M19" si="0">SUM(K14:L14)</f>
        <v>210.67353794797862</v>
      </c>
      <c r="N14" s="359">
        <f>'F1'!N14</f>
        <v>306.74</v>
      </c>
      <c r="O14" s="359">
        <f>'F1'!O14*(1+wheeling!$G$32)</f>
        <v>210.62220249413616</v>
      </c>
      <c r="P14" s="359">
        <f>'F1'!P14</f>
        <v>320.49</v>
      </c>
      <c r="Q14" s="343">
        <f>'F1'!Q14*(1+wheeling!$H$32)</f>
        <v>210.57097435806068</v>
      </c>
      <c r="R14" s="343"/>
    </row>
    <row r="15" spans="2:20" x14ac:dyDescent="0.3">
      <c r="B15" s="344" t="s">
        <v>893</v>
      </c>
      <c r="C15" s="359">
        <f>'F1'!C15</f>
        <v>30.65</v>
      </c>
      <c r="D15" s="359">
        <f ca="1">'F1'!D15*(1+wheeling!$C$32)</f>
        <v>30.354861557629366</v>
      </c>
      <c r="E15" s="507" t="s">
        <v>893</v>
      </c>
      <c r="F15" s="359">
        <f>'F1'!F15</f>
        <v>30.65</v>
      </c>
      <c r="G15" s="359">
        <f ca="1">'F1'!G15*(1+wheeling!$D$32)</f>
        <v>29.275797895667559</v>
      </c>
      <c r="H15" s="359">
        <f>'F1'!H15</f>
        <v>30.63</v>
      </c>
      <c r="I15" s="359">
        <f ca="1">'F1'!I15*(1+wheeling!$E$32)</f>
        <v>26.823670847685104</v>
      </c>
      <c r="J15" s="359">
        <f>'F1'!J15</f>
        <v>30.61</v>
      </c>
      <c r="K15" s="359">
        <f>'F1'!K15*(1+wheeling!$F$32)</f>
        <v>17.367664202814634</v>
      </c>
      <c r="L15" s="359">
        <f>'F1'!L15*(1+wheeling!$F$32)</f>
        <v>15.096133677922509</v>
      </c>
      <c r="M15" s="359">
        <f t="shared" si="0"/>
        <v>32.463797880737147</v>
      </c>
      <c r="N15" s="359">
        <f>'F1'!N15</f>
        <v>30.58</v>
      </c>
      <c r="O15" s="359">
        <f>'F1'!O15*(1+wheeling!$G$32)</f>
        <v>32.455887329588236</v>
      </c>
      <c r="P15" s="359">
        <f>'F1'!P15</f>
        <v>30.54</v>
      </c>
      <c r="Q15" s="343">
        <f>'F1'!Q15*(1+wheeling!$H$32)</f>
        <v>32.447993315600712</v>
      </c>
      <c r="R15" s="343"/>
    </row>
    <row r="16" spans="2:20" ht="28" x14ac:dyDescent="0.3">
      <c r="B16" s="348" t="s">
        <v>894</v>
      </c>
      <c r="C16" s="359">
        <f>'F1'!C16</f>
        <v>35.729999999999997</v>
      </c>
      <c r="D16" s="359">
        <f ca="1">'F1'!D16*(1+wheeling!$C$32)</f>
        <v>37.746474795496383</v>
      </c>
      <c r="E16" s="507" t="s">
        <v>1705</v>
      </c>
      <c r="F16" s="359">
        <f>'F1'!F16</f>
        <v>2.14</v>
      </c>
      <c r="G16" s="359">
        <f ca="1">'F1'!G16*(1+wheeling!$D$32)</f>
        <v>1.8382711275090771</v>
      </c>
      <c r="H16" s="359">
        <f>'F1'!H16</f>
        <v>2.14</v>
      </c>
      <c r="I16" s="359">
        <f ca="1">'F1'!I16*(1+wheeling!$E$32)</f>
        <v>2.5510489847251994</v>
      </c>
      <c r="J16" s="359">
        <f>'F1'!J16</f>
        <v>2.14</v>
      </c>
      <c r="K16" s="359">
        <f>'F1'!K16*(1+wheeling!$F$32)</f>
        <v>1.3353016128493018</v>
      </c>
      <c r="L16" s="359">
        <f>'F1'!L16*(1+wheeling!$F$32)</f>
        <v>1.2638394499438206</v>
      </c>
      <c r="M16" s="359">
        <f t="shared" si="0"/>
        <v>2.5991410627931222</v>
      </c>
      <c r="N16" s="359">
        <f>'F1'!N16</f>
        <v>2.14</v>
      </c>
      <c r="O16" s="359">
        <f>'F1'!O16*(1+wheeling!$G$32)</f>
        <v>2.598507722282688</v>
      </c>
      <c r="P16" s="359">
        <f>'F1'!P16</f>
        <v>2.14</v>
      </c>
      <c r="Q16" s="343">
        <f>'F1'!Q16*(1+wheeling!$H$32)</f>
        <v>2.5978757057829363</v>
      </c>
      <c r="R16" s="343"/>
    </row>
    <row r="17" spans="2:18" ht="42" x14ac:dyDescent="0.3">
      <c r="B17" s="348" t="s">
        <v>895</v>
      </c>
      <c r="C17" s="359">
        <f>'F1'!C17</f>
        <v>2.14</v>
      </c>
      <c r="D17" s="359">
        <f ca="1">'F1'!D17*(1+wheeling!$C$32)</f>
        <v>2.2437928338706636</v>
      </c>
      <c r="E17" s="507" t="s">
        <v>1706</v>
      </c>
      <c r="F17" s="359">
        <f>'F1'!F17</f>
        <v>26.59</v>
      </c>
      <c r="G17" s="359">
        <f ca="1">'F1'!G17*(1+wheeling!$D$32)</f>
        <v>22.004047689619195</v>
      </c>
      <c r="H17" s="359">
        <f>'F1'!H17</f>
        <v>26.574000000000002</v>
      </c>
      <c r="I17" s="359">
        <f ca="1">'F1'!I17*(1+wheeling!$E$32)</f>
        <v>26.547160878021046</v>
      </c>
      <c r="J17" s="359">
        <f>'F1'!J17</f>
        <v>26.56</v>
      </c>
      <c r="K17" s="359">
        <f>'F1'!K17*(1+wheeling!$F$32)</f>
        <v>15.329176407119288</v>
      </c>
      <c r="L17" s="359">
        <f>'F1'!L17*(1+wheeling!$F$32)</f>
        <v>12.750866948802891</v>
      </c>
      <c r="M17" s="359">
        <f t="shared" si="0"/>
        <v>28.080043355922179</v>
      </c>
      <c r="N17" s="359">
        <f>'F1'!N17</f>
        <v>26.53</v>
      </c>
      <c r="O17" s="359">
        <f>'F1'!O17*(1+wheeling!$G$32)</f>
        <v>28.073201007406876</v>
      </c>
      <c r="P17" s="359">
        <f>'F1'!P17</f>
        <v>26.49</v>
      </c>
      <c r="Q17" s="343">
        <f>'F1'!Q17*(1+wheeling!$H$32)</f>
        <v>28.066372962954521</v>
      </c>
      <c r="R17" s="343"/>
    </row>
    <row r="18" spans="2:18" ht="28" x14ac:dyDescent="0.3">
      <c r="B18" s="594" t="s">
        <v>1026</v>
      </c>
      <c r="C18" s="359">
        <f>'F1'!C18</f>
        <v>26.594000000000001</v>
      </c>
      <c r="D18" s="359">
        <f ca="1">'F1'!D18*(1+wheeling!$C$32)</f>
        <v>26.125833524009302</v>
      </c>
      <c r="E18" s="507" t="s">
        <v>1707</v>
      </c>
      <c r="F18" s="359">
        <f>'F1'!F18</f>
        <v>196.66</v>
      </c>
      <c r="G18" s="359">
        <f ca="1">'F1'!G18*(1+wheeling!$D$32)</f>
        <v>186.45278818639849</v>
      </c>
      <c r="H18" s="359">
        <f>'F1'!H18</f>
        <v>196.57400000000001</v>
      </c>
      <c r="I18" s="359">
        <f ca="1">'F1'!I18*(1+wheeling!$E$32)</f>
        <v>186.88500371947612</v>
      </c>
      <c r="J18" s="359">
        <f>'F1'!J18</f>
        <v>196.45400000000001</v>
      </c>
      <c r="K18" s="359">
        <f>'F1'!K18*(1+wheeling!$F$32)</f>
        <v>102.43143277728302</v>
      </c>
      <c r="L18" s="359">
        <f>'F1'!L18*(1+wheeling!$F$32)</f>
        <v>85.562681142308904</v>
      </c>
      <c r="M18" s="359">
        <f t="shared" si="0"/>
        <v>187.99411391959194</v>
      </c>
      <c r="N18" s="359">
        <f>'F1'!N18</f>
        <v>196.26400000000001</v>
      </c>
      <c r="O18" s="359">
        <f>'F1'!O18*(1+wheeling!$G$32)</f>
        <v>187.94830482913008</v>
      </c>
      <c r="P18" s="359">
        <f>'F1'!P18</f>
        <v>195.97399999999999</v>
      </c>
      <c r="Q18" s="343">
        <f>'F1'!Q18*(1+wheeling!$H$32)</f>
        <v>187.90259150346483</v>
      </c>
      <c r="R18" s="343"/>
    </row>
    <row r="19" spans="2:18" x14ac:dyDescent="0.3">
      <c r="B19" s="348" t="s">
        <v>896</v>
      </c>
      <c r="C19" s="359">
        <f>'F1'!C19</f>
        <v>160.99</v>
      </c>
      <c r="D19" s="359">
        <f ca="1">'F1'!D19*(1+wheeling!$C$32)</f>
        <v>161.61356498416276</v>
      </c>
      <c r="E19" s="1057" t="s">
        <v>1704</v>
      </c>
      <c r="F19" s="359">
        <f>'F1'!F19</f>
        <v>0</v>
      </c>
      <c r="G19" s="359">
        <f ca="1">'F1'!G19*(1+wheeling!$D$32)</f>
        <v>0</v>
      </c>
      <c r="H19" s="359">
        <f>'F1'!H19</f>
        <v>0</v>
      </c>
      <c r="I19" s="359">
        <f ca="1">'F1'!I19*(1+wheeling!$E$32)</f>
        <v>0</v>
      </c>
      <c r="J19" s="359">
        <f>'F1'!J19</f>
        <v>0</v>
      </c>
      <c r="K19" s="359">
        <f>'F1'!K19*(1+wheeling!$F$32)</f>
        <v>0</v>
      </c>
      <c r="L19" s="359">
        <f>'F1'!L19*(1+wheeling!$F$32)</f>
        <v>0</v>
      </c>
      <c r="M19" s="359">
        <f t="shared" si="0"/>
        <v>0</v>
      </c>
      <c r="N19" s="359">
        <f>'F1'!N19</f>
        <v>0</v>
      </c>
      <c r="O19" s="359">
        <f>'F1'!O19*(1+wheeling!$G$32)</f>
        <v>0</v>
      </c>
      <c r="P19" s="359">
        <f>'F1'!P19</f>
        <v>0</v>
      </c>
      <c r="Q19" s="343">
        <f>'F1'!Q19*(1+wheeling!$H$32)</f>
        <v>0</v>
      </c>
      <c r="R19" s="343"/>
    </row>
    <row r="20" spans="2:18" x14ac:dyDescent="0.3">
      <c r="B20" s="594" t="s">
        <v>897</v>
      </c>
      <c r="C20" s="359">
        <f>'F1'!C20</f>
        <v>26.27</v>
      </c>
      <c r="D20" s="359">
        <f ca="1">'F1'!D20*(1+wheeling!$C$32)</f>
        <v>21.042298197365216</v>
      </c>
      <c r="E20" s="1588" t="s">
        <v>416</v>
      </c>
      <c r="F20" s="361">
        <f>SUM(F13:F19)</f>
        <v>691.74</v>
      </c>
      <c r="G20" s="361">
        <f t="shared" ref="G20:Q20" ca="1" si="1">SUM(G13:G19)</f>
        <v>549.40870419329394</v>
      </c>
      <c r="H20" s="361">
        <f t="shared" si="1"/>
        <v>698.98800000000006</v>
      </c>
      <c r="I20" s="361">
        <f t="shared" ca="1" si="1"/>
        <v>587.88808052911702</v>
      </c>
      <c r="J20" s="361">
        <f t="shared" si="1"/>
        <v>707.86400000000003</v>
      </c>
      <c r="K20" s="361">
        <f t="shared" si="1"/>
        <v>342.4926655124948</v>
      </c>
      <c r="L20" s="361">
        <f t="shared" si="1"/>
        <v>311.73657425814389</v>
      </c>
      <c r="M20" s="361">
        <f t="shared" si="1"/>
        <v>654.22923977063874</v>
      </c>
      <c r="N20" s="361">
        <f t="shared" si="1"/>
        <v>718.66399999999999</v>
      </c>
      <c r="O20" s="361">
        <f t="shared" si="1"/>
        <v>654.06982176651843</v>
      </c>
      <c r="P20" s="361">
        <f t="shared" si="1"/>
        <v>731.81400000000008</v>
      </c>
      <c r="Q20" s="361">
        <f t="shared" si="1"/>
        <v>653.9107370288433</v>
      </c>
      <c r="R20" s="343"/>
    </row>
    <row r="21" spans="2:18" x14ac:dyDescent="0.3">
      <c r="B21" s="434" t="s">
        <v>416</v>
      </c>
      <c r="C21" s="361">
        <f>SUM(C13:C20)+0.01</f>
        <v>685.82799999999997</v>
      </c>
      <c r="D21" s="361">
        <f ca="1">SUM(D13:D20)</f>
        <v>688.24133338791182</v>
      </c>
      <c r="E21" s="507"/>
      <c r="F21" s="361"/>
      <c r="G21" s="361"/>
      <c r="H21" s="361"/>
      <c r="I21" s="361"/>
      <c r="J21" s="361"/>
      <c r="K21" s="361"/>
      <c r="L21" s="361"/>
      <c r="M21" s="361"/>
      <c r="N21" s="361"/>
      <c r="O21" s="361"/>
      <c r="P21" s="361"/>
      <c r="Q21" s="436"/>
      <c r="R21" s="343"/>
    </row>
    <row r="22" spans="2:18" x14ac:dyDescent="0.3">
      <c r="B22" s="434" t="s">
        <v>294</v>
      </c>
      <c r="C22" s="359"/>
      <c r="D22" s="359"/>
      <c r="E22" s="458" t="s">
        <v>294</v>
      </c>
      <c r="F22" s="359"/>
      <c r="G22" s="359"/>
      <c r="H22" s="359"/>
      <c r="I22" s="359"/>
      <c r="J22" s="359"/>
      <c r="K22" s="359"/>
      <c r="L22" s="359"/>
      <c r="M22" s="359"/>
      <c r="N22" s="359"/>
      <c r="O22" s="359"/>
      <c r="P22" s="359"/>
      <c r="Q22" s="343"/>
      <c r="R22" s="343"/>
    </row>
    <row r="23" spans="2:18" x14ac:dyDescent="0.3">
      <c r="B23" s="594" t="s">
        <v>898</v>
      </c>
      <c r="C23" s="359">
        <f>'F1'!C25</f>
        <v>7.0000000000000007E-2</v>
      </c>
      <c r="D23" s="359">
        <f ca="1">'F1'!D25*(1+wheeling!$C$33)</f>
        <v>3.4020113163445734E-2</v>
      </c>
      <c r="E23" s="344" t="s">
        <v>898</v>
      </c>
      <c r="F23" s="359">
        <f>'F1'!F25</f>
        <v>7.0000000000000007E-2</v>
      </c>
      <c r="G23" s="359">
        <f ca="1">'F1'!G25*(1+wheeling!$D$33)</f>
        <v>2.1103370432924581E-2</v>
      </c>
      <c r="H23" s="359">
        <f>'F1'!H25</f>
        <v>7.0000000000000007E-2</v>
      </c>
      <c r="I23" s="359">
        <f ca="1">'F1'!I25*(1+wheeling!$E$33)</f>
        <v>8.8154085261326672E-3</v>
      </c>
      <c r="J23" s="359">
        <f>'F1'!J25</f>
        <v>7.3999999999999996E-2</v>
      </c>
      <c r="K23" s="359">
        <f>'F1'!K25*(1+wheeling!$F$33)</f>
        <v>9.6136156085188836E-3</v>
      </c>
      <c r="L23" s="359">
        <f>'F1'!L25*(1+wheeling!$F$33)</f>
        <v>2.8307851633799695E-2</v>
      </c>
      <c r="M23" s="359">
        <f t="shared" ref="M23:M38" si="2">SUM(K23:L23)</f>
        <v>3.7921467242318582E-2</v>
      </c>
      <c r="N23" s="359">
        <f>'F1'!N25</f>
        <v>7.0000000000000007E-2</v>
      </c>
      <c r="O23" s="359">
        <f>'F1'!O25*(1+wheeling!$G$33)</f>
        <v>3.7874819843561829E-2</v>
      </c>
      <c r="P23" s="359">
        <f>'F1'!P25</f>
        <v>7.0000000000000007E-2</v>
      </c>
      <c r="Q23" s="353">
        <f>'F1'!Q25*(1+wheeling!$H$33)</f>
        <v>3.782833488796087E-2</v>
      </c>
      <c r="R23" s="343"/>
    </row>
    <row r="24" spans="2:18" x14ac:dyDescent="0.3">
      <c r="B24" s="594" t="s">
        <v>936</v>
      </c>
      <c r="C24" s="359">
        <v>0</v>
      </c>
      <c r="D24" s="359">
        <f ca="1">'F1'!D26*(1+wheeling!$C$33)</f>
        <v>0</v>
      </c>
      <c r="E24" s="1156" t="s">
        <v>899</v>
      </c>
      <c r="F24" s="359">
        <f>'F1'!F26</f>
        <v>0</v>
      </c>
      <c r="G24" s="359">
        <f ca="1">'F1'!G26*(1+wheeling!$D$33)</f>
        <v>0</v>
      </c>
      <c r="H24" s="359">
        <f>'F1'!H26</f>
        <v>0</v>
      </c>
      <c r="I24" s="359">
        <f ca="1">'F1'!I26*(1+wheeling!$E$33)</f>
        <v>0</v>
      </c>
      <c r="J24" s="359">
        <f>'F1'!J26</f>
        <v>0</v>
      </c>
      <c r="K24" s="359">
        <f>'F1'!K26*(1+wheeling!$F$33)</f>
        <v>0</v>
      </c>
      <c r="L24" s="359">
        <f>'F1'!L26*(1+wheeling!$F$33)</f>
        <v>0</v>
      </c>
      <c r="M24" s="359">
        <f t="shared" si="2"/>
        <v>0</v>
      </c>
      <c r="N24" s="359">
        <f>'F1'!N26</f>
        <v>0</v>
      </c>
      <c r="O24" s="359">
        <f>'F1'!O26*(1+wheeling!$G$33)</f>
        <v>0</v>
      </c>
      <c r="P24" s="359">
        <f>'F1'!P26</f>
        <v>0</v>
      </c>
      <c r="Q24" s="353">
        <f>'F1'!Q26*(1+wheeling!$H$33)</f>
        <v>0</v>
      </c>
      <c r="R24" s="343"/>
    </row>
    <row r="25" spans="2:18" x14ac:dyDescent="0.3">
      <c r="B25" s="594" t="s">
        <v>900</v>
      </c>
      <c r="C25" s="359">
        <f>'F1'!C27</f>
        <v>749.52</v>
      </c>
      <c r="D25" s="359">
        <f ca="1">'F1'!D27*(1+wheeling!$C$33)</f>
        <v>791.66750142182093</v>
      </c>
      <c r="E25" s="344" t="s">
        <v>900</v>
      </c>
      <c r="F25" s="359">
        <f>'F1'!F27</f>
        <v>759.42</v>
      </c>
      <c r="G25" s="359">
        <f ca="1">'F1'!G27*(1+wheeling!$D$33)</f>
        <v>759.39772770068373</v>
      </c>
      <c r="H25" s="359">
        <f>'F1'!H27</f>
        <v>769.35</v>
      </c>
      <c r="I25" s="359">
        <f ca="1">'F1'!I27*(1+wheeling!$E$33)</f>
        <v>769.81458433628359</v>
      </c>
      <c r="J25" s="359">
        <f>'F1'!J27</f>
        <v>779.27</v>
      </c>
      <c r="K25" s="359">
        <f>'F1'!K27*(1+wheeling!$F$33)</f>
        <v>399.19817213816725</v>
      </c>
      <c r="L25" s="359">
        <f>'F1'!L27*(1+wheeling!$F$33)</f>
        <v>390.57468817645412</v>
      </c>
      <c r="M25" s="359">
        <f t="shared" si="2"/>
        <v>789.77286031462131</v>
      </c>
      <c r="N25" s="359">
        <f>'F1'!N27</f>
        <v>789.08</v>
      </c>
      <c r="O25" s="359">
        <f>'F1'!O27*(1+wheeling!$G$33)</f>
        <v>799.45017482717105</v>
      </c>
      <c r="P25" s="359">
        <f>'F1'!P27</f>
        <v>798.67</v>
      </c>
      <c r="Q25" s="353">
        <f>'F1'!Q27*(1+wheeling!$H$33)</f>
        <v>809.24831581729075</v>
      </c>
      <c r="R25" s="343"/>
    </row>
    <row r="26" spans="2:18" x14ac:dyDescent="0.3">
      <c r="B26" s="594" t="s">
        <v>901</v>
      </c>
      <c r="C26" s="359">
        <f>'F1'!C28</f>
        <v>693.02</v>
      </c>
      <c r="D26" s="359">
        <f ca="1">'F1'!D28*(1+wheeling!$C$33)</f>
        <v>738.33233550035709</v>
      </c>
      <c r="E26" s="344" t="s">
        <v>901</v>
      </c>
      <c r="F26" s="359">
        <f>'F1'!F28</f>
        <v>702.37</v>
      </c>
      <c r="G26" s="359">
        <f ca="1">'F1'!G28*(1+wheeling!$D$33)</f>
        <v>668.89688237913992</v>
      </c>
      <c r="H26" s="359">
        <f>'F1'!H28</f>
        <v>711.56</v>
      </c>
      <c r="I26" s="359">
        <f ca="1">'F1'!I28*(1+wheeling!$E$33)</f>
        <v>717.75254297508616</v>
      </c>
      <c r="J26" s="359">
        <f>'F1'!J28</f>
        <v>720.72</v>
      </c>
      <c r="K26" s="359">
        <f>'F1'!K28*(1+wheeling!$F$33)</f>
        <v>407.50578133190641</v>
      </c>
      <c r="L26" s="359">
        <f>'F1'!L28*(1+wheeling!$F$33)</f>
        <v>352.11923464407096</v>
      </c>
      <c r="M26" s="359">
        <f t="shared" si="2"/>
        <v>759.62501597597736</v>
      </c>
      <c r="N26" s="359">
        <f>'F1'!N28</f>
        <v>729.79</v>
      </c>
      <c r="O26" s="359">
        <f>'F1'!O28*(1+wheeling!$G$33)</f>
        <v>768.93292026161191</v>
      </c>
      <c r="P26" s="359">
        <f>'F1'!P28</f>
        <v>738.66</v>
      </c>
      <c r="Q26" s="353">
        <f>'F1'!Q28*(1+wheeling!$H$33)</f>
        <v>778.35703873940997</v>
      </c>
      <c r="R26" s="343"/>
    </row>
    <row r="27" spans="2:18" x14ac:dyDescent="0.3">
      <c r="B27" s="594" t="s">
        <v>902</v>
      </c>
      <c r="C27" s="359">
        <f>'F1'!C29</f>
        <v>221.82</v>
      </c>
      <c r="D27" s="359">
        <f ca="1">'F1'!D29*(1+wheeling!$C$33)</f>
        <v>229.30299703561334</v>
      </c>
      <c r="E27" s="344" t="s">
        <v>902</v>
      </c>
      <c r="F27" s="359">
        <f>'F1'!F29</f>
        <v>226.3</v>
      </c>
      <c r="G27" s="359">
        <f ca="1">'F1'!G29*(1+wheeling!$D$33)</f>
        <v>197.92359929891012</v>
      </c>
      <c r="H27" s="359">
        <f>'F1'!H29</f>
        <v>229.24</v>
      </c>
      <c r="I27" s="359">
        <f ca="1">'F1'!I29*(1+wheeling!$E$33)</f>
        <v>228.75341952770691</v>
      </c>
      <c r="J27" s="359">
        <f>'F1'!J29</f>
        <v>232.17</v>
      </c>
      <c r="K27" s="359">
        <f>'F1'!K29*(1+wheeling!$F$33)</f>
        <v>141.28527770322796</v>
      </c>
      <c r="L27" s="359">
        <f>'F1'!L29*(1+wheeling!$F$33)</f>
        <v>109.03411112975584</v>
      </c>
      <c r="M27" s="359">
        <f t="shared" si="2"/>
        <v>250.3193888329838</v>
      </c>
      <c r="N27" s="359">
        <f>'F1'!N29</f>
        <v>235.07</v>
      </c>
      <c r="O27" s="359">
        <f>'F1'!O29*(1+wheeling!$G$33)</f>
        <v>253.38662445989686</v>
      </c>
      <c r="P27" s="359">
        <f>'F1'!P29</f>
        <v>237.91</v>
      </c>
      <c r="Q27" s="353">
        <f>'F1'!Q29*(1+wheeling!$H$33)</f>
        <v>256.49215617362159</v>
      </c>
      <c r="R27" s="343"/>
    </row>
    <row r="28" spans="2:18" x14ac:dyDescent="0.3">
      <c r="B28" s="594" t="s">
        <v>903</v>
      </c>
      <c r="C28" s="359">
        <f>'F1'!C30</f>
        <v>382.33</v>
      </c>
      <c r="D28" s="359">
        <f ca="1">'F1'!D30*(1+wheeling!$C$33)</f>
        <v>388.13738770784613</v>
      </c>
      <c r="E28" s="344" t="s">
        <v>903</v>
      </c>
      <c r="F28" s="359">
        <f>'F1'!F30</f>
        <v>387.39</v>
      </c>
      <c r="G28" s="359">
        <f ca="1">'F1'!G30*(1+wheeling!$D$33)</f>
        <v>365.09415393622874</v>
      </c>
      <c r="H28" s="359">
        <f>'F1'!H30</f>
        <v>392.45</v>
      </c>
      <c r="I28" s="359">
        <f ca="1">'F1'!I30*(1+wheeling!$E$33)</f>
        <v>380.18886848588755</v>
      </c>
      <c r="J28" s="359">
        <f>'F1'!J30</f>
        <v>397.51</v>
      </c>
      <c r="K28" s="359">
        <f>'F1'!K30*(1+wheeling!$F$33)</f>
        <v>232.13969483270259</v>
      </c>
      <c r="L28" s="359">
        <f>'F1'!L30*(1+wheeling!$F$33)</f>
        <v>184.31057113914179</v>
      </c>
      <c r="M28" s="359">
        <f t="shared" si="2"/>
        <v>416.45026597184437</v>
      </c>
      <c r="N28" s="359">
        <f>'F1'!N30</f>
        <v>402.51</v>
      </c>
      <c r="O28" s="359">
        <f>'F1'!O30*(1+wheeling!$G$33)</f>
        <v>421.55315112421476</v>
      </c>
      <c r="P28" s="359">
        <f>'F1'!P30</f>
        <v>407.41</v>
      </c>
      <c r="Q28" s="353">
        <f>'F1'!Q30*(1+wheeling!$H$33)</f>
        <v>426.71974854279341</v>
      </c>
      <c r="R28" s="343"/>
    </row>
    <row r="29" spans="2:18" x14ac:dyDescent="0.3">
      <c r="B29" s="594" t="s">
        <v>904</v>
      </c>
      <c r="C29" s="359">
        <v>0</v>
      </c>
      <c r="D29" s="359">
        <f ca="1">'F1'!D31*(1+wheeling!$C$33)</f>
        <v>934.81574604197567</v>
      </c>
      <c r="E29" s="507" t="s">
        <v>904</v>
      </c>
      <c r="F29" s="359">
        <f>'F1'!F31</f>
        <v>919.85</v>
      </c>
      <c r="G29" s="359">
        <f ca="1">'F1'!G31*(1+wheeling!$D$33)</f>
        <v>558.49568106908828</v>
      </c>
      <c r="H29" s="359">
        <f>'F1'!H31</f>
        <v>927.29</v>
      </c>
      <c r="I29" s="359">
        <f ca="1">'F1'!I31*(1+wheeling!$E$33)</f>
        <v>713.08497401136447</v>
      </c>
      <c r="J29" s="359">
        <f>'F1'!J31</f>
        <v>934.6</v>
      </c>
      <c r="K29" s="359">
        <f>'F1'!K31*(1+wheeling!$F$33)</f>
        <v>453.41470303991161</v>
      </c>
      <c r="L29" s="359">
        <f>'F1'!L31*(1+wheeling!$F$33)</f>
        <v>417.23722194759296</v>
      </c>
      <c r="M29" s="359">
        <f t="shared" si="2"/>
        <v>870.65192498750457</v>
      </c>
      <c r="N29" s="359">
        <f>'F1'!N31</f>
        <v>941.7</v>
      </c>
      <c r="O29" s="359">
        <f>'F1'!O31*(1+wheeling!$G$33)</f>
        <v>877.14628552238639</v>
      </c>
      <c r="P29" s="359">
        <f>'F1'!P31</f>
        <v>948.41</v>
      </c>
      <c r="Q29" s="353">
        <f>'F1'!Q31*(1+wheeling!$H$33)</f>
        <v>883.69154305141956</v>
      </c>
      <c r="R29" s="343"/>
    </row>
    <row r="30" spans="2:18" ht="28" x14ac:dyDescent="0.3">
      <c r="B30" s="594" t="s">
        <v>905</v>
      </c>
      <c r="C30" s="359">
        <f>'F1'!C32</f>
        <v>687.74</v>
      </c>
      <c r="D30" s="359">
        <f ca="1">'F1'!D32*(1+wheeling!$C$33)</f>
        <v>0</v>
      </c>
      <c r="E30" s="1589" t="s">
        <v>1708</v>
      </c>
      <c r="F30" s="359">
        <f>'F1'!F32</f>
        <v>211.13</v>
      </c>
      <c r="G30" s="359">
        <f ca="1">'F1'!G32*(1+wheeling!$D$33)</f>
        <v>158.04799645385864</v>
      </c>
      <c r="H30" s="359">
        <f>'F1'!H32</f>
        <v>211.04</v>
      </c>
      <c r="I30" s="359">
        <f ca="1">'F1'!I32*(1+wheeling!$E$33)</f>
        <v>152.29590687216879</v>
      </c>
      <c r="J30" s="359">
        <f>'F1'!J32</f>
        <v>210.9</v>
      </c>
      <c r="K30" s="359">
        <f>'F1'!K32*(1+wheeling!$F$33)</f>
        <v>95.83617356535639</v>
      </c>
      <c r="L30" s="359">
        <f>'F1'!L32*(1+wheeling!$F$33)</f>
        <v>84.045102111101826</v>
      </c>
      <c r="M30" s="359">
        <f t="shared" si="2"/>
        <v>179.88127567645822</v>
      </c>
      <c r="N30" s="359">
        <f>'F1'!N32</f>
        <v>210.69</v>
      </c>
      <c r="O30" s="359">
        <f>'F1'!O32*(1+wheeling!$G$33)</f>
        <v>181.22304478554756</v>
      </c>
      <c r="P30" s="359">
        <f>'F1'!P32</f>
        <v>210.39</v>
      </c>
      <c r="Q30" s="353">
        <f>'F1'!Q32*(1+wheeling!$H$33)</f>
        <v>182.57532948183456</v>
      </c>
      <c r="R30" s="343"/>
    </row>
    <row r="31" spans="2:18" ht="28" x14ac:dyDescent="0.3">
      <c r="B31" s="594" t="s">
        <v>906</v>
      </c>
      <c r="C31" s="359">
        <f>'F1'!C33</f>
        <v>208.18</v>
      </c>
      <c r="D31" s="359">
        <f ca="1">'F1'!D33*(1+wheeling!$C$33)</f>
        <v>0</v>
      </c>
      <c r="E31" s="507" t="s">
        <v>1709</v>
      </c>
      <c r="F31" s="359">
        <f>'F1'!F33</f>
        <v>370</v>
      </c>
      <c r="G31" s="359">
        <f ca="1">'F1'!G33*(1+wheeling!$D$33)</f>
        <v>296.99720727734496</v>
      </c>
      <c r="H31" s="359">
        <f>'F1'!H33</f>
        <v>369.84</v>
      </c>
      <c r="I31" s="359">
        <f ca="1">'F1'!I33*(1+wheeling!$E$33)</f>
        <v>306.88254374142434</v>
      </c>
      <c r="J31" s="359">
        <f>'F1'!J33</f>
        <v>369.6</v>
      </c>
      <c r="K31" s="359">
        <f>'F1'!K33*(1+wheeling!$F$33)</f>
        <v>202.04287958726044</v>
      </c>
      <c r="L31" s="359">
        <f>'F1'!L33*(1+wheeling!$F$33)</f>
        <v>175.33250011692422</v>
      </c>
      <c r="M31" s="359">
        <f t="shared" si="2"/>
        <v>377.37537970418464</v>
      </c>
      <c r="N31" s="359">
        <f>'F1'!N33</f>
        <v>369.24</v>
      </c>
      <c r="O31" s="359">
        <f>'F1'!O33*(1+wheeling!$G$33)</f>
        <v>376.91116824038352</v>
      </c>
      <c r="P31" s="359">
        <f>'F1'!P33</f>
        <v>368.7</v>
      </c>
      <c r="Q31" s="353">
        <f>'F1'!Q33*(1+wheeling!$H$33)</f>
        <v>376.44857332921225</v>
      </c>
      <c r="R31" s="343"/>
    </row>
    <row r="32" spans="2:18" ht="28" x14ac:dyDescent="0.3">
      <c r="B32" s="883" t="s">
        <v>1024</v>
      </c>
      <c r="C32" s="359">
        <f>'F1'!C34</f>
        <v>211.19</v>
      </c>
      <c r="D32" s="359">
        <f ca="1">'F1'!D34*(1+wheeling!$C$33)</f>
        <v>220.8404912476791</v>
      </c>
      <c r="E32" s="1590" t="s">
        <v>908</v>
      </c>
      <c r="F32" s="359">
        <f>'F1'!F34</f>
        <v>43.23</v>
      </c>
      <c r="G32" s="359">
        <f ca="1">'F1'!G34*(1+wheeling!$D$33)</f>
        <v>76.254936716478582</v>
      </c>
      <c r="H32" s="359">
        <f>'F1'!H34</f>
        <v>43.213999999999999</v>
      </c>
      <c r="I32" s="359">
        <f ca="1">'F1'!I34*(1+wheeling!$E$33)</f>
        <v>98.845886927093545</v>
      </c>
      <c r="J32" s="359">
        <f>'F1'!J34</f>
        <v>43.19</v>
      </c>
      <c r="K32" s="359">
        <f>'F1'!K34*(1+wheeling!$F$33)</f>
        <v>53.959408294759697</v>
      </c>
      <c r="L32" s="359">
        <f>'F1'!L34*(1+wheeling!$F$33)</f>
        <v>57.429652696301147</v>
      </c>
      <c r="M32" s="359">
        <f t="shared" si="2"/>
        <v>111.38906099106084</v>
      </c>
      <c r="N32" s="359">
        <f>'F1'!N34</f>
        <v>43.14</v>
      </c>
      <c r="O32" s="359">
        <f>'F1'!O34*(1+wheeling!$G$33)</f>
        <v>111.25204071407661</v>
      </c>
      <c r="P32" s="359">
        <f>'F1'!P34</f>
        <v>43.08</v>
      </c>
      <c r="Q32" s="353">
        <f>'F1'!Q34*(1+wheeling!$H$33)</f>
        <v>111.11549759137741</v>
      </c>
      <c r="R32" s="343"/>
    </row>
    <row r="33" spans="1:18" ht="14.5" x14ac:dyDescent="0.35">
      <c r="A33" s="855"/>
      <c r="B33" s="594" t="s">
        <v>907</v>
      </c>
      <c r="C33" s="359">
        <f>'F1'!C35</f>
        <v>370.11</v>
      </c>
      <c r="D33" s="359">
        <f ca="1">'F1'!D35*(1+wheeling!$C$33)</f>
        <v>389.87631111143082</v>
      </c>
      <c r="E33" s="1590" t="s">
        <v>1594</v>
      </c>
      <c r="F33" s="359">
        <f>'F1'!F35</f>
        <v>90.31</v>
      </c>
      <c r="G33" s="359">
        <f ca="1">'F1'!G35*(1+wheeling!$D$33)</f>
        <v>75.09153862010514</v>
      </c>
      <c r="H33" s="359">
        <f>'F1'!H35</f>
        <v>90.27</v>
      </c>
      <c r="I33" s="359">
        <f ca="1">'F1'!I35*(1+wheeling!$E$33)</f>
        <v>81.40751220474597</v>
      </c>
      <c r="J33" s="359">
        <f>'F1'!J35</f>
        <v>90.21</v>
      </c>
      <c r="K33" s="359">
        <f>'F1'!K35*(1+wheeling!$F$33)</f>
        <v>43.2663224956721</v>
      </c>
      <c r="L33" s="359">
        <f>'F1'!L35*(1+wheeling!$F$33)</f>
        <v>40.804971557670363</v>
      </c>
      <c r="M33" s="359">
        <f t="shared" si="2"/>
        <v>84.071294053342456</v>
      </c>
      <c r="N33" s="359">
        <f>'F1'!N35</f>
        <v>90.12</v>
      </c>
      <c r="O33" s="359">
        <f>'F1'!O35*(1+wheeling!$G$33)</f>
        <v>83.96787750691395</v>
      </c>
      <c r="P33" s="359">
        <f>'F1'!P35</f>
        <v>89.99</v>
      </c>
      <c r="Q33" s="353">
        <f>'F1'!Q35*(1+wheeling!$H$33)</f>
        <v>83.864821094396675</v>
      </c>
      <c r="R33" s="343"/>
    </row>
    <row r="34" spans="1:18" ht="42" x14ac:dyDescent="0.3">
      <c r="B34" s="594" t="s">
        <v>937</v>
      </c>
      <c r="C34" s="359">
        <f>'F1'!C36</f>
        <v>43.25</v>
      </c>
      <c r="D34" s="359">
        <f ca="1">'F1'!D36*(1+wheeling!$C$33)</f>
        <v>49.475032419822526</v>
      </c>
      <c r="E34" s="1590" t="s">
        <v>1710</v>
      </c>
      <c r="F34" s="359">
        <f>'F1'!F36</f>
        <v>55.68</v>
      </c>
      <c r="G34" s="359">
        <f ca="1">'F1'!G36*(1+wheeling!$D$33)</f>
        <v>61.983514641322856</v>
      </c>
      <c r="H34" s="359">
        <f>'F1'!H36</f>
        <v>56.14</v>
      </c>
      <c r="I34" s="359">
        <f ca="1">'F1'!I36*(1+wheeling!$E$33)</f>
        <v>57.365606505778722</v>
      </c>
      <c r="J34" s="359">
        <f>'F1'!J36</f>
        <v>56.594000000000001</v>
      </c>
      <c r="K34" s="359">
        <f>'F1'!K36*(1+wheeling!$F$33)</f>
        <v>34.430915692083126</v>
      </c>
      <c r="L34" s="359">
        <f>'F1'!L36*(1+wheeling!$F$33)</f>
        <v>30.246914005995389</v>
      </c>
      <c r="M34" s="359">
        <f t="shared" si="2"/>
        <v>64.677829698078511</v>
      </c>
      <c r="N34" s="359">
        <f>'F1'!N36</f>
        <v>57.03</v>
      </c>
      <c r="O34" s="359">
        <f>'F1'!O36*(1+wheeling!$G$33)</f>
        <v>64.598269155408346</v>
      </c>
      <c r="P34" s="359">
        <f>'F1'!P36</f>
        <v>57.454000000000001</v>
      </c>
      <c r="Q34" s="353">
        <f>'F1'!Q36*(1+wheeling!$H$33)</f>
        <v>64.518985671394674</v>
      </c>
      <c r="R34" s="343"/>
    </row>
    <row r="35" spans="1:18" ht="28" x14ac:dyDescent="0.3">
      <c r="B35" s="594" t="s">
        <v>938</v>
      </c>
      <c r="C35" s="359">
        <f>'F1'!C37:C37</f>
        <v>90.33</v>
      </c>
      <c r="D35" s="359">
        <f ca="1">'F1'!D37*(1+wheeling!$C$33)</f>
        <v>89.168820035204476</v>
      </c>
      <c r="E35" s="1590" t="s">
        <v>1596</v>
      </c>
      <c r="F35" s="359">
        <f>'F1'!F37</f>
        <v>185.87</v>
      </c>
      <c r="G35" s="359">
        <f ca="1">'F1'!G37*(1+wheeling!$D$33)</f>
        <v>169.96053364255326</v>
      </c>
      <c r="H35" s="359">
        <f>'F1'!H37</f>
        <v>183.95400000000001</v>
      </c>
      <c r="I35" s="359">
        <f ca="1">'F1'!I37*(1+wheeling!$E$33)</f>
        <v>169.96998889053441</v>
      </c>
      <c r="J35" s="359">
        <f>'F1'!J37</f>
        <v>183.84</v>
      </c>
      <c r="K35" s="359">
        <f>'F1'!K37*(1+wheeling!$F$33)</f>
        <v>101.3314854282801</v>
      </c>
      <c r="L35" s="359">
        <f>'F1'!L37*(1+wheeling!$F$33)</f>
        <v>87.042991224328645</v>
      </c>
      <c r="M35" s="359">
        <f t="shared" si="2"/>
        <v>188.37447665260873</v>
      </c>
      <c r="N35" s="359">
        <f>'F1'!N37</f>
        <v>183.684</v>
      </c>
      <c r="O35" s="359">
        <f>'F1'!O37*(1+wheeling!$G$33)</f>
        <v>188.14275620593244</v>
      </c>
      <c r="P35" s="359">
        <f>'F1'!P37</f>
        <v>183.43</v>
      </c>
      <c r="Q35" s="353">
        <f>'F1'!Q37*(1+wheeling!$H$33)</f>
        <v>187.91184269386827</v>
      </c>
      <c r="R35" s="343"/>
    </row>
    <row r="36" spans="1:18" ht="28" x14ac:dyDescent="0.3">
      <c r="B36" s="594" t="s">
        <v>910</v>
      </c>
      <c r="C36" s="359">
        <f>'F1'!C38</f>
        <v>6.82</v>
      </c>
      <c r="D36" s="359">
        <f ca="1">'F1'!D38*(1+wheeling!$C$33)</f>
        <v>5.7495426604971902</v>
      </c>
      <c r="E36" s="1590" t="s">
        <v>1597</v>
      </c>
      <c r="F36" s="359">
        <f>'F1'!F38</f>
        <v>0</v>
      </c>
      <c r="G36" s="359">
        <f ca="1">'F1'!G38*(1+wheeling!$D$33)</f>
        <v>0</v>
      </c>
      <c r="H36" s="359">
        <f>'F1'!H38</f>
        <v>0</v>
      </c>
      <c r="I36" s="359">
        <f ca="1">'F1'!I38*(1+wheeling!$E$33)</f>
        <v>0</v>
      </c>
      <c r="J36" s="359">
        <f>'F1'!J38</f>
        <v>0</v>
      </c>
      <c r="K36" s="359">
        <f>'F1'!K38*(1+wheeling!$F$33)</f>
        <v>0</v>
      </c>
      <c r="L36" s="359">
        <f>'F1'!L38*(1+wheeling!$F$33)</f>
        <v>0</v>
      </c>
      <c r="M36" s="359">
        <f t="shared" si="2"/>
        <v>0</v>
      </c>
      <c r="N36" s="359">
        <f>'F1'!N38</f>
        <v>0</v>
      </c>
      <c r="O36" s="359">
        <f>'F1'!O38*(1+wheeling!$G$33)</f>
        <v>0</v>
      </c>
      <c r="P36" s="359">
        <f>'F1'!P38</f>
        <v>0</v>
      </c>
      <c r="Q36" s="353">
        <f>'F1'!Q38*(1+wheeling!$H$33)</f>
        <v>0</v>
      </c>
      <c r="R36" s="343"/>
    </row>
    <row r="37" spans="1:18" ht="28" x14ac:dyDescent="0.3">
      <c r="B37" s="594" t="s">
        <v>911</v>
      </c>
      <c r="C37" s="359">
        <f>'F1'!C39</f>
        <v>1.52</v>
      </c>
      <c r="D37" s="359">
        <f ca="1">'F1'!D39*(1+wheeling!$C$33)</f>
        <v>1.5081652102982361</v>
      </c>
      <c r="E37" s="1590" t="s">
        <v>1598</v>
      </c>
      <c r="F37" s="359">
        <f>'F1'!F39</f>
        <v>0</v>
      </c>
      <c r="G37" s="359">
        <f ca="1">'F1'!G39*(1+wheeling!$D$33)</f>
        <v>0</v>
      </c>
      <c r="H37" s="359">
        <f>'F1'!H39</f>
        <v>0</v>
      </c>
      <c r="I37" s="359">
        <f ca="1">'F1'!I39*(1+wheeling!$E$33)</f>
        <v>2.3208213592847953E-2</v>
      </c>
      <c r="J37" s="359">
        <f>'F1'!J39</f>
        <v>0</v>
      </c>
      <c r="K37" s="359">
        <f>'F1'!K39*(1+wheeling!$F$33)</f>
        <v>3.1062533798860006E-2</v>
      </c>
      <c r="L37" s="359">
        <f>'F1'!L39*(1+wheeling!$F$33)</f>
        <v>2.3139675702030009E-2</v>
      </c>
      <c r="M37" s="359">
        <f t="shared" si="2"/>
        <v>5.4202209500890011E-2</v>
      </c>
      <c r="N37" s="359">
        <f>'F1'!N39</f>
        <v>0</v>
      </c>
      <c r="O37" s="359">
        <f>'F1'!O39*(1+wheeling!$G$33)</f>
        <v>5.4135535074398819E-2</v>
      </c>
      <c r="P37" s="359">
        <f>'F1'!P39</f>
        <v>0</v>
      </c>
      <c r="Q37" s="353">
        <f>'F1'!Q39*(1+wheeling!$H$33)</f>
        <v>5.4069092832435384E-2</v>
      </c>
      <c r="R37" s="343"/>
    </row>
    <row r="38" spans="1:18" ht="14.5" x14ac:dyDescent="0.3">
      <c r="B38" s="884" t="s">
        <v>912</v>
      </c>
      <c r="C38" s="359">
        <f>'F1'!C40</f>
        <v>19.05</v>
      </c>
      <c r="D38" s="359">
        <f ca="1">'F1'!D40*(1+wheeling!$C$33)</f>
        <v>20.007461660015675</v>
      </c>
      <c r="E38" s="1590" t="s">
        <v>1599</v>
      </c>
      <c r="F38" s="359">
        <f>'F1'!F40</f>
        <v>0.3</v>
      </c>
      <c r="G38" s="359">
        <f ca="1">'F1'!G40*(1+wheeling!$D$33)</f>
        <v>2.5287104205708855</v>
      </c>
      <c r="H38" s="359">
        <f>'F1'!H40</f>
        <v>0.37</v>
      </c>
      <c r="I38" s="359">
        <f ca="1">'F1'!I40*(1+wheeling!$E$33)</f>
        <v>11.870699600810827</v>
      </c>
      <c r="J38" s="359">
        <f>'F1'!J40</f>
        <v>0.46</v>
      </c>
      <c r="K38" s="359">
        <f>'F1'!K40*(1+wheeling!$F$33)</f>
        <v>9.5652567833901685</v>
      </c>
      <c r="L38" s="359">
        <f>'F1'!L40*(1+wheeling!$F$33)</f>
        <v>9.579446505310699</v>
      </c>
      <c r="M38" s="359">
        <f t="shared" si="2"/>
        <v>19.144703288700867</v>
      </c>
      <c r="N38" s="359">
        <f>'F1'!N40</f>
        <v>0.58440000000000003</v>
      </c>
      <c r="O38" s="359">
        <f>'F1'!O40*(1+wheeling!$G$33)</f>
        <v>23.90144160906868</v>
      </c>
      <c r="P38" s="359">
        <f>'F1'!P40</f>
        <v>0.72399999999999998</v>
      </c>
      <c r="Q38" s="353">
        <f>'F1'!Q40*(1+wheeling!$H$33)</f>
        <v>29.840133274144982</v>
      </c>
      <c r="R38" s="343"/>
    </row>
    <row r="39" spans="1:18" ht="28" x14ac:dyDescent="0.3">
      <c r="B39" s="594" t="s">
        <v>913</v>
      </c>
      <c r="C39" s="359">
        <f>'F1'!C41</f>
        <v>0.2</v>
      </c>
      <c r="D39" s="359">
        <f ca="1">'F1'!D41*(1+wheeling!$C$33)</f>
        <v>0.17475176140919077</v>
      </c>
      <c r="E39" s="1587" t="s">
        <v>1712</v>
      </c>
      <c r="F39" s="361">
        <f>SUM(F23:F38)</f>
        <v>3951.92</v>
      </c>
      <c r="G39" s="361">
        <f t="shared" ref="G39:Q39" ca="1" si="3">SUM(G23:G38)</f>
        <v>3390.6935855267179</v>
      </c>
      <c r="H39" s="361">
        <f>SUM(H23:H38)+0.01</f>
        <v>3984.7980000000002</v>
      </c>
      <c r="I39" s="361">
        <f t="shared" ca="1" si="3"/>
        <v>3688.2645577010044</v>
      </c>
      <c r="J39" s="361">
        <f>SUM(J23:J38)+0.01</f>
        <v>4019.1480000000001</v>
      </c>
      <c r="K39" s="361">
        <f t="shared" si="3"/>
        <v>2174.0167470421247</v>
      </c>
      <c r="L39" s="361">
        <f t="shared" si="3"/>
        <v>1937.8088527819839</v>
      </c>
      <c r="M39" s="361">
        <f t="shared" si="3"/>
        <v>4111.8255998241093</v>
      </c>
      <c r="N39" s="361">
        <f t="shared" si="3"/>
        <v>4052.7084000000009</v>
      </c>
      <c r="O39" s="361">
        <f t="shared" si="3"/>
        <v>4150.5577647675291</v>
      </c>
      <c r="P39" s="361">
        <f t="shared" si="3"/>
        <v>4084.8979999999997</v>
      </c>
      <c r="Q39" s="361">
        <f t="shared" si="3"/>
        <v>4190.8758828884847</v>
      </c>
      <c r="R39" s="343"/>
    </row>
    <row r="40" spans="1:18" ht="28" x14ac:dyDescent="0.3">
      <c r="B40" s="594" t="s">
        <v>914</v>
      </c>
      <c r="C40" s="359">
        <f>'F1'!C42</f>
        <v>14.9</v>
      </c>
      <c r="D40" s="359">
        <f ca="1">'F1'!D42*(1+wheeling!$C$33)</f>
        <v>11.347059721301031</v>
      </c>
      <c r="E40" s="1587" t="s">
        <v>396</v>
      </c>
      <c r="F40" s="361">
        <f>F39+F20</f>
        <v>4643.66</v>
      </c>
      <c r="G40" s="361">
        <f t="shared" ref="G40:Q40" ca="1" si="4">G39+G20</f>
        <v>3940.1022897200119</v>
      </c>
      <c r="H40" s="361">
        <f t="shared" si="4"/>
        <v>4683.7860000000001</v>
      </c>
      <c r="I40" s="361">
        <f t="shared" ca="1" si="4"/>
        <v>4276.1526382301217</v>
      </c>
      <c r="J40" s="361">
        <f t="shared" si="4"/>
        <v>4727.0120000000006</v>
      </c>
      <c r="K40" s="361">
        <f t="shared" si="4"/>
        <v>2516.5094125546193</v>
      </c>
      <c r="L40" s="361">
        <f t="shared" si="4"/>
        <v>2249.5454270401278</v>
      </c>
      <c r="M40" s="361">
        <f t="shared" si="4"/>
        <v>4766.054839594748</v>
      </c>
      <c r="N40" s="361">
        <f t="shared" si="4"/>
        <v>4771.3724000000011</v>
      </c>
      <c r="O40" s="361">
        <f t="shared" si="4"/>
        <v>4804.6275865340476</v>
      </c>
      <c r="P40" s="361">
        <f t="shared" si="4"/>
        <v>4816.7119999999995</v>
      </c>
      <c r="Q40" s="361">
        <f t="shared" si="4"/>
        <v>4844.7866199173277</v>
      </c>
      <c r="R40" s="343"/>
    </row>
    <row r="41" spans="1:18" ht="28" x14ac:dyDescent="0.3">
      <c r="B41" s="594" t="s">
        <v>915</v>
      </c>
      <c r="C41" s="359">
        <f>'F1'!C43</f>
        <v>1.54</v>
      </c>
      <c r="D41" s="359">
        <f ca="1">'F1'!D43*(1+wheeling!$C$33)</f>
        <v>1.5518402218676881</v>
      </c>
      <c r="E41" s="1588"/>
      <c r="F41" s="359"/>
      <c r="G41" s="359"/>
      <c r="H41" s="359"/>
      <c r="I41" s="359"/>
      <c r="J41" s="359"/>
      <c r="K41" s="359"/>
      <c r="L41" s="359"/>
      <c r="M41" s="359"/>
      <c r="N41" s="359"/>
      <c r="O41" s="359"/>
      <c r="P41" s="359"/>
      <c r="Q41" s="343"/>
      <c r="R41" s="343"/>
    </row>
    <row r="42" spans="1:18" ht="28" x14ac:dyDescent="0.3">
      <c r="B42" s="594" t="s">
        <v>1025</v>
      </c>
      <c r="C42" s="359">
        <f>'F1'!C44</f>
        <v>55.22</v>
      </c>
      <c r="D42" s="359">
        <f ca="1">'F1'!D44*(1+wheeling!$C$33)</f>
        <v>59.940338596930083</v>
      </c>
      <c r="E42" s="1591"/>
      <c r="F42" s="359"/>
      <c r="G42" s="359"/>
      <c r="H42" s="359"/>
      <c r="I42" s="359"/>
      <c r="J42" s="359"/>
      <c r="K42" s="359"/>
      <c r="L42" s="359"/>
      <c r="M42" s="359"/>
      <c r="N42" s="359"/>
      <c r="O42" s="359"/>
      <c r="P42" s="359"/>
      <c r="Q42" s="343"/>
      <c r="R42" s="343"/>
    </row>
    <row r="43" spans="1:18" ht="28" x14ac:dyDescent="0.3">
      <c r="B43" s="594" t="s">
        <v>939</v>
      </c>
      <c r="C43" s="359">
        <f>'F1'!C45</f>
        <v>163.16499999999999</v>
      </c>
      <c r="D43" s="359">
        <f ca="1">'F1'!D45*(1+wheeling!$C$33)</f>
        <v>171.42456183515176</v>
      </c>
      <c r="E43" s="359"/>
      <c r="F43" s="359"/>
      <c r="G43" s="359"/>
      <c r="H43" s="359"/>
      <c r="I43" s="359"/>
      <c r="J43" s="359"/>
      <c r="K43" s="359"/>
      <c r="L43" s="359"/>
      <c r="M43" s="359"/>
      <c r="N43" s="359"/>
      <c r="O43" s="359"/>
      <c r="P43" s="359"/>
      <c r="Q43" s="343"/>
      <c r="R43" s="343"/>
    </row>
    <row r="44" spans="1:18" x14ac:dyDescent="0.3">
      <c r="B44" s="594" t="s">
        <v>917</v>
      </c>
      <c r="C44" s="359">
        <f>'F1'!C46</f>
        <v>0</v>
      </c>
      <c r="D44" s="359">
        <f ca="1">'F1'!D46*(1+wheeling!$C$33)</f>
        <v>0</v>
      </c>
      <c r="E44" s="359"/>
      <c r="F44" s="359"/>
      <c r="G44" s="359"/>
      <c r="H44" s="359"/>
      <c r="I44" s="359"/>
      <c r="J44" s="359"/>
      <c r="K44" s="359"/>
      <c r="L44" s="359"/>
      <c r="M44" s="359"/>
      <c r="N44" s="359"/>
      <c r="O44" s="359"/>
      <c r="P44" s="359"/>
      <c r="Q44" s="343"/>
      <c r="R44" s="343"/>
    </row>
    <row r="45" spans="1:18" x14ac:dyDescent="0.3">
      <c r="B45" s="594" t="s">
        <v>918</v>
      </c>
      <c r="C45" s="359">
        <f>'F1'!C47</f>
        <v>0</v>
      </c>
      <c r="D45" s="359">
        <f ca="1">'F1'!D47*(1+wheeling!$C$33)</f>
        <v>0</v>
      </c>
      <c r="E45" s="359"/>
      <c r="F45" s="359"/>
      <c r="G45" s="359"/>
      <c r="H45" s="359"/>
      <c r="I45" s="359"/>
      <c r="J45" s="359"/>
      <c r="K45" s="359"/>
      <c r="L45" s="359"/>
      <c r="M45" s="359"/>
      <c r="N45" s="359"/>
      <c r="O45" s="359"/>
      <c r="P45" s="359"/>
      <c r="Q45" s="343"/>
      <c r="R45" s="343"/>
    </row>
    <row r="46" spans="1:18" x14ac:dyDescent="0.3">
      <c r="B46" s="594" t="s">
        <v>919</v>
      </c>
      <c r="C46" s="359">
        <f>'F1'!C48</f>
        <v>0.24</v>
      </c>
      <c r="D46" s="359">
        <f ca="1">'F1'!D48*(1+wheeling!$C$33)</f>
        <v>0.6545373097013597</v>
      </c>
      <c r="E46" s="359"/>
      <c r="F46" s="359"/>
      <c r="G46" s="359"/>
      <c r="H46" s="359"/>
      <c r="I46" s="359"/>
      <c r="J46" s="359"/>
      <c r="K46" s="359"/>
      <c r="L46" s="359"/>
      <c r="M46" s="359"/>
      <c r="N46" s="359"/>
      <c r="O46" s="359"/>
      <c r="P46" s="359"/>
      <c r="Q46" s="343"/>
      <c r="R46" s="343"/>
    </row>
    <row r="47" spans="1:18" x14ac:dyDescent="0.3">
      <c r="B47" s="434" t="s">
        <v>416</v>
      </c>
      <c r="C47" s="436">
        <f>SUM(C23:C46)</f>
        <v>3920.2149999999997</v>
      </c>
      <c r="D47" s="361">
        <f t="shared" ref="D47" ca="1" si="5">SUM(D23:D46)</f>
        <v>4104.0089016120855</v>
      </c>
      <c r="E47" s="361"/>
      <c r="F47" s="361"/>
      <c r="G47" s="361"/>
      <c r="H47" s="361"/>
      <c r="I47" s="361"/>
      <c r="J47" s="361"/>
      <c r="K47" s="361"/>
      <c r="L47" s="361"/>
      <c r="M47" s="361"/>
      <c r="N47" s="361"/>
      <c r="O47" s="361"/>
      <c r="P47" s="361"/>
      <c r="Q47" s="436"/>
      <c r="R47" s="343"/>
    </row>
    <row r="48" spans="1:18" x14ac:dyDescent="0.3">
      <c r="B48" s="594"/>
      <c r="C48" s="437"/>
      <c r="D48" s="359"/>
      <c r="E48" s="359"/>
      <c r="F48" s="359"/>
      <c r="G48" s="359"/>
      <c r="H48" s="359"/>
      <c r="I48" s="359"/>
      <c r="J48" s="359"/>
      <c r="K48" s="359"/>
      <c r="L48" s="359"/>
      <c r="M48" s="359"/>
      <c r="N48" s="359"/>
      <c r="O48" s="359"/>
      <c r="P48" s="359"/>
      <c r="Q48" s="343"/>
      <c r="R48" s="343"/>
    </row>
    <row r="49" spans="2:18" x14ac:dyDescent="0.3">
      <c r="B49" s="417" t="s">
        <v>145</v>
      </c>
      <c r="C49" s="436">
        <f>SUM(C21,C47)</f>
        <v>4606.0429999999997</v>
      </c>
      <c r="D49" s="361">
        <f ca="1">SUM(D21,D47)</f>
        <v>4792.2502349999977</v>
      </c>
      <c r="E49" s="361"/>
      <c r="F49" s="361"/>
      <c r="G49" s="361"/>
      <c r="H49" s="361"/>
      <c r="I49" s="361"/>
      <c r="J49" s="361"/>
      <c r="K49" s="361"/>
      <c r="L49" s="361"/>
      <c r="M49" s="361"/>
      <c r="N49" s="361"/>
      <c r="O49" s="361"/>
      <c r="P49" s="361"/>
      <c r="Q49" s="436"/>
      <c r="R49" s="343"/>
    </row>
    <row r="50" spans="2:18" hidden="1" x14ac:dyDescent="0.3">
      <c r="B50" s="596"/>
      <c r="E50"/>
      <c r="F50" s="782"/>
      <c r="G50" s="782"/>
      <c r="H50"/>
      <c r="I50"/>
      <c r="J50"/>
      <c r="K50"/>
      <c r="L50"/>
      <c r="M50"/>
      <c r="N50"/>
      <c r="O50"/>
      <c r="P50"/>
      <c r="Q50"/>
    </row>
    <row r="51" spans="2:18" hidden="1" x14ac:dyDescent="0.3">
      <c r="B51" s="596" t="s">
        <v>435</v>
      </c>
      <c r="D51"/>
      <c r="E51"/>
      <c r="F51"/>
      <c r="G51"/>
      <c r="H51"/>
      <c r="I51"/>
      <c r="J51"/>
      <c r="K51"/>
      <c r="L51"/>
      <c r="M51"/>
      <c r="N51"/>
      <c r="O51"/>
      <c r="P51"/>
      <c r="Q51"/>
    </row>
    <row r="52" spans="2:18" hidden="1" x14ac:dyDescent="0.3">
      <c r="B52" s="576" t="s">
        <v>436</v>
      </c>
      <c r="D52"/>
      <c r="E52"/>
      <c r="F52"/>
      <c r="G52"/>
      <c r="H52"/>
      <c r="I52"/>
      <c r="J52"/>
      <c r="K52"/>
      <c r="L52"/>
      <c r="M52"/>
      <c r="N52"/>
      <c r="O52"/>
      <c r="P52"/>
      <c r="Q52"/>
    </row>
    <row r="53" spans="2:18" hidden="1" x14ac:dyDescent="0.3">
      <c r="B53" s="375" t="s">
        <v>816</v>
      </c>
      <c r="D53"/>
      <c r="E53"/>
      <c r="F53"/>
      <c r="G53"/>
      <c r="H53"/>
      <c r="I53"/>
      <c r="J53"/>
      <c r="K53"/>
      <c r="L53"/>
      <c r="M53"/>
      <c r="N53"/>
      <c r="O53"/>
      <c r="P53"/>
      <c r="Q53"/>
    </row>
    <row r="54" spans="2:18" x14ac:dyDescent="0.3">
      <c r="B54" s="596"/>
      <c r="D54"/>
      <c r="E54"/>
      <c r="F54"/>
      <c r="G54"/>
      <c r="H54"/>
      <c r="I54"/>
      <c r="J54"/>
      <c r="K54"/>
      <c r="L54"/>
      <c r="M54"/>
      <c r="N54"/>
      <c r="O54"/>
      <c r="P54"/>
      <c r="Q54"/>
    </row>
    <row r="55" spans="2:18" x14ac:dyDescent="0.3">
      <c r="B55" s="597" t="s">
        <v>537</v>
      </c>
      <c r="D55"/>
      <c r="E55"/>
      <c r="F55"/>
      <c r="G55"/>
      <c r="H55"/>
      <c r="I55"/>
      <c r="J55"/>
      <c r="K55"/>
      <c r="L55"/>
      <c r="M55"/>
      <c r="N55"/>
      <c r="O55"/>
      <c r="P55"/>
      <c r="Q55"/>
    </row>
    <row r="56" spans="2:18" x14ac:dyDescent="0.3">
      <c r="B56" s="596"/>
      <c r="C56" s="531"/>
      <c r="D56"/>
      <c r="E56"/>
      <c r="F56"/>
      <c r="G56"/>
      <c r="H56"/>
      <c r="I56"/>
      <c r="J56"/>
      <c r="K56"/>
      <c r="L56"/>
      <c r="M56"/>
      <c r="N56"/>
      <c r="O56"/>
      <c r="P56"/>
      <c r="Q56"/>
    </row>
    <row r="57" spans="2:18" x14ac:dyDescent="0.3">
      <c r="B57" s="597" t="s">
        <v>812</v>
      </c>
      <c r="C57" s="531"/>
      <c r="D57"/>
      <c r="E57"/>
      <c r="F57"/>
      <c r="G57"/>
      <c r="H57"/>
      <c r="I57"/>
      <c r="J57"/>
      <c r="K57"/>
      <c r="L57"/>
      <c r="M57"/>
      <c r="N57"/>
      <c r="O57"/>
    </row>
    <row r="58" spans="2:18" x14ac:dyDescent="0.3">
      <c r="B58" s="597"/>
      <c r="C58" s="524"/>
      <c r="D58"/>
      <c r="E58"/>
      <c r="F58"/>
      <c r="G58"/>
      <c r="H58"/>
      <c r="I58"/>
      <c r="J58"/>
      <c r="K58"/>
      <c r="L58"/>
      <c r="M58"/>
      <c r="N58"/>
      <c r="O58" s="889" t="s">
        <v>1467</v>
      </c>
    </row>
    <row r="59" spans="2:18" ht="28" x14ac:dyDescent="0.3">
      <c r="B59" s="827" t="s">
        <v>292</v>
      </c>
      <c r="C59" s="827" t="s">
        <v>151</v>
      </c>
      <c r="D59" s="827" t="s">
        <v>152</v>
      </c>
      <c r="E59" s="827" t="s">
        <v>153</v>
      </c>
      <c r="F59" s="827" t="s">
        <v>154</v>
      </c>
      <c r="G59" s="827" t="s">
        <v>155</v>
      </c>
      <c r="H59" s="827" t="s">
        <v>156</v>
      </c>
      <c r="I59" s="827" t="s">
        <v>157</v>
      </c>
      <c r="J59" s="827" t="s">
        <v>158</v>
      </c>
      <c r="K59" s="827" t="s">
        <v>159</v>
      </c>
      <c r="L59" s="827" t="s">
        <v>160</v>
      </c>
      <c r="M59" s="827" t="s">
        <v>161</v>
      </c>
      <c r="N59" s="827" t="s">
        <v>162</v>
      </c>
      <c r="O59" s="827" t="s">
        <v>145</v>
      </c>
    </row>
    <row r="60" spans="2:18" x14ac:dyDescent="0.3">
      <c r="B60" s="458" t="s">
        <v>293</v>
      </c>
      <c r="C60" s="428"/>
      <c r="D60" s="359"/>
      <c r="E60" s="359"/>
      <c r="F60" s="359"/>
      <c r="G60" s="359"/>
      <c r="H60" s="359"/>
      <c r="I60" s="359"/>
      <c r="J60" s="359"/>
      <c r="K60" s="359"/>
      <c r="L60" s="359"/>
      <c r="M60" s="359"/>
      <c r="N60" s="359"/>
      <c r="O60" s="359"/>
    </row>
    <row r="61" spans="2:18" x14ac:dyDescent="0.3">
      <c r="B61" s="344"/>
      <c r="C61" s="428"/>
      <c r="D61" s="359"/>
      <c r="E61" s="359"/>
      <c r="F61" s="359"/>
      <c r="G61" s="359"/>
      <c r="H61" s="359"/>
      <c r="I61" s="359"/>
      <c r="J61" s="359"/>
      <c r="K61" s="359"/>
      <c r="L61" s="359"/>
      <c r="M61" s="359"/>
      <c r="N61" s="359"/>
      <c r="O61" s="359"/>
    </row>
    <row r="62" spans="2:18" x14ac:dyDescent="0.3">
      <c r="B62" s="344" t="s">
        <v>953</v>
      </c>
      <c r="C62" s="359">
        <f ca="1">'F1'!C66*(1+wheeling!$C$32)</f>
        <v>14.709639825859071</v>
      </c>
      <c r="D62" s="359">
        <f ca="1">'F1'!D66*(1+wheeling!$C$32)</f>
        <v>15.324485799683496</v>
      </c>
      <c r="E62" s="359">
        <f ca="1">'F1'!E66*(1+wheeling!$C$32)</f>
        <v>16.33520714488332</v>
      </c>
      <c r="F62" s="359">
        <f ca="1">'F1'!F66*(1+wheeling!$C$32)</f>
        <v>15.883853923611115</v>
      </c>
      <c r="G62" s="359">
        <f ca="1">'F1'!G66*(1+wheeling!$C$32)</f>
        <v>15.92511303450871</v>
      </c>
      <c r="H62" s="359">
        <f ca="1">'F1'!H66*(1+wheeling!$C$32)</f>
        <v>15.579525395289487</v>
      </c>
      <c r="I62" s="359">
        <f ca="1">'F1'!I66*(1+wheeling!$C$32)</f>
        <v>14.533480112790672</v>
      </c>
      <c r="J62" s="359">
        <f ca="1">'F1'!J66*(1+wheeling!$C$32)</f>
        <v>15.086521832974457</v>
      </c>
      <c r="K62" s="359">
        <f ca="1">'F1'!K66*(1+wheeling!$C$32)</f>
        <v>15.045955209543227</v>
      </c>
      <c r="L62" s="359">
        <f ca="1">'F1'!L66*(1+wheeling!$C$32)</f>
        <v>14.800617514980633</v>
      </c>
      <c r="M62" s="359">
        <f ca="1">'F1'!M66*(1+wheeling!$C$32)</f>
        <v>14.160673166955474</v>
      </c>
      <c r="N62" s="359">
        <f ca="1">'F1'!N66*(1+wheeling!$C$32)</f>
        <v>13.432950725182554</v>
      </c>
      <c r="O62" s="359">
        <f t="shared" ref="O62:O68" ca="1" si="6">SUM(C62:N62)</f>
        <v>180.81802368626222</v>
      </c>
    </row>
    <row r="63" spans="2:18" x14ac:dyDescent="0.3">
      <c r="B63" s="344" t="s">
        <v>954</v>
      </c>
      <c r="C63" s="359">
        <f ca="1">'F1'!C67*(1+wheeling!$C$32)</f>
        <v>18.229234163332574</v>
      </c>
      <c r="D63" s="359">
        <f ca="1">'F1'!D67*(1+wheeling!$C$32)</f>
        <v>19.898076388886437</v>
      </c>
      <c r="E63" s="359">
        <f ca="1">'F1'!E67*(1+wheeling!$C$32)</f>
        <v>21.352733757488775</v>
      </c>
      <c r="F63" s="359">
        <f ca="1">'F1'!F67*(1+wheeling!$C$32)</f>
        <v>20.598685671757206</v>
      </c>
      <c r="G63" s="359">
        <f ca="1">'F1'!G67*(1+wheeling!$C$32)</f>
        <v>20.226731951355024</v>
      </c>
      <c r="H63" s="359">
        <f ca="1">'F1'!H67*(1+wheeling!$C$32)</f>
        <v>19.709068758723056</v>
      </c>
      <c r="I63" s="359">
        <f ca="1">'F1'!I67*(1+wheeling!$C$32)</f>
        <v>18.474667896302911</v>
      </c>
      <c r="J63" s="359">
        <f ca="1">'F1'!J67*(1+wheeling!$C$32)</f>
        <v>19.316232244754811</v>
      </c>
      <c r="K63" s="359">
        <f ca="1">'F1'!K67*(1+wheeling!$C$32)</f>
        <v>19.040940676282048</v>
      </c>
      <c r="L63" s="359">
        <f ca="1">'F1'!L67*(1+wheeling!$C$32)</f>
        <v>18.344528777295015</v>
      </c>
      <c r="M63" s="359">
        <f ca="1">'F1'!M67*(1+wheeling!$C$32)</f>
        <v>16.87633302599254</v>
      </c>
      <c r="N63" s="359">
        <f ca="1">'F1'!N67*(1+wheeling!$C$32)</f>
        <v>16.229250496945454</v>
      </c>
      <c r="O63" s="359">
        <f t="shared" ca="1" si="6"/>
        <v>228.2964838091159</v>
      </c>
    </row>
    <row r="64" spans="2:18" x14ac:dyDescent="0.3">
      <c r="B64" s="348" t="s">
        <v>955</v>
      </c>
      <c r="C64" s="359">
        <f ca="1">'F1'!C68*(1+wheeling!$C$32)</f>
        <v>2.3305771828309223</v>
      </c>
      <c r="D64" s="359">
        <f ca="1">'F1'!D68*(1+wheeling!$C$32)</f>
        <v>2.656155472529254</v>
      </c>
      <c r="E64" s="359">
        <f ca="1">'F1'!E68*(1+wheeling!$C$32)</f>
        <v>2.775181431365215</v>
      </c>
      <c r="F64" s="359">
        <f ca="1">'F1'!F68*(1+wheeling!$C$32)</f>
        <v>2.8068771387126858</v>
      </c>
      <c r="G64" s="359">
        <f ca="1">'F1'!G68*(1+wheeling!$C$32)</f>
        <v>2.7562760180680805</v>
      </c>
      <c r="H64" s="359">
        <f ca="1">'F1'!H68*(1+wheeling!$C$32)</f>
        <v>2.5963326428799718</v>
      </c>
      <c r="I64" s="359">
        <f ca="1">'F1'!I68*(1+wheeling!$C$32)</f>
        <v>2.4749451501441069</v>
      </c>
      <c r="J64" s="359">
        <f ca="1">'F1'!J68*(1+wheeling!$C$32)</f>
        <v>2.6386592964994429</v>
      </c>
      <c r="K64" s="359">
        <f ca="1">'F1'!K68*(1+wheeling!$C$32)</f>
        <v>2.5578596567375711</v>
      </c>
      <c r="L64" s="359">
        <f ca="1">'F1'!L68*(1+wheeling!$C$32)</f>
        <v>2.4492826766641991</v>
      </c>
      <c r="M64" s="359">
        <f ca="1">'F1'!M68*(1+wheeling!$C$32)</f>
        <v>2.1593487892675438</v>
      </c>
      <c r="N64" s="359">
        <f ca="1">'F1'!N68*(1+wheeling!$C$32)</f>
        <v>2.1533661019303727</v>
      </c>
      <c r="O64" s="359">
        <f t="shared" ca="1" si="6"/>
        <v>30.354861557629366</v>
      </c>
    </row>
    <row r="65" spans="2:15" x14ac:dyDescent="0.3">
      <c r="B65" s="348" t="s">
        <v>956</v>
      </c>
      <c r="C65" s="359">
        <f ca="1">'F1'!C70*(1+wheeling!$C$32)</f>
        <v>0.17705438665633474</v>
      </c>
      <c r="D65" s="359">
        <f ca="1">'F1'!D70*(1+wheeling!$C$32)</f>
        <v>0.19341528761354682</v>
      </c>
      <c r="E65" s="359">
        <f ca="1">'F1'!E70*(1+wheeling!$C$32)</f>
        <v>0.21621581654267197</v>
      </c>
      <c r="F65" s="359">
        <f ca="1">'F1'!F70*(1+wheeling!$C$32)</f>
        <v>0.19767332733375054</v>
      </c>
      <c r="G65" s="359">
        <f ca="1">'F1'!G70*(1+wheeling!$C$32)</f>
        <v>0.17506487522011419</v>
      </c>
      <c r="H65" s="359">
        <f ca="1">'F1'!H70*(1+wheeling!$C$32)</f>
        <v>0.17325733129330409</v>
      </c>
      <c r="I65" s="359">
        <f ca="1">'F1'!I70*(1+wheeling!$C$32)</f>
        <v>0.17593831926528419</v>
      </c>
      <c r="J65" s="359">
        <f ca="1">'F1'!J70*(1+wheeling!$C$32)</f>
        <v>0.18557450981917356</v>
      </c>
      <c r="K65" s="359">
        <f ca="1">'F1'!K70*(1+wheeling!$C$32)</f>
        <v>0.18968090994820194</v>
      </c>
      <c r="L65" s="359">
        <f ca="1">'F1'!L70*(1+wheeling!$C$32)</f>
        <v>0.19531381529506217</v>
      </c>
      <c r="M65" s="359">
        <f ca="1">'F1'!M70*(1+wheeling!$C$32)</f>
        <v>0.18304920516080014</v>
      </c>
      <c r="N65" s="359">
        <f ca="1">'F1'!N70*(1+wheeling!$C$32)</f>
        <v>0.18155504972241904</v>
      </c>
      <c r="O65" s="359">
        <f t="shared" ca="1" si="6"/>
        <v>2.2437928338706632</v>
      </c>
    </row>
    <row r="66" spans="2:15" x14ac:dyDescent="0.3">
      <c r="B66" s="594" t="s">
        <v>957</v>
      </c>
      <c r="C66" s="359">
        <f ca="1">'F1'!C71*(1+wheeling!$C$32)</f>
        <v>2.0224778833420687</v>
      </c>
      <c r="D66" s="359">
        <f ca="1">'F1'!D71*(1+wheeling!$C$32)</f>
        <v>2.2843089107715002</v>
      </c>
      <c r="E66" s="359">
        <f ca="1">'F1'!E71*(1+wheeling!$C$32)</f>
        <v>2.5072797656357304</v>
      </c>
      <c r="F66" s="359">
        <f ca="1">'F1'!F71*(1+wheeling!$C$32)</f>
        <v>2.4434394977509091</v>
      </c>
      <c r="G66" s="359">
        <f ca="1">'F1'!G71*(1+wheeling!$C$32)</f>
        <v>2.3987866928028088</v>
      </c>
      <c r="H66" s="359">
        <f ca="1">'F1'!H71*(1+wheeling!$C$32)</f>
        <v>2.307297472793683</v>
      </c>
      <c r="I66" s="359">
        <f ca="1">'F1'!I71*(1+wheeling!$C$32)</f>
        <v>2.1247132957124872</v>
      </c>
      <c r="J66" s="359">
        <f ca="1">'F1'!J71*(1+wheeling!$C$32)</f>
        <v>2.2096617946889165</v>
      </c>
      <c r="K66" s="359">
        <f ca="1">'F1'!K71*(1+wheeling!$C$32)</f>
        <v>2.1587412199722351</v>
      </c>
      <c r="L66" s="359">
        <f ca="1">'F1'!L71*(1+wheeling!$C$32)</f>
        <v>2.0340024922713948</v>
      </c>
      <c r="M66" s="359">
        <f ca="1">'F1'!M71*(1+wheeling!$C$32)</f>
        <v>1.8282073484342927</v>
      </c>
      <c r="N66" s="359">
        <f ca="1">'F1'!N71*(1+wheeling!$C$32)</f>
        <v>1.8069171498332739</v>
      </c>
      <c r="O66" s="359">
        <f t="shared" ca="1" si="6"/>
        <v>26.125833524009302</v>
      </c>
    </row>
    <row r="67" spans="2:15" x14ac:dyDescent="0.3">
      <c r="B67" s="594" t="s">
        <v>958</v>
      </c>
      <c r="C67" s="359">
        <f ca="1">'F1'!C72*(1+wheeling!$C$32)</f>
        <v>12.728560561838481</v>
      </c>
      <c r="D67" s="359">
        <f ca="1">'F1'!D72*(1+wheeling!$C$32)</f>
        <v>13.955774718567522</v>
      </c>
      <c r="E67" s="359">
        <f ca="1">'F1'!E72*(1+wheeling!$C$32)</f>
        <v>14.90178437369857</v>
      </c>
      <c r="F67" s="359">
        <f ca="1">'F1'!F72*(1+wheeling!$C$32)</f>
        <v>14.846098272096549</v>
      </c>
      <c r="G67" s="359">
        <f ca="1">'F1'!G72*(1+wheeling!$C$32)</f>
        <v>15.140181018707763</v>
      </c>
      <c r="H67" s="359">
        <f ca="1">'F1'!H72*(1+wheeling!$C$32)</f>
        <v>14.152855640565081</v>
      </c>
      <c r="I67" s="359">
        <f ca="1">'F1'!I72*(1+wheeling!$C$32)</f>
        <v>12.943256949677577</v>
      </c>
      <c r="J67" s="359">
        <f ca="1">'F1'!J72*(1+wheeling!$C$32)</f>
        <v>13.644272626652695</v>
      </c>
      <c r="K67" s="359">
        <f ca="1">'F1'!K72*(1+wheeling!$C$32)</f>
        <v>13.37926222246162</v>
      </c>
      <c r="L67" s="359">
        <f ca="1">'F1'!L72*(1+wheeling!$C$32)</f>
        <v>13.166400673675746</v>
      </c>
      <c r="M67" s="359">
        <f ca="1">'F1'!M72*(1+wheeling!$C$32)</f>
        <v>11.769046895647966</v>
      </c>
      <c r="N67" s="359">
        <f ca="1">'F1'!N72*(1+wheeling!$C$32)</f>
        <v>10.986071030573182</v>
      </c>
      <c r="O67" s="359">
        <f t="shared" ca="1" si="6"/>
        <v>161.61356498416274</v>
      </c>
    </row>
    <row r="68" spans="2:15" x14ac:dyDescent="0.3">
      <c r="B68" s="594" t="s">
        <v>959</v>
      </c>
      <c r="C68" s="359">
        <f ca="1">'F1'!C73*(1+wheeling!$C$32)</f>
        <v>1.1298241347619788</v>
      </c>
      <c r="D68" s="359">
        <f ca="1">'F1'!D73*(1+wheeling!$C$32)</f>
        <v>1.1844649341154956</v>
      </c>
      <c r="E68" s="359">
        <f ca="1">'F1'!E73*(1+wheeling!$C$32)</f>
        <v>1.457424285675982</v>
      </c>
      <c r="F68" s="359">
        <f ca="1">'F1'!F73*(1+wheeling!$C$32)</f>
        <v>1.7929723730287892</v>
      </c>
      <c r="G68" s="359">
        <f ca="1">'F1'!G73*(1+wheeling!$C$32)</f>
        <v>1.5929051620156838</v>
      </c>
      <c r="H68" s="359">
        <f ca="1">'F1'!H73*(1+wheeling!$C$32)</f>
        <v>2.0775715796078957</v>
      </c>
      <c r="I68" s="359">
        <f ca="1">'F1'!I73*(1+wheeling!$C$32)</f>
        <v>1.9534555851614821</v>
      </c>
      <c r="J68" s="359">
        <f ca="1">'F1'!J73*(1+wheeling!$C$32)</f>
        <v>2.41228463827863</v>
      </c>
      <c r="K68" s="359">
        <f ca="1">'F1'!K73*(1+wheeling!$C$32)</f>
        <v>1.9649458224501419</v>
      </c>
      <c r="L68" s="359">
        <f ca="1">'F1'!L73*(1+wheeling!$C$32)</f>
        <v>2.117394158111757</v>
      </c>
      <c r="M68" s="359">
        <f ca="1">'F1'!M73*(1+wheeling!$C$32)</f>
        <v>1.7849152560843391</v>
      </c>
      <c r="N68" s="359">
        <f ca="1">'F1'!N73*(1+wheeling!$C$32)</f>
        <v>1.5741402680730385</v>
      </c>
      <c r="O68" s="359">
        <f t="shared" ca="1" si="6"/>
        <v>21.042298197365213</v>
      </c>
    </row>
    <row r="69" spans="2:15" x14ac:dyDescent="0.3">
      <c r="B69" s="594"/>
      <c r="C69" s="359"/>
      <c r="D69" s="359"/>
      <c r="E69" s="359"/>
      <c r="F69" s="359"/>
      <c r="G69" s="359"/>
      <c r="H69" s="359"/>
      <c r="I69" s="359"/>
      <c r="J69" s="359"/>
      <c r="K69" s="359"/>
      <c r="L69" s="359"/>
      <c r="M69" s="359"/>
      <c r="N69" s="359"/>
      <c r="O69" s="359"/>
    </row>
    <row r="70" spans="2:15" x14ac:dyDescent="0.3">
      <c r="B70" s="434" t="s">
        <v>416</v>
      </c>
      <c r="C70" s="361">
        <f ca="1">SUM(C62:C68)</f>
        <v>51.327368138621445</v>
      </c>
      <c r="D70" s="361">
        <f t="shared" ref="D70" ca="1" si="7">SUM(D62:D68)</f>
        <v>55.496681512167257</v>
      </c>
      <c r="E70" s="361">
        <f t="shared" ref="E70:N70" ca="1" si="8">SUM(E62:E68)</f>
        <v>59.545826575290256</v>
      </c>
      <c r="F70" s="361">
        <f t="shared" ca="1" si="8"/>
        <v>58.569600204291007</v>
      </c>
      <c r="G70" s="361">
        <f t="shared" ca="1" si="8"/>
        <v>58.215058752678182</v>
      </c>
      <c r="H70" s="361">
        <f t="shared" ca="1" si="8"/>
        <v>56.595908821152484</v>
      </c>
      <c r="I70" s="361">
        <f t="shared" ca="1" si="8"/>
        <v>52.680457309054525</v>
      </c>
      <c r="J70" s="361">
        <f t="shared" ca="1" si="8"/>
        <v>55.493206943668127</v>
      </c>
      <c r="K70" s="361">
        <f t="shared" ca="1" si="8"/>
        <v>54.337385717395037</v>
      </c>
      <c r="L70" s="361">
        <f t="shared" ca="1" si="8"/>
        <v>53.107540108293804</v>
      </c>
      <c r="M70" s="361">
        <f t="shared" ca="1" si="8"/>
        <v>48.761573687542956</v>
      </c>
      <c r="N70" s="361">
        <f t="shared" ca="1" si="8"/>
        <v>46.364250822260288</v>
      </c>
      <c r="O70" s="361">
        <f ca="1">SUM(C70:N70)</f>
        <v>650.49485859241543</v>
      </c>
    </row>
    <row r="71" spans="2:15" x14ac:dyDescent="0.3">
      <c r="B71" s="594"/>
      <c r="C71" s="359"/>
      <c r="D71" s="359"/>
      <c r="E71" s="359"/>
      <c r="F71" s="359"/>
      <c r="G71" s="359"/>
      <c r="H71" s="359"/>
      <c r="I71" s="359"/>
      <c r="J71" s="359"/>
      <c r="K71" s="359"/>
      <c r="L71" s="359"/>
      <c r="M71" s="359"/>
      <c r="N71" s="359"/>
      <c r="O71" s="359"/>
    </row>
    <row r="72" spans="2:15" x14ac:dyDescent="0.3">
      <c r="B72" s="344" t="s">
        <v>294</v>
      </c>
      <c r="C72" s="359"/>
      <c r="D72" s="359"/>
      <c r="E72" s="359"/>
      <c r="F72" s="359"/>
      <c r="G72" s="359"/>
      <c r="H72" s="359"/>
      <c r="I72" s="359"/>
      <c r="J72" s="359"/>
      <c r="K72" s="359"/>
      <c r="L72" s="359"/>
      <c r="M72" s="359"/>
      <c r="N72" s="359"/>
      <c r="O72" s="359"/>
    </row>
    <row r="73" spans="2:15" x14ac:dyDescent="0.3">
      <c r="B73" s="344" t="s">
        <v>960</v>
      </c>
      <c r="C73" s="359">
        <f ca="1">'F1'!C78*(1+wheeling!$C$33)</f>
        <v>1.5662296933223762E-3</v>
      </c>
      <c r="D73" s="359">
        <f ca="1">'F1'!D78*(1+wheeling!$C$33)</f>
        <v>2.8654404429718674E-3</v>
      </c>
      <c r="E73" s="359">
        <f ca="1">'F1'!E78*(1+wheeling!$C$33)</f>
        <v>2.4274449424807718E-3</v>
      </c>
      <c r="F73" s="359">
        <f ca="1">'F1'!F78*(1+wheeling!$C$33)</f>
        <v>2.2976294086002784E-3</v>
      </c>
      <c r="G73" s="359">
        <f ca="1">'F1'!G78*(1+wheeling!$C$33)</f>
        <v>2.8971027683085734E-3</v>
      </c>
      <c r="H73" s="359">
        <f ca="1">'F1'!H78*(1+wheeling!$C$33)</f>
        <v>2.7894508621637737E-3</v>
      </c>
      <c r="I73" s="359">
        <f ca="1">'F1'!I78*(1+wheeling!$C$33)</f>
        <v>3.127182332421968E-3</v>
      </c>
      <c r="J73" s="359">
        <f ca="1">'F1'!J78*(1+wheeling!$C$33)</f>
        <v>4.0559438756320029E-3</v>
      </c>
      <c r="K73" s="359">
        <f ca="1">'F1'!K78*(1+wheeling!$C$33)</f>
        <v>4.2585827577869195E-3</v>
      </c>
      <c r="L73" s="359">
        <f ca="1">'F1'!L78*(1+wheeling!$C$33)</f>
        <v>2.9688707057384397E-3</v>
      </c>
      <c r="M73" s="359">
        <f ca="1">'F1'!M78*(1+wheeling!$C$33)</f>
        <v>2.025333410704609E-3</v>
      </c>
      <c r="N73" s="359">
        <f ca="1">'F1'!N78*(1+wheeling!$C$33)</f>
        <v>2.7409019633141585E-3</v>
      </c>
      <c r="O73" s="359">
        <f t="shared" ref="O73:O88" ca="1" si="9">SUM(C73:N73)</f>
        <v>3.4020113163445741E-2</v>
      </c>
    </row>
    <row r="74" spans="2:15" x14ac:dyDescent="0.3">
      <c r="B74" s="344" t="s">
        <v>961</v>
      </c>
      <c r="C74" s="359">
        <f ca="1">'F1'!C79*(1+wheeling!$C$33)</f>
        <v>0</v>
      </c>
      <c r="D74" s="359">
        <f ca="1">'F1'!D79*(1+wheeling!$C$33)</f>
        <v>0</v>
      </c>
      <c r="E74" s="359">
        <f ca="1">'F1'!E79*(1+wheeling!$C$33)</f>
        <v>0</v>
      </c>
      <c r="F74" s="359">
        <f ca="1">'F1'!F79*(1+wheeling!$C$33)</f>
        <v>0</v>
      </c>
      <c r="G74" s="359">
        <f ca="1">'F1'!G79*(1+wheeling!$C$33)</f>
        <v>0</v>
      </c>
      <c r="H74" s="359">
        <f ca="1">'F1'!H79*(1+wheeling!$C$33)</f>
        <v>0</v>
      </c>
      <c r="I74" s="359">
        <f ca="1">'F1'!I79*(1+wheeling!$C$33)</f>
        <v>0</v>
      </c>
      <c r="J74" s="359">
        <f ca="1">'F1'!J79*(1+wheeling!$C$33)</f>
        <v>0</v>
      </c>
      <c r="K74" s="359">
        <f ca="1">'F1'!K79*(1+wheeling!$C$33)</f>
        <v>0</v>
      </c>
      <c r="L74" s="359">
        <f ca="1">'F1'!L79*(1+wheeling!$C$33)</f>
        <v>0</v>
      </c>
      <c r="M74" s="359">
        <f ca="1">'F1'!M79*(1+wheeling!$C$33)</f>
        <v>0</v>
      </c>
      <c r="N74" s="359">
        <f ca="1">'F1'!N79*(1+wheeling!$C$33)</f>
        <v>0</v>
      </c>
      <c r="O74" s="359">
        <f t="shared" ca="1" si="9"/>
        <v>0</v>
      </c>
    </row>
    <row r="75" spans="2:15" x14ac:dyDescent="0.3">
      <c r="B75" s="594" t="s">
        <v>900</v>
      </c>
      <c r="C75" s="359">
        <f ca="1">'F1'!C80*(1+wheeling!$C$33)</f>
        <v>64.698826199938949</v>
      </c>
      <c r="D75" s="359">
        <f ca="1">'F1'!D80*(1+wheeling!$C$33)</f>
        <v>67.383868433483258</v>
      </c>
      <c r="E75" s="359">
        <f ca="1">'F1'!E80*(1+wheeling!$C$33)</f>
        <v>66.909238567166753</v>
      </c>
      <c r="F75" s="359">
        <f ca="1">'F1'!F80*(1+wheeling!$C$33)</f>
        <v>66.987850843923567</v>
      </c>
      <c r="G75" s="359">
        <f ca="1">'F1'!G80*(1+wheeling!$C$33)</f>
        <v>67.183226388646247</v>
      </c>
      <c r="H75" s="359">
        <f ca="1">'F1'!H80*(1+wheeling!$C$33)</f>
        <v>67.207107169826031</v>
      </c>
      <c r="I75" s="359">
        <f ca="1">'F1'!I80*(1+wheeling!$C$33)</f>
        <v>66.260387811095853</v>
      </c>
      <c r="J75" s="359">
        <f ca="1">'F1'!J80*(1+wheeling!$C$33)</f>
        <v>67.190477061148343</v>
      </c>
      <c r="K75" s="359">
        <f ca="1">'F1'!K80*(1+wheeling!$C$33)</f>
        <v>66.083039739009052</v>
      </c>
      <c r="L75" s="359">
        <f ca="1">'F1'!L80*(1+wheeling!$C$33)</f>
        <v>64.965916911549272</v>
      </c>
      <c r="M75" s="359">
        <f ca="1">'F1'!M80*(1+wheeling!$C$33)</f>
        <v>61.537658582911419</v>
      </c>
      <c r="N75" s="359">
        <f ca="1">'F1'!N80*(1+wheeling!$C$33)</f>
        <v>65.25990371312227</v>
      </c>
      <c r="O75" s="359">
        <f t="shared" ca="1" si="9"/>
        <v>791.66750142182093</v>
      </c>
    </row>
    <row r="76" spans="2:15" x14ac:dyDescent="0.3">
      <c r="B76" s="594" t="s">
        <v>901</v>
      </c>
      <c r="C76" s="359">
        <f ca="1">'F1'!C81*(1+wheeling!$C$33)</f>
        <v>52.607499194343191</v>
      </c>
      <c r="D76" s="359">
        <f ca="1">'F1'!D81*(1+wheeling!$C$33)</f>
        <v>71.715755806889717</v>
      </c>
      <c r="E76" s="359">
        <f ca="1">'F1'!E81*(1+wheeling!$C$33)</f>
        <v>74.201515364764788</v>
      </c>
      <c r="F76" s="359">
        <f ca="1">'F1'!F81*(1+wheeling!$C$33)</f>
        <v>69.085675148486558</v>
      </c>
      <c r="G76" s="359">
        <f ca="1">'F1'!G81*(1+wheeling!$C$33)</f>
        <v>66.343328327726198</v>
      </c>
      <c r="H76" s="359">
        <f ca="1">'F1'!H81*(1+wheeling!$C$33)</f>
        <v>66.772833047972838</v>
      </c>
      <c r="I76" s="359">
        <f ca="1">'F1'!I81*(1+wheeling!$C$33)</f>
        <v>61.902110944932105</v>
      </c>
      <c r="J76" s="359">
        <f ca="1">'F1'!J81*(1+wheeling!$C$33)</f>
        <v>68.74074788709018</v>
      </c>
      <c r="K76" s="359">
        <f ca="1">'F1'!K81*(1+wheeling!$C$33)</f>
        <v>61.133181875432598</v>
      </c>
      <c r="L76" s="359">
        <f ca="1">'F1'!L81*(1+wheeling!$C$33)</f>
        <v>52.661440187197641</v>
      </c>
      <c r="M76" s="359">
        <f ca="1">'F1'!M81*(1+wheeling!$C$33)</f>
        <v>39.567733565751467</v>
      </c>
      <c r="N76" s="359">
        <f ca="1">'F1'!N81*(1+wheeling!$C$33)</f>
        <v>53.600514149769843</v>
      </c>
      <c r="O76" s="359">
        <f t="shared" ca="1" si="9"/>
        <v>738.33233550035709</v>
      </c>
    </row>
    <row r="77" spans="2:15" x14ac:dyDescent="0.3">
      <c r="B77" s="594" t="s">
        <v>902</v>
      </c>
      <c r="C77" s="359">
        <f ca="1">'F1'!C82*(1+wheeling!$C$33)</f>
        <v>13.999740947529526</v>
      </c>
      <c r="D77" s="359">
        <f ca="1">'F1'!D82*(1+wheeling!$C$33)</f>
        <v>26.464191570644861</v>
      </c>
      <c r="E77" s="359">
        <f ca="1">'F1'!E82*(1+wheeling!$C$33)</f>
        <v>30.496529071916658</v>
      </c>
      <c r="F77" s="359">
        <f ca="1">'F1'!F82*(1+wheeling!$C$33)</f>
        <v>23.864447641557646</v>
      </c>
      <c r="G77" s="359">
        <f ca="1">'F1'!G82*(1+wheeling!$C$33)</f>
        <v>19.874053222659384</v>
      </c>
      <c r="H77" s="359">
        <f ca="1">'F1'!H82*(1+wheeling!$C$33)</f>
        <v>20.27844022021641</v>
      </c>
      <c r="I77" s="359">
        <f ca="1">'F1'!I82*(1+wheeling!$C$33)</f>
        <v>17.97406145926519</v>
      </c>
      <c r="J77" s="359">
        <f ca="1">'F1'!J82*(1+wheeling!$C$33)</f>
        <v>21.803495170260089</v>
      </c>
      <c r="K77" s="359">
        <f ca="1">'F1'!K82*(1+wheeling!$C$33)</f>
        <v>18.182235971299807</v>
      </c>
      <c r="L77" s="359">
        <f ca="1">'F1'!L82*(1+wheeling!$C$33)</f>
        <v>13.569885830882496</v>
      </c>
      <c r="M77" s="359">
        <f ca="1">'F1'!M82*(1+wheeling!$C$33)</f>
        <v>8.920540374130935</v>
      </c>
      <c r="N77" s="359">
        <f ca="1">'F1'!N82*(1+wheeling!$C$33)</f>
        <v>13.875375555250326</v>
      </c>
      <c r="O77" s="359">
        <f t="shared" ca="1" si="9"/>
        <v>229.30299703561329</v>
      </c>
    </row>
    <row r="78" spans="2:15" x14ac:dyDescent="0.3">
      <c r="B78" s="594" t="s">
        <v>903</v>
      </c>
      <c r="C78" s="359">
        <f ca="1">'F1'!C83*(1+wheeling!$C$33)</f>
        <v>25.053983262473324</v>
      </c>
      <c r="D78" s="359">
        <f ca="1">'F1'!D83*(1+wheeling!$C$33)</f>
        <v>41.914989447673655</v>
      </c>
      <c r="E78" s="359">
        <f ca="1">'F1'!E83*(1+wheeling!$C$33)</f>
        <v>47.912940992421653</v>
      </c>
      <c r="F78" s="359">
        <f ca="1">'F1'!F83*(1+wheeling!$C$33)</f>
        <v>37.327276818011676</v>
      </c>
      <c r="G78" s="359">
        <f ca="1">'F1'!G83*(1+wheeling!$C$33)</f>
        <v>33.1177221155978</v>
      </c>
      <c r="H78" s="359">
        <f ca="1">'F1'!H83*(1+wheeling!$C$33)</f>
        <v>34.349055172190468</v>
      </c>
      <c r="I78" s="359">
        <f ca="1">'F1'!I83*(1+wheeling!$C$33)</f>
        <v>30.172560159071487</v>
      </c>
      <c r="J78" s="359">
        <f ca="1">'F1'!J83*(1+wheeling!$C$33)</f>
        <v>35.554882114902725</v>
      </c>
      <c r="K78" s="359">
        <f ca="1">'F1'!K83*(1+wheeling!$C$33)</f>
        <v>30.683196421760897</v>
      </c>
      <c r="L78" s="359">
        <f ca="1">'F1'!L83*(1+wheeling!$C$33)</f>
        <v>26.145291796086095</v>
      </c>
      <c r="M78" s="359">
        <f ca="1">'F1'!M83*(1+wheeling!$C$33)</f>
        <v>20.535322998138174</v>
      </c>
      <c r="N78" s="359">
        <f ca="1">'F1'!N83*(1+wheeling!$C$33)</f>
        <v>25.370166409518202</v>
      </c>
      <c r="O78" s="359">
        <f t="shared" ca="1" si="9"/>
        <v>388.13738770784619</v>
      </c>
    </row>
    <row r="79" spans="2:15" x14ac:dyDescent="0.3">
      <c r="B79" s="344" t="s">
        <v>962</v>
      </c>
      <c r="C79" s="359">
        <f ca="1">'F1'!C84*(1+wheeling!$C$33)</f>
        <v>71.289243176387387</v>
      </c>
      <c r="D79" s="359">
        <f ca="1">'F1'!D84*(1+wheeling!$C$33)</f>
        <v>88.122905777426951</v>
      </c>
      <c r="E79" s="359">
        <f ca="1">'F1'!E84*(1+wheeling!$C$33)</f>
        <v>90.509755397182687</v>
      </c>
      <c r="F79" s="359">
        <f ca="1">'F1'!F84*(1+wheeling!$C$33)</f>
        <v>80.192159244825078</v>
      </c>
      <c r="G79" s="359">
        <f ca="1">'F1'!G84*(1+wheeling!$C$33)</f>
        <v>78.829215400505333</v>
      </c>
      <c r="H79" s="359">
        <f ca="1">'F1'!H84*(1+wheeling!$C$33)</f>
        <v>78.987086920866673</v>
      </c>
      <c r="I79" s="359">
        <f ca="1">'F1'!I84*(1+wheeling!$C$33)</f>
        <v>76.450004844442503</v>
      </c>
      <c r="J79" s="359">
        <f ca="1">'F1'!J84*(1+wheeling!$C$33)</f>
        <v>83.543751474303477</v>
      </c>
      <c r="K79" s="359">
        <f ca="1">'F1'!K84*(1+wheeling!$C$33)</f>
        <v>76.602625695852183</v>
      </c>
      <c r="L79" s="359">
        <f ca="1">'F1'!L84*(1+wheeling!$C$33)</f>
        <v>72.788511273266025</v>
      </c>
      <c r="M79" s="359">
        <f ca="1">'F1'!M84*(1+wheeling!$C$33)</f>
        <v>63.414366927663835</v>
      </c>
      <c r="N79" s="359">
        <f ca="1">'F1'!N84*(1+wheeling!$C$33)</f>
        <v>74.086119909253469</v>
      </c>
      <c r="O79" s="359">
        <f t="shared" ca="1" si="9"/>
        <v>934.81574604197579</v>
      </c>
    </row>
    <row r="80" spans="2:15" x14ac:dyDescent="0.3">
      <c r="B80" s="344" t="s">
        <v>963</v>
      </c>
      <c r="C80" s="359">
        <f ca="1">'F1'!C85*(1+wheeling!$C$33)</f>
        <v>17.640642397717855</v>
      </c>
      <c r="D80" s="359">
        <f ca="1">'F1'!D85*(1+wheeling!$C$33)</f>
        <v>19.658416955953747</v>
      </c>
      <c r="E80" s="359">
        <f ca="1">'F1'!E85*(1+wheeling!$C$33)</f>
        <v>21.01552543371394</v>
      </c>
      <c r="F80" s="359">
        <f ca="1">'F1'!F85*(1+wheeling!$C$33)</f>
        <v>20.187057472240458</v>
      </c>
      <c r="G80" s="359">
        <f ca="1">'F1'!G85*(1+wheeling!$C$33)</f>
        <v>19.230993505892577</v>
      </c>
      <c r="H80" s="359">
        <f ca="1">'F1'!H85*(1+wheeling!$C$33)</f>
        <v>18.591376539300718</v>
      </c>
      <c r="I80" s="359">
        <f ca="1">'F1'!I85*(1+wheeling!$C$33)</f>
        <v>17.17722099457054</v>
      </c>
      <c r="J80" s="359">
        <f ca="1">'F1'!J85*(1+wheeling!$C$33)</f>
        <v>18.777100351849921</v>
      </c>
      <c r="K80" s="359">
        <f ca="1">'F1'!K85*(1+wheeling!$C$33)</f>
        <v>18.850628714568508</v>
      </c>
      <c r="L80" s="359">
        <f ca="1">'F1'!L85*(1+wheeling!$C$33)</f>
        <v>17.934098327636047</v>
      </c>
      <c r="M80" s="359">
        <f ca="1">'F1'!M85*(1+wheeling!$C$33)</f>
        <v>15.908731143784411</v>
      </c>
      <c r="N80" s="359">
        <f ca="1">'F1'!N85*(1+wheeling!$C$33)</f>
        <v>15.868699410450368</v>
      </c>
      <c r="O80" s="359">
        <f t="shared" ca="1" si="9"/>
        <v>220.8404912476791</v>
      </c>
    </row>
    <row r="81" spans="2:15" x14ac:dyDescent="0.3">
      <c r="B81" s="344" t="s">
        <v>964</v>
      </c>
      <c r="C81" s="359">
        <f ca="1">'F1'!C86*(1+wheeling!$C$33)</f>
        <v>30.735380155559167</v>
      </c>
      <c r="D81" s="359">
        <f ca="1">'F1'!D86*(1+wheeling!$C$33)</f>
        <v>34.056571275660112</v>
      </c>
      <c r="E81" s="359">
        <f ca="1">'F1'!E86*(1+wheeling!$C$33)</f>
        <v>37.187671293137072</v>
      </c>
      <c r="F81" s="359">
        <f ca="1">'F1'!F86*(1+wheeling!$C$33)</f>
        <v>36.144525378004808</v>
      </c>
      <c r="G81" s="359">
        <f ca="1">'F1'!G86*(1+wheeling!$C$33)</f>
        <v>34.302777517478333</v>
      </c>
      <c r="H81" s="359">
        <f ca="1">'F1'!H86*(1+wheeling!$C$33)</f>
        <v>33.013123513026308</v>
      </c>
      <c r="I81" s="359">
        <f ca="1">'F1'!I86*(1+wheeling!$C$33)</f>
        <v>30.411891454648266</v>
      </c>
      <c r="J81" s="359">
        <f ca="1">'F1'!J86*(1+wheeling!$C$33)</f>
        <v>32.983297602559126</v>
      </c>
      <c r="K81" s="359">
        <f ca="1">'F1'!K86*(1+wheeling!$C$33)</f>
        <v>32.895172907860321</v>
      </c>
      <c r="L81" s="359">
        <f ca="1">'F1'!L86*(1+wheeling!$C$33)</f>
        <v>31.645570689548379</v>
      </c>
      <c r="M81" s="359">
        <f ca="1">'F1'!M86*(1+wheeling!$C$33)</f>
        <v>28.386501051758053</v>
      </c>
      <c r="N81" s="359">
        <f ca="1">'F1'!N86*(1+wheeling!$C$33)</f>
        <v>28.113828272190876</v>
      </c>
      <c r="O81" s="359">
        <f t="shared" ca="1" si="9"/>
        <v>389.87631111143082</v>
      </c>
    </row>
    <row r="82" spans="2:15" x14ac:dyDescent="0.3">
      <c r="B82" s="344" t="s">
        <v>965</v>
      </c>
      <c r="C82" s="359">
        <f ca="1">'F1'!C87*(1+wheeling!$C$33)</f>
        <v>3.9000153666354831</v>
      </c>
      <c r="D82" s="359">
        <f ca="1">'F1'!D87*(1+wheeling!$C$33)</f>
        <v>4.4258252710370884</v>
      </c>
      <c r="E82" s="359">
        <f ca="1">'F1'!E87*(1+wheeling!$C$33)</f>
        <v>4.3223728446427803</v>
      </c>
      <c r="F82" s="359">
        <f ca="1">'F1'!F87*(1+wheeling!$C$33)</f>
        <v>4.0172915642717966</v>
      </c>
      <c r="G82" s="359">
        <f ca="1">'F1'!G87*(1+wheeling!$C$33)</f>
        <v>4.2062291028426761</v>
      </c>
      <c r="H82" s="359">
        <f ca="1">'F1'!H87*(1+wheeling!$C$33)</f>
        <v>4.1976771087692315</v>
      </c>
      <c r="I82" s="359">
        <f ca="1">'F1'!I87*(1+wheeling!$C$33)</f>
        <v>4.1305593115204831</v>
      </c>
      <c r="J82" s="359">
        <f ca="1">'F1'!J87*(1+wheeling!$C$33)</f>
        <v>4.261732103747077</v>
      </c>
      <c r="K82" s="359">
        <f ca="1">'F1'!K87*(1+wheeling!$C$33)</f>
        <v>4.0625560245731513</v>
      </c>
      <c r="L82" s="359">
        <f ca="1">'F1'!L87*(1+wheeling!$C$33)</f>
        <v>4.0804969535197735</v>
      </c>
      <c r="M82" s="359">
        <f ca="1">'F1'!M87*(1+wheeling!$C$33)</f>
        <v>3.7452309229944638</v>
      </c>
      <c r="N82" s="359">
        <f ca="1">'F1'!N87*(1+wheeling!$C$33)</f>
        <v>4.1250458452685184</v>
      </c>
      <c r="O82" s="359">
        <f t="shared" ca="1" si="9"/>
        <v>49.475032419822526</v>
      </c>
    </row>
    <row r="83" spans="2:15" x14ac:dyDescent="0.3">
      <c r="B83" s="344" t="s">
        <v>966</v>
      </c>
      <c r="C83" s="359">
        <f ca="1">'F1'!C88*(1+wheeling!$C$33)</f>
        <v>7.6972252737243725</v>
      </c>
      <c r="D83" s="359">
        <f ca="1">'F1'!D88*(1+wheeling!$C$33)</f>
        <v>7.8774968338505955</v>
      </c>
      <c r="E83" s="359">
        <f ca="1">'F1'!E88*(1+wheeling!$C$33)</f>
        <v>7.9284066867594847</v>
      </c>
      <c r="F83" s="359">
        <f ca="1">'F1'!F88*(1+wheeling!$C$33)</f>
        <v>7.5705601412148811</v>
      </c>
      <c r="G83" s="359">
        <f ca="1">'F1'!G88*(1+wheeling!$C$33)</f>
        <v>7.4584902852747659</v>
      </c>
      <c r="H83" s="359">
        <f ca="1">'F1'!H88*(1+wheeling!$C$33)</f>
        <v>7.4263772995074353</v>
      </c>
      <c r="I83" s="359">
        <f ca="1">'F1'!I88*(1+wheeling!$C$33)</f>
        <v>6.9142687386898674</v>
      </c>
      <c r="J83" s="359">
        <f ca="1">'F1'!J88*(1+wheeling!$C$33)</f>
        <v>7.4225197728705794</v>
      </c>
      <c r="K83" s="359">
        <f ca="1">'F1'!K88*(1+wheeling!$C$33)</f>
        <v>7.5070782343256308</v>
      </c>
      <c r="L83" s="359">
        <f ca="1">'F1'!L88*(1+wheeling!$C$33)</f>
        <v>7.4790095829146415</v>
      </c>
      <c r="M83" s="359">
        <f ca="1">'F1'!M88*(1+wheeling!$C$33)</f>
        <v>7.3410420556707914</v>
      </c>
      <c r="N83" s="359">
        <f ca="1">'F1'!N88*(1+wheeling!$C$33)</f>
        <v>6.546345130401436</v>
      </c>
      <c r="O83" s="359">
        <f t="shared" ca="1" si="9"/>
        <v>89.16882003520449</v>
      </c>
    </row>
    <row r="84" spans="2:15" x14ac:dyDescent="0.3">
      <c r="B84" s="344" t="s">
        <v>967</v>
      </c>
      <c r="C84" s="359">
        <f ca="1">'F1'!C89*(1+wheeling!$C$33)</f>
        <v>0.43186672971675411</v>
      </c>
      <c r="D84" s="359">
        <f ca="1">'F1'!D89*(1+wheeling!$C$33)</f>
        <v>0.42160813630766147</v>
      </c>
      <c r="E84" s="359">
        <f ca="1">'F1'!E89*(1+wheeling!$C$33)</f>
        <v>0.46071532974187124</v>
      </c>
      <c r="F84" s="359">
        <f ca="1">'F1'!F89*(1+wheeling!$C$33)</f>
        <v>0.46099395820483424</v>
      </c>
      <c r="G84" s="359">
        <f ca="1">'F1'!G89*(1+wheeling!$C$33)</f>
        <v>0.52939407962971963</v>
      </c>
      <c r="H84" s="359">
        <f ca="1">'F1'!H89*(1+wheeling!$C$33)</f>
        <v>0.51295711113659115</v>
      </c>
      <c r="I84" s="359">
        <f ca="1">'F1'!I89*(1+wheeling!$C$33)</f>
        <v>0.51414339292587308</v>
      </c>
      <c r="J84" s="359">
        <f ca="1">'F1'!J89*(1+wheeling!$C$33)</f>
        <v>0.51204418075604941</v>
      </c>
      <c r="K84" s="359">
        <f ca="1">'F1'!K89*(1+wheeling!$C$33)</f>
        <v>0.47815916018070698</v>
      </c>
      <c r="L84" s="359">
        <f ca="1">'F1'!L89*(1+wheeling!$C$33)</f>
        <v>0.49559982438700906</v>
      </c>
      <c r="M84" s="359">
        <f ca="1">'F1'!M89*(1+wheeling!$C$33)</f>
        <v>0.47239872779111569</v>
      </c>
      <c r="N84" s="359">
        <f ca="1">'F1'!N89*(1+wheeling!$C$33)</f>
        <v>0.4596620297190035</v>
      </c>
      <c r="O84" s="359">
        <f t="shared" ca="1" si="9"/>
        <v>5.7495426604971893</v>
      </c>
    </row>
    <row r="85" spans="2:15" x14ac:dyDescent="0.3">
      <c r="B85" s="344" t="s">
        <v>968</v>
      </c>
      <c r="C85" s="359">
        <f ca="1">'F1'!C90*(1+wheeling!$C$33)</f>
        <v>0.13093321396487917</v>
      </c>
      <c r="D85" s="359">
        <f ca="1">'F1'!D90*(1+wheeling!$C$33)</f>
        <v>0.12850999066577662</v>
      </c>
      <c r="E85" s="359">
        <f ca="1">'F1'!E90*(1+wheeling!$C$33)</f>
        <v>0.12145562458075858</v>
      </c>
      <c r="F85" s="359">
        <f ca="1">'F1'!F90*(1+wheeling!$C$33)</f>
        <v>0.11471260469488481</v>
      </c>
      <c r="G85" s="359">
        <f ca="1">'F1'!G90*(1+wheeling!$C$33)</f>
        <v>0.12422818886940945</v>
      </c>
      <c r="H85" s="359">
        <f ca="1">'F1'!H90*(1+wheeling!$C$33)</f>
        <v>0.12677278441563603</v>
      </c>
      <c r="I85" s="359">
        <f ca="1">'F1'!I90*(1+wheeling!$C$33)</f>
        <v>0.1199949359718919</v>
      </c>
      <c r="J85" s="359">
        <f ca="1">'F1'!J90*(1+wheeling!$C$33)</f>
        <v>0.13591791938372119</v>
      </c>
      <c r="K85" s="359">
        <f ca="1">'F1'!K90*(1+wheeling!$C$33)</f>
        <v>0.12546935202260831</v>
      </c>
      <c r="L85" s="359">
        <f ca="1">'F1'!L90*(1+wheeling!$C$33)</f>
        <v>0.12643716376706696</v>
      </c>
      <c r="M85" s="359">
        <f ca="1">'F1'!M90*(1+wheeling!$C$33)</f>
        <v>0.12295430798002932</v>
      </c>
      <c r="N85" s="359">
        <f ca="1">'F1'!N90*(1+wheeling!$C$33)</f>
        <v>0.13077912398157385</v>
      </c>
      <c r="O85" s="359">
        <f t="shared" ca="1" si="9"/>
        <v>1.5081652102982359</v>
      </c>
    </row>
    <row r="86" spans="2:15" x14ac:dyDescent="0.3">
      <c r="B86" s="344" t="s">
        <v>969</v>
      </c>
      <c r="C86" s="359">
        <f ca="1">'F1'!C96*(1+wheeling!$C$33)</f>
        <v>13.36943798164088</v>
      </c>
      <c r="D86" s="359">
        <f ca="1">'F1'!D96*(1+wheeling!$C$33)</f>
        <v>14.984340056881686</v>
      </c>
      <c r="E86" s="359">
        <f ca="1">'F1'!E96*(1+wheeling!$C$33)</f>
        <v>15.625282619494309</v>
      </c>
      <c r="F86" s="359">
        <f ca="1">'F1'!F96*(1+wheeling!$C$33)</f>
        <v>15.688035237489972</v>
      </c>
      <c r="G86" s="359">
        <f ca="1">'F1'!G96*(1+wheeling!$C$33)</f>
        <v>15.421257982900489</v>
      </c>
      <c r="H86" s="359">
        <f ca="1">'F1'!H96*(1+wheeling!$C$33)</f>
        <v>15.062991383839751</v>
      </c>
      <c r="I86" s="359">
        <f ca="1">'F1'!I96*(1+wheeling!$C$33)</f>
        <v>13.908511234126031</v>
      </c>
      <c r="J86" s="359">
        <f ca="1">'F1'!J96*(1+wheeling!$C$33)</f>
        <v>14.379315236131022</v>
      </c>
      <c r="K86" s="359">
        <f ca="1">'F1'!K96*(1+wheeling!$C$33)</f>
        <v>14.605793738442788</v>
      </c>
      <c r="L86" s="359">
        <f ca="1">'F1'!L96*(1+wheeling!$C$33)</f>
        <v>13.62932656964794</v>
      </c>
      <c r="M86" s="359">
        <f ca="1">'F1'!M96*(1+wheeling!$C$33)</f>
        <v>12.313021330549162</v>
      </c>
      <c r="N86" s="359">
        <f ca="1">'F1'!N96*(1+wheeling!$C$33)</f>
        <v>12.437248464007725</v>
      </c>
      <c r="O86" s="359">
        <f t="shared" ca="1" si="9"/>
        <v>171.42456183515174</v>
      </c>
    </row>
    <row r="87" spans="2:15" x14ac:dyDescent="0.3">
      <c r="B87" s="344" t="s">
        <v>970</v>
      </c>
      <c r="C87" s="359">
        <f ca="1">'F1'!C97*(1+wheeling!$C$33)</f>
        <v>0</v>
      </c>
      <c r="D87" s="359">
        <f ca="1">'F1'!D97*(1+wheeling!$C$33)</f>
        <v>0</v>
      </c>
      <c r="E87" s="359">
        <f ca="1">'F1'!E97*(1+wheeling!$C$33)</f>
        <v>0</v>
      </c>
      <c r="F87" s="359">
        <f ca="1">'F1'!F97*(1+wheeling!$C$33)</f>
        <v>0</v>
      </c>
      <c r="G87" s="359">
        <f ca="1">'F1'!G97*(1+wheeling!$C$33)</f>
        <v>0</v>
      </c>
      <c r="H87" s="359">
        <f ca="1">'F1'!H97*(1+wheeling!$C$33)</f>
        <v>0</v>
      </c>
      <c r="I87" s="359">
        <f ca="1">'F1'!I97*(1+wheeling!$C$33)</f>
        <v>0</v>
      </c>
      <c r="J87" s="359">
        <f ca="1">'F1'!J97*(1+wheeling!$C$33)</f>
        <v>0</v>
      </c>
      <c r="K87" s="359">
        <f ca="1">'F1'!K97*(1+wheeling!$C$33)</f>
        <v>0</v>
      </c>
      <c r="L87" s="359">
        <f ca="1">'F1'!L97*(1+wheeling!$C$33)</f>
        <v>0</v>
      </c>
      <c r="M87" s="359">
        <f ca="1">'F1'!M97*(1+wheeling!$C$33)</f>
        <v>0</v>
      </c>
      <c r="N87" s="359">
        <f ca="1">'F1'!N97*(1+wheeling!$C$33)</f>
        <v>0</v>
      </c>
      <c r="O87" s="359">
        <f t="shared" ca="1" si="9"/>
        <v>0</v>
      </c>
    </row>
    <row r="88" spans="2:15" x14ac:dyDescent="0.3">
      <c r="B88" s="344" t="s">
        <v>971</v>
      </c>
      <c r="C88" s="359">
        <f ca="1">'F1'!C98*(1+wheeling!$C$33)</f>
        <v>0</v>
      </c>
      <c r="D88" s="359">
        <f ca="1">'F1'!D98*(1+wheeling!$C$33)</f>
        <v>0</v>
      </c>
      <c r="E88" s="359">
        <f ca="1">'F1'!E98*(1+wheeling!$C$33)</f>
        <v>0</v>
      </c>
      <c r="F88" s="359">
        <f ca="1">'F1'!F98*(1+wheeling!$C$33)</f>
        <v>0</v>
      </c>
      <c r="G88" s="359">
        <f ca="1">'F1'!G98*(1+wheeling!$C$33)</f>
        <v>0</v>
      </c>
      <c r="H88" s="359">
        <f ca="1">'F1'!H98*(1+wheeling!$C$33)</f>
        <v>0</v>
      </c>
      <c r="I88" s="359">
        <f ca="1">'F1'!I98*(1+wheeling!$C$33)</f>
        <v>0</v>
      </c>
      <c r="J88" s="359">
        <f ca="1">'F1'!J98*(1+wheeling!$C$33)</f>
        <v>0</v>
      </c>
      <c r="K88" s="359">
        <f ca="1">'F1'!K98*(1+wheeling!$C$33)</f>
        <v>0</v>
      </c>
      <c r="L88" s="359">
        <f ca="1">'F1'!L98*(1+wheeling!$C$33)</f>
        <v>0</v>
      </c>
      <c r="M88" s="359">
        <f ca="1">'F1'!M98*(1+wheeling!$C$33)</f>
        <v>0</v>
      </c>
      <c r="N88" s="359">
        <f ca="1">'F1'!N98*(1+wheeling!$C$33)</f>
        <v>0</v>
      </c>
      <c r="O88" s="359">
        <f t="shared" ca="1" si="9"/>
        <v>0</v>
      </c>
    </row>
    <row r="89" spans="2:15" x14ac:dyDescent="0.3">
      <c r="B89" s="458"/>
      <c r="C89" s="359"/>
      <c r="D89" s="359"/>
      <c r="E89" s="359"/>
      <c r="F89" s="359"/>
      <c r="G89" s="359"/>
      <c r="H89" s="359"/>
      <c r="I89" s="359"/>
      <c r="J89" s="359"/>
      <c r="K89" s="359"/>
      <c r="L89" s="359"/>
      <c r="M89" s="359"/>
      <c r="N89" s="359"/>
      <c r="O89" s="359"/>
    </row>
    <row r="90" spans="2:15" x14ac:dyDescent="0.3">
      <c r="B90" s="434" t="s">
        <v>416</v>
      </c>
      <c r="C90" s="361">
        <f ca="1">SUM(C73:C88)</f>
        <v>301.55636012932507</v>
      </c>
      <c r="D90" s="361">
        <f t="shared" ref="D90" ca="1" si="10">SUM(D73:D88)</f>
        <v>377.15734499691814</v>
      </c>
      <c r="E90" s="361">
        <f t="shared" ref="E90:N90" ca="1" si="11">SUM(E73:E88)</f>
        <v>396.6938366704652</v>
      </c>
      <c r="F90" s="361">
        <f t="shared" ca="1" si="11"/>
        <v>361.64288368233468</v>
      </c>
      <c r="G90" s="361">
        <f t="shared" ca="1" si="11"/>
        <v>346.62381322079119</v>
      </c>
      <c r="H90" s="361">
        <f t="shared" ca="1" si="11"/>
        <v>346.52858772193025</v>
      </c>
      <c r="I90" s="361">
        <f t="shared" ca="1" si="11"/>
        <v>325.93884246359244</v>
      </c>
      <c r="J90" s="361">
        <f t="shared" ca="1" si="11"/>
        <v>355.30933681887791</v>
      </c>
      <c r="K90" s="361">
        <f t="shared" ca="1" si="11"/>
        <v>331.21339641808606</v>
      </c>
      <c r="L90" s="361">
        <f t="shared" ca="1" si="11"/>
        <v>305.52455398110817</v>
      </c>
      <c r="M90" s="361">
        <f t="shared" ca="1" si="11"/>
        <v>262.26752732253453</v>
      </c>
      <c r="N90" s="361">
        <f t="shared" ca="1" si="11"/>
        <v>299.87642891489696</v>
      </c>
      <c r="O90" s="361">
        <f ca="1">SUM(C90:N90)</f>
        <v>4010.3329123408607</v>
      </c>
    </row>
    <row r="91" spans="2:15" x14ac:dyDescent="0.3">
      <c r="B91" s="434"/>
      <c r="C91" s="359"/>
      <c r="D91" s="359"/>
      <c r="E91" s="359"/>
      <c r="F91" s="359"/>
      <c r="G91" s="359"/>
      <c r="H91" s="359"/>
      <c r="I91" s="359"/>
      <c r="J91" s="359"/>
      <c r="K91" s="359"/>
      <c r="L91" s="359"/>
      <c r="M91" s="359"/>
      <c r="N91" s="359"/>
      <c r="O91" s="359"/>
    </row>
    <row r="92" spans="2:15" x14ac:dyDescent="0.3">
      <c r="B92" s="433" t="s">
        <v>145</v>
      </c>
      <c r="C92" s="361">
        <f ca="1">C90+C70</f>
        <v>352.88372826794654</v>
      </c>
      <c r="D92" s="361">
        <f t="shared" ref="D92" ca="1" si="12">D90+D70</f>
        <v>432.65402650908538</v>
      </c>
      <c r="E92" s="361">
        <f t="shared" ref="E92:N92" ca="1" si="13">E90+E70</f>
        <v>456.23966324575548</v>
      </c>
      <c r="F92" s="361">
        <f t="shared" ca="1" si="13"/>
        <v>420.21248388662571</v>
      </c>
      <c r="G92" s="361">
        <f t="shared" ca="1" si="13"/>
        <v>404.8388719734694</v>
      </c>
      <c r="H92" s="361">
        <f t="shared" ca="1" si="13"/>
        <v>403.12449654308273</v>
      </c>
      <c r="I92" s="361">
        <f t="shared" ca="1" si="13"/>
        <v>378.61929977264697</v>
      </c>
      <c r="J92" s="361">
        <f t="shared" ca="1" si="13"/>
        <v>410.80254376254607</v>
      </c>
      <c r="K92" s="361">
        <f t="shared" ca="1" si="13"/>
        <v>385.55078213548109</v>
      </c>
      <c r="L92" s="361">
        <f t="shared" ca="1" si="13"/>
        <v>358.63209408940196</v>
      </c>
      <c r="M92" s="361">
        <f t="shared" ca="1" si="13"/>
        <v>311.02910101007751</v>
      </c>
      <c r="N92" s="361">
        <f t="shared" ca="1" si="13"/>
        <v>346.24067973715728</v>
      </c>
      <c r="O92" s="361">
        <f ca="1">SUM(C92:N92)</f>
        <v>4660.827770933276</v>
      </c>
    </row>
    <row r="93" spans="2:15" hidden="1" x14ac:dyDescent="0.3">
      <c r="B93" s="591"/>
      <c r="C93" s="424"/>
      <c r="D93" s="424"/>
      <c r="E93" s="424"/>
      <c r="F93" s="424"/>
      <c r="G93" s="424"/>
      <c r="H93" s="424"/>
      <c r="I93" s="424"/>
      <c r="J93" s="424"/>
      <c r="K93" s="424"/>
      <c r="L93" s="424"/>
      <c r="M93" s="424"/>
      <c r="N93" s="424"/>
      <c r="O93" s="424"/>
    </row>
    <row r="94" spans="2:15" hidden="1" x14ac:dyDescent="0.3">
      <c r="B94" s="591"/>
      <c r="C94" s="424"/>
      <c r="D94" s="424"/>
      <c r="E94" s="424"/>
      <c r="F94" s="424"/>
      <c r="G94" s="424"/>
      <c r="H94" s="424"/>
      <c r="I94" s="424"/>
      <c r="J94" s="424"/>
      <c r="K94" s="424"/>
      <c r="L94" s="424"/>
      <c r="M94" s="424"/>
      <c r="N94" s="424"/>
      <c r="O94" s="424"/>
    </row>
    <row r="95" spans="2:15" hidden="1" x14ac:dyDescent="0.3">
      <c r="B95" s="591"/>
      <c r="C95" s="424"/>
      <c r="D95" s="424"/>
      <c r="E95" s="424"/>
      <c r="F95" s="424"/>
      <c r="G95" s="424"/>
      <c r="H95" s="424"/>
      <c r="I95" s="424"/>
      <c r="J95" s="424"/>
      <c r="K95" s="424"/>
      <c r="L95" s="424"/>
      <c r="M95" s="424"/>
      <c r="N95" s="424"/>
      <c r="O95" s="424"/>
    </row>
    <row r="96" spans="2:15" hidden="1" x14ac:dyDescent="0.3">
      <c r="B96" s="591"/>
      <c r="C96" s="424"/>
      <c r="D96" s="424"/>
      <c r="E96" s="424"/>
      <c r="F96" s="424"/>
      <c r="G96" s="424"/>
      <c r="H96" s="424"/>
      <c r="I96" s="424"/>
      <c r="J96" s="424"/>
      <c r="K96" s="424"/>
      <c r="L96" s="424"/>
      <c r="M96" s="424"/>
      <c r="N96" s="424"/>
      <c r="O96" s="424"/>
    </row>
    <row r="97" spans="2:19" hidden="1" x14ac:dyDescent="0.3">
      <c r="B97" s="591"/>
      <c r="C97"/>
      <c r="D97"/>
      <c r="E97"/>
      <c r="F97"/>
      <c r="G97"/>
      <c r="H97"/>
      <c r="I97"/>
      <c r="J97"/>
      <c r="K97"/>
      <c r="L97"/>
      <c r="M97"/>
      <c r="N97"/>
      <c r="O97"/>
    </row>
    <row r="98" spans="2:19" hidden="1" x14ac:dyDescent="0.3">
      <c r="B98" s="596" t="s">
        <v>435</v>
      </c>
      <c r="C98"/>
      <c r="D98"/>
      <c r="E98"/>
      <c r="F98"/>
      <c r="G98"/>
      <c r="H98"/>
      <c r="I98"/>
      <c r="J98"/>
      <c r="K98"/>
      <c r="L98"/>
      <c r="M98"/>
      <c r="N98"/>
      <c r="O98"/>
      <c r="P98"/>
      <c r="Q98"/>
    </row>
    <row r="99" spans="2:19" hidden="1" x14ac:dyDescent="0.3">
      <c r="B99" s="576" t="s">
        <v>436</v>
      </c>
      <c r="C99"/>
      <c r="D99"/>
      <c r="E99"/>
      <c r="F99"/>
      <c r="G99"/>
      <c r="H99"/>
      <c r="I99"/>
      <c r="J99"/>
      <c r="K99"/>
      <c r="L99"/>
      <c r="M99"/>
      <c r="N99"/>
      <c r="O99"/>
      <c r="P99"/>
      <c r="Q99"/>
    </row>
    <row r="100" spans="2:19" hidden="1" x14ac:dyDescent="0.3">
      <c r="B100" s="573" t="s">
        <v>437</v>
      </c>
      <c r="C100"/>
      <c r="D100"/>
      <c r="E100"/>
      <c r="F100"/>
      <c r="G100"/>
      <c r="H100"/>
      <c r="I100"/>
      <c r="J100"/>
      <c r="K100"/>
      <c r="L100"/>
      <c r="M100"/>
      <c r="N100"/>
      <c r="O100"/>
      <c r="P100"/>
      <c r="Q100"/>
    </row>
    <row r="101" spans="2:19" hidden="1" x14ac:dyDescent="0.3">
      <c r="B101" s="573"/>
      <c r="C101"/>
      <c r="D101"/>
      <c r="E101"/>
      <c r="F101"/>
      <c r="G101"/>
      <c r="H101"/>
      <c r="I101"/>
      <c r="J101"/>
      <c r="K101"/>
      <c r="L101"/>
      <c r="M101"/>
      <c r="N101"/>
      <c r="O101"/>
      <c r="P101"/>
      <c r="Q101"/>
    </row>
    <row r="102" spans="2:19" x14ac:dyDescent="0.3">
      <c r="B102" s="596"/>
      <c r="C102"/>
      <c r="D102"/>
      <c r="E102"/>
      <c r="F102"/>
      <c r="G102"/>
      <c r="H102"/>
      <c r="I102"/>
      <c r="J102"/>
      <c r="K102"/>
      <c r="L102"/>
      <c r="M102"/>
      <c r="N102"/>
      <c r="O102"/>
      <c r="P102"/>
      <c r="Q102"/>
      <c r="R102" s="530"/>
      <c r="S102" s="530"/>
    </row>
    <row r="103" spans="2:19" x14ac:dyDescent="0.3">
      <c r="B103" s="597" t="s">
        <v>813</v>
      </c>
      <c r="C103"/>
      <c r="D103"/>
      <c r="E103"/>
      <c r="F103"/>
      <c r="G103"/>
      <c r="H103"/>
      <c r="I103"/>
      <c r="J103"/>
      <c r="K103"/>
      <c r="L103"/>
      <c r="M103"/>
      <c r="N103"/>
      <c r="O103"/>
    </row>
    <row r="104" spans="2:19" s="570" customFormat="1" x14ac:dyDescent="0.3">
      <c r="B104" s="597"/>
      <c r="C104"/>
      <c r="D104"/>
      <c r="E104"/>
      <c r="F104"/>
      <c r="G104"/>
      <c r="H104"/>
      <c r="I104"/>
      <c r="J104"/>
      <c r="K104"/>
      <c r="L104"/>
      <c r="M104"/>
      <c r="N104"/>
      <c r="O104"/>
    </row>
    <row r="105" spans="2:19" s="576" customFormat="1" ht="28" x14ac:dyDescent="0.25">
      <c r="B105" s="827" t="s">
        <v>292</v>
      </c>
      <c r="C105" s="827" t="s">
        <v>151</v>
      </c>
      <c r="D105" s="827" t="s">
        <v>152</v>
      </c>
      <c r="E105" s="827" t="s">
        <v>153</v>
      </c>
      <c r="F105" s="827" t="s">
        <v>154</v>
      </c>
      <c r="G105" s="827" t="s">
        <v>155</v>
      </c>
      <c r="H105" s="827" t="s">
        <v>156</v>
      </c>
      <c r="I105" s="827" t="s">
        <v>157</v>
      </c>
      <c r="J105" s="827" t="s">
        <v>158</v>
      </c>
      <c r="K105" s="827" t="s">
        <v>159</v>
      </c>
      <c r="L105" s="827" t="s">
        <v>160</v>
      </c>
      <c r="M105" s="827" t="s">
        <v>161</v>
      </c>
      <c r="N105" s="827" t="s">
        <v>162</v>
      </c>
      <c r="O105" s="827" t="s">
        <v>145</v>
      </c>
    </row>
    <row r="106" spans="2:19" s="532" customFormat="1" x14ac:dyDescent="0.3">
      <c r="B106" s="458" t="s">
        <v>293</v>
      </c>
      <c r="C106" s="359"/>
      <c r="D106" s="359"/>
      <c r="E106" s="359"/>
      <c r="F106" s="359"/>
      <c r="G106" s="359"/>
      <c r="H106" s="359"/>
      <c r="I106" s="359"/>
      <c r="J106" s="359"/>
      <c r="K106" s="359"/>
      <c r="L106" s="359"/>
      <c r="M106" s="359"/>
      <c r="N106" s="359"/>
      <c r="O106" s="359"/>
    </row>
    <row r="107" spans="2:19" s="532" customFormat="1" x14ac:dyDescent="0.3">
      <c r="B107" s="344"/>
      <c r="C107" s="359"/>
      <c r="D107" s="359"/>
      <c r="E107" s="359"/>
      <c r="F107" s="359"/>
      <c r="G107" s="359"/>
      <c r="H107" s="359"/>
      <c r="I107" s="359"/>
      <c r="J107" s="359"/>
      <c r="K107" s="359"/>
      <c r="L107" s="359"/>
      <c r="M107" s="359"/>
      <c r="N107" s="359"/>
      <c r="O107" s="359"/>
    </row>
    <row r="108" spans="2:19" s="532" customFormat="1" x14ac:dyDescent="0.3">
      <c r="B108" s="344" t="s">
        <v>953</v>
      </c>
      <c r="C108" s="359">
        <f ca="1">'F1'!C116*(1+wheeling!$D$32)</f>
        <v>13.084088977679789</v>
      </c>
      <c r="D108" s="359">
        <f ca="1">'F1'!D116*(1+wheeling!$D$32)</f>
        <v>11.21506821114688</v>
      </c>
      <c r="E108" s="359">
        <f ca="1">'F1'!E116*(1+wheeling!$D$32)</f>
        <v>12.075316333992937</v>
      </c>
      <c r="F108" s="359">
        <f ca="1">'F1'!F116*(1+wheeling!$D$32)</f>
        <v>12.022896924083298</v>
      </c>
      <c r="G108" s="359">
        <f ca="1">'F1'!G116*(1+wheeling!$D$32)</f>
        <v>12.414749194969017</v>
      </c>
      <c r="H108" s="359">
        <f ca="1">'F1'!H116*(1+wheeling!$D$32)</f>
        <v>12.310976101586746</v>
      </c>
      <c r="I108" s="359">
        <f ca="1">'F1'!I116*(1+wheeling!$D$32)</f>
        <v>12.397877211471023</v>
      </c>
      <c r="J108" s="359">
        <f ca="1">'F1'!J116*(1+wheeling!$D$32)</f>
        <v>12.900829444993439</v>
      </c>
      <c r="K108" s="359">
        <f ca="1">'F1'!K116*(1+wheeling!$D$32)</f>
        <v>12.137904550322352</v>
      </c>
      <c r="L108" s="359">
        <f ca="1">'F1'!L116*(1+wheeling!$D$32)</f>
        <v>12.40411211481177</v>
      </c>
      <c r="M108" s="359">
        <f ca="1">'F1'!M116*(1+wheeling!$D$32)</f>
        <v>12.077806056644544</v>
      </c>
      <c r="N108" s="359">
        <f ca="1">'F1'!N116*(1+wheeling!$D$32)</f>
        <v>11.208910007814858</v>
      </c>
      <c r="O108" s="359">
        <f t="shared" ref="O108:O114" ca="1" si="14">SUM(C108:N108)</f>
        <v>146.25053512951663</v>
      </c>
    </row>
    <row r="109" spans="2:19" s="532" customFormat="1" x14ac:dyDescent="0.3">
      <c r="B109" s="344" t="s">
        <v>954</v>
      </c>
      <c r="C109" s="359">
        <f ca="1">'F1'!C117*(1+wheeling!$D$32)</f>
        <v>14.919004479807192</v>
      </c>
      <c r="D109" s="359">
        <f ca="1">'F1'!D117*(1+wheeling!$D$32)</f>
        <v>10.070286267779579</v>
      </c>
      <c r="E109" s="359">
        <f ca="1">'F1'!E117*(1+wheeling!$D$32)</f>
        <v>11.475845213176513</v>
      </c>
      <c r="F109" s="359">
        <f ca="1">'F1'!F117*(1+wheeling!$D$32)</f>
        <v>11.937781107823136</v>
      </c>
      <c r="G109" s="359">
        <f ca="1">'F1'!G117*(1+wheeling!$D$32)</f>
        <v>12.944600928919449</v>
      </c>
      <c r="H109" s="359">
        <f ca="1">'F1'!H117*(1+wheeling!$D$32)</f>
        <v>13.093591705076435</v>
      </c>
      <c r="I109" s="359">
        <f ca="1">'F1'!I117*(1+wheeling!$D$32)</f>
        <v>14.035214500336076</v>
      </c>
      <c r="J109" s="359">
        <f ca="1">'F1'!J117*(1+wheeling!$D$32)</f>
        <v>15.153826602568882</v>
      </c>
      <c r="K109" s="359">
        <f ca="1">'F1'!K117*(1+wheeling!$D$32)</f>
        <v>14.968934167065225</v>
      </c>
      <c r="L109" s="359">
        <f ca="1">'F1'!L117*(1+wheeling!$D$32)</f>
        <v>15.482134934648062</v>
      </c>
      <c r="M109" s="359">
        <f ca="1">'F1'!M117*(1+wheeling!$D$32)</f>
        <v>15.19241679906346</v>
      </c>
      <c r="N109" s="359">
        <f ca="1">'F1'!N117*(1+wheeling!$D$32)</f>
        <v>14.31362745831902</v>
      </c>
      <c r="O109" s="359">
        <f t="shared" ca="1" si="14"/>
        <v>163.58726416458305</v>
      </c>
    </row>
    <row r="110" spans="2:19" s="532" customFormat="1" x14ac:dyDescent="0.3">
      <c r="B110" s="348" t="s">
        <v>955</v>
      </c>
      <c r="C110" s="359">
        <f ca="1">'F1'!C118*(1+wheeling!$D$32)</f>
        <v>2.3416492479220388</v>
      </c>
      <c r="D110" s="359">
        <f ca="1">'F1'!D118*(1+wheeling!$D$32)</f>
        <v>2.4618421984350904</v>
      </c>
      <c r="E110" s="359">
        <f ca="1">'F1'!E118*(1+wheeling!$D$32)</f>
        <v>2.7204655449566046</v>
      </c>
      <c r="F110" s="359">
        <f ca="1">'F1'!F118*(1+wheeling!$D$32)</f>
        <v>2.4445443280465495</v>
      </c>
      <c r="G110" s="359">
        <f ca="1">'F1'!G118*(1+wheeling!$D$32)</f>
        <v>2.4334177807283659</v>
      </c>
      <c r="H110" s="359">
        <f ca="1">'F1'!H118*(1+wheeling!$D$32)</f>
        <v>2.2925592239174049</v>
      </c>
      <c r="I110" s="359">
        <f ca="1">'F1'!I118*(1+wheeling!$D$32)</f>
        <v>2.3995628005618546</v>
      </c>
      <c r="J110" s="359">
        <f ca="1">'F1'!J118*(1+wheeling!$D$32)</f>
        <v>2.4971423682396647</v>
      </c>
      <c r="K110" s="359">
        <f ca="1">'F1'!K118*(1+wheeling!$D$32)</f>
        <v>2.5428232786986453</v>
      </c>
      <c r="L110" s="359">
        <f ca="1">'F1'!L118*(1+wheeling!$D$32)</f>
        <v>2.4869907184007887</v>
      </c>
      <c r="M110" s="359">
        <f ca="1">'F1'!M118*(1+wheeling!$D$32)</f>
        <v>2.4125140007191561</v>
      </c>
      <c r="N110" s="359">
        <f ca="1">'F1'!N118*(1+wheeling!$D$32)</f>
        <v>2.242286405041396</v>
      </c>
      <c r="O110" s="359">
        <f t="shared" ca="1" si="14"/>
        <v>29.275797895667559</v>
      </c>
    </row>
    <row r="111" spans="2:19" s="532" customFormat="1" x14ac:dyDescent="0.3">
      <c r="B111" s="348" t="s">
        <v>956</v>
      </c>
      <c r="C111" s="359">
        <f ca="1">'F1'!C119*(1+wheeling!$D$32)</f>
        <v>0.16720803743957371</v>
      </c>
      <c r="D111" s="359">
        <f ca="1">'F1'!D119*(1+wheeling!$D$32)</f>
        <v>0.10407888420652694</v>
      </c>
      <c r="E111" s="359">
        <f ca="1">'F1'!E119*(1+wheeling!$D$32)</f>
        <v>0.14820359185692375</v>
      </c>
      <c r="F111" s="359">
        <f ca="1">'F1'!F119*(1+wheeling!$D$32)</f>
        <v>0.15402875567738233</v>
      </c>
      <c r="G111" s="359">
        <f ca="1">'F1'!G119*(1+wheeling!$D$32)</f>
        <v>0.14830653134231647</v>
      </c>
      <c r="H111" s="359">
        <f ca="1">'F1'!H119*(1+wheeling!$D$32)</f>
        <v>0.14265697017341017</v>
      </c>
      <c r="I111" s="359">
        <f ca="1">'F1'!I119*(1+wheeling!$D$32)</f>
        <v>0.14107553709879847</v>
      </c>
      <c r="J111" s="359">
        <f ca="1">'F1'!J119*(1+wheeling!$D$32)</f>
        <v>0.17178682611826754</v>
      </c>
      <c r="K111" s="359">
        <f ca="1">'F1'!K119*(1+wheeling!$D$32)</f>
        <v>0.15528623213619927</v>
      </c>
      <c r="L111" s="359">
        <f ca="1">'F1'!L119*(1+wheeling!$D$32)</f>
        <v>0.16545705697725641</v>
      </c>
      <c r="M111" s="359">
        <f ca="1">'F1'!M119*(1+wheeling!$D$32)</f>
        <v>0.16913562976408444</v>
      </c>
      <c r="N111" s="359">
        <f ca="1">'F1'!N119*(1+wheeling!$D$32)</f>
        <v>0.17104707471833749</v>
      </c>
      <c r="O111" s="359">
        <f t="shared" ca="1" si="14"/>
        <v>1.8382711275090768</v>
      </c>
    </row>
    <row r="112" spans="2:19" s="532" customFormat="1" x14ac:dyDescent="0.3">
      <c r="B112" s="594" t="s">
        <v>957</v>
      </c>
      <c r="C112" s="359">
        <f ca="1">'F1'!C120*(1+wheeling!$D$32)</f>
        <v>1.9456269186672721</v>
      </c>
      <c r="D112" s="359">
        <f ca="1">'F1'!D120*(1+wheeling!$D$32)</f>
        <v>1.9172368141223448</v>
      </c>
      <c r="E112" s="359">
        <f ca="1">'F1'!E120*(1+wheeling!$D$32)</f>
        <v>2.0612067673398324</v>
      </c>
      <c r="F112" s="359">
        <f ca="1">'F1'!F120*(1+wheeling!$D$32)</f>
        <v>6.7776568235335705E-2</v>
      </c>
      <c r="G112" s="359">
        <f ca="1">'F1'!G120*(1+wheeling!$D$32)</f>
        <v>1.9917861949701368</v>
      </c>
      <c r="H112" s="359">
        <f ca="1">'F1'!H120*(1+wheeling!$D$32)</f>
        <v>2.01475683837233</v>
      </c>
      <c r="I112" s="359">
        <f ca="1">'F1'!I120*(1+wheeling!$D$32)</f>
        <v>2.0519896465546199</v>
      </c>
      <c r="J112" s="359">
        <f ca="1">'F1'!J120*(1+wheeling!$D$32)</f>
        <v>2.1891302713637493</v>
      </c>
      <c r="K112" s="359">
        <f ca="1">'F1'!K120*(1+wheeling!$D$32)</f>
        <v>1.9730078125710944</v>
      </c>
      <c r="L112" s="359">
        <f ca="1">'F1'!L120*(1+wheeling!$D$32)</f>
        <v>1.9629126785281201</v>
      </c>
      <c r="M112" s="359">
        <f ca="1">'F1'!M120*(1+wheeling!$D$32)</f>
        <v>1.8798849190844042</v>
      </c>
      <c r="N112" s="359">
        <f ca="1">'F1'!N120*(1+wheeling!$D$32)</f>
        <v>1.9487322598099526</v>
      </c>
      <c r="O112" s="359">
        <f t="shared" ca="1" si="14"/>
        <v>22.004047689619192</v>
      </c>
    </row>
    <row r="113" spans="2:15" s="532" customFormat="1" x14ac:dyDescent="0.3">
      <c r="B113" s="594" t="s">
        <v>958</v>
      </c>
      <c r="C113" s="359">
        <f ca="1">'F1'!C121*(1+wheeling!$D$32)</f>
        <v>14.666195195789083</v>
      </c>
      <c r="D113" s="359">
        <f ca="1">'F1'!D121*(1+wheeling!$D$32)</f>
        <v>14.176611975629388</v>
      </c>
      <c r="E113" s="359">
        <f ca="1">'F1'!E121*(1+wheeling!$D$32)</f>
        <v>14.641585594305736</v>
      </c>
      <c r="F113" s="359">
        <f ca="1">'F1'!F121*(1+wheeling!$D$32)</f>
        <v>17.65922633227407</v>
      </c>
      <c r="G113" s="359">
        <f ca="1">'F1'!G121*(1+wheeling!$D$32)</f>
        <v>17.952446428783308</v>
      </c>
      <c r="H113" s="359">
        <f ca="1">'F1'!H121*(1+wheeling!$D$32)</f>
        <v>17.612686583559508</v>
      </c>
      <c r="I113" s="359">
        <f ca="1">'F1'!I121*(1+wheeling!$D$32)</f>
        <v>16.165313013669667</v>
      </c>
      <c r="J113" s="359">
        <f ca="1">'F1'!J121*(1+wheeling!$D$32)</f>
        <v>16.221928721425023</v>
      </c>
      <c r="K113" s="359">
        <f ca="1">'F1'!K121*(1+wheeling!$D$32)</f>
        <v>14.587986417156646</v>
      </c>
      <c r="L113" s="359">
        <f ca="1">'F1'!L121*(1+wheeling!$D$32)</f>
        <v>14.676852460159155</v>
      </c>
      <c r="M113" s="359">
        <f ca="1">'F1'!M121*(1+wheeling!$D$32)</f>
        <v>14.427095029119748</v>
      </c>
      <c r="N113" s="359">
        <f ca="1">'F1'!N121*(1+wheeling!$D$32)</f>
        <v>13.664860434527176</v>
      </c>
      <c r="O113" s="359">
        <f t="shared" ca="1" si="14"/>
        <v>186.45278818639855</v>
      </c>
    </row>
    <row r="114" spans="2:15" s="532" customFormat="1" x14ac:dyDescent="0.3">
      <c r="B114" s="594" t="s">
        <v>959</v>
      </c>
      <c r="C114" s="359">
        <f ca="1">'F1'!C122*(1+wheeling!$D$32)</f>
        <v>0</v>
      </c>
      <c r="D114" s="359">
        <f ca="1">'F1'!D122*(1+wheeling!$D$32)</f>
        <v>0</v>
      </c>
      <c r="E114" s="359">
        <f ca="1">'F1'!E122*(1+wheeling!$D$32)</f>
        <v>0</v>
      </c>
      <c r="F114" s="359">
        <f ca="1">'F1'!F122*(1+wheeling!$D$32)</f>
        <v>0</v>
      </c>
      <c r="G114" s="359">
        <f ca="1">'F1'!G122*(1+wheeling!$D$32)</f>
        <v>0</v>
      </c>
      <c r="H114" s="359">
        <f ca="1">'F1'!H122*(1+wheeling!$D$32)</f>
        <v>0</v>
      </c>
      <c r="I114" s="359">
        <f ca="1">'F1'!I122*(1+wheeling!$D$32)</f>
        <v>0</v>
      </c>
      <c r="J114" s="359">
        <f ca="1">'F1'!J122*(1+wheeling!$D$32)</f>
        <v>0</v>
      </c>
      <c r="K114" s="359">
        <f ca="1">'F1'!K122*(1+wheeling!$D$32)</f>
        <v>0</v>
      </c>
      <c r="L114" s="359">
        <f ca="1">'F1'!L122*(1+wheeling!$D$32)</f>
        <v>0</v>
      </c>
      <c r="M114" s="359">
        <f ca="1">'F1'!M122*(1+wheeling!$D$32)</f>
        <v>0</v>
      </c>
      <c r="N114" s="359">
        <f ca="1">'F1'!N122*(1+wheeling!$D$32)</f>
        <v>0</v>
      </c>
      <c r="O114" s="359">
        <f t="shared" ca="1" si="14"/>
        <v>0</v>
      </c>
    </row>
    <row r="115" spans="2:15" s="532" customFormat="1" x14ac:dyDescent="0.3">
      <c r="B115" s="594"/>
      <c r="C115" s="359"/>
      <c r="D115" s="359"/>
      <c r="E115" s="359"/>
      <c r="F115" s="359"/>
      <c r="G115" s="359"/>
      <c r="H115" s="359"/>
      <c r="I115" s="359"/>
      <c r="J115" s="359"/>
      <c r="K115" s="359"/>
      <c r="L115" s="359"/>
      <c r="M115" s="359"/>
      <c r="N115" s="359"/>
      <c r="O115" s="359"/>
    </row>
    <row r="116" spans="2:15" s="532" customFormat="1" x14ac:dyDescent="0.3">
      <c r="B116" s="434" t="s">
        <v>416</v>
      </c>
      <c r="C116" s="361">
        <f ca="1">SUM(C108:C114)</f>
        <v>47.123772857304957</v>
      </c>
      <c r="D116" s="361">
        <f t="shared" ref="D116" ca="1" si="15">SUM(D108:D114)</f>
        <v>39.945124351319805</v>
      </c>
      <c r="E116" s="361">
        <f t="shared" ref="E116:N116" ca="1" si="16">SUM(E108:E114)</f>
        <v>43.122623045628544</v>
      </c>
      <c r="F116" s="361">
        <f t="shared" ca="1" si="16"/>
        <v>44.286254016139772</v>
      </c>
      <c r="G116" s="361">
        <f t="shared" ca="1" si="16"/>
        <v>47.885307059712595</v>
      </c>
      <c r="H116" s="361">
        <f t="shared" ca="1" si="16"/>
        <v>47.467227422685831</v>
      </c>
      <c r="I116" s="361">
        <f t="shared" ca="1" si="16"/>
        <v>47.191032709692038</v>
      </c>
      <c r="J116" s="361">
        <f t="shared" ca="1" si="16"/>
        <v>49.134644234709029</v>
      </c>
      <c r="K116" s="361">
        <f t="shared" ca="1" si="16"/>
        <v>46.365942457950155</v>
      </c>
      <c r="L116" s="361">
        <f t="shared" ca="1" si="16"/>
        <v>47.178459963525157</v>
      </c>
      <c r="M116" s="361">
        <f t="shared" ca="1" si="16"/>
        <v>46.158852434395399</v>
      </c>
      <c r="N116" s="361">
        <f t="shared" ca="1" si="16"/>
        <v>43.549463640230741</v>
      </c>
      <c r="O116" s="361">
        <f ca="1">SUM(C116:N116)</f>
        <v>549.40870419329394</v>
      </c>
    </row>
    <row r="117" spans="2:15" s="532" customFormat="1" x14ac:dyDescent="0.3">
      <c r="B117" s="594"/>
      <c r="C117" s="359"/>
      <c r="D117" s="359"/>
      <c r="E117" s="359"/>
      <c r="F117" s="359"/>
      <c r="G117" s="359"/>
      <c r="H117" s="359"/>
      <c r="I117" s="359"/>
      <c r="J117" s="359"/>
      <c r="K117" s="359"/>
      <c r="L117" s="359"/>
      <c r="M117" s="359"/>
      <c r="N117" s="359"/>
      <c r="O117" s="359"/>
    </row>
    <row r="118" spans="2:15" s="532" customFormat="1" x14ac:dyDescent="0.3">
      <c r="B118" s="344" t="s">
        <v>294</v>
      </c>
      <c r="C118" s="359"/>
      <c r="D118" s="359"/>
      <c r="E118" s="359"/>
      <c r="F118" s="359"/>
      <c r="G118" s="359"/>
      <c r="H118" s="359"/>
      <c r="I118" s="359"/>
      <c r="J118" s="359"/>
      <c r="K118" s="359"/>
      <c r="L118" s="359"/>
      <c r="M118" s="359"/>
      <c r="N118" s="359"/>
      <c r="O118" s="359"/>
    </row>
    <row r="119" spans="2:15" s="532" customFormat="1" x14ac:dyDescent="0.3">
      <c r="B119" s="344" t="s">
        <v>960</v>
      </c>
      <c r="C119" s="359">
        <f ca="1">'F1'!C127*(1+wheeling!$D$33)</f>
        <v>8.1392138592183854E-4</v>
      </c>
      <c r="D119" s="359">
        <f ca="1">'F1'!D127*(1+wheeling!$D$33)</f>
        <v>8.1287521447463815E-4</v>
      </c>
      <c r="E119" s="359">
        <f ca="1">'F1'!E127*(1+wheeling!$D$33)</f>
        <v>8.2333692894664132E-4</v>
      </c>
      <c r="F119" s="359">
        <f ca="1">'F1'!F127*(1+wheeling!$D$33)</f>
        <v>1.1403268774483341E-3</v>
      </c>
      <c r="G119" s="359">
        <f ca="1">'F1'!G127*(1+wheeling!$D$33)</f>
        <v>1.2418055078267638E-3</v>
      </c>
      <c r="H119" s="359">
        <f ca="1">'F1'!H127*(1+wheeling!$D$33)</f>
        <v>1.1989124784915514E-3</v>
      </c>
      <c r="I119" s="359">
        <f ca="1">'F1'!I127*(1+wheeling!$D$33)</f>
        <v>1.324453052155588E-3</v>
      </c>
      <c r="J119" s="359">
        <f ca="1">'F1'!J127*(1+wheeling!$D$33)</f>
        <v>2.3946864426415016E-3</v>
      </c>
      <c r="K119" s="359">
        <f ca="1">'F1'!K127*(1+wheeling!$D$33)</f>
        <v>2.7503847346896058E-3</v>
      </c>
      <c r="L119" s="359">
        <f ca="1">'F1'!L127*(1+wheeling!$D$33)</f>
        <v>2.8382631362544319E-3</v>
      </c>
      <c r="M119" s="359">
        <f ca="1">'F1'!M127*(1+wheeling!$D$33)</f>
        <v>2.7399230202176028E-3</v>
      </c>
      <c r="N119" s="359">
        <f ca="1">'F1'!N127*(1+wheeling!$D$33)</f>
        <v>3.0244816538560859E-3</v>
      </c>
      <c r="O119" s="359">
        <f t="shared" ref="O119:O134" ca="1" si="17">SUM(C119:N119)</f>
        <v>2.1103370432924585E-2</v>
      </c>
    </row>
    <row r="120" spans="2:15" s="532" customFormat="1" x14ac:dyDescent="0.3">
      <c r="B120" s="344" t="s">
        <v>961</v>
      </c>
      <c r="C120" s="359">
        <f ca="1">'F1'!C128*(1+wheeling!$D$33)</f>
        <v>0</v>
      </c>
      <c r="D120" s="359">
        <f ca="1">'F1'!D128*(1+wheeling!$D$33)</f>
        <v>0</v>
      </c>
      <c r="E120" s="359">
        <f ca="1">'F1'!E128*(1+wheeling!$D$33)</f>
        <v>0</v>
      </c>
      <c r="F120" s="359">
        <f ca="1">'F1'!F128*(1+wheeling!$D$33)</f>
        <v>0</v>
      </c>
      <c r="G120" s="359">
        <f ca="1">'F1'!G128*(1+wheeling!$D$33)</f>
        <v>0</v>
      </c>
      <c r="H120" s="359">
        <f ca="1">'F1'!H128*(1+wheeling!$D$33)</f>
        <v>0</v>
      </c>
      <c r="I120" s="359">
        <f ca="1">'F1'!I128*(1+wheeling!$D$33)</f>
        <v>0</v>
      </c>
      <c r="J120" s="359">
        <f ca="1">'F1'!J128*(1+wheeling!$D$33)</f>
        <v>0</v>
      </c>
      <c r="K120" s="359">
        <f ca="1">'F1'!K128*(1+wheeling!$D$33)</f>
        <v>0</v>
      </c>
      <c r="L120" s="359">
        <f ca="1">'F1'!L128*(1+wheeling!$D$33)</f>
        <v>0</v>
      </c>
      <c r="M120" s="359">
        <f ca="1">'F1'!M128*(1+wheeling!$D$33)</f>
        <v>0</v>
      </c>
      <c r="N120" s="359">
        <f ca="1">'F1'!N128*(1+wheeling!$D$33)</f>
        <v>0</v>
      </c>
      <c r="O120" s="359">
        <f t="shared" ca="1" si="17"/>
        <v>0</v>
      </c>
    </row>
    <row r="121" spans="2:15" s="532" customFormat="1" x14ac:dyDescent="0.3">
      <c r="B121" s="594" t="s">
        <v>900</v>
      </c>
      <c r="C121" s="359">
        <f ca="1">'F1'!C129*(1+wheeling!$D$33)</f>
        <v>64.830899346425426</v>
      </c>
      <c r="D121" s="359">
        <f ca="1">'F1'!D129*(1+wheeling!$D$33)</f>
        <v>64.832904857089702</v>
      </c>
      <c r="E121" s="359">
        <f ca="1">'F1'!E129*(1+wheeling!$D$33)</f>
        <v>65.030801786556452</v>
      </c>
      <c r="F121" s="359">
        <f ca="1">'F1'!F129*(1+wheeling!$D$33)</f>
        <v>64.802299111401851</v>
      </c>
      <c r="G121" s="359">
        <f ca="1">'F1'!G129*(1+wheeling!$D$33)</f>
        <v>61.496005023956187</v>
      </c>
      <c r="H121" s="359">
        <f ca="1">'F1'!H129*(1+wheeling!$D$33)</f>
        <v>61.119791309828486</v>
      </c>
      <c r="I121" s="359">
        <f ca="1">'F1'!I129*(1+wheeling!$D$33)</f>
        <v>63.251530928587769</v>
      </c>
      <c r="J121" s="359">
        <f ca="1">'F1'!J129*(1+wheeling!$D$33)</f>
        <v>64.231934807759828</v>
      </c>
      <c r="K121" s="359">
        <f ca="1">'F1'!K129*(1+wheeling!$D$33)</f>
        <v>63.276127465482894</v>
      </c>
      <c r="L121" s="359">
        <f ca="1">'F1'!L129*(1+wheeling!$D$33)</f>
        <v>61.748402254964837</v>
      </c>
      <c r="M121" s="359">
        <f ca="1">'F1'!M129*(1+wheeling!$D$33)</f>
        <v>60.337029094290067</v>
      </c>
      <c r="N121" s="359">
        <f ca="1">'F1'!N129*(1+wheeling!$D$33)</f>
        <v>62.297467554113318</v>
      </c>
      <c r="O121" s="359">
        <f t="shared" ca="1" si="17"/>
        <v>757.25519354045684</v>
      </c>
    </row>
    <row r="122" spans="2:15" s="532" customFormat="1" x14ac:dyDescent="0.3">
      <c r="B122" s="594" t="s">
        <v>901</v>
      </c>
      <c r="C122" s="359">
        <f ca="1">'F1'!C130*(1+wheeling!$D$33)</f>
        <v>53.032458138848213</v>
      </c>
      <c r="D122" s="359">
        <f ca="1">'F1'!D130*(1+wheeling!$D$33)</f>
        <v>53.002486373057373</v>
      </c>
      <c r="E122" s="359">
        <f ca="1">'F1'!E130*(1+wheeling!$D$33)</f>
        <v>54.191324220512378</v>
      </c>
      <c r="F122" s="359">
        <f ca="1">'F1'!F130*(1+wheeling!$D$33)</f>
        <v>62.207165173305327</v>
      </c>
      <c r="G122" s="359">
        <f ca="1">'F1'!G130*(1+wheeling!$D$33)</f>
        <v>58.146266574822633</v>
      </c>
      <c r="H122" s="359">
        <f ca="1">'F1'!H130*(1+wheeling!$D$33)</f>
        <v>57.89049230238242</v>
      </c>
      <c r="I122" s="359">
        <f ca="1">'F1'!I130*(1+wheeling!$D$33)</f>
        <v>64.43775543976767</v>
      </c>
      <c r="J122" s="359">
        <f ca="1">'F1'!J130*(1+wheeling!$D$33)</f>
        <v>66.18741023023756</v>
      </c>
      <c r="K122" s="359">
        <f ca="1">'F1'!K130*(1+wheeling!$D$33)</f>
        <v>58.193771127897108</v>
      </c>
      <c r="L122" s="359">
        <f ca="1">'F1'!L130*(1+wheeling!$D$33)</f>
        <v>48.786030449747571</v>
      </c>
      <c r="M122" s="359">
        <f ca="1">'F1'!M130*(1+wheeling!$D$33)</f>
        <v>41.662748452048163</v>
      </c>
      <c r="N122" s="359">
        <f ca="1">'F1'!N130*(1+wheeling!$D$33)</f>
        <v>49.271775175882802</v>
      </c>
      <c r="O122" s="359">
        <f t="shared" ca="1" si="17"/>
        <v>667.00968365850929</v>
      </c>
    </row>
    <row r="123" spans="2:15" s="532" customFormat="1" x14ac:dyDescent="0.3">
      <c r="B123" s="594" t="s">
        <v>902</v>
      </c>
      <c r="C123" s="359">
        <f ca="1">'F1'!C131*(1+wheeling!$D$33)</f>
        <v>13.729237445615491</v>
      </c>
      <c r="D123" s="359">
        <f ca="1">'F1'!D131*(1+wheeling!$D$33)</f>
        <v>13.68403446972486</v>
      </c>
      <c r="E123" s="359">
        <f ca="1">'F1'!E131*(1+wheeling!$D$33)</f>
        <v>14.777817179487252</v>
      </c>
      <c r="F123" s="359">
        <f ca="1">'F1'!F131*(1+wheeling!$D$33)</f>
        <v>21.93982530564767</v>
      </c>
      <c r="G123" s="359">
        <f ca="1">'F1'!G131*(1+wheeling!$D$33)</f>
        <v>18.728145917715352</v>
      </c>
      <c r="H123" s="359">
        <f ca="1">'F1'!H131*(1+wheeling!$D$33)</f>
        <v>17.655174696552113</v>
      </c>
      <c r="I123" s="359">
        <f ca="1">'F1'!I131*(1+wheeling!$D$33)</f>
        <v>21.269101775075715</v>
      </c>
      <c r="J123" s="359">
        <f ca="1">'F1'!J131*(1+wheeling!$D$33)</f>
        <v>22.391712785237161</v>
      </c>
      <c r="K123" s="359">
        <f ca="1">'F1'!K131*(1+wheeling!$D$33)</f>
        <v>17.590117478936513</v>
      </c>
      <c r="L123" s="359">
        <f ca="1">'F1'!L131*(1+wheeling!$D$33)</f>
        <v>12.499331091829184</v>
      </c>
      <c r="M123" s="359">
        <f ca="1">'F1'!M131*(1+wheeling!$D$33)</f>
        <v>9.8301794776717877</v>
      </c>
      <c r="N123" s="359">
        <f ca="1">'F1'!N131*(1+wheeling!$D$33)</f>
        <v>13.270508004761313</v>
      </c>
      <c r="O123" s="359">
        <f t="shared" ca="1" si="17"/>
        <v>197.36518562825441</v>
      </c>
    </row>
    <row r="124" spans="2:15" s="532" customFormat="1" x14ac:dyDescent="0.3">
      <c r="B124" s="594" t="s">
        <v>903</v>
      </c>
      <c r="C124" s="359">
        <f ca="1">'F1'!C132*(1+wheeling!$D$33)</f>
        <v>25.343055547048021</v>
      </c>
      <c r="D124" s="359">
        <f ca="1">'F1'!D132*(1+wheeling!$D$33)</f>
        <v>25.302239168035502</v>
      </c>
      <c r="E124" s="359">
        <f ca="1">'F1'!E132*(1+wheeling!$D$33)</f>
        <v>31.742702847061867</v>
      </c>
      <c r="F124" s="359">
        <f ca="1">'F1'!F132*(1+wheeling!$D$33)</f>
        <v>51.644923040769342</v>
      </c>
      <c r="G124" s="359">
        <f ca="1">'F1'!G132*(1+wheeling!$D$33)</f>
        <v>33.953888725521544</v>
      </c>
      <c r="H124" s="359">
        <f ca="1">'F1'!H132*(1+wheeling!$D$33)</f>
        <v>29.96913571582332</v>
      </c>
      <c r="I124" s="359">
        <f ca="1">'F1'!I132*(1+wheeling!$D$33)</f>
        <v>34.696445526172617</v>
      </c>
      <c r="J124" s="359">
        <f ca="1">'F1'!J132*(1+wheeling!$D$33)</f>
        <v>36.335005278321411</v>
      </c>
      <c r="K124" s="359">
        <f ca="1">'F1'!K132*(1+wheeling!$D$33)</f>
        <v>29.120240818421578</v>
      </c>
      <c r="L124" s="359">
        <f ca="1">'F1'!L132*(1+wheeling!$D$33)</f>
        <v>23.078036824429763</v>
      </c>
      <c r="M124" s="359">
        <f ca="1">'F1'!M132*(1+wheeling!$D$33)</f>
        <v>19.788348616365507</v>
      </c>
      <c r="N124" s="359">
        <f ca="1">'F1'!N132*(1+wheeling!$D$33)</f>
        <v>23.090069888415464</v>
      </c>
      <c r="O124" s="359">
        <f t="shared" ca="1" si="17"/>
        <v>364.06409199638597</v>
      </c>
    </row>
    <row r="125" spans="2:15" s="532" customFormat="1" x14ac:dyDescent="0.3">
      <c r="B125" s="344" t="s">
        <v>962</v>
      </c>
      <c r="C125" s="359">
        <f ca="1">'F1'!C133*(1+wheeling!$D$33)</f>
        <v>73.573464341187503</v>
      </c>
      <c r="D125" s="359">
        <f ca="1">'F1'!D133*(1+wheeling!$D$33)</f>
        <v>43.513403772545118</v>
      </c>
      <c r="E125" s="359">
        <f ca="1">'F1'!E133*(1+wheeling!$D$33)</f>
        <v>15.657326191948419</v>
      </c>
      <c r="F125" s="359">
        <f ca="1">'F1'!F133*(1+wheeling!$D$33)</f>
        <v>31.116025226759941</v>
      </c>
      <c r="G125" s="359">
        <f ca="1">'F1'!G133*(1+wheeling!$D$33)</f>
        <v>30.748106606037091</v>
      </c>
      <c r="H125" s="359">
        <f ca="1">'F1'!H133*(1+wheeling!$D$33)</f>
        <v>37.191855263407668</v>
      </c>
      <c r="I125" s="359">
        <f ca="1">'F1'!I133*(1+wheeling!$D$33)</f>
        <v>48.056922183050254</v>
      </c>
      <c r="J125" s="359">
        <f ca="1">'F1'!J133*(1+wheeling!$D$33)</f>
        <v>58.363314718801831</v>
      </c>
      <c r="K125" s="359">
        <f ca="1">'F1'!K133*(1+wheeling!$D$33)</f>
        <v>58.980143681099818</v>
      </c>
      <c r="L125" s="359">
        <f ca="1">'F1'!L133*(1+wheeling!$D$33)</f>
        <v>56.44005196135484</v>
      </c>
      <c r="M125" s="359">
        <f ca="1">'F1'!M133*(1+wheeling!$D$33)</f>
        <v>52.033474254773878</v>
      </c>
      <c r="N125" s="359">
        <f ca="1">'F1'!N133*(1+wheeling!$D$33)</f>
        <v>59.279968048495846</v>
      </c>
      <c r="O125" s="359">
        <f t="shared" ca="1" si="17"/>
        <v>564.95405624946216</v>
      </c>
    </row>
    <row r="126" spans="2:15" s="532" customFormat="1" x14ac:dyDescent="0.3">
      <c r="B126" s="344" t="s">
        <v>963</v>
      </c>
      <c r="C126" s="359">
        <f ca="1">'F1'!C134*(1+wheeling!$D$33)</f>
        <v>16.563036568304717</v>
      </c>
      <c r="D126" s="359">
        <f ca="1">'F1'!D134*(1+wheeling!$D$33)</f>
        <v>16.914502050677452</v>
      </c>
      <c r="E126" s="359">
        <f ca="1">'F1'!E134*(1+wheeling!$D$33)</f>
        <v>19.32443121130466</v>
      </c>
      <c r="F126" s="359">
        <f ca="1">'F1'!F134*(1+wheeling!$D$33)</f>
        <v>26.894864670452076</v>
      </c>
      <c r="G126" s="359">
        <f ca="1">'F1'!G134*(1+wheeling!$D$33)</f>
        <v>10.323235896051502</v>
      </c>
      <c r="H126" s="359">
        <f ca="1">'F1'!H134*(1+wheeling!$D$33)</f>
        <v>9.5665777504636189</v>
      </c>
      <c r="I126" s="359">
        <f ca="1">'F1'!I134*(1+wheeling!$D$33)</f>
        <v>10.770746194305906</v>
      </c>
      <c r="J126" s="359">
        <f ca="1">'F1'!J134*(1+wheeling!$D$33)</f>
        <v>12.509220550519567</v>
      </c>
      <c r="K126" s="359">
        <f ca="1">'F1'!K134*(1+wheeling!$D$33)</f>
        <v>11.904608778381988</v>
      </c>
      <c r="L126" s="359">
        <f ca="1">'F1'!L134*(1+wheeling!$D$33)</f>
        <v>13.421008136812654</v>
      </c>
      <c r="M126" s="359">
        <f ca="1">'F1'!M134*(1+wheeling!$D$33)</f>
        <v>11.892324633248963</v>
      </c>
      <c r="N126" s="359">
        <f ca="1">'F1'!N134*(1+wheeling!$D$33)</f>
        <v>11.499747751515601</v>
      </c>
      <c r="O126" s="359">
        <f t="shared" ca="1" si="17"/>
        <v>171.5843041920387</v>
      </c>
    </row>
    <row r="127" spans="2:15" s="532" customFormat="1" x14ac:dyDescent="0.3">
      <c r="B127" s="344" t="s">
        <v>964</v>
      </c>
      <c r="C127" s="359">
        <f ca="1">'F1'!C135*(1+wheeling!$D$33)</f>
        <v>27.815062429009206</v>
      </c>
      <c r="D127" s="359">
        <f ca="1">'F1'!D135*(1+wheeling!$D$33)</f>
        <v>27.754227559354511</v>
      </c>
      <c r="E127" s="359">
        <f ca="1">'F1'!E135*(1+wheeling!$D$33)</f>
        <v>35.726976710237281</v>
      </c>
      <c r="F127" s="359">
        <f ca="1">'F1'!F135*(1+wheeling!$D$33)</f>
        <v>50.809818775384585</v>
      </c>
      <c r="G127" s="359">
        <f ca="1">'F1'!G135*(1+wheeling!$D$33)</f>
        <v>21.753711405190732</v>
      </c>
      <c r="H127" s="359">
        <f ca="1">'F1'!H135*(1+wheeling!$D$33)</f>
        <v>19.080413813588081</v>
      </c>
      <c r="I127" s="359">
        <f ca="1">'F1'!I135*(1+wheeling!$D$33)</f>
        <v>20.586672632181035</v>
      </c>
      <c r="J127" s="359">
        <f ca="1">'F1'!J135*(1+wheeling!$D$33)</f>
        <v>25.026224616606306</v>
      </c>
      <c r="K127" s="359">
        <f ca="1">'F1'!K135*(1+wheeling!$D$33)</f>
        <v>22.58252504166347</v>
      </c>
      <c r="L127" s="359">
        <f ca="1">'F1'!L135*(1+wheeling!$D$33)</f>
        <v>23.622460260867015</v>
      </c>
      <c r="M127" s="359">
        <f ca="1">'F1'!M135*(1+wheeling!$D$33)</f>
        <v>22.232381919999998</v>
      </c>
      <c r="N127" s="359">
        <f ca="1">'F1'!N135*(1+wheeling!$D$33)</f>
        <v>22.274339672061416</v>
      </c>
      <c r="O127" s="359">
        <f t="shared" ca="1" si="17"/>
        <v>319.26481483614361</v>
      </c>
    </row>
    <row r="128" spans="2:15" s="532" customFormat="1" x14ac:dyDescent="0.3">
      <c r="B128" s="344" t="s">
        <v>965</v>
      </c>
      <c r="C128" s="359">
        <f ca="1">'F1'!C136*(1+wheeling!$D$33)</f>
        <v>4.0951167741777246</v>
      </c>
      <c r="D128" s="359">
        <f ca="1">'F1'!D136*(1+wheeling!$D$33)</f>
        <v>5.5563054806538403</v>
      </c>
      <c r="E128" s="359">
        <f ca="1">'F1'!E136*(1+wheeling!$D$33)</f>
        <v>1.5205223201040807</v>
      </c>
      <c r="F128" s="359">
        <f ca="1">'F1'!F136*(1+wheeling!$D$33)</f>
        <v>6.5092034201361093</v>
      </c>
      <c r="G128" s="359">
        <f ca="1">'F1'!G136*(1+wheeling!$D$33)</f>
        <v>5.1812488321467418</v>
      </c>
      <c r="H128" s="359">
        <f ca="1">'F1'!H136*(1+wheeling!$D$33)</f>
        <v>5.8805317970558173</v>
      </c>
      <c r="I128" s="359">
        <f ca="1">'F1'!I136*(1+wheeling!$D$33)</f>
        <v>6.916262453213065</v>
      </c>
      <c r="J128" s="359">
        <f ca="1">'F1'!J136*(1+wheeling!$D$33)</f>
        <v>7.9069700749685996</v>
      </c>
      <c r="K128" s="359">
        <f ca="1">'F1'!K136*(1+wheeling!$D$33)</f>
        <v>7.845288852613117</v>
      </c>
      <c r="L128" s="359">
        <f ca="1">'F1'!L136*(1+wheeling!$D$33)</f>
        <v>7.9400887244726199</v>
      </c>
      <c r="M128" s="359">
        <f ca="1">'F1'!M136*(1+wheeling!$D$33)</f>
        <v>7.6671708405271337</v>
      </c>
      <c r="N128" s="359">
        <f ca="1">'F1'!N136*(1+wheeling!$D$33)</f>
        <v>7.8663388683022344</v>
      </c>
      <c r="O128" s="359">
        <f t="shared" ca="1" si="17"/>
        <v>74.885048438371086</v>
      </c>
    </row>
    <row r="129" spans="2:19" x14ac:dyDescent="0.3">
      <c r="B129" s="344" t="s">
        <v>966</v>
      </c>
      <c r="C129" s="359">
        <f ca="1">'F1'!C137*(1+wheeling!$D$33)</f>
        <v>6.5190730015689962</v>
      </c>
      <c r="D129" s="359">
        <f ca="1">'F1'!D137*(1+wheeling!$D$33)</f>
        <v>6.4853611728544136</v>
      </c>
      <c r="E129" s="359">
        <f ca="1">'F1'!E137*(1+wheeling!$D$33)</f>
        <v>7.4660684417461605</v>
      </c>
      <c r="F129" s="359">
        <f ca="1">'F1'!F137*(1+wheeling!$D$33)</f>
        <v>10.868101863010917</v>
      </c>
      <c r="G129" s="359">
        <f ca="1">'F1'!G137*(1+wheeling!$D$33)</f>
        <v>5.516560381203254</v>
      </c>
      <c r="H129" s="359">
        <f ca="1">'F1'!H137*(1+wheeling!$D$33)</f>
        <v>5.2643273991118118</v>
      </c>
      <c r="I129" s="359">
        <f ca="1">'F1'!I137*(1+wheeling!$D$33)</f>
        <v>5.9505761139602189</v>
      </c>
      <c r="J129" s="359">
        <f ca="1">'F1'!J137*(1+wheeling!$D$33)</f>
        <v>6.6432472753229899</v>
      </c>
      <c r="K129" s="359">
        <f ca="1">'F1'!K137*(1+wheeling!$D$33)</f>
        <v>6.0719811718934729</v>
      </c>
      <c r="L129" s="359">
        <f ca="1">'F1'!L137*(1+wheeling!$D$33)</f>
        <v>6.9905217948782372</v>
      </c>
      <c r="M129" s="359">
        <f ca="1">'F1'!M137*(1+wheeling!$D$33)</f>
        <v>6.4047965558769659</v>
      </c>
      <c r="N129" s="359">
        <f ca="1">'F1'!N137*(1+wheeling!$D$33)</f>
        <v>6.2634054386163962</v>
      </c>
      <c r="O129" s="359">
        <f t="shared" ca="1" si="17"/>
        <v>80.444020610043836</v>
      </c>
    </row>
    <row r="130" spans="2:19" x14ac:dyDescent="0.3">
      <c r="B130" s="344" t="s">
        <v>967</v>
      </c>
      <c r="C130" s="359">
        <f ca="1">'F1'!C138*(1+wheeling!$D$33)</f>
        <v>4.2865337177005172</v>
      </c>
      <c r="D130" s="359">
        <f ca="1">'F1'!D138*(1+wheeling!$D$33)</f>
        <v>7.9675570019903112</v>
      </c>
      <c r="E130" s="359">
        <f ca="1">'F1'!E138*(1+wheeling!$D$33)</f>
        <v>4.5765219811499707</v>
      </c>
      <c r="F130" s="359">
        <f ca="1">'F1'!F138*(1+wheeling!$D$33)</f>
        <v>8.1047540179190545</v>
      </c>
      <c r="G130" s="359">
        <f ca="1">'F1'!G138*(1+wheeling!$D$33)</f>
        <v>13.584946341103281</v>
      </c>
      <c r="H130" s="359">
        <f ca="1">'F1'!H138*(1+wheeling!$D$33)</f>
        <v>4.8661901161365799</v>
      </c>
      <c r="I130" s="359">
        <f ca="1">'F1'!I138*(1+wheeling!$D$33)</f>
        <v>5.4697096852832816</v>
      </c>
      <c r="J130" s="359">
        <f ca="1">'F1'!J138*(1+wheeling!$D$33)</f>
        <v>4.4361435578502917</v>
      </c>
      <c r="K130" s="359">
        <f ca="1">'F1'!K138*(1+wheeling!$D$33)</f>
        <v>4.1264925020507093</v>
      </c>
      <c r="L130" s="359">
        <f ca="1">'F1'!L138*(1+wheeling!$D$33)</f>
        <v>4.0918893352631116</v>
      </c>
      <c r="M130" s="359">
        <f ca="1">'F1'!M138*(1+wheeling!$D$33)</f>
        <v>4.1363704528551741</v>
      </c>
      <c r="N130" s="359">
        <f ca="1">'F1'!N138*(1+wheeling!$D$33)</f>
        <v>3.9375874161726441</v>
      </c>
      <c r="O130" s="359">
        <f t="shared" ca="1" si="17"/>
        <v>69.584696125474935</v>
      </c>
    </row>
    <row r="131" spans="2:19" x14ac:dyDescent="0.3">
      <c r="B131" s="344" t="s">
        <v>968</v>
      </c>
      <c r="C131" s="359">
        <f ca="1">'F1'!C139*(1+wheeling!$D$33)</f>
        <v>14.078413904861748</v>
      </c>
      <c r="D131" s="359">
        <f ca="1">'F1'!D139*(1+wheeling!$D$33)</f>
        <v>11.017875952077903</v>
      </c>
      <c r="E131" s="359">
        <f ca="1">'F1'!E139*(1+wheeling!$D$33)</f>
        <v>19.087522548571808</v>
      </c>
      <c r="F131" s="359">
        <f ca="1">'F1'!F139*(1+wheeling!$D$33)</f>
        <v>26.751579982872077</v>
      </c>
      <c r="G131" s="359">
        <f ca="1">'F1'!G139*(1+wheeling!$D$33)</f>
        <v>16.676173733290749</v>
      </c>
      <c r="H131" s="359">
        <f ca="1">'F1'!H139*(1+wheeling!$D$33)</f>
        <v>12.174903910509343</v>
      </c>
      <c r="I131" s="359">
        <f ca="1">'F1'!I139*(1+wheeling!$D$33)</f>
        <v>13.075184657054672</v>
      </c>
      <c r="J131" s="359">
        <f ca="1">'F1'!J139*(1+wheeling!$D$33)</f>
        <v>13.96034404150217</v>
      </c>
      <c r="K131" s="359">
        <f ca="1">'F1'!K139*(1+wheeling!$D$33)</f>
        <v>12.685985862924321</v>
      </c>
      <c r="L131" s="359">
        <f ca="1">'F1'!L139*(1+wheeling!$D$33)</f>
        <v>12.797602940797567</v>
      </c>
      <c r="M131" s="359">
        <f ca="1">'F1'!M139*(1+wheeling!$D$33)</f>
        <v>12.361668006520713</v>
      </c>
      <c r="N131" s="359">
        <f ca="1">'F1'!N139*(1+wheeling!$D$33)</f>
        <v>12.112562553970676</v>
      </c>
      <c r="O131" s="359">
        <f t="shared" ca="1" si="17"/>
        <v>176.77981809495373</v>
      </c>
    </row>
    <row r="132" spans="2:19" x14ac:dyDescent="0.3">
      <c r="B132" s="344" t="s">
        <v>969</v>
      </c>
      <c r="C132" s="359">
        <f ca="1">'F1'!C140*(1+wheeling!$D$33)</f>
        <v>0</v>
      </c>
      <c r="D132" s="359">
        <f ca="1">'F1'!D140*(1+wheeling!$D$33)</f>
        <v>0</v>
      </c>
      <c r="E132" s="359">
        <f ca="1">'F1'!E140*(1+wheeling!$D$33)</f>
        <v>0</v>
      </c>
      <c r="F132" s="359">
        <f ca="1">'F1'!F140*(1+wheeling!$D$33)</f>
        <v>0</v>
      </c>
      <c r="G132" s="359">
        <f ca="1">'F1'!G140*(1+wheeling!$D$33)</f>
        <v>0</v>
      </c>
      <c r="H132" s="359">
        <f ca="1">'F1'!H140*(1+wheeling!$D$33)</f>
        <v>0</v>
      </c>
      <c r="I132" s="359">
        <f ca="1">'F1'!I140*(1+wheeling!$D$33)</f>
        <v>0</v>
      </c>
      <c r="J132" s="359">
        <f ca="1">'F1'!J140*(1+wheeling!$D$33)</f>
        <v>0</v>
      </c>
      <c r="K132" s="359">
        <f ca="1">'F1'!K140*(1+wheeling!$D$33)</f>
        <v>0</v>
      </c>
      <c r="L132" s="359">
        <f ca="1">'F1'!L140*(1+wheeling!$D$33)</f>
        <v>0</v>
      </c>
      <c r="M132" s="359">
        <f ca="1">'F1'!M140*(1+wheeling!$D$33)</f>
        <v>0</v>
      </c>
      <c r="N132" s="359">
        <f ca="1">'F1'!N140*(1+wheeling!$D$33)</f>
        <v>0</v>
      </c>
      <c r="O132" s="359">
        <f t="shared" ca="1" si="17"/>
        <v>0</v>
      </c>
    </row>
    <row r="133" spans="2:19" s="425" customFormat="1" x14ac:dyDescent="0.3">
      <c r="B133" s="344" t="s">
        <v>970</v>
      </c>
      <c r="C133" s="359">
        <f ca="1">'F1'!C141*(1+wheeling!$D$33)</f>
        <v>0</v>
      </c>
      <c r="D133" s="359">
        <f ca="1">'F1'!D141*(1+wheeling!$D$33)</f>
        <v>0</v>
      </c>
      <c r="E133" s="359">
        <f ca="1">'F1'!E141*(1+wheeling!$D$33)</f>
        <v>0</v>
      </c>
      <c r="F133" s="359">
        <f ca="1">'F1'!F141*(1+wheeling!$D$33)</f>
        <v>0</v>
      </c>
      <c r="G133" s="359">
        <f ca="1">'F1'!G141*(1+wheeling!$D$33)</f>
        <v>0</v>
      </c>
      <c r="H133" s="359">
        <f ca="1">'F1'!H141*(1+wheeling!$D$33)</f>
        <v>0</v>
      </c>
      <c r="I133" s="359">
        <f ca="1">'F1'!I141*(1+wheeling!$D$33)</f>
        <v>0</v>
      </c>
      <c r="J133" s="359">
        <f ca="1">'F1'!J141*(1+wheeling!$D$33)</f>
        <v>0</v>
      </c>
      <c r="K133" s="359">
        <f ca="1">'F1'!K141*(1+wheeling!$D$33)</f>
        <v>0</v>
      </c>
      <c r="L133" s="359">
        <f ca="1">'F1'!L141*(1+wheeling!$D$33)</f>
        <v>0</v>
      </c>
      <c r="M133" s="359">
        <f ca="1">'F1'!M141*(1+wheeling!$D$33)</f>
        <v>0</v>
      </c>
      <c r="N133" s="359">
        <f ca="1">'F1'!N141*(1+wheeling!$D$33)</f>
        <v>0</v>
      </c>
      <c r="O133" s="359">
        <f t="shared" ca="1" si="17"/>
        <v>0</v>
      </c>
    </row>
    <row r="134" spans="2:19" x14ac:dyDescent="0.3">
      <c r="B134" s="344" t="s">
        <v>971</v>
      </c>
      <c r="C134" s="359">
        <f ca="1">'F1'!C142*(1+wheeling!$D$33)</f>
        <v>0.15829306316153677</v>
      </c>
      <c r="D134" s="359">
        <f ca="1">'F1'!D142*(1+wheeling!$D$33)</f>
        <v>0.15829306316153677</v>
      </c>
      <c r="E134" s="359">
        <f ca="1">'F1'!E142*(1+wheeling!$D$33)</f>
        <v>0.15836524899139362</v>
      </c>
      <c r="F134" s="359">
        <f ca="1">'F1'!F142*(1+wheeling!$D$33)</f>
        <v>0.35911822650900199</v>
      </c>
      <c r="G134" s="359">
        <f ca="1">'F1'!G142*(1+wheeling!$D$33)</f>
        <v>0.16423113229584574</v>
      </c>
      <c r="H134" s="359">
        <f ca="1">'F1'!H142*(1+wheeling!$D$33)</f>
        <v>0.15929320306506028</v>
      </c>
      <c r="I134" s="359">
        <f ca="1">'F1'!I142*(1+wheeling!$D$33)</f>
        <v>0.1730252494810115</v>
      </c>
      <c r="J134" s="359">
        <f ca="1">'F1'!J142*(1+wheeling!$D$33)</f>
        <v>0.21023129082924319</v>
      </c>
      <c r="K134" s="359">
        <f ca="1">'F1'!K142*(1+wheeling!$D$33)</f>
        <v>0.19542168782267566</v>
      </c>
      <c r="L134" s="359">
        <f ca="1">'F1'!L142*(1+wheeling!$D$33)</f>
        <v>0.33908404329511616</v>
      </c>
      <c r="M134" s="359">
        <f ca="1">'F1'!M142*(1+wheeling!$D$33)</f>
        <v>0.41420647640422859</v>
      </c>
      <c r="N134" s="359">
        <f ca="1">'F1'!N142*(1+wheeling!$D$33)</f>
        <v>0.40555463853588203</v>
      </c>
      <c r="O134" s="359">
        <f t="shared" ca="1" si="17"/>
        <v>2.8951173235525323</v>
      </c>
    </row>
    <row r="135" spans="2:19" x14ac:dyDescent="0.3">
      <c r="B135" s="458"/>
      <c r="C135" s="359"/>
      <c r="D135" s="359"/>
      <c r="E135" s="359"/>
      <c r="F135" s="359"/>
      <c r="G135" s="359"/>
      <c r="H135" s="359"/>
      <c r="I135" s="359"/>
      <c r="J135" s="359"/>
      <c r="K135" s="359"/>
      <c r="L135" s="359"/>
      <c r="M135" s="359"/>
      <c r="N135" s="359"/>
      <c r="O135" s="359"/>
    </row>
    <row r="136" spans="2:19" s="425" customFormat="1" ht="16" x14ac:dyDescent="0.3">
      <c r="B136" s="434" t="s">
        <v>416</v>
      </c>
      <c r="C136" s="361">
        <f ca="1">SUM(C119:C134)</f>
        <v>304.02545819929497</v>
      </c>
      <c r="D136" s="361">
        <f t="shared" ref="D136" ca="1" si="18">SUM(D119:D134)</f>
        <v>276.190003796437</v>
      </c>
      <c r="E136" s="361">
        <f t="shared" ref="E136:N136" ca="1" si="19">SUM(E119:E134)</f>
        <v>269.26120402460072</v>
      </c>
      <c r="F136" s="361">
        <f t="shared" ca="1" si="19"/>
        <v>362.00881914104536</v>
      </c>
      <c r="G136" s="361">
        <f t="shared" ca="1" si="19"/>
        <v>276.2737623748427</v>
      </c>
      <c r="H136" s="361">
        <f t="shared" ca="1" si="19"/>
        <v>260.81988619040277</v>
      </c>
      <c r="I136" s="361">
        <f t="shared" ca="1" si="19"/>
        <v>294.65525729118536</v>
      </c>
      <c r="J136" s="361">
        <f t="shared" ca="1" si="19"/>
        <v>318.20415391439974</v>
      </c>
      <c r="K136" s="361">
        <f t="shared" ca="1" si="19"/>
        <v>292.57545485392239</v>
      </c>
      <c r="L136" s="361">
        <f t="shared" ca="1" si="19"/>
        <v>271.75734608184871</v>
      </c>
      <c r="M136" s="361">
        <f t="shared" ca="1" si="19"/>
        <v>248.76343870360276</v>
      </c>
      <c r="N136" s="361">
        <f t="shared" ca="1" si="19"/>
        <v>271.57234949249744</v>
      </c>
      <c r="O136" s="361">
        <f ca="1">SUM(C136:N136)</f>
        <v>3446.1071340640801</v>
      </c>
      <c r="R136" s="885"/>
      <c r="S136" s="885"/>
    </row>
    <row r="137" spans="2:19" s="425" customFormat="1" ht="16" x14ac:dyDescent="0.3">
      <c r="B137" s="434"/>
      <c r="C137" s="359"/>
      <c r="D137" s="359"/>
      <c r="E137" s="359"/>
      <c r="F137" s="359"/>
      <c r="G137" s="359"/>
      <c r="H137" s="359"/>
      <c r="I137" s="359"/>
      <c r="J137" s="359"/>
      <c r="K137" s="359"/>
      <c r="L137" s="359"/>
      <c r="M137" s="359"/>
      <c r="N137" s="359"/>
      <c r="O137" s="359"/>
      <c r="R137" s="885"/>
      <c r="S137" s="885"/>
    </row>
    <row r="138" spans="2:19" s="425" customFormat="1" ht="16" x14ac:dyDescent="0.3">
      <c r="B138" s="433" t="s">
        <v>145</v>
      </c>
      <c r="C138" s="361">
        <f ca="1">C136+C116</f>
        <v>351.14923105659994</v>
      </c>
      <c r="D138" s="361">
        <f t="shared" ref="D138" ca="1" si="20">D136+D116</f>
        <v>316.1351281477568</v>
      </c>
      <c r="E138" s="361">
        <f t="shared" ref="E138:N138" ca="1" si="21">E136+E116</f>
        <v>312.38382707022924</v>
      </c>
      <c r="F138" s="361">
        <f t="shared" ca="1" si="21"/>
        <v>406.29507315718513</v>
      </c>
      <c r="G138" s="361">
        <f t="shared" ca="1" si="21"/>
        <v>324.15906943455531</v>
      </c>
      <c r="H138" s="361">
        <f t="shared" ca="1" si="21"/>
        <v>308.28711361308859</v>
      </c>
      <c r="I138" s="361">
        <f t="shared" ca="1" si="21"/>
        <v>341.84629000087739</v>
      </c>
      <c r="J138" s="361">
        <f t="shared" ca="1" si="21"/>
        <v>367.33879814910875</v>
      </c>
      <c r="K138" s="361">
        <f t="shared" ca="1" si="21"/>
        <v>338.94139731187255</v>
      </c>
      <c r="L138" s="361">
        <f t="shared" ca="1" si="21"/>
        <v>318.93580604537385</v>
      </c>
      <c r="M138" s="361">
        <f t="shared" ca="1" si="21"/>
        <v>294.92229113799817</v>
      </c>
      <c r="N138" s="361">
        <f t="shared" ca="1" si="21"/>
        <v>315.12181313272816</v>
      </c>
      <c r="O138" s="361">
        <f ca="1">SUM(C138:N138)</f>
        <v>3995.5158382573741</v>
      </c>
      <c r="R138" s="885"/>
      <c r="S138" s="885"/>
    </row>
    <row r="139" spans="2:19" s="425" customFormat="1" ht="16" x14ac:dyDescent="0.3">
      <c r="B139" s="573"/>
      <c r="C139"/>
      <c r="D139"/>
      <c r="E139"/>
      <c r="F139"/>
      <c r="G139"/>
      <c r="H139"/>
      <c r="I139"/>
      <c r="J139"/>
      <c r="K139"/>
      <c r="L139"/>
      <c r="M139"/>
      <c r="N139"/>
      <c r="O139"/>
      <c r="R139" s="885"/>
      <c r="S139" s="885"/>
    </row>
    <row r="140" spans="2:19" x14ac:dyDescent="0.3">
      <c r="B140" s="597" t="s">
        <v>814</v>
      </c>
      <c r="C140"/>
      <c r="D140"/>
      <c r="E140"/>
      <c r="F140"/>
      <c r="G140"/>
      <c r="H140"/>
      <c r="I140"/>
      <c r="J140"/>
      <c r="K140"/>
      <c r="L140"/>
      <c r="M140"/>
      <c r="N140"/>
      <c r="O140"/>
      <c r="P140"/>
      <c r="Q140"/>
    </row>
    <row r="141" spans="2:19" s="570" customFormat="1" x14ac:dyDescent="0.3">
      <c r="B141" s="597"/>
      <c r="C141"/>
      <c r="D141"/>
      <c r="E141"/>
      <c r="F141"/>
      <c r="G141"/>
      <c r="H141"/>
      <c r="I141"/>
      <c r="J141"/>
      <c r="K141"/>
      <c r="L141"/>
      <c r="M141"/>
      <c r="N141"/>
      <c r="O141"/>
    </row>
    <row r="142" spans="2:19" s="576" customFormat="1" ht="28" x14ac:dyDescent="0.25">
      <c r="B142" s="827" t="s">
        <v>292</v>
      </c>
      <c r="C142" s="827" t="s">
        <v>151</v>
      </c>
      <c r="D142" s="827" t="s">
        <v>152</v>
      </c>
      <c r="E142" s="827" t="s">
        <v>153</v>
      </c>
      <c r="F142" s="827" t="s">
        <v>154</v>
      </c>
      <c r="G142" s="827" t="s">
        <v>155</v>
      </c>
      <c r="H142" s="827" t="s">
        <v>156</v>
      </c>
      <c r="I142" s="827" t="s">
        <v>157</v>
      </c>
      <c r="J142" s="827" t="s">
        <v>158</v>
      </c>
      <c r="K142" s="827" t="s">
        <v>159</v>
      </c>
      <c r="L142" s="827" t="s">
        <v>160</v>
      </c>
      <c r="M142" s="827" t="s">
        <v>161</v>
      </c>
      <c r="N142" s="827" t="s">
        <v>162</v>
      </c>
      <c r="O142" s="827" t="s">
        <v>145</v>
      </c>
    </row>
    <row r="143" spans="2:19" s="532" customFormat="1" x14ac:dyDescent="0.3">
      <c r="B143" s="458" t="s">
        <v>293</v>
      </c>
      <c r="C143" s="359"/>
      <c r="D143" s="359"/>
      <c r="E143" s="359"/>
      <c r="F143" s="359"/>
      <c r="G143" s="359"/>
      <c r="H143" s="359"/>
      <c r="I143" s="359"/>
      <c r="J143" s="359"/>
      <c r="K143" s="359"/>
      <c r="L143" s="359"/>
      <c r="M143" s="359"/>
      <c r="N143" s="359"/>
      <c r="O143" s="359"/>
    </row>
    <row r="144" spans="2:19" s="532" customFormat="1" x14ac:dyDescent="0.3">
      <c r="B144" s="344"/>
      <c r="C144" s="359"/>
      <c r="D144" s="359"/>
      <c r="E144" s="359"/>
      <c r="F144" s="359"/>
      <c r="G144" s="359"/>
      <c r="H144" s="359"/>
      <c r="I144" s="359"/>
      <c r="J144" s="359"/>
      <c r="K144" s="359"/>
      <c r="L144" s="359"/>
      <c r="M144" s="359"/>
      <c r="N144" s="359"/>
      <c r="O144" s="359"/>
    </row>
    <row r="145" spans="2:15" s="532" customFormat="1" x14ac:dyDescent="0.3">
      <c r="B145" s="344" t="s">
        <v>953</v>
      </c>
      <c r="C145" s="359">
        <f ca="1">'F1'!C159*(1+wheeling!$E$32)</f>
        <v>13.068266036967447</v>
      </c>
      <c r="D145" s="359">
        <f ca="1">'F1'!D159*(1+wheeling!$E$32)</f>
        <v>12.142105990070938</v>
      </c>
      <c r="E145" s="359">
        <f ca="1">'F1'!E159*(1+wheeling!$E$32)</f>
        <v>12.673618755997719</v>
      </c>
      <c r="F145" s="359">
        <f ca="1">'F1'!F159*(1+wheeling!$E$32)</f>
        <v>12.601705440169214</v>
      </c>
      <c r="G145" s="359">
        <f ca="1">'F1'!G159*(1+wheeling!$E$32)</f>
        <v>12.915511021974091</v>
      </c>
      <c r="H145" s="359">
        <f ca="1">'F1'!H159*(1+wheeling!$E$32)</f>
        <v>12.707632944643317</v>
      </c>
      <c r="I145" s="359">
        <f ca="1">'F1'!I159*(1+wheeling!$E$32)</f>
        <v>12.352595255598924</v>
      </c>
      <c r="J145" s="359">
        <f ca="1">'F1'!J159*(1+wheeling!$E$32)</f>
        <v>13.146388380247474</v>
      </c>
      <c r="K145" s="359">
        <f ca="1">'F1'!K159*(1+wheeling!$E$32)</f>
        <v>12.705281561078968</v>
      </c>
      <c r="L145" s="359">
        <f ca="1">'F1'!L159*(1+wheeling!$E$32)</f>
        <v>12.547699436661807</v>
      </c>
      <c r="M145" s="359">
        <f ca="1">'F1'!M159*(1+wheeling!$E$32)</f>
        <v>11.52188358934675</v>
      </c>
      <c r="N145" s="359">
        <f ca="1">'F1'!N159*(1+wheeling!$E$32)</f>
        <v>10.902902589747677</v>
      </c>
      <c r="O145" s="359">
        <f t="shared" ref="O145:O151" ca="1" si="22">SUM(C145:N145)</f>
        <v>149.2855910025043</v>
      </c>
    </row>
    <row r="146" spans="2:15" s="532" customFormat="1" x14ac:dyDescent="0.3">
      <c r="B146" s="344" t="s">
        <v>954</v>
      </c>
      <c r="C146" s="359">
        <f ca="1">'F1'!C160*(1+wheeling!$E$32)</f>
        <v>17.350422606930323</v>
      </c>
      <c r="D146" s="359">
        <f ca="1">'F1'!D160*(1+wheeling!$E$32)</f>
        <v>15.579273769929832</v>
      </c>
      <c r="E146" s="359">
        <f ca="1">'F1'!E160*(1+wheeling!$E$32)</f>
        <v>14.870824950807101</v>
      </c>
      <c r="F146" s="359">
        <f ca="1">'F1'!F160*(1+wheeling!$E$32)</f>
        <v>16.365049343826513</v>
      </c>
      <c r="G146" s="359">
        <f ca="1">'F1'!G160*(1+wheeling!$E$32)</f>
        <v>17.129074114296472</v>
      </c>
      <c r="H146" s="359">
        <f ca="1">'F1'!H160*(1+wheeling!$E$32)</f>
        <v>16.637087034518657</v>
      </c>
      <c r="I146" s="359">
        <f ca="1">'F1'!I160*(1+wheeling!$E$32)</f>
        <v>16.646088203588718</v>
      </c>
      <c r="J146" s="359">
        <f ca="1">'F1'!J160*(1+wheeling!$E$32)</f>
        <v>18.276306674586476</v>
      </c>
      <c r="K146" s="359">
        <f ca="1">'F1'!K160*(1+wheeling!$E$32)</f>
        <v>17.575229432828849</v>
      </c>
      <c r="L146" s="359">
        <f ca="1">'F1'!L160*(1+wheeling!$E$32)</f>
        <v>17.589665270016685</v>
      </c>
      <c r="M146" s="359">
        <f ca="1">'F1'!M160*(1+wheeling!$E$32)</f>
        <v>14.03709874208335</v>
      </c>
      <c r="N146" s="359">
        <f ca="1">'F1'!N160*(1+wheeling!$E$32)</f>
        <v>13.739484953292306</v>
      </c>
      <c r="O146" s="359">
        <f t="shared" ca="1" si="22"/>
        <v>195.79560509670529</v>
      </c>
    </row>
    <row r="147" spans="2:15" s="532" customFormat="1" x14ac:dyDescent="0.3">
      <c r="B147" s="348" t="s">
        <v>955</v>
      </c>
      <c r="C147" s="359">
        <f ca="1">'F1'!C161*(1+wheeling!$E$32)</f>
        <v>2.6617823694507718</v>
      </c>
      <c r="D147" s="359">
        <f ca="1">'F1'!D161*(1+wheeling!$E$32)</f>
        <v>2.6803700261995633</v>
      </c>
      <c r="E147" s="359">
        <f ca="1">'F1'!E161*(1+wheeling!$E$32)</f>
        <v>2.9299047942165526</v>
      </c>
      <c r="F147" s="359">
        <f ca="1">'F1'!F161*(1+wheeling!$E$32)</f>
        <v>2.1783233514738352</v>
      </c>
      <c r="G147" s="359">
        <f ca="1">'F1'!G161*(1+wheeling!$E$32)</f>
        <v>2.2123041799914764</v>
      </c>
      <c r="H147" s="359">
        <f ca="1">'F1'!H161*(1+wheeling!$E$32)</f>
        <v>2.1224471589750076</v>
      </c>
      <c r="I147" s="359">
        <f ca="1">'F1'!I161*(1+wheeling!$E$32)</f>
        <v>2.1048592951519005</v>
      </c>
      <c r="J147" s="359">
        <f ca="1">'F1'!J161*(1+wheeling!$E$32)</f>
        <v>2.246701504652072</v>
      </c>
      <c r="K147" s="359">
        <f ca="1">'F1'!K161*(1+wheeling!$E$32)</f>
        <v>2.101184626512</v>
      </c>
      <c r="L147" s="359">
        <f ca="1">'F1'!L161*(1+wheeling!$E$32)</f>
        <v>1.9772487184199616</v>
      </c>
      <c r="M147" s="359">
        <f ca="1">'F1'!M161*(1+wheeling!$E$32)</f>
        <v>1.8047930314996754</v>
      </c>
      <c r="N147" s="359">
        <f ca="1">'F1'!N161*(1+wheeling!$E$32)</f>
        <v>1.8037517911422898</v>
      </c>
      <c r="O147" s="359">
        <f t="shared" ca="1" si="22"/>
        <v>26.823670847685108</v>
      </c>
    </row>
    <row r="148" spans="2:15" s="532" customFormat="1" x14ac:dyDescent="0.3">
      <c r="B148" s="348" t="s">
        <v>956</v>
      </c>
      <c r="C148" s="359">
        <f ca="1">'F1'!C162*(1+wheeling!$E$32)</f>
        <v>0.20488577494449997</v>
      </c>
      <c r="D148" s="359">
        <f ca="1">'F1'!D162*(1+wheeling!$E$32)</f>
        <v>0.21375249258977369</v>
      </c>
      <c r="E148" s="359">
        <f ca="1">'F1'!E162*(1+wheeling!$E$32)</f>
        <v>0.21149714575741643</v>
      </c>
      <c r="F148" s="359">
        <f ca="1">'F1'!F162*(1+wheeling!$E$32)</f>
        <v>0.2190163164158985</v>
      </c>
      <c r="G148" s="359">
        <f ca="1">'F1'!G162*(1+wheeling!$E$32)</f>
        <v>0.2336320961120982</v>
      </c>
      <c r="H148" s="359">
        <f ca="1">'F1'!H162*(1+wheeling!$E$32)</f>
        <v>0.20757682526620999</v>
      </c>
      <c r="I148" s="359">
        <f ca="1">'F1'!I162*(1+wheeling!$E$32)</f>
        <v>0.21561661610338501</v>
      </c>
      <c r="J148" s="359">
        <f ca="1">'F1'!J162*(1+wheeling!$E$32)</f>
        <v>0.21819141143373641</v>
      </c>
      <c r="K148" s="359">
        <f ca="1">'F1'!K162*(1+wheeling!$E$32)</f>
        <v>0.21511115961921709</v>
      </c>
      <c r="L148" s="359">
        <f ca="1">'F1'!L162*(1+wheeling!$E$32)</f>
        <v>0.20482309834046314</v>
      </c>
      <c r="M148" s="359">
        <f ca="1">'F1'!M162*(1+wheeling!$E$32)</f>
        <v>0.21635761530917519</v>
      </c>
      <c r="N148" s="359">
        <f ca="1">'F1'!N162*(1+wheeling!$E$32)</f>
        <v>0.19058843283332605</v>
      </c>
      <c r="O148" s="359">
        <f t="shared" ca="1" si="22"/>
        <v>2.5510489847251994</v>
      </c>
    </row>
    <row r="149" spans="2:15" s="532" customFormat="1" x14ac:dyDescent="0.3">
      <c r="B149" s="594" t="s">
        <v>957</v>
      </c>
      <c r="C149" s="359">
        <f ca="1">'F1'!C163*(1+wheeling!$E$32)</f>
        <v>2.3891977748427569</v>
      </c>
      <c r="D149" s="359">
        <f ca="1">'F1'!D163*(1+wheeling!$E$32)</f>
        <v>2.3578331890871689</v>
      </c>
      <c r="E149" s="359">
        <f ca="1">'F1'!E163*(1+wheeling!$E$32)</f>
        <v>2.3991350493214982</v>
      </c>
      <c r="F149" s="359">
        <f ca="1">'F1'!F163*(1+wheeling!$E$32)</f>
        <v>2.3206952793694149</v>
      </c>
      <c r="G149" s="359">
        <f ca="1">'F1'!G163*(1+wheeling!$E$32)</f>
        <v>2.4649869309918637</v>
      </c>
      <c r="H149" s="359">
        <f ca="1">'F1'!H163*(1+wheeling!$E$32)</f>
        <v>2.3834456800529256</v>
      </c>
      <c r="I149" s="359">
        <f ca="1">'F1'!I163*(1+wheeling!$E$32)</f>
        <v>2.3014323327577748</v>
      </c>
      <c r="J149" s="359">
        <f ca="1">'F1'!J163*(1+wheeling!$E$32)</f>
        <v>2.3452938246279311</v>
      </c>
      <c r="K149" s="359">
        <f ca="1">'F1'!K163*(1+wheeling!$E$32)</f>
        <v>2.1054769629755539</v>
      </c>
      <c r="L149" s="359">
        <f ca="1">'F1'!L163*(1+wheeling!$E$32)</f>
        <v>1.9960577651088183</v>
      </c>
      <c r="M149" s="359">
        <f ca="1">'F1'!M163*(1+wheeling!$E$32)</f>
        <v>1.7821445373570792</v>
      </c>
      <c r="N149" s="359">
        <f ca="1">'F1'!N163*(1+wheeling!$E$32)</f>
        <v>1.7014615515282585</v>
      </c>
      <c r="O149" s="359">
        <f t="shared" ca="1" si="22"/>
        <v>26.547160878021046</v>
      </c>
    </row>
    <row r="150" spans="2:15" s="532" customFormat="1" x14ac:dyDescent="0.3">
      <c r="B150" s="594" t="s">
        <v>958</v>
      </c>
      <c r="C150" s="359">
        <f ca="1">'F1'!C164*(1+wheeling!$E$32)</f>
        <v>16.252300198642075</v>
      </c>
      <c r="D150" s="359">
        <f ca="1">'F1'!D164*(1+wheeling!$E$32)</f>
        <v>16.365544691180997</v>
      </c>
      <c r="E150" s="359">
        <f ca="1">'F1'!E164*(1+wheeling!$E$32)</f>
        <v>16.896121351699097</v>
      </c>
      <c r="F150" s="359">
        <f ca="1">'F1'!F164*(1+wheeling!$E$32)</f>
        <v>17.537071511926044</v>
      </c>
      <c r="G150" s="359">
        <f ca="1">'F1'!G164*(1+wheeling!$E$32)</f>
        <v>17.581782170689603</v>
      </c>
      <c r="H150" s="359">
        <f ca="1">'F1'!H164*(1+wheeling!$E$32)</f>
        <v>16.350168704932607</v>
      </c>
      <c r="I150" s="359">
        <f ca="1">'F1'!I164*(1+wheeling!$E$32)</f>
        <v>16.492957128971142</v>
      </c>
      <c r="J150" s="359">
        <f ca="1">'F1'!J164*(1+wheeling!$E$32)</f>
        <v>15.668641509069626</v>
      </c>
      <c r="K150" s="359">
        <f ca="1">'F1'!K164*(1+wheeling!$E$32)</f>
        <v>14.390508861248719</v>
      </c>
      <c r="L150" s="359">
        <f ca="1">'F1'!L164*(1+wheeling!$E$32)</f>
        <v>14.375835459513326</v>
      </c>
      <c r="M150" s="359">
        <f ca="1">'F1'!M164*(1+wheeling!$E$32)</f>
        <v>12.840583163674005</v>
      </c>
      <c r="N150" s="359">
        <f ca="1">'F1'!N164*(1+wheeling!$E$32)</f>
        <v>12.133488967928844</v>
      </c>
      <c r="O150" s="359">
        <f t="shared" ca="1" si="22"/>
        <v>186.88500371947612</v>
      </c>
    </row>
    <row r="151" spans="2:15" s="532" customFormat="1" x14ac:dyDescent="0.3">
      <c r="B151" s="594" t="s">
        <v>959</v>
      </c>
      <c r="C151" s="359">
        <f ca="1">'F1'!C165*(1+wheeling!$E$32)</f>
        <v>0</v>
      </c>
      <c r="D151" s="359">
        <f ca="1">'F1'!D165*(1+wheeling!$E$32)</f>
        <v>0</v>
      </c>
      <c r="E151" s="359">
        <f ca="1">'F1'!E165*(1+wheeling!$E$32)</f>
        <v>0</v>
      </c>
      <c r="F151" s="359">
        <f ca="1">'F1'!F165*(1+wheeling!$E$32)</f>
        <v>0</v>
      </c>
      <c r="G151" s="359">
        <f ca="1">'F1'!G165*(1+wheeling!$E$32)</f>
        <v>0</v>
      </c>
      <c r="H151" s="359">
        <f ca="1">'F1'!H165*(1+wheeling!$E$32)</f>
        <v>0</v>
      </c>
      <c r="I151" s="359">
        <f ca="1">'F1'!I165*(1+wheeling!$E$32)</f>
        <v>0</v>
      </c>
      <c r="J151" s="359">
        <f ca="1">'F1'!J165*(1+wheeling!$E$32)</f>
        <v>0</v>
      </c>
      <c r="K151" s="359">
        <f ca="1">'F1'!K165*(1+wheeling!$E$32)</f>
        <v>0</v>
      </c>
      <c r="L151" s="359">
        <f ca="1">'F1'!L165*(1+wheeling!$E$32)</f>
        <v>0</v>
      </c>
      <c r="M151" s="359">
        <f ca="1">'F1'!M165*(1+wheeling!$E$32)</f>
        <v>0</v>
      </c>
      <c r="N151" s="359">
        <f ca="1">'F1'!N165*(1+wheeling!$E$32)</f>
        <v>0</v>
      </c>
      <c r="O151" s="359">
        <f t="shared" ca="1" si="22"/>
        <v>0</v>
      </c>
    </row>
    <row r="152" spans="2:15" s="532" customFormat="1" x14ac:dyDescent="0.3">
      <c r="B152" s="594"/>
      <c r="C152" s="359"/>
      <c r="D152" s="359"/>
      <c r="E152" s="359"/>
      <c r="F152" s="359"/>
      <c r="G152" s="359"/>
      <c r="H152" s="359"/>
      <c r="I152" s="359"/>
      <c r="J152" s="359"/>
      <c r="K152" s="359"/>
      <c r="L152" s="359"/>
      <c r="M152" s="359"/>
      <c r="N152" s="359"/>
      <c r="O152" s="359"/>
    </row>
    <row r="153" spans="2:15" s="532" customFormat="1" x14ac:dyDescent="0.3">
      <c r="B153" s="434" t="s">
        <v>416</v>
      </c>
      <c r="C153" s="361">
        <f ca="1">SUM(C145:C151)</f>
        <v>51.926854761777875</v>
      </c>
      <c r="D153" s="361">
        <f t="shared" ref="D153" ca="1" si="23">SUM(D145:D151)</f>
        <v>49.338880159058277</v>
      </c>
      <c r="E153" s="361">
        <f t="shared" ref="E153:N153" ca="1" si="24">SUM(E145:E151)</f>
        <v>49.981102047799382</v>
      </c>
      <c r="F153" s="361">
        <f t="shared" ca="1" si="24"/>
        <v>51.221861243180918</v>
      </c>
      <c r="G153" s="361">
        <f t="shared" ca="1" si="24"/>
        <v>52.537290514055599</v>
      </c>
      <c r="H153" s="361">
        <f t="shared" ca="1" si="24"/>
        <v>50.408358348388717</v>
      </c>
      <c r="I153" s="361">
        <f t="shared" ca="1" si="24"/>
        <v>50.113548832171844</v>
      </c>
      <c r="J153" s="361">
        <f t="shared" ca="1" si="24"/>
        <v>51.901523304617314</v>
      </c>
      <c r="K153" s="361">
        <f t="shared" ca="1" si="24"/>
        <v>49.092792604263309</v>
      </c>
      <c r="L153" s="361">
        <f t="shared" ca="1" si="24"/>
        <v>48.691329748061058</v>
      </c>
      <c r="M153" s="361">
        <f t="shared" ca="1" si="24"/>
        <v>42.202860679270032</v>
      </c>
      <c r="N153" s="361">
        <f t="shared" ca="1" si="24"/>
        <v>40.471678286472702</v>
      </c>
      <c r="O153" s="361">
        <f ca="1">SUM(C153:N153)</f>
        <v>587.88808052911702</v>
      </c>
    </row>
    <row r="154" spans="2:15" s="532" customFormat="1" x14ac:dyDescent="0.3">
      <c r="B154" s="594"/>
      <c r="C154" s="359"/>
      <c r="D154" s="359"/>
      <c r="E154" s="359"/>
      <c r="F154" s="359"/>
      <c r="G154" s="359"/>
      <c r="H154" s="359"/>
      <c r="I154" s="359"/>
      <c r="J154" s="359"/>
      <c r="K154" s="359"/>
      <c r="L154" s="359"/>
      <c r="M154" s="359"/>
      <c r="N154" s="359"/>
      <c r="O154" s="359"/>
    </row>
    <row r="155" spans="2:15" s="532" customFormat="1" x14ac:dyDescent="0.3">
      <c r="B155" s="458" t="s">
        <v>294</v>
      </c>
      <c r="C155" s="359"/>
      <c r="D155" s="359"/>
      <c r="E155" s="359"/>
      <c r="F155" s="359"/>
      <c r="G155" s="359"/>
      <c r="H155" s="359"/>
      <c r="I155" s="359"/>
      <c r="J155" s="359"/>
      <c r="K155" s="359"/>
      <c r="L155" s="359"/>
      <c r="M155" s="359"/>
      <c r="N155" s="359"/>
      <c r="O155" s="359"/>
    </row>
    <row r="156" spans="2:15" s="532" customFormat="1" x14ac:dyDescent="0.3">
      <c r="B156" s="344" t="s">
        <v>960</v>
      </c>
      <c r="C156" s="359">
        <f ca="1">'F1'!C170*(1+wheeling!$E$33)</f>
        <v>6.8240838913709442E-4</v>
      </c>
      <c r="D156" s="359">
        <f ca="1">'F1'!D170*(1+wheeling!$E$33)</f>
        <v>6.5604021335899962E-4</v>
      </c>
      <c r="E156" s="359">
        <f ca="1">'F1'!E170*(1+wheeling!$E$33)</f>
        <v>6.4021930789214269E-4</v>
      </c>
      <c r="F156" s="359">
        <f ca="1">'F1'!F170*(1+wheeling!$E$33)</f>
        <v>7.0350292975957017E-4</v>
      </c>
      <c r="G156" s="359">
        <f ca="1">'F1'!G170*(1+wheeling!$E$33)</f>
        <v>8.1952290318318757E-4</v>
      </c>
      <c r="H156" s="359">
        <f ca="1">'F1'!H170*(1+wheeling!$E$33)</f>
        <v>9.3976178473130002E-4</v>
      </c>
      <c r="I156" s="359">
        <f ca="1">'F1'!I170*(1+wheeling!$E$33)</f>
        <v>7.5623928131575988E-4</v>
      </c>
      <c r="J156" s="359">
        <f ca="1">'F1'!J170*(1+wheeling!$E$33)</f>
        <v>7.910452733428452E-4</v>
      </c>
      <c r="K156" s="359">
        <f ca="1">'F1'!K170*(1+wheeling!$E$33)</f>
        <v>5.3580133181088706E-4</v>
      </c>
      <c r="L156" s="359">
        <f ca="1">'F1'!L170*(1+wheeling!$E$33)</f>
        <v>7.193238352264272E-4</v>
      </c>
      <c r="M156" s="359">
        <f ca="1">'F1'!M170*(1+wheeling!$E$33)</f>
        <v>6.6553275663911371E-4</v>
      </c>
      <c r="N156" s="359">
        <f ca="1">'F1'!N170*(1+wheeling!$E$33)</f>
        <v>9.060105197353386E-4</v>
      </c>
      <c r="O156" s="359">
        <f t="shared" ref="O156:O171" ca="1" si="25">SUM(C156:N156)</f>
        <v>8.8154085261326672E-3</v>
      </c>
    </row>
    <row r="157" spans="2:15" s="532" customFormat="1" x14ac:dyDescent="0.3">
      <c r="B157" s="344" t="s">
        <v>961</v>
      </c>
      <c r="C157" s="359">
        <f ca="1">'F1'!C171*(1+wheeling!$E$33)</f>
        <v>0</v>
      </c>
      <c r="D157" s="359">
        <f ca="1">'F1'!D171*(1+wheeling!$E$33)</f>
        <v>0</v>
      </c>
      <c r="E157" s="359">
        <f ca="1">'F1'!E171*(1+wheeling!$E$33)</f>
        <v>0</v>
      </c>
      <c r="F157" s="359">
        <f ca="1">'F1'!F171*(1+wheeling!$E$33)</f>
        <v>0</v>
      </c>
      <c r="G157" s="359">
        <f ca="1">'F1'!G171*(1+wheeling!$E$33)</f>
        <v>0</v>
      </c>
      <c r="H157" s="359">
        <f ca="1">'F1'!H171*(1+wheeling!$E$33)</f>
        <v>0</v>
      </c>
      <c r="I157" s="359">
        <f ca="1">'F1'!I171*(1+wheeling!$E$33)</f>
        <v>0</v>
      </c>
      <c r="J157" s="359">
        <f ca="1">'F1'!J171*(1+wheeling!$E$33)</f>
        <v>0</v>
      </c>
      <c r="K157" s="359">
        <f ca="1">'F1'!K171*(1+wheeling!$E$33)</f>
        <v>0</v>
      </c>
      <c r="L157" s="359">
        <f ca="1">'F1'!L171*(1+wheeling!$E$33)</f>
        <v>0</v>
      </c>
      <c r="M157" s="359">
        <f ca="1">'F1'!M171*(1+wheeling!$E$33)</f>
        <v>0</v>
      </c>
      <c r="N157" s="359">
        <f ca="1">'F1'!N171*(1+wheeling!$E$33)</f>
        <v>0</v>
      </c>
      <c r="O157" s="359">
        <f t="shared" ca="1" si="25"/>
        <v>0</v>
      </c>
    </row>
    <row r="158" spans="2:15" s="532" customFormat="1" x14ac:dyDescent="0.3">
      <c r="B158" s="594" t="s">
        <v>900</v>
      </c>
      <c r="C158" s="359">
        <f ca="1">'F1'!C172*(1+wheeling!$E$33)</f>
        <v>65.680534398918766</v>
      </c>
      <c r="D158" s="359">
        <f ca="1">'F1'!D172*(1+wheeling!$E$33)</f>
        <v>65.099776382133257</v>
      </c>
      <c r="E158" s="359">
        <f ca="1">'F1'!E172*(1+wheeling!$E$33)</f>
        <v>63.860812797393855</v>
      </c>
      <c r="F158" s="359">
        <f ca="1">'F1'!F172*(1+wheeling!$E$33)</f>
        <v>64.260112411563739</v>
      </c>
      <c r="G158" s="359">
        <f ca="1">'F1'!G172*(1+wheeling!$E$33)</f>
        <v>65.593717707532903</v>
      </c>
      <c r="H158" s="359">
        <f ca="1">'F1'!H172*(1+wheeling!$E$33)</f>
        <v>65.562544195401017</v>
      </c>
      <c r="I158" s="359">
        <f ca="1">'F1'!I172*(1+wheeling!$E$33)</f>
        <v>65.795733794712177</v>
      </c>
      <c r="J158" s="359">
        <f ca="1">'F1'!J172*(1+wheeling!$E$33)</f>
        <v>66.139881732424584</v>
      </c>
      <c r="K158" s="359">
        <f ca="1">'F1'!K172*(1+wheeling!$E$33)</f>
        <v>64.348760109075627</v>
      </c>
      <c r="L158" s="359">
        <f ca="1">'F1'!L172*(1+wheeling!$E$33)</f>
        <v>62.341084041150395</v>
      </c>
      <c r="M158" s="359">
        <f ca="1">'F1'!M172*(1+wheeling!$E$33)</f>
        <v>58.706637080047003</v>
      </c>
      <c r="N158" s="359">
        <f ca="1">'F1'!N172*(1+wheeling!$E$33)</f>
        <v>62.424989685930356</v>
      </c>
      <c r="O158" s="359">
        <f t="shared" ca="1" si="25"/>
        <v>769.8145843362837</v>
      </c>
    </row>
    <row r="159" spans="2:15" s="532" customFormat="1" x14ac:dyDescent="0.3">
      <c r="B159" s="594" t="s">
        <v>901</v>
      </c>
      <c r="C159" s="359">
        <f ca="1">'F1'!C173*(1+wheeling!$E$33)</f>
        <v>66.069234006425859</v>
      </c>
      <c r="D159" s="359">
        <f ca="1">'F1'!D173*(1+wheeling!$E$33)</f>
        <v>71.526535108336589</v>
      </c>
      <c r="E159" s="359">
        <f ca="1">'F1'!E173*(1+wheeling!$E$33)</f>
        <v>67.770710160491475</v>
      </c>
      <c r="F159" s="359">
        <f ca="1">'F1'!F173*(1+wheeling!$E$33)</f>
        <v>62.532808101959951</v>
      </c>
      <c r="G159" s="359">
        <f ca="1">'F1'!G173*(1+wheeling!$E$33)</f>
        <v>65.970576949388601</v>
      </c>
      <c r="H159" s="359">
        <f ca="1">'F1'!H173*(1+wheeling!$E$33)</f>
        <v>63.173566375364999</v>
      </c>
      <c r="I159" s="359">
        <f ca="1">'F1'!I173*(1+wheeling!$E$33)</f>
        <v>64.471874176510582</v>
      </c>
      <c r="J159" s="359">
        <f ca="1">'F1'!J173*(1+wheeling!$E$33)</f>
        <v>67.794953061301854</v>
      </c>
      <c r="K159" s="359">
        <f ca="1">'F1'!K173*(1+wheeling!$E$33)</f>
        <v>56.886973488508801</v>
      </c>
      <c r="L159" s="359">
        <f ca="1">'F1'!L173*(1+wheeling!$E$33)</f>
        <v>46.889935284321588</v>
      </c>
      <c r="M159" s="359">
        <f ca="1">'F1'!M173*(1+wheeling!$E$33)</f>
        <v>35.981244825509556</v>
      </c>
      <c r="N159" s="359">
        <f ca="1">'F1'!N173*(1+wheeling!$E$33)</f>
        <v>48.684131436966275</v>
      </c>
      <c r="O159" s="359">
        <f t="shared" ca="1" si="25"/>
        <v>717.75254297508616</v>
      </c>
    </row>
    <row r="160" spans="2:15" s="532" customFormat="1" x14ac:dyDescent="0.3">
      <c r="B160" s="594" t="s">
        <v>902</v>
      </c>
      <c r="C160" s="359">
        <f ca="1">'F1'!C174*(1+wheeling!$E$33)</f>
        <v>22.613601736508635</v>
      </c>
      <c r="D160" s="359">
        <f ca="1">'F1'!D174*(1+wheeling!$E$33)</f>
        <v>28.524319441829185</v>
      </c>
      <c r="E160" s="359">
        <f ca="1">'F1'!E174*(1+wheeling!$E$33)</f>
        <v>25.974416645019453</v>
      </c>
      <c r="F160" s="359">
        <f ca="1">'F1'!F174*(1+wheeling!$E$33)</f>
        <v>20.151378397796226</v>
      </c>
      <c r="G160" s="359">
        <f ca="1">'F1'!G174*(1+wheeling!$E$33)</f>
        <v>20.786537125393039</v>
      </c>
      <c r="H160" s="359">
        <f ca="1">'F1'!H174*(1+wheeling!$E$33)</f>
        <v>18.910035348874608</v>
      </c>
      <c r="I160" s="359">
        <f ca="1">'F1'!I174*(1+wheeling!$E$33)</f>
        <v>19.850481651449108</v>
      </c>
      <c r="J160" s="359">
        <f ca="1">'F1'!J174*(1+wheeling!$E$33)</f>
        <v>22.595607038630629</v>
      </c>
      <c r="K160" s="359">
        <f ca="1">'F1'!K174*(1+wheeling!$E$33)</f>
        <v>16.480862936409498</v>
      </c>
      <c r="L160" s="359">
        <f ca="1">'F1'!L174*(1+wheeling!$E$33)</f>
        <v>11.579318601738505</v>
      </c>
      <c r="M160" s="359">
        <f ca="1">'F1'!M174*(1+wheeling!$E$33)</f>
        <v>8.2236454875044132</v>
      </c>
      <c r="N160" s="359">
        <f ca="1">'F1'!N174*(1+wheeling!$E$33)</f>
        <v>13.0632151165536</v>
      </c>
      <c r="O160" s="359">
        <f t="shared" ca="1" si="25"/>
        <v>228.75341952770688</v>
      </c>
    </row>
    <row r="161" spans="1:19" s="532" customFormat="1" x14ac:dyDescent="0.3">
      <c r="B161" s="594" t="s">
        <v>903</v>
      </c>
      <c r="C161" s="359">
        <f ca="1">'F1'!C175*(1+wheeling!$E$33)</f>
        <v>35.915482595118988</v>
      </c>
      <c r="D161" s="359">
        <f ca="1">'F1'!D175*(1+wheeling!$E$33)</f>
        <v>43.97648811969708</v>
      </c>
      <c r="E161" s="359">
        <f ca="1">'F1'!E175*(1+wheeling!$E$33)</f>
        <v>40.281863707832926</v>
      </c>
      <c r="F161" s="359">
        <f ca="1">'F1'!F175*(1+wheeling!$E$33)</f>
        <v>31.745134103136753</v>
      </c>
      <c r="G161" s="359">
        <f ca="1">'F1'!G175*(1+wheeling!$E$33)</f>
        <v>33.891280009343077</v>
      </c>
      <c r="H161" s="359">
        <f ca="1">'F1'!H175*(1+wheeling!$E$33)</f>
        <v>31.528191519013024</v>
      </c>
      <c r="I161" s="359">
        <f ca="1">'F1'!I175*(1+wheeling!$E$33)</f>
        <v>31.84752489386419</v>
      </c>
      <c r="J161" s="359">
        <f ca="1">'F1'!J175*(1+wheeling!$E$33)</f>
        <v>36.622655974946873</v>
      </c>
      <c r="K161" s="359">
        <f ca="1">'F1'!K175*(1+wheeling!$E$33)</f>
        <v>28.006187951970713</v>
      </c>
      <c r="L161" s="359">
        <f ca="1">'F1'!L175*(1+wheeling!$E$33)</f>
        <v>24.244105308649939</v>
      </c>
      <c r="M161" s="359">
        <f ca="1">'F1'!M175*(1+wheeling!$E$33)</f>
        <v>18.776454170382777</v>
      </c>
      <c r="N161" s="359">
        <f ca="1">'F1'!N175*(1+wheeling!$E$33)</f>
        <v>23.353500131931192</v>
      </c>
      <c r="O161" s="359">
        <f t="shared" ca="1" si="25"/>
        <v>380.18886848588755</v>
      </c>
    </row>
    <row r="162" spans="1:19" s="532" customFormat="1" x14ac:dyDescent="0.3">
      <c r="B162" s="344" t="s">
        <v>962</v>
      </c>
      <c r="C162" s="359">
        <f ca="1">'F1'!C176*(1+wheeling!$E$33)</f>
        <v>66.878927908405998</v>
      </c>
      <c r="D162" s="359">
        <f ca="1">'F1'!D176*(1+wheeling!$E$33)</f>
        <v>49.532930398352363</v>
      </c>
      <c r="E162" s="359">
        <f ca="1">'F1'!E176*(1+wheeling!$E$33)</f>
        <v>42.370637737181269</v>
      </c>
      <c r="F162" s="359">
        <f ca="1">'F1'!F176*(1+wheeling!$E$33)</f>
        <v>49.747323707241868</v>
      </c>
      <c r="G162" s="359">
        <f ca="1">'F1'!G176*(1+wheeling!$E$33)</f>
        <v>59.98752817372764</v>
      </c>
      <c r="H162" s="359">
        <f ca="1">'F1'!H176*(1+wheeling!$E$33)</f>
        <v>64.568520923826526</v>
      </c>
      <c r="I162" s="359">
        <f ca="1">'F1'!I176*(1+wheeling!$E$33)</f>
        <v>68.427266135368697</v>
      </c>
      <c r="J162" s="359">
        <f ca="1">'F1'!J176*(1+wheeling!$E$33)</f>
        <v>74.298051875290895</v>
      </c>
      <c r="K162" s="359">
        <f ca="1">'F1'!K176*(1+wheeling!$E$33)</f>
        <v>65.654694641383273</v>
      </c>
      <c r="L162" s="359">
        <f ca="1">'F1'!L176*(1+wheeling!$E$33)</f>
        <v>60.68837002718768</v>
      </c>
      <c r="M162" s="359">
        <f ca="1">'F1'!M176*(1+wheeling!$E$33)</f>
        <v>49.978490340107328</v>
      </c>
      <c r="N162" s="359">
        <f ca="1">'F1'!N176*(1+wheeling!$E$33)</f>
        <v>60.952232143290956</v>
      </c>
      <c r="O162" s="359">
        <f t="shared" ca="1" si="25"/>
        <v>713.08497401136458</v>
      </c>
    </row>
    <row r="163" spans="1:19" s="532" customFormat="1" x14ac:dyDescent="0.3">
      <c r="B163" s="344" t="s">
        <v>963</v>
      </c>
      <c r="C163" s="359">
        <f ca="1">'F1'!C177*(1+wheeling!$E$33)</f>
        <v>14.419775491628153</v>
      </c>
      <c r="D163" s="359">
        <f ca="1">'F1'!D177*(1+wheeling!$E$33)</f>
        <v>11.122792663040943</v>
      </c>
      <c r="E163" s="359">
        <f ca="1">'F1'!E177*(1+wheeling!$E$33)</f>
        <v>10.447402427568948</v>
      </c>
      <c r="F163" s="359">
        <f ca="1">'F1'!F177*(1+wheeling!$E$33)</f>
        <v>11.645121966483288</v>
      </c>
      <c r="G163" s="359">
        <f ca="1">'F1'!G177*(1+wheeling!$E$33)</f>
        <v>12.507387682602767</v>
      </c>
      <c r="H163" s="359">
        <f ca="1">'F1'!H177*(1+wheeling!$E$33)</f>
        <v>12.745328827189139</v>
      </c>
      <c r="I163" s="359">
        <f ca="1">'F1'!I177*(1+wheeling!$E$33)</f>
        <v>13.043476954893151</v>
      </c>
      <c r="J163" s="359">
        <f ca="1">'F1'!J177*(1+wheeling!$E$33)</f>
        <v>14.821796301538329</v>
      </c>
      <c r="K163" s="359">
        <f ca="1">'F1'!K177*(1+wheeling!$E$33)</f>
        <v>14.178451837452966</v>
      </c>
      <c r="L163" s="359">
        <f ca="1">'F1'!L177*(1+wheeling!$E$33)</f>
        <v>13.19214178465708</v>
      </c>
      <c r="M163" s="359">
        <f ca="1">'F1'!M177*(1+wheeling!$E$33)</f>
        <v>10.96699155018443</v>
      </c>
      <c r="N163" s="359">
        <f ca="1">'F1'!N177*(1+wheeling!$E$33)</f>
        <v>13.205239384929575</v>
      </c>
      <c r="O163" s="359">
        <f t="shared" ca="1" si="25"/>
        <v>152.29590687216876</v>
      </c>
    </row>
    <row r="164" spans="1:19" s="532" customFormat="1" x14ac:dyDescent="0.3">
      <c r="B164" s="344" t="s">
        <v>964</v>
      </c>
      <c r="C164" s="359">
        <f ca="1">'F1'!C178*(1+wheeling!$E$33)</f>
        <v>27.660535973511916</v>
      </c>
      <c r="D164" s="359">
        <f ca="1">'F1'!D178*(1+wheeling!$E$33)</f>
        <v>22.265833975625402</v>
      </c>
      <c r="E164" s="359">
        <f ca="1">'F1'!E178*(1+wheeling!$E$33)</f>
        <v>21.602598414460076</v>
      </c>
      <c r="F164" s="359">
        <f ca="1">'F1'!F178*(1+wheeling!$E$33)</f>
        <v>23.689046770704792</v>
      </c>
      <c r="G164" s="359">
        <f ca="1">'F1'!G178*(1+wheeling!$E$33)</f>
        <v>25.914849881209705</v>
      </c>
      <c r="H164" s="359">
        <f ca="1">'F1'!H178*(1+wheeling!$E$33)</f>
        <v>26.440849634720358</v>
      </c>
      <c r="I164" s="359">
        <f ca="1">'F1'!I178*(1+wheeling!$E$33)</f>
        <v>26.719680436849337</v>
      </c>
      <c r="J164" s="359">
        <f ca="1">'F1'!J178*(1+wheeling!$E$33)</f>
        <v>29.916272237160122</v>
      </c>
      <c r="K164" s="359">
        <f ca="1">'F1'!K178*(1+wheeling!$E$33)</f>
        <v>29.088190224119369</v>
      </c>
      <c r="L164" s="359">
        <f ca="1">'F1'!L178*(1+wheeling!$E$33)</f>
        <v>27.910885981619458</v>
      </c>
      <c r="M164" s="359">
        <f ca="1">'F1'!M178*(1+wheeling!$E$33)</f>
        <v>22.672151743460379</v>
      </c>
      <c r="N164" s="359">
        <f ca="1">'F1'!N178*(1+wheeling!$E$33)</f>
        <v>23.001648467983451</v>
      </c>
      <c r="O164" s="359">
        <f t="shared" ca="1" si="25"/>
        <v>306.88254374142434</v>
      </c>
    </row>
    <row r="165" spans="1:19" s="532" customFormat="1" x14ac:dyDescent="0.3">
      <c r="B165" s="344" t="s">
        <v>965</v>
      </c>
      <c r="C165" s="359">
        <f ca="1">'F1'!C179*(1+wheeling!$E$33)</f>
        <v>8.5637274525118432</v>
      </c>
      <c r="D165" s="359">
        <f ca="1">'F1'!D179*(1+wheeling!$E$33)</f>
        <v>7.5469410621516362</v>
      </c>
      <c r="E165" s="359">
        <f ca="1">'F1'!E179*(1+wheeling!$E$33)</f>
        <v>7.0042344324679817</v>
      </c>
      <c r="F165" s="359">
        <f ca="1">'F1'!F179*(1+wheeling!$E$33)</f>
        <v>7.5527947971743732</v>
      </c>
      <c r="G165" s="359">
        <f ca="1">'F1'!G179*(1+wheeling!$E$33)</f>
        <v>8.4481662853467654</v>
      </c>
      <c r="H165" s="359">
        <f ca="1">'F1'!H179*(1+wheeling!$E$33)</f>
        <v>8.6283052244464606</v>
      </c>
      <c r="I165" s="359">
        <f ca="1">'F1'!I179*(1+wheeling!$E$33)</f>
        <v>8.7631067221132994</v>
      </c>
      <c r="J165" s="359">
        <f ca="1">'F1'!J179*(1+wheeling!$E$33)</f>
        <v>9.0834262667385648</v>
      </c>
      <c r="K165" s="359">
        <f ca="1">'F1'!K179*(1+wheeling!$E$33)</f>
        <v>8.2551101042968984</v>
      </c>
      <c r="L165" s="359">
        <f ca="1">'F1'!L179*(1+wheeling!$E$33)</f>
        <v>8.5788480192300351</v>
      </c>
      <c r="M165" s="359">
        <f ca="1">'F1'!M179*(1+wheeling!$E$33)</f>
        <v>7.8970619190413034</v>
      </c>
      <c r="N165" s="359">
        <f ca="1">'F1'!N179*(1+wheeling!$E$33)</f>
        <v>8.5241646415743908</v>
      </c>
      <c r="O165" s="359">
        <f t="shared" ca="1" si="25"/>
        <v>98.845886927093559</v>
      </c>
    </row>
    <row r="166" spans="1:19" s="532" customFormat="1" x14ac:dyDescent="0.3">
      <c r="B166" s="344" t="s">
        <v>966</v>
      </c>
      <c r="C166" s="359">
        <f ca="1">'F1'!C180*(1+wheeling!$E$33)</f>
        <v>7.024699301052876</v>
      </c>
      <c r="D166" s="359">
        <f ca="1">'F1'!D180*(1+wheeling!$E$33)</f>
        <v>5.9862424891111985</v>
      </c>
      <c r="E166" s="359">
        <f ca="1">'F1'!E180*(1+wheeling!$E$33)</f>
        <v>5.5826944344599543</v>
      </c>
      <c r="F166" s="359">
        <f ca="1">'F1'!F180*(1+wheeling!$E$33)</f>
        <v>6.0988957738514689</v>
      </c>
      <c r="G166" s="359">
        <f ca="1">'F1'!G180*(1+wheeling!$E$33)</f>
        <v>6.9015061290905857</v>
      </c>
      <c r="H166" s="359">
        <f ca="1">'F1'!H180*(1+wheeling!$E$33)</f>
        <v>6.9854065002353902</v>
      </c>
      <c r="I166" s="359">
        <f ca="1">'F1'!I180*(1+wheeling!$E$33)</f>
        <v>7.0744687054705144</v>
      </c>
      <c r="J166" s="359">
        <f ca="1">'F1'!J180*(1+wheeling!$E$33)</f>
        <v>7.6848255269304495</v>
      </c>
      <c r="K166" s="359">
        <f ca="1">'F1'!K180*(1+wheeling!$E$33)</f>
        <v>6.8798125035144322</v>
      </c>
      <c r="L166" s="359">
        <f ca="1">'F1'!L180*(1+wheeling!$E$33)</f>
        <v>8.4094683505748336</v>
      </c>
      <c r="M166" s="359">
        <f ca="1">'F1'!M180*(1+wheeling!$E$33)</f>
        <v>6.5583390875171172</v>
      </c>
      <c r="N166" s="359">
        <f ca="1">'F1'!N180*(1+wheeling!$E$33)</f>
        <v>6.2211534029371522</v>
      </c>
      <c r="O166" s="359">
        <f t="shared" ca="1" si="25"/>
        <v>81.407512204745956</v>
      </c>
    </row>
    <row r="167" spans="1:19" x14ac:dyDescent="0.3">
      <c r="B167" s="344" t="s">
        <v>967</v>
      </c>
      <c r="C167" s="359">
        <f ca="1">'F1'!C181*(1+wheeling!$E$33)</f>
        <v>4.8175479833663548</v>
      </c>
      <c r="D167" s="359">
        <f ca="1">'F1'!D181*(1+wheeling!$E$33)</f>
        <v>4.9138065911348363</v>
      </c>
      <c r="E167" s="359">
        <f ca="1">'F1'!E181*(1+wheeling!$E$33)</f>
        <v>4.9480810007382354</v>
      </c>
      <c r="F167" s="359">
        <f ca="1">'F1'!F181*(1+wheeling!$E$33)</f>
        <v>5.1636513849944716</v>
      </c>
      <c r="G167" s="359">
        <f ca="1">'F1'!G181*(1+wheeling!$E$33)</f>
        <v>5.0774306143811954</v>
      </c>
      <c r="H167" s="359">
        <f ca="1">'F1'!H181*(1+wheeling!$E$33)</f>
        <v>5.0169704967760858</v>
      </c>
      <c r="I167" s="359">
        <f ca="1">'F1'!I181*(1+wheeling!$E$33)</f>
        <v>4.9311062238993291</v>
      </c>
      <c r="J167" s="359">
        <f ca="1">'F1'!J181*(1+wheeling!$E$33)</f>
        <v>4.994672512611098</v>
      </c>
      <c r="K167" s="359">
        <f ca="1">'F1'!K181*(1+wheeling!$E$33)</f>
        <v>4.7168352633454367</v>
      </c>
      <c r="L167" s="359">
        <f ca="1">'F1'!L181*(1+wheeling!$E$33)</f>
        <v>4.5058381754961534</v>
      </c>
      <c r="M167" s="359">
        <f ca="1">'F1'!M181*(1+wheeling!$E$33)</f>
        <v>4.3205722082981657</v>
      </c>
      <c r="N167" s="359">
        <f ca="1">'F1'!N181*(1+wheeling!$E$33)</f>
        <v>3.9590940507373569</v>
      </c>
      <c r="O167" s="359">
        <f t="shared" ca="1" si="25"/>
        <v>57.365606505778715</v>
      </c>
    </row>
    <row r="168" spans="1:19" x14ac:dyDescent="0.3">
      <c r="B168" s="344" t="s">
        <v>968</v>
      </c>
      <c r="C168" s="359">
        <f ca="1">'F1'!C182*(1+wheeling!$E$33)</f>
        <v>15.022418313811476</v>
      </c>
      <c r="D168" s="359">
        <f ca="1">'F1'!D182*(1+wheeling!$E$33)</f>
        <v>13.935847744661995</v>
      </c>
      <c r="E168" s="359">
        <f ca="1">'F1'!E182*(1+wheeling!$E$33)</f>
        <v>13.953440802486549</v>
      </c>
      <c r="F168" s="359">
        <f ca="1">'F1'!F182*(1+wheeling!$E$33)</f>
        <v>14.100255746510589</v>
      </c>
      <c r="G168" s="359">
        <f ca="1">'F1'!G182*(1+wheeling!$E$33)</f>
        <v>14.682679071805538</v>
      </c>
      <c r="H168" s="359">
        <f ca="1">'F1'!H182*(1+wheeling!$E$33)</f>
        <v>14.570944137891267</v>
      </c>
      <c r="I168" s="359">
        <f ca="1">'F1'!I182*(1+wheeling!$E$33)</f>
        <v>14.718845028866555</v>
      </c>
      <c r="J168" s="359">
        <f ca="1">'F1'!J182*(1+wheeling!$E$33)</f>
        <v>15.630416069509979</v>
      </c>
      <c r="K168" s="359">
        <f ca="1">'F1'!K182*(1+wheeling!$E$33)</f>
        <v>14.927350535050214</v>
      </c>
      <c r="L168" s="359">
        <f ca="1">'F1'!L182*(1+wheeling!$E$33)</f>
        <v>14.058678406943688</v>
      </c>
      <c r="M168" s="359">
        <f ca="1">'F1'!M182*(1+wheeling!$E$33)</f>
        <v>11.994125234610776</v>
      </c>
      <c r="N168" s="359">
        <f ca="1">'F1'!N182*(1+wheeling!$E$33)</f>
        <v>12.374987798385797</v>
      </c>
      <c r="O168" s="359">
        <f t="shared" ca="1" si="25"/>
        <v>169.96998889053444</v>
      </c>
    </row>
    <row r="169" spans="1:19" x14ac:dyDescent="0.3">
      <c r="B169" s="344" t="s">
        <v>969</v>
      </c>
      <c r="C169" s="359">
        <f ca="1">'F1'!C183*(1+wheeling!$E$33)</f>
        <v>0</v>
      </c>
      <c r="D169" s="359">
        <f ca="1">'F1'!D183*(1+wheeling!$E$33)</f>
        <v>0</v>
      </c>
      <c r="E169" s="359">
        <f ca="1">'F1'!E183*(1+wheeling!$E$33)</f>
        <v>0</v>
      </c>
      <c r="F169" s="359">
        <f ca="1">'F1'!F183*(1+wheeling!$E$33)</f>
        <v>0</v>
      </c>
      <c r="G169" s="359">
        <f ca="1">'F1'!G183*(1+wheeling!$E$33)</f>
        <v>0</v>
      </c>
      <c r="H169" s="359">
        <f ca="1">'F1'!H183*(1+wheeling!$E$33)</f>
        <v>0</v>
      </c>
      <c r="I169" s="359">
        <f ca="1">'F1'!I183*(1+wheeling!$E$33)</f>
        <v>0</v>
      </c>
      <c r="J169" s="359">
        <f ca="1">'F1'!J183*(1+wheeling!$E$33)</f>
        <v>0</v>
      </c>
      <c r="K169" s="359">
        <f ca="1">'F1'!K183*(1+wheeling!$E$33)</f>
        <v>0</v>
      </c>
      <c r="L169" s="359">
        <f ca="1">'F1'!L183*(1+wheeling!$E$33)</f>
        <v>0</v>
      </c>
      <c r="M169" s="359">
        <f ca="1">'F1'!M183*(1+wheeling!$E$33)</f>
        <v>0</v>
      </c>
      <c r="N169" s="359">
        <f ca="1">'F1'!N183*(1+wheeling!$E$33)</f>
        <v>0</v>
      </c>
      <c r="O169" s="359">
        <f t="shared" ca="1" si="25"/>
        <v>0</v>
      </c>
    </row>
    <row r="170" spans="1:19" x14ac:dyDescent="0.3">
      <c r="B170" s="344" t="s">
        <v>970</v>
      </c>
      <c r="C170" s="359">
        <f ca="1">'F1'!C184*(1+wheeling!$E$33)</f>
        <v>0</v>
      </c>
      <c r="D170" s="359">
        <f ca="1">'F1'!D184*(1+wheeling!$E$33)</f>
        <v>0</v>
      </c>
      <c r="E170" s="359">
        <f ca="1">'F1'!E184*(1+wheeling!$E$33)</f>
        <v>0</v>
      </c>
      <c r="F170" s="359">
        <f ca="1">'F1'!F184*(1+wheeling!$E$33)</f>
        <v>0</v>
      </c>
      <c r="G170" s="359">
        <f ca="1">'F1'!G184*(1+wheeling!$E$33)</f>
        <v>0</v>
      </c>
      <c r="H170" s="359">
        <f ca="1">'F1'!H184*(1+wheeling!$E$33)</f>
        <v>0</v>
      </c>
      <c r="I170" s="359">
        <f ca="1">'F1'!I184*(1+wheeling!$E$33)</f>
        <v>0</v>
      </c>
      <c r="J170" s="359">
        <f ca="1">'F1'!J184*(1+wheeling!$E$33)</f>
        <v>5.1217544631371415E-3</v>
      </c>
      <c r="K170" s="359">
        <f ca="1">'F1'!K184*(1+wheeling!$E$33)</f>
        <v>4.9856946761221719E-3</v>
      </c>
      <c r="L170" s="359">
        <f ca="1">'F1'!L184*(1+wheeling!$E$33)</f>
        <v>4.7272865534968428E-3</v>
      </c>
      <c r="M170" s="359">
        <f ca="1">'F1'!M184*(1+wheeling!$E$33)</f>
        <v>4.4520027983735323E-3</v>
      </c>
      <c r="N170" s="359">
        <f ca="1">'F1'!N184*(1+wheeling!$E$33)</f>
        <v>3.9214751017182638E-3</v>
      </c>
      <c r="O170" s="359">
        <f t="shared" ca="1" si="25"/>
        <v>2.3208213592847953E-2</v>
      </c>
    </row>
    <row r="171" spans="1:19" s="425" customFormat="1" x14ac:dyDescent="0.3">
      <c r="B171" s="344" t="s">
        <v>971</v>
      </c>
      <c r="C171" s="359">
        <f ca="1">'F1'!C185*(1+wheeling!$E$33)</f>
        <v>0.6304114012297225</v>
      </c>
      <c r="D171" s="359">
        <f ca="1">'F1'!D185*(1+wheeling!$E$33)</f>
        <v>0.69537731271179259</v>
      </c>
      <c r="E171" s="359">
        <f ca="1">'F1'!E185*(1+wheeling!$E$33)</f>
        <v>0.73833739941649579</v>
      </c>
      <c r="F171" s="359">
        <f ca="1">'F1'!F185*(1+wheeling!$E$33)</f>
        <v>0.70463887077209064</v>
      </c>
      <c r="G171" s="359">
        <f ca="1">'F1'!G185*(1+wheeling!$E$33)</f>
        <v>0.83930747283300766</v>
      </c>
      <c r="H171" s="359">
        <f ca="1">'F1'!H185*(1+wheeling!$E$33)</f>
        <v>0.93062257500661227</v>
      </c>
      <c r="I171" s="359">
        <f ca="1">'F1'!I185*(1+wheeling!$E$33)</f>
        <v>0.88189207671463088</v>
      </c>
      <c r="J171" s="359">
        <f ca="1">'F1'!J185*(1+wheeling!$E$33)</f>
        <v>1.2433058959265408</v>
      </c>
      <c r="K171" s="359">
        <f ca="1">'F1'!K185*(1+wheeling!$E$33)</f>
        <v>1.3349479634797941</v>
      </c>
      <c r="L171" s="359">
        <f ca="1">'F1'!L185*(1+wheeling!$E$33)</f>
        <v>1.3221826022221028</v>
      </c>
      <c r="M171" s="359">
        <f ca="1">'F1'!M185*(1+wheeling!$E$33)</f>
        <v>1.28702222191256</v>
      </c>
      <c r="N171" s="359">
        <f ca="1">'F1'!N185*(1+wheeling!$E$33)</f>
        <v>1.2626538085854759</v>
      </c>
      <c r="O171" s="359">
        <f t="shared" ca="1" si="25"/>
        <v>11.870699600810825</v>
      </c>
    </row>
    <row r="172" spans="1:19" x14ac:dyDescent="0.3">
      <c r="B172" s="458"/>
      <c r="C172" s="359"/>
      <c r="D172" s="359"/>
      <c r="E172" s="359"/>
      <c r="F172" s="359"/>
      <c r="G172" s="359"/>
      <c r="H172" s="359"/>
      <c r="I172" s="359"/>
      <c r="J172" s="359"/>
      <c r="K172" s="359"/>
      <c r="L172" s="359"/>
      <c r="M172" s="359"/>
      <c r="N172" s="359"/>
      <c r="O172" s="359"/>
    </row>
    <row r="173" spans="1:19" x14ac:dyDescent="0.3">
      <c r="B173" s="434" t="s">
        <v>416</v>
      </c>
      <c r="C173" s="361">
        <f ca="1">SUM(C156:C171)</f>
        <v>335.29757897087973</v>
      </c>
      <c r="D173" s="361">
        <f t="shared" ref="D173" ca="1" si="26">SUM(D156:D171)</f>
        <v>325.1275473289997</v>
      </c>
      <c r="E173" s="361">
        <f t="shared" ref="E173:N173" ca="1" si="27">SUM(E156:E171)</f>
        <v>304.53587017882506</v>
      </c>
      <c r="F173" s="361">
        <f t="shared" ca="1" si="27"/>
        <v>297.39186553511939</v>
      </c>
      <c r="G173" s="361">
        <f t="shared" ca="1" si="27"/>
        <v>320.60178662555796</v>
      </c>
      <c r="H173" s="361">
        <f t="shared" ca="1" si="27"/>
        <v>319.06222552053026</v>
      </c>
      <c r="I173" s="361">
        <f t="shared" ca="1" si="27"/>
        <v>326.52621303999291</v>
      </c>
      <c r="J173" s="361">
        <f t="shared" ca="1" si="27"/>
        <v>350.83177729274638</v>
      </c>
      <c r="K173" s="361">
        <f t="shared" ca="1" si="27"/>
        <v>310.7636990546149</v>
      </c>
      <c r="L173" s="361">
        <f t="shared" ca="1" si="27"/>
        <v>283.7263031941801</v>
      </c>
      <c r="M173" s="361">
        <f t="shared" ca="1" si="27"/>
        <v>237.36785340413078</v>
      </c>
      <c r="N173" s="361">
        <f t="shared" ca="1" si="27"/>
        <v>277.03183755542705</v>
      </c>
      <c r="O173" s="361">
        <f ca="1">SUM(C173:N173)</f>
        <v>3688.2645577010044</v>
      </c>
    </row>
    <row r="174" spans="1:19" s="425" customFormat="1" ht="16" x14ac:dyDescent="0.3">
      <c r="B174" s="434"/>
      <c r="C174" s="359"/>
      <c r="D174" s="359"/>
      <c r="E174" s="359"/>
      <c r="F174" s="359"/>
      <c r="G174" s="359"/>
      <c r="H174" s="359"/>
      <c r="I174" s="359"/>
      <c r="J174" s="359"/>
      <c r="K174" s="359"/>
      <c r="L174" s="359"/>
      <c r="M174" s="359"/>
      <c r="N174" s="359"/>
      <c r="O174" s="359"/>
      <c r="R174" s="885"/>
      <c r="S174" s="885"/>
    </row>
    <row r="175" spans="1:19" s="425" customFormat="1" ht="16" x14ac:dyDescent="0.3">
      <c r="B175" s="433" t="s">
        <v>145</v>
      </c>
      <c r="C175" s="361">
        <f ca="1">C173+C153</f>
        <v>387.22443373265759</v>
      </c>
      <c r="D175" s="361">
        <f t="shared" ref="D175" ca="1" si="28">D173+D153</f>
        <v>374.466427488058</v>
      </c>
      <c r="E175" s="361">
        <f t="shared" ref="E175:N175" ca="1" si="29">E173+E153</f>
        <v>354.51697222662443</v>
      </c>
      <c r="F175" s="361">
        <f t="shared" ca="1" si="29"/>
        <v>348.6137267783003</v>
      </c>
      <c r="G175" s="361">
        <f t="shared" ca="1" si="29"/>
        <v>373.13907713961356</v>
      </c>
      <c r="H175" s="361">
        <f t="shared" ca="1" si="29"/>
        <v>369.47058386891899</v>
      </c>
      <c r="I175" s="361">
        <f t="shared" ca="1" si="29"/>
        <v>376.63976187216474</v>
      </c>
      <c r="J175" s="361">
        <f t="shared" ca="1" si="29"/>
        <v>402.73330059736372</v>
      </c>
      <c r="K175" s="361">
        <f t="shared" ca="1" si="29"/>
        <v>359.85649165887821</v>
      </c>
      <c r="L175" s="361">
        <f t="shared" ca="1" si="29"/>
        <v>332.41763294224114</v>
      </c>
      <c r="M175" s="361">
        <f t="shared" ca="1" si="29"/>
        <v>279.57071408340084</v>
      </c>
      <c r="N175" s="361">
        <f t="shared" ca="1" si="29"/>
        <v>317.50351584189974</v>
      </c>
      <c r="O175" s="361">
        <f ca="1">SUM(C175:N175)</f>
        <v>4276.1526382301208</v>
      </c>
      <c r="R175" s="885"/>
      <c r="S175" s="885"/>
    </row>
    <row r="176" spans="1:19" customFormat="1" x14ac:dyDescent="0.3">
      <c r="A176" s="425"/>
      <c r="B176" s="573"/>
      <c r="P176" s="426"/>
      <c r="Q176" s="426"/>
    </row>
    <row r="177" spans="1:19" customFormat="1" x14ac:dyDescent="0.3">
      <c r="A177" s="425"/>
      <c r="B177" s="573"/>
    </row>
    <row r="178" spans="1:19" customFormat="1" x14ac:dyDescent="0.3">
      <c r="A178" s="425"/>
      <c r="B178" s="597" t="s">
        <v>815</v>
      </c>
    </row>
    <row r="179" spans="1:19" customFormat="1" x14ac:dyDescent="0.3">
      <c r="A179" s="375"/>
      <c r="B179" s="597"/>
      <c r="P179" s="426"/>
      <c r="Q179" s="426"/>
    </row>
    <row r="180" spans="1:19" s="496" customFormat="1" ht="28" x14ac:dyDescent="0.25">
      <c r="B180" s="827" t="s">
        <v>292</v>
      </c>
      <c r="C180" s="827" t="s">
        <v>151</v>
      </c>
      <c r="D180" s="827" t="s">
        <v>152</v>
      </c>
      <c r="E180" s="827" t="s">
        <v>153</v>
      </c>
      <c r="F180" s="827" t="s">
        <v>154</v>
      </c>
      <c r="G180" s="827" t="s">
        <v>155</v>
      </c>
      <c r="H180" s="827" t="s">
        <v>156</v>
      </c>
      <c r="I180" s="827" t="s">
        <v>157</v>
      </c>
      <c r="J180" s="827" t="s">
        <v>158</v>
      </c>
      <c r="K180" s="827" t="s">
        <v>159</v>
      </c>
      <c r="L180" s="827" t="s">
        <v>160</v>
      </c>
      <c r="M180" s="827" t="s">
        <v>161</v>
      </c>
      <c r="N180" s="827" t="s">
        <v>162</v>
      </c>
      <c r="O180" s="827" t="s">
        <v>145</v>
      </c>
      <c r="R180" s="519"/>
      <c r="S180" s="519"/>
    </row>
    <row r="181" spans="1:19" s="576" customFormat="1" x14ac:dyDescent="0.3">
      <c r="B181" s="458" t="s">
        <v>293</v>
      </c>
      <c r="C181" s="359"/>
      <c r="D181" s="359"/>
      <c r="E181" s="359"/>
      <c r="F181" s="359"/>
      <c r="G181" s="359"/>
      <c r="H181" s="359"/>
      <c r="I181" s="359"/>
      <c r="J181" s="359"/>
      <c r="K181" s="359"/>
      <c r="L181" s="359"/>
      <c r="M181" s="359"/>
      <c r="N181" s="359"/>
      <c r="O181" s="359"/>
      <c r="R181" s="532"/>
      <c r="S181" s="532"/>
    </row>
    <row r="182" spans="1:19" s="532" customFormat="1" x14ac:dyDescent="0.3">
      <c r="B182" s="344"/>
      <c r="C182" s="359"/>
      <c r="D182" s="359"/>
      <c r="E182" s="359"/>
      <c r="F182" s="359"/>
      <c r="G182" s="359"/>
      <c r="H182" s="359"/>
      <c r="I182" s="359"/>
      <c r="J182" s="359"/>
      <c r="K182" s="359"/>
      <c r="L182" s="359"/>
      <c r="M182" s="359"/>
      <c r="N182" s="359"/>
      <c r="O182" s="359"/>
    </row>
    <row r="183" spans="1:19" s="532" customFormat="1" x14ac:dyDescent="0.3">
      <c r="B183" s="344" t="s">
        <v>953</v>
      </c>
      <c r="C183" s="359">
        <f>'F1'!C202*(1+wheeling!$F$32)</f>
        <v>13.281360202431767</v>
      </c>
      <c r="D183" s="359">
        <f>'F1'!D202*(1+wheeling!$F$32)</f>
        <v>14.544150869284024</v>
      </c>
      <c r="E183" s="359">
        <f>'F1'!E202*(1+wheeling!$F$32)</f>
        <v>15.337708414563703</v>
      </c>
      <c r="F183" s="359">
        <f>'F1'!F202*(1+wheeling!$F$32)</f>
        <v>14.922086862156785</v>
      </c>
      <c r="G183" s="359">
        <f>'F1'!G202*(1+wheeling!$F$32)</f>
        <v>14.627569888764555</v>
      </c>
      <c r="H183" s="359">
        <f>'F1'!H202*(1+wheeling!$F$32)</f>
        <v>14.592352365498964</v>
      </c>
      <c r="I183" s="359">
        <f>'F1'!I202*(1+wheeling!$F$32)</f>
        <v>15.87875316838065</v>
      </c>
      <c r="J183" s="359">
        <f>'F1'!J202*(1+wheeling!$F$32)</f>
        <v>20.190269877893286</v>
      </c>
      <c r="K183" s="359">
        <f>'F1'!K202*(1+wheeling!$F$32)</f>
        <v>18.621291223446704</v>
      </c>
      <c r="L183" s="359">
        <f>'F1'!L202*(1+wheeling!$F$32)</f>
        <v>17.503093339675811</v>
      </c>
      <c r="M183" s="359">
        <f>'F1'!M202*(1+wheeling!$F$32)</f>
        <v>17.229170854423145</v>
      </c>
      <c r="N183" s="359">
        <f>'F1'!N202*(1+wheeling!$F$32)</f>
        <v>15.690798537096327</v>
      </c>
      <c r="O183" s="359">
        <f t="shared" ref="O183:O189" si="30">SUM(C183:N183)</f>
        <v>192.41860560361573</v>
      </c>
    </row>
    <row r="184" spans="1:19" s="532" customFormat="1" x14ac:dyDescent="0.3">
      <c r="B184" s="344" t="s">
        <v>954</v>
      </c>
      <c r="C184" s="359">
        <f>'F1'!C203*(1+wheeling!$F$32)</f>
        <v>18.274979826029465</v>
      </c>
      <c r="D184" s="359">
        <f>'F1'!D203*(1+wheeling!$F$32)</f>
        <v>19.623971864470104</v>
      </c>
      <c r="E184" s="359">
        <f>'F1'!E203*(1+wheeling!$F$32)</f>
        <v>21.555528603112432</v>
      </c>
      <c r="F184" s="359">
        <f>'F1'!F203*(1+wheeling!$F$32)</f>
        <v>20.771243880422485</v>
      </c>
      <c r="G184" s="359">
        <f>'F1'!G203*(1+wheeling!$F$32)</f>
        <v>19.466490533033372</v>
      </c>
      <c r="H184" s="359">
        <f>'F1'!H203*(1+wheeling!$F$32)</f>
        <v>19.031647202660881</v>
      </c>
      <c r="I184" s="359">
        <f>'F1'!I203*(1+wheeling!$F$32)</f>
        <v>16.841396813928814</v>
      </c>
      <c r="J184" s="359">
        <f>'F1'!J203*(1+wheeling!$F$32)</f>
        <v>17.428692867874439</v>
      </c>
      <c r="K184" s="359">
        <f>'F1'!K203*(1+wheeling!$F$32)</f>
        <v>15.839426063921339</v>
      </c>
      <c r="L184" s="359">
        <f>'F1'!L203*(1+wheeling!$F$32)</f>
        <v>14.721235359392086</v>
      </c>
      <c r="M184" s="359">
        <f>'F1'!M203*(1+wheeling!$F$32)</f>
        <v>14.145902858532047</v>
      </c>
      <c r="N184" s="359">
        <f>'F1'!N203*(1+wheeling!$F$32)</f>
        <v>12.973022074601159</v>
      </c>
      <c r="O184" s="359">
        <f t="shared" si="30"/>
        <v>210.67353794797864</v>
      </c>
    </row>
    <row r="185" spans="1:19" s="532" customFormat="1" x14ac:dyDescent="0.3">
      <c r="B185" s="348" t="s">
        <v>955</v>
      </c>
      <c r="C185" s="359">
        <f>'F1'!C204*(1+wheeling!$F$32)</f>
        <v>2.2208819420461747</v>
      </c>
      <c r="D185" s="359">
        <f>'F1'!D204*(1+wheeling!$F$32)</f>
        <v>2.9895125231456752</v>
      </c>
      <c r="E185" s="359">
        <f>'F1'!E204*(1+wheeling!$F$32)</f>
        <v>3.2886896583865433</v>
      </c>
      <c r="F185" s="359">
        <f>'F1'!F204*(1+wheeling!$F$32)</f>
        <v>3.0313387643310752</v>
      </c>
      <c r="G185" s="359">
        <f>'F1'!G204*(1+wheeling!$F$32)</f>
        <v>2.9233192244519994</v>
      </c>
      <c r="H185" s="359">
        <f>'F1'!H204*(1+wheeling!$F$32)</f>
        <v>2.9139220904531631</v>
      </c>
      <c r="I185" s="359">
        <f>'F1'!I204*(1+wheeling!$F$32)</f>
        <v>2.7218654337615198</v>
      </c>
      <c r="J185" s="359">
        <f>'F1'!J204*(1+wheeling!$F$32)</f>
        <v>3.0123533487156209</v>
      </c>
      <c r="K185" s="359">
        <f>'F1'!K204*(1+wheeling!$F$32)</f>
        <v>2.7099391443807757</v>
      </c>
      <c r="L185" s="359">
        <f>'F1'!L204*(1+wheeling!$F$32)</f>
        <v>2.3882955448143579</v>
      </c>
      <c r="M185" s="359">
        <f>'F1'!M204*(1+wheeling!$F$32)</f>
        <v>2.2427605215244117</v>
      </c>
      <c r="N185" s="359">
        <f>'F1'!N204*(1+wheeling!$F$32)</f>
        <v>2.0209196847258242</v>
      </c>
      <c r="O185" s="359">
        <f t="shared" si="30"/>
        <v>32.46379788073714</v>
      </c>
    </row>
    <row r="186" spans="1:19" s="532" customFormat="1" x14ac:dyDescent="0.3">
      <c r="B186" s="348" t="s">
        <v>956</v>
      </c>
      <c r="C186" s="359">
        <f>'F1'!C205*(1+wheeling!$F$32)</f>
        <v>0.2281215423260258</v>
      </c>
      <c r="D186" s="359">
        <f>'F1'!D205*(1+wheeling!$F$32)</f>
        <v>0.22924944096473321</v>
      </c>
      <c r="E186" s="359">
        <f>'F1'!E205*(1+wheeling!$F$32)</f>
        <v>0.24381611039097872</v>
      </c>
      <c r="F186" s="359">
        <f>'F1'!F205*(1+wheeling!$F$32)</f>
        <v>0.22174931928207395</v>
      </c>
      <c r="G186" s="359">
        <f>'F1'!G205*(1+wheeling!$F$32)</f>
        <v>0.21523661423921497</v>
      </c>
      <c r="H186" s="359">
        <f>'F1'!H205*(1+wheeling!$F$32)</f>
        <v>0.1971285856462752</v>
      </c>
      <c r="I186" s="359">
        <f>'F1'!I205*(1+wheeling!$F$32)</f>
        <v>0.20763585701941614</v>
      </c>
      <c r="J186" s="359">
        <f>'F1'!J205*(1+wheeling!$F$32)</f>
        <v>0.23142668291037674</v>
      </c>
      <c r="K186" s="359">
        <f>'F1'!K205*(1+wheeling!$F$32)</f>
        <v>0.23105582235395111</v>
      </c>
      <c r="L186" s="359">
        <f>'F1'!L205*(1+wheeling!$F$32)</f>
        <v>0.21885863072039904</v>
      </c>
      <c r="M186" s="359">
        <f>'F1'!M205*(1+wheeling!$F$32)</f>
        <v>0.19831586460466905</v>
      </c>
      <c r="N186" s="359">
        <f>'F1'!N205*(1+wheeling!$F$32)</f>
        <v>0.17654659233500866</v>
      </c>
      <c r="O186" s="359">
        <f t="shared" si="30"/>
        <v>2.5991410627931226</v>
      </c>
    </row>
    <row r="187" spans="1:19" s="532" customFormat="1" x14ac:dyDescent="0.3">
      <c r="B187" s="594" t="s">
        <v>957</v>
      </c>
      <c r="C187" s="359">
        <f>'F1'!C206*(1+wheeling!$F$32)</f>
        <v>2.4254853828285432</v>
      </c>
      <c r="D187" s="359">
        <f>'F1'!D206*(1+wheeling!$F$32)</f>
        <v>2.6870325449376966</v>
      </c>
      <c r="E187" s="359">
        <f>'F1'!E206*(1+wheeling!$F$32)</f>
        <v>2.8356685637525914</v>
      </c>
      <c r="F187" s="359">
        <f>'F1'!F206*(1+wheeling!$F$32)</f>
        <v>2.5485647951228336</v>
      </c>
      <c r="G187" s="359">
        <f>'F1'!G206*(1+wheeling!$F$32)</f>
        <v>2.3993183365429038</v>
      </c>
      <c r="H187" s="359">
        <f>'F1'!H206*(1+wheeling!$F$32)</f>
        <v>2.4331067839347198</v>
      </c>
      <c r="I187" s="359">
        <f>'F1'!I206*(1+wheeling!$F$32)</f>
        <v>2.3251249422293845</v>
      </c>
      <c r="J187" s="359">
        <f>'F1'!J206*(1+wheeling!$F$32)</f>
        <v>2.5362984730487077</v>
      </c>
      <c r="K187" s="359">
        <f>'F1'!K206*(1+wheeling!$F$32)</f>
        <v>2.2317531266934609</v>
      </c>
      <c r="L187" s="359">
        <f>'F1'!L206*(1+wheeling!$F$32)</f>
        <v>1.9517959731726067</v>
      </c>
      <c r="M187" s="359">
        <f>'F1'!M206*(1+wheeling!$F$32)</f>
        <v>1.968300665701787</v>
      </c>
      <c r="N187" s="359">
        <f>'F1'!N206*(1+wheeling!$F$32)</f>
        <v>1.7375937679569451</v>
      </c>
      <c r="O187" s="359">
        <f t="shared" si="30"/>
        <v>28.080043355922182</v>
      </c>
    </row>
    <row r="188" spans="1:19" s="532" customFormat="1" x14ac:dyDescent="0.3">
      <c r="B188" s="594" t="s">
        <v>958</v>
      </c>
      <c r="C188" s="359">
        <f>'F1'!C207*(1+wheeling!$F$32)</f>
        <v>15.587966483667156</v>
      </c>
      <c r="D188" s="359">
        <f>'F1'!D207*(1+wheeling!$F$32)</f>
        <v>16.067910599660003</v>
      </c>
      <c r="E188" s="359">
        <f>'F1'!E207*(1+wheeling!$F$32)</f>
        <v>17.431225738017993</v>
      </c>
      <c r="F188" s="359">
        <f>'F1'!F207*(1+wheeling!$F$32)</f>
        <v>17.296139662795525</v>
      </c>
      <c r="G188" s="359">
        <f>'F1'!G207*(1+wheeling!$F$32)</f>
        <v>18.484258588588411</v>
      </c>
      <c r="H188" s="359">
        <f>'F1'!H207*(1+wheeling!$F$32)</f>
        <v>17.563931704553937</v>
      </c>
      <c r="I188" s="359">
        <f>'F1'!I207*(1+wheeling!$F$32)</f>
        <v>15.42708570606913</v>
      </c>
      <c r="J188" s="359">
        <f>'F1'!J207*(1+wheeling!$F$32)</f>
        <v>16.419640116952547</v>
      </c>
      <c r="K188" s="359">
        <f>'F1'!K207*(1+wheeling!$F$32)</f>
        <v>14.978208189838037</v>
      </c>
      <c r="L188" s="359">
        <f>'F1'!L207*(1+wheeling!$F$32)</f>
        <v>14.049549639284093</v>
      </c>
      <c r="M188" s="359">
        <f>'F1'!M207*(1+wheeling!$F$32)</f>
        <v>13.183875774740807</v>
      </c>
      <c r="N188" s="359">
        <f>'F1'!N207*(1+wheeling!$F$32)</f>
        <v>11.504321715424284</v>
      </c>
      <c r="O188" s="359">
        <f t="shared" si="30"/>
        <v>187.99411391959191</v>
      </c>
    </row>
    <row r="189" spans="1:19" s="532" customFormat="1" x14ac:dyDescent="0.3">
      <c r="B189" s="594" t="s">
        <v>959</v>
      </c>
      <c r="C189" s="359">
        <f>'F1'!C208*(1+wheeling!$F$32)</f>
        <v>0</v>
      </c>
      <c r="D189" s="359">
        <f>'F1'!D208*(1+wheeling!$F$32)</f>
        <v>0</v>
      </c>
      <c r="E189" s="359">
        <f>'F1'!E208*(1+wheeling!$F$32)</f>
        <v>0</v>
      </c>
      <c r="F189" s="359">
        <f>'F1'!F208*(1+wheeling!$F$32)</f>
        <v>0</v>
      </c>
      <c r="G189" s="359">
        <f>'F1'!G208*(1+wheeling!$F$32)</f>
        <v>0</v>
      </c>
      <c r="H189" s="359">
        <f>'F1'!H208*(1+wheeling!$F$32)</f>
        <v>0</v>
      </c>
      <c r="I189" s="359">
        <f>'F1'!I208*(1+wheeling!$F$32)</f>
        <v>0</v>
      </c>
      <c r="J189" s="359">
        <f>'F1'!J208*(1+wheeling!$F$32)</f>
        <v>0</v>
      </c>
      <c r="K189" s="359">
        <f>'F1'!K208*(1+wheeling!$F$32)</f>
        <v>0</v>
      </c>
      <c r="L189" s="359">
        <f>'F1'!L208*(1+wheeling!$F$32)</f>
        <v>0</v>
      </c>
      <c r="M189" s="359">
        <f>'F1'!M208*(1+wheeling!$F$32)</f>
        <v>0</v>
      </c>
      <c r="N189" s="359">
        <f>'F1'!N208*(1+wheeling!$F$32)</f>
        <v>0</v>
      </c>
      <c r="O189" s="359">
        <f t="shared" si="30"/>
        <v>0</v>
      </c>
    </row>
    <row r="190" spans="1:19" x14ac:dyDescent="0.3">
      <c r="B190" s="594"/>
      <c r="C190" s="359"/>
      <c r="D190" s="359"/>
      <c r="E190" s="359"/>
      <c r="F190" s="359"/>
      <c r="G190" s="359"/>
      <c r="H190" s="359"/>
      <c r="I190" s="359"/>
      <c r="J190" s="359"/>
      <c r="K190" s="359"/>
      <c r="L190" s="359"/>
      <c r="M190" s="359"/>
      <c r="N190" s="359"/>
      <c r="O190" s="359"/>
      <c r="R190" s="532"/>
      <c r="S190" s="532"/>
    </row>
    <row r="191" spans="1:19" x14ac:dyDescent="0.3">
      <c r="B191" s="434" t="s">
        <v>416</v>
      </c>
      <c r="C191" s="361">
        <f>SUM(C183:C189)</f>
        <v>52.018795379329134</v>
      </c>
      <c r="D191" s="361">
        <f t="shared" ref="D191" si="31">SUM(D183:D189)</f>
        <v>56.141827842462241</v>
      </c>
      <c r="E191" s="361">
        <f t="shared" ref="E191:O191" si="32">SUM(E183:E189)</f>
        <v>60.692637088224245</v>
      </c>
      <c r="F191" s="361">
        <f t="shared" si="32"/>
        <v>58.791123284110782</v>
      </c>
      <c r="G191" s="361">
        <f t="shared" si="32"/>
        <v>58.11619318562046</v>
      </c>
      <c r="H191" s="361">
        <f t="shared" si="32"/>
        <v>56.73208873274794</v>
      </c>
      <c r="I191" s="361">
        <f t="shared" si="32"/>
        <v>53.401861921388921</v>
      </c>
      <c r="J191" s="361">
        <f t="shared" si="32"/>
        <v>59.818681367394973</v>
      </c>
      <c r="K191" s="361">
        <f t="shared" si="32"/>
        <v>54.611673570634267</v>
      </c>
      <c r="L191" s="361">
        <f t="shared" si="32"/>
        <v>50.832828487059352</v>
      </c>
      <c r="M191" s="361">
        <f t="shared" si="32"/>
        <v>48.968326539526863</v>
      </c>
      <c r="N191" s="361">
        <f t="shared" si="32"/>
        <v>44.103202372139549</v>
      </c>
      <c r="O191" s="361">
        <f t="shared" si="32"/>
        <v>654.22923977063874</v>
      </c>
      <c r="R191" s="532"/>
      <c r="S191" s="532"/>
    </row>
    <row r="192" spans="1:19" x14ac:dyDescent="0.3">
      <c r="B192" s="594"/>
      <c r="C192" s="359"/>
      <c r="D192" s="359"/>
      <c r="E192" s="359"/>
      <c r="F192" s="359"/>
      <c r="G192" s="359"/>
      <c r="H192" s="359"/>
      <c r="I192" s="359"/>
      <c r="J192" s="359"/>
      <c r="K192" s="359"/>
      <c r="L192" s="359"/>
      <c r="M192" s="359"/>
      <c r="N192" s="359"/>
      <c r="O192" s="359"/>
      <c r="R192" s="532"/>
      <c r="S192" s="532"/>
    </row>
    <row r="193" spans="2:19" x14ac:dyDescent="0.3">
      <c r="B193" s="458" t="s">
        <v>294</v>
      </c>
      <c r="C193" s="359"/>
      <c r="D193" s="359"/>
      <c r="E193" s="359"/>
      <c r="F193" s="359"/>
      <c r="G193" s="359"/>
      <c r="H193" s="359"/>
      <c r="I193" s="359"/>
      <c r="J193" s="359"/>
      <c r="K193" s="359"/>
      <c r="L193" s="359"/>
      <c r="M193" s="359"/>
      <c r="N193" s="359"/>
      <c r="O193" s="359"/>
      <c r="R193" s="532"/>
      <c r="S193" s="532"/>
    </row>
    <row r="194" spans="2:19" x14ac:dyDescent="0.3">
      <c r="B194" s="344" t="s">
        <v>960</v>
      </c>
      <c r="C194" s="359">
        <f>'F1'!C213*(1+wheeling!$F$33)</f>
        <v>1.6380859381160274E-3</v>
      </c>
      <c r="D194" s="359">
        <f>'F1'!D213*(1+wheeling!$F$33)</f>
        <v>1.6928643746318044E-3</v>
      </c>
      <c r="E194" s="359">
        <f>'F1'!E213*(1+wheeling!$F$33)</f>
        <v>1.473750628568696E-3</v>
      </c>
      <c r="F194" s="359">
        <f>'F1'!F213*(1+wheeling!$F$33)</f>
        <v>1.2936138469495059E-3</v>
      </c>
      <c r="G194" s="359">
        <f>'F1'!G213*(1+wheeling!$F$33)</f>
        <v>1.8561462527076785E-3</v>
      </c>
      <c r="H194" s="359">
        <f>'F1'!H213*(1+wheeling!$F$33)</f>
        <v>1.6591545675451725E-3</v>
      </c>
      <c r="I194" s="359">
        <f>'F1'!I213*(1+wheeling!$F$33)</f>
        <v>4.1690800942778741E-3</v>
      </c>
      <c r="J194" s="359">
        <f>'F1'!J213*(1+wheeling!$F$33)</f>
        <v>4.6476351156705467E-3</v>
      </c>
      <c r="K194" s="359">
        <f>'F1'!K213*(1+wheeling!$F$33)</f>
        <v>5.2070726758901495E-3</v>
      </c>
      <c r="L194" s="359">
        <f>'F1'!L213*(1+wheeling!$F$33)</f>
        <v>4.8659142749406595E-3</v>
      </c>
      <c r="M194" s="359">
        <f>'F1'!M213*(1+wheeling!$F$33)</f>
        <v>4.0570888866713556E-3</v>
      </c>
      <c r="N194" s="359">
        <f>'F1'!N213*(1+wheeling!$F$33)</f>
        <v>5.3610605863491133E-3</v>
      </c>
      <c r="O194" s="359">
        <f t="shared" ref="O194:O209" si="33">SUM(C194:N194)</f>
        <v>3.7921467242318589E-2</v>
      </c>
      <c r="R194" s="532"/>
      <c r="S194" s="532"/>
    </row>
    <row r="195" spans="2:19" x14ac:dyDescent="0.3">
      <c r="B195" s="344" t="s">
        <v>961</v>
      </c>
      <c r="C195" s="359">
        <f>'F1'!C214*(1+wheeling!$F$33)</f>
        <v>0</v>
      </c>
      <c r="D195" s="359">
        <f>'F1'!D214*(1+wheeling!$F$33)</f>
        <v>0</v>
      </c>
      <c r="E195" s="359">
        <f>'F1'!E214*(1+wheeling!$F$33)</f>
        <v>0</v>
      </c>
      <c r="F195" s="359">
        <f>'F1'!F214*(1+wheeling!$F$33)</f>
        <v>0</v>
      </c>
      <c r="G195" s="359">
        <f>'F1'!G214*(1+wheeling!$F$33)</f>
        <v>0</v>
      </c>
      <c r="H195" s="359">
        <f>'F1'!H214*(1+wheeling!$F$33)</f>
        <v>0</v>
      </c>
      <c r="I195" s="359">
        <f>'F1'!I214*(1+wheeling!$F$33)</f>
        <v>0</v>
      </c>
      <c r="J195" s="359">
        <f>'F1'!J214*(1+wheeling!$F$33)</f>
        <v>0</v>
      </c>
      <c r="K195" s="359">
        <f>'F1'!K214*(1+wheeling!$F$33)</f>
        <v>0</v>
      </c>
      <c r="L195" s="359">
        <f>'F1'!L214*(1+wheeling!$F$33)</f>
        <v>0</v>
      </c>
      <c r="M195" s="359">
        <f>'F1'!M214*(1+wheeling!$F$33)</f>
        <v>0</v>
      </c>
      <c r="N195" s="359">
        <f>'F1'!N214*(1+wheeling!$F$33)</f>
        <v>0</v>
      </c>
      <c r="O195" s="359">
        <f t="shared" si="33"/>
        <v>0</v>
      </c>
      <c r="R195" s="532"/>
      <c r="S195" s="532"/>
    </row>
    <row r="196" spans="2:19" x14ac:dyDescent="0.3">
      <c r="B196" s="594" t="s">
        <v>900</v>
      </c>
      <c r="C196" s="359">
        <f>'F1'!C215*(1+wheeling!$F$33)</f>
        <v>66.1748858671791</v>
      </c>
      <c r="D196" s="359">
        <f>'F1'!D215*(1+wheeling!$F$33)</f>
        <v>67.296631316128867</v>
      </c>
      <c r="E196" s="359">
        <f>'F1'!E215*(1+wheeling!$F$33)</f>
        <v>65.902152459218811</v>
      </c>
      <c r="F196" s="359">
        <f>'F1'!F215*(1+wheeling!$F$33)</f>
        <v>66.366130030233322</v>
      </c>
      <c r="G196" s="359">
        <f>'F1'!G215*(1+wheeling!$F$33)</f>
        <v>66.659790907805586</v>
      </c>
      <c r="H196" s="359">
        <f>'F1'!H215*(1+wheeling!$F$33)</f>
        <v>66.798581557601537</v>
      </c>
      <c r="I196" s="359">
        <f>'F1'!I215*(1+wheeling!$F$33)</f>
        <v>68.000287829781229</v>
      </c>
      <c r="J196" s="359">
        <f>'F1'!J215*(1+wheeling!$F$33)</f>
        <v>67.690382425544755</v>
      </c>
      <c r="K196" s="359">
        <f>'F1'!K215*(1+wheeling!$F$33)</f>
        <v>66.63383511007936</v>
      </c>
      <c r="L196" s="359">
        <f>'F1'!L215*(1+wheeling!$F$33)</f>
        <v>64.746630097101473</v>
      </c>
      <c r="M196" s="359">
        <f>'F1'!M215*(1+wheeling!$F$33)</f>
        <v>60.361677820774425</v>
      </c>
      <c r="N196" s="359">
        <f>'F1'!N215*(1+wheeling!$F$33)</f>
        <v>63.141874893172805</v>
      </c>
      <c r="O196" s="359">
        <f t="shared" si="33"/>
        <v>789.77286031462131</v>
      </c>
      <c r="R196" s="532"/>
      <c r="S196" s="532"/>
    </row>
    <row r="197" spans="2:19" x14ac:dyDescent="0.3">
      <c r="B197" s="594" t="s">
        <v>901</v>
      </c>
      <c r="C197" s="359">
        <f>'F1'!C216*(1+wheeling!$F$33)</f>
        <v>65.841750805508383</v>
      </c>
      <c r="D197" s="359">
        <f>'F1'!D216*(1+wheeling!$F$33)</f>
        <v>76.681766065940451</v>
      </c>
      <c r="E197" s="359">
        <f>'F1'!E216*(1+wheeling!$F$33)</f>
        <v>69.576032639458958</v>
      </c>
      <c r="F197" s="359">
        <f>'F1'!F216*(1+wheeling!$F$33)</f>
        <v>65.695422853534154</v>
      </c>
      <c r="G197" s="359">
        <f>'F1'!G216*(1+wheeling!$F$33)</f>
        <v>64.870682927078491</v>
      </c>
      <c r="H197" s="359">
        <f>'F1'!H216*(1+wheeling!$F$33)</f>
        <v>64.84012604038594</v>
      </c>
      <c r="I197" s="359">
        <f>'F1'!I216*(1+wheeling!$F$33)</f>
        <v>75.230677002919791</v>
      </c>
      <c r="J197" s="359">
        <f>'F1'!J216*(1+wheeling!$F$33)</f>
        <v>74.702359987260579</v>
      </c>
      <c r="K197" s="359">
        <f>'F1'!K216*(1+wheeling!$F$33)</f>
        <v>65.351838640706944</v>
      </c>
      <c r="L197" s="359">
        <f>'F1'!L216*(1+wheeling!$F$33)</f>
        <v>52.531944357536965</v>
      </c>
      <c r="M197" s="359">
        <f>'F1'!M216*(1+wheeling!$F$33)</f>
        <v>37.680547196085733</v>
      </c>
      <c r="N197" s="359">
        <f>'F1'!N216*(1+wheeling!$F$33)</f>
        <v>46.621867459560967</v>
      </c>
      <c r="O197" s="359">
        <f t="shared" si="33"/>
        <v>759.62501597597736</v>
      </c>
      <c r="R197" s="532"/>
      <c r="S197" s="532"/>
    </row>
    <row r="198" spans="2:19" x14ac:dyDescent="0.3">
      <c r="B198" s="594" t="s">
        <v>902</v>
      </c>
      <c r="C198" s="359">
        <f>'F1'!C217*(1+wheeling!$F$33)</f>
        <v>22.253099348199811</v>
      </c>
      <c r="D198" s="359">
        <f>'F1'!D217*(1+wheeling!$F$33)</f>
        <v>32.234375181434935</v>
      </c>
      <c r="E198" s="359">
        <f>'F1'!E217*(1+wheeling!$F$33)</f>
        <v>27.415422365741062</v>
      </c>
      <c r="F198" s="359">
        <f>'F1'!F217*(1+wheeling!$F$33)</f>
        <v>20.733411733455281</v>
      </c>
      <c r="G198" s="359">
        <f>'F1'!G217*(1+wheeling!$F$33)</f>
        <v>19.270629433367393</v>
      </c>
      <c r="H198" s="359">
        <f>'F1'!H217*(1+wheeling!$F$33)</f>
        <v>19.378339641029484</v>
      </c>
      <c r="I198" s="359">
        <f>'F1'!I217*(1+wheeling!$F$33)</f>
        <v>25.982193511658057</v>
      </c>
      <c r="J198" s="359">
        <f>'F1'!J217*(1+wheeling!$F$33)</f>
        <v>27.735298738113865</v>
      </c>
      <c r="K198" s="359">
        <f>'F1'!K217*(1+wheeling!$F$33)</f>
        <v>20.57113298127318</v>
      </c>
      <c r="L198" s="359">
        <f>'F1'!L217*(1+wheeling!$F$33)</f>
        <v>14.692216329280548</v>
      </c>
      <c r="M198" s="359">
        <f>'F1'!M217*(1+wheeling!$F$33)</f>
        <v>8.7132442356243107</v>
      </c>
      <c r="N198" s="359">
        <f>'F1'!N217*(1+wheeling!$F$33)</f>
        <v>11.340025333805889</v>
      </c>
      <c r="O198" s="359">
        <f t="shared" si="33"/>
        <v>250.3193888329838</v>
      </c>
      <c r="R198" s="532"/>
      <c r="S198" s="532"/>
    </row>
    <row r="199" spans="2:19" x14ac:dyDescent="0.3">
      <c r="B199" s="594" t="s">
        <v>903</v>
      </c>
      <c r="C199" s="359">
        <f>'F1'!C218*(1+wheeling!$F$33)</f>
        <v>35.931397144240044</v>
      </c>
      <c r="D199" s="359">
        <f>'F1'!D218*(1+wheeling!$F$33)</f>
        <v>51.536642322184605</v>
      </c>
      <c r="E199" s="359">
        <f>'F1'!E218*(1+wheeling!$F$33)</f>
        <v>43.494501019547087</v>
      </c>
      <c r="F199" s="359">
        <f>'F1'!F218*(1+wheeling!$F$33)</f>
        <v>33.368827120793433</v>
      </c>
      <c r="G199" s="359">
        <f>'F1'!G218*(1+wheeling!$F$33)</f>
        <v>34.279564978852974</v>
      </c>
      <c r="H199" s="359">
        <f>'F1'!H218*(1+wheeling!$F$33)</f>
        <v>33.528762247084487</v>
      </c>
      <c r="I199" s="359">
        <f>'F1'!I218*(1+wheeling!$F$33)</f>
        <v>39.203029583343003</v>
      </c>
      <c r="J199" s="359">
        <f>'F1'!J218*(1+wheeling!$F$33)</f>
        <v>43.105709225953902</v>
      </c>
      <c r="K199" s="359">
        <f>'F1'!K218*(1+wheeling!$F$33)</f>
        <v>34.26876928229408</v>
      </c>
      <c r="L199" s="359">
        <f>'F1'!L218*(1+wheeling!$F$33)</f>
        <v>26.349015609721839</v>
      </c>
      <c r="M199" s="359">
        <f>'F1'!M218*(1+wheeling!$F$33)</f>
        <v>19.745394276093286</v>
      </c>
      <c r="N199" s="359">
        <f>'F1'!N218*(1+wheeling!$F$33)</f>
        <v>21.638653161735679</v>
      </c>
      <c r="O199" s="359">
        <f t="shared" si="33"/>
        <v>416.45026597184443</v>
      </c>
      <c r="R199" s="532"/>
      <c r="S199" s="532"/>
    </row>
    <row r="200" spans="2:19" x14ac:dyDescent="0.3">
      <c r="B200" s="344" t="s">
        <v>962</v>
      </c>
      <c r="C200" s="359">
        <f>'F1'!C219*(1+wheeling!$F$33)</f>
        <v>73.863649368990394</v>
      </c>
      <c r="D200" s="359">
        <f>'F1'!D219*(1+wheeling!$F$33)</f>
        <v>84.565371199281003</v>
      </c>
      <c r="E200" s="359">
        <f>'F1'!E219*(1+wheeling!$F$33)</f>
        <v>77.600912414005165</v>
      </c>
      <c r="F200" s="359">
        <f>'F1'!F219*(1+wheeling!$F$33)</f>
        <v>72.028542249630647</v>
      </c>
      <c r="G200" s="359">
        <f>'F1'!G219*(1+wheeling!$F$33)</f>
        <v>72.108241714466686</v>
      </c>
      <c r="H200" s="359">
        <f>'F1'!H219*(1+wheeling!$F$33)</f>
        <v>73.24798609353779</v>
      </c>
      <c r="I200" s="359">
        <f>'F1'!I219*(1+wheeling!$F$33)</f>
        <v>80.304923886282253</v>
      </c>
      <c r="J200" s="359">
        <f>'F1'!J219*(1+wheeling!$F$33)</f>
        <v>80.399341323757625</v>
      </c>
      <c r="K200" s="359">
        <f>'F1'!K219*(1+wheeling!$F$33)</f>
        <v>72.960316853291573</v>
      </c>
      <c r="L200" s="359">
        <f>'F1'!L219*(1+wheeling!$F$33)</f>
        <v>65.28542673561158</v>
      </c>
      <c r="M200" s="359">
        <f>'F1'!M219*(1+wheeling!$F$33)</f>
        <v>55.486703122853044</v>
      </c>
      <c r="N200" s="359">
        <f>'F1'!N219*(1+wheeling!$F$33)</f>
        <v>62.800510025796882</v>
      </c>
      <c r="O200" s="359">
        <f t="shared" si="33"/>
        <v>870.6519249875048</v>
      </c>
      <c r="R200" s="532"/>
      <c r="S200" s="532"/>
    </row>
    <row r="201" spans="2:19" x14ac:dyDescent="0.3">
      <c r="B201" s="344" t="s">
        <v>963</v>
      </c>
      <c r="C201" s="359">
        <f>'F1'!C220*(1+wheeling!$F$33)</f>
        <v>15.572964877364692</v>
      </c>
      <c r="D201" s="359">
        <f>'F1'!D220*(1+wheeling!$F$33)</f>
        <v>16.571977132437937</v>
      </c>
      <c r="E201" s="359">
        <f>'F1'!E220*(1+wheeling!$F$33)</f>
        <v>17.686234790488601</v>
      </c>
      <c r="F201" s="359">
        <f>'F1'!F220*(1+wheeling!$F$33)</f>
        <v>16.419777353441791</v>
      </c>
      <c r="G201" s="359">
        <f>'F1'!G220*(1+wheeling!$F$33)</f>
        <v>14.798223968838812</v>
      </c>
      <c r="H201" s="359">
        <f>'F1'!H220*(1+wheeling!$F$33)</f>
        <v>14.786995442784551</v>
      </c>
      <c r="I201" s="359">
        <f>'F1'!I220*(1+wheeling!$F$33)</f>
        <v>14.658802031235368</v>
      </c>
      <c r="J201" s="359">
        <f>'F1'!J220*(1+wheeling!$F$33)</f>
        <v>16.836620842713735</v>
      </c>
      <c r="K201" s="359">
        <f>'F1'!K220*(1+wheeling!$F$33)</f>
        <v>14.828999857189379</v>
      </c>
      <c r="L201" s="359">
        <f>'F1'!L220*(1+wheeling!$F$33)</f>
        <v>13.424260627743239</v>
      </c>
      <c r="M201" s="359">
        <f>'F1'!M220*(1+wheeling!$F$33)</f>
        <v>12.509960307287818</v>
      </c>
      <c r="N201" s="359">
        <f>'F1'!N220*(1+wheeling!$F$33)</f>
        <v>11.78645844493229</v>
      </c>
      <c r="O201" s="359">
        <f t="shared" si="33"/>
        <v>179.88127567645824</v>
      </c>
      <c r="R201" s="532"/>
      <c r="S201" s="532"/>
    </row>
    <row r="202" spans="2:19" x14ac:dyDescent="0.3">
      <c r="B202" s="344" t="s">
        <v>964</v>
      </c>
      <c r="C202" s="359">
        <f>'F1'!C221*(1+wheeling!$F$33)</f>
        <v>31.758845680904415</v>
      </c>
      <c r="D202" s="359">
        <f>'F1'!D221*(1+wheeling!$F$33)</f>
        <v>34.518211451259845</v>
      </c>
      <c r="E202" s="359">
        <f>'F1'!E221*(1+wheeling!$F$33)</f>
        <v>37.202904731761016</v>
      </c>
      <c r="F202" s="359">
        <f>'F1'!F221*(1+wheeling!$F$33)</f>
        <v>34.703472123556196</v>
      </c>
      <c r="G202" s="359">
        <f>'F1'!G221*(1+wheeling!$F$33)</f>
        <v>31.813959108628115</v>
      </c>
      <c r="H202" s="359">
        <f>'F1'!H221*(1+wheeling!$F$33)</f>
        <v>32.045486491150875</v>
      </c>
      <c r="I202" s="359">
        <f>'F1'!I221*(1+wheeling!$F$33)</f>
        <v>30.48389515814635</v>
      </c>
      <c r="J202" s="359">
        <f>'F1'!J221*(1+wheeling!$F$33)</f>
        <v>35.260978178998343</v>
      </c>
      <c r="K202" s="359">
        <f>'F1'!K221*(1+wheeling!$F$33)</f>
        <v>31.095471882056671</v>
      </c>
      <c r="L202" s="359">
        <f>'F1'!L221*(1+wheeling!$F$33)</f>
        <v>27.823219640093026</v>
      </c>
      <c r="M202" s="359">
        <f>'F1'!M221*(1+wheeling!$F$33)</f>
        <v>26.237178388707701</v>
      </c>
      <c r="N202" s="359">
        <f>'F1'!N221*(1+wheeling!$F$33)</f>
        <v>24.431756868922129</v>
      </c>
      <c r="O202" s="359">
        <f t="shared" si="33"/>
        <v>377.37537970418475</v>
      </c>
      <c r="R202" s="532"/>
      <c r="S202" s="532"/>
    </row>
    <row r="203" spans="2:19" x14ac:dyDescent="0.3">
      <c r="B203" s="344" t="s">
        <v>965</v>
      </c>
      <c r="C203" s="359">
        <f>'F1'!C222*(1+wheeling!$F$33)</f>
        <v>8.6317816604506952</v>
      </c>
      <c r="D203" s="359">
        <f>'F1'!D222*(1+wheeling!$F$33)</f>
        <v>9.3672938344109795</v>
      </c>
      <c r="E203" s="359">
        <f>'F1'!E222*(1+wheeling!$F$33)</f>
        <v>8.4386824045752249</v>
      </c>
      <c r="F203" s="359">
        <f>'F1'!F222*(1+wheeling!$F$33)</f>
        <v>8.7894413747634026</v>
      </c>
      <c r="G203" s="359">
        <f>'F1'!G222*(1+wheeling!$F$33)</f>
        <v>9.347350269793349</v>
      </c>
      <c r="H203" s="359">
        <f>'F1'!H222*(1+wheeling!$F$33)</f>
        <v>9.3848587507660568</v>
      </c>
      <c r="I203" s="359">
        <f>'F1'!I222*(1+wheeling!$F$33)</f>
        <v>9.9451061916718686</v>
      </c>
      <c r="J203" s="359">
        <f>'F1'!J222*(1+wheeling!$F$33)</f>
        <v>10.131521747675656</v>
      </c>
      <c r="K203" s="359">
        <f>'F1'!K222*(1+wheeling!$F$33)</f>
        <v>9.5047220938510595</v>
      </c>
      <c r="L203" s="359">
        <f>'F1'!L222*(1+wheeling!$F$33)</f>
        <v>9.1015897016054055</v>
      </c>
      <c r="M203" s="359">
        <f>'F1'!M222*(1+wheeling!$F$33)</f>
        <v>9.1667280581719091</v>
      </c>
      <c r="N203" s="359">
        <f>'F1'!N222*(1+wheeling!$F$33)</f>
        <v>9.5799849033252453</v>
      </c>
      <c r="O203" s="359">
        <f t="shared" si="33"/>
        <v>111.38906099106084</v>
      </c>
      <c r="R203" s="532"/>
      <c r="S203" s="532"/>
    </row>
    <row r="204" spans="2:19" x14ac:dyDescent="0.3">
      <c r="B204" s="344" t="s">
        <v>966</v>
      </c>
      <c r="C204" s="359">
        <f>'F1'!C223*(1+wheeling!$F$33)</f>
        <v>7.3354173039292156</v>
      </c>
      <c r="D204" s="359">
        <f>'F1'!D223*(1+wheeling!$F$33)</f>
        <v>7.2665376337365117</v>
      </c>
      <c r="E204" s="359">
        <f>'F1'!E223*(1+wheeling!$F$33)</f>
        <v>7.4585012904857519</v>
      </c>
      <c r="F204" s="359">
        <f>'F1'!F223*(1+wheeling!$F$33)</f>
        <v>7.2053817230925326</v>
      </c>
      <c r="G204" s="359">
        <f>'F1'!G223*(1+wheeling!$F$33)</f>
        <v>7.0424769734834394</v>
      </c>
      <c r="H204" s="359">
        <f>'F1'!H223*(1+wheeling!$F$33)</f>
        <v>6.9580075709446403</v>
      </c>
      <c r="I204" s="359">
        <f>'F1'!I223*(1+wheeling!$F$33)</f>
        <v>6.9353646117700842</v>
      </c>
      <c r="J204" s="359">
        <f>'F1'!J223*(1+wheeling!$F$33)</f>
        <v>7.699897989041288</v>
      </c>
      <c r="K204" s="359">
        <f>'F1'!K223*(1+wheeling!$F$33)</f>
        <v>6.7049993140821584</v>
      </c>
      <c r="L204" s="359">
        <f>'F1'!L223*(1+wheeling!$F$33)</f>
        <v>7.0032055037532244</v>
      </c>
      <c r="M204" s="359">
        <f>'F1'!M223*(1+wheeling!$F$33)</f>
        <v>6.4409781923883358</v>
      </c>
      <c r="N204" s="359">
        <f>'F1'!N223*(1+wheeling!$F$33)</f>
        <v>6.0205259466352796</v>
      </c>
      <c r="O204" s="359">
        <f t="shared" si="33"/>
        <v>84.071294053342456</v>
      </c>
      <c r="R204" s="532"/>
      <c r="S204" s="532"/>
    </row>
    <row r="205" spans="2:19" x14ac:dyDescent="0.3">
      <c r="B205" s="344" t="s">
        <v>967</v>
      </c>
      <c r="C205" s="359">
        <f>'F1'!C224*(1+wheeling!$F$33)</f>
        <v>5.3808689640412428</v>
      </c>
      <c r="D205" s="359">
        <f>'F1'!D224*(1+wheeling!$F$33)</f>
        <v>5.971312036635676</v>
      </c>
      <c r="E205" s="359">
        <f>'F1'!E224*(1+wheeling!$F$33)</f>
        <v>6.0272724232624286</v>
      </c>
      <c r="F205" s="359">
        <f>'F1'!F224*(1+wheeling!$F$33)</f>
        <v>5.7871974977802632</v>
      </c>
      <c r="G205" s="359">
        <f>'F1'!G224*(1+wheeling!$F$33)</f>
        <v>5.6629347214071659</v>
      </c>
      <c r="H205" s="359">
        <f>'F1'!H224*(1+wheeling!$F$33)</f>
        <v>5.6013300489563465</v>
      </c>
      <c r="I205" s="359">
        <f>'F1'!I224*(1+wheeling!$F$33)</f>
        <v>5.542557956939195</v>
      </c>
      <c r="J205" s="359">
        <f>'F1'!J224*(1+wheeling!$F$33)</f>
        <v>6.1244871702211867</v>
      </c>
      <c r="K205" s="359">
        <f>'F1'!K224*(1+wheeling!$F$33)</f>
        <v>5.2417376080516052</v>
      </c>
      <c r="L205" s="359">
        <f>'F1'!L224*(1+wheeling!$F$33)</f>
        <v>4.6840905727139273</v>
      </c>
      <c r="M205" s="359">
        <f>'F1'!M224*(1+wheeling!$F$33)</f>
        <v>4.4507962862847608</v>
      </c>
      <c r="N205" s="359">
        <f>'F1'!N224*(1+wheeling!$F$33)</f>
        <v>4.2032444117847154</v>
      </c>
      <c r="O205" s="359">
        <f t="shared" si="33"/>
        <v>64.677829698078511</v>
      </c>
      <c r="R205" s="532"/>
      <c r="S205" s="532"/>
    </row>
    <row r="206" spans="2:19" x14ac:dyDescent="0.3">
      <c r="B206" s="344" t="s">
        <v>968</v>
      </c>
      <c r="C206" s="359">
        <f>'F1'!C225*(1+wheeling!$F$33)</f>
        <v>16.633042869347957</v>
      </c>
      <c r="D206" s="359">
        <f>'F1'!D225*(1+wheeling!$F$33)</f>
        <v>17.267572891768051</v>
      </c>
      <c r="E206" s="359">
        <f>'F1'!E225*(1+wheeling!$F$33)</f>
        <v>17.501474392798038</v>
      </c>
      <c r="F206" s="359">
        <f>'F1'!F225*(1+wheeling!$F$33)</f>
        <v>17.00524506919653</v>
      </c>
      <c r="G206" s="359">
        <f>'F1'!G225*(1+wheeling!$F$33)</f>
        <v>16.492268608091237</v>
      </c>
      <c r="H206" s="359">
        <f>'F1'!H225*(1+wheeling!$F$33)</f>
        <v>16.431881597078277</v>
      </c>
      <c r="I206" s="359">
        <f>'F1'!I225*(1+wheeling!$F$33)</f>
        <v>15.957136618400002</v>
      </c>
      <c r="J206" s="359">
        <f>'F1'!J225*(1+wheeling!$F$33)</f>
        <v>17.554102420765233</v>
      </c>
      <c r="K206" s="359">
        <f>'F1'!K225*(1+wheeling!$F$33)</f>
        <v>14.918085954781066</v>
      </c>
      <c r="L206" s="359">
        <f>'F1'!L225*(1+wheeling!$F$33)</f>
        <v>13.818646914671245</v>
      </c>
      <c r="M206" s="359">
        <f>'F1'!M225*(1+wheeling!$F$33)</f>
        <v>12.886716898107979</v>
      </c>
      <c r="N206" s="359">
        <f>'F1'!N225*(1+wheeling!$F$33)</f>
        <v>11.908302417603105</v>
      </c>
      <c r="O206" s="359">
        <f t="shared" si="33"/>
        <v>188.37447665260871</v>
      </c>
      <c r="R206" s="532"/>
      <c r="S206" s="532"/>
    </row>
    <row r="207" spans="2:19" x14ac:dyDescent="0.3">
      <c r="B207" s="344" t="s">
        <v>969</v>
      </c>
      <c r="C207" s="359">
        <f>'F1'!C226*(1+wheeling!$F$33)</f>
        <v>0</v>
      </c>
      <c r="D207" s="359">
        <f>'F1'!D226*(1+wheeling!$F$33)</f>
        <v>0</v>
      </c>
      <c r="E207" s="359">
        <f>'F1'!E226*(1+wheeling!$F$33)</f>
        <v>0</v>
      </c>
      <c r="F207" s="359">
        <f>'F1'!F226*(1+wheeling!$F$33)</f>
        <v>0</v>
      </c>
      <c r="G207" s="359">
        <f>'F1'!G226*(1+wheeling!$F$33)</f>
        <v>0</v>
      </c>
      <c r="H207" s="359">
        <f>'F1'!H226*(1+wheeling!$F$33)</f>
        <v>0</v>
      </c>
      <c r="I207" s="359">
        <f>'F1'!I226*(1+wheeling!$F$33)</f>
        <v>0</v>
      </c>
      <c r="J207" s="359">
        <f>'F1'!J226*(1+wheeling!$F$33)</f>
        <v>0</v>
      </c>
      <c r="K207" s="359">
        <f>'F1'!K226*(1+wheeling!$F$33)</f>
        <v>0</v>
      </c>
      <c r="L207" s="359">
        <f>'F1'!L226*(1+wheeling!$F$33)</f>
        <v>0</v>
      </c>
      <c r="M207" s="359">
        <f>'F1'!M226*(1+wheeling!$F$33)</f>
        <v>0</v>
      </c>
      <c r="N207" s="359">
        <f>'F1'!N226*(1+wheeling!$F$33)</f>
        <v>0</v>
      </c>
      <c r="O207" s="359">
        <f t="shared" si="33"/>
        <v>0</v>
      </c>
      <c r="R207" s="532"/>
      <c r="S207" s="532"/>
    </row>
    <row r="208" spans="2:19" x14ac:dyDescent="0.3">
      <c r="B208" s="344" t="s">
        <v>970</v>
      </c>
      <c r="C208" s="359">
        <f>'F1'!C227*(1+wheeling!$F$33)</f>
        <v>5.4335995297765081E-3</v>
      </c>
      <c r="D208" s="359">
        <f>'F1'!D227*(1+wheeling!$F$33)</f>
        <v>5.462042179505854E-3</v>
      </c>
      <c r="E208" s="359">
        <f>'F1'!E227*(1+wheeling!$F$33)</f>
        <v>6.5691986560074255E-3</v>
      </c>
      <c r="F208" s="359">
        <f>'F1'!F227*(1+wheeling!$F$33)</f>
        <v>6.1120093973949779E-3</v>
      </c>
      <c r="G208" s="359">
        <f>'F1'!G227*(1+wheeling!$F$33)</f>
        <v>3.6290714191702343E-3</v>
      </c>
      <c r="H208" s="359">
        <f>'F1'!H227*(1+wheeling!$F$33)</f>
        <v>3.8566126170050011E-3</v>
      </c>
      <c r="I208" s="359">
        <f>'F1'!I227*(1+wheeling!$F$33)</f>
        <v>3.8566126170050011E-3</v>
      </c>
      <c r="J208" s="359">
        <f>'F1'!J227*(1+wheeling!$F$33)</f>
        <v>3.8566126170050011E-3</v>
      </c>
      <c r="K208" s="359">
        <f>'F1'!K227*(1+wheeling!$F$33)</f>
        <v>3.8566126170050011E-3</v>
      </c>
      <c r="L208" s="359">
        <f>'F1'!L227*(1+wheeling!$F$33)</f>
        <v>3.8566126170050011E-3</v>
      </c>
      <c r="M208" s="359">
        <f>'F1'!M227*(1+wheeling!$F$33)</f>
        <v>3.8566126170050011E-3</v>
      </c>
      <c r="N208" s="359">
        <f>'F1'!N227*(1+wheeling!$F$33)</f>
        <v>3.8566126170050011E-3</v>
      </c>
      <c r="O208" s="359">
        <f t="shared" si="33"/>
        <v>5.420220950088999E-2</v>
      </c>
      <c r="R208" s="532"/>
      <c r="S208" s="532"/>
    </row>
    <row r="209" spans="1:19" x14ac:dyDescent="0.3">
      <c r="B209" s="344" t="s">
        <v>971</v>
      </c>
      <c r="C209" s="359">
        <f>'F1'!C228*(1+wheeling!$F$33)</f>
        <v>1.5641993081394872</v>
      </c>
      <c r="D209" s="359">
        <f>'F1'!D228*(1+wheeling!$F$33)</f>
        <v>1.6015202783102747</v>
      </c>
      <c r="E209" s="359">
        <f>'F1'!E228*(1+wheeling!$F$33)</f>
        <v>1.7106684199309037</v>
      </c>
      <c r="F209" s="359">
        <f>'F1'!F228*(1+wheeling!$F$33)</f>
        <v>1.6111286267614362</v>
      </c>
      <c r="G209" s="359">
        <f>'F1'!G228*(1+wheeling!$F$33)</f>
        <v>1.4811657326962837</v>
      </c>
      <c r="H209" s="359">
        <f>'F1'!H228*(1+wheeling!$F$33)</f>
        <v>1.5965744175517831</v>
      </c>
      <c r="I209" s="359">
        <f>'F1'!I228*(1+wheeling!$F$33)</f>
        <v>1.5965744175517831</v>
      </c>
      <c r="J209" s="359">
        <f>'F1'!J228*(1+wheeling!$F$33)</f>
        <v>1.5965744175517831</v>
      </c>
      <c r="K209" s="359">
        <f>'F1'!K228*(1+wheeling!$F$33)</f>
        <v>1.5965744175517831</v>
      </c>
      <c r="L209" s="359">
        <f>'F1'!L228*(1+wheeling!$F$33)</f>
        <v>1.5965744175517831</v>
      </c>
      <c r="M209" s="359">
        <f>'F1'!M228*(1+wheeling!$F$33)</f>
        <v>1.5965744175517831</v>
      </c>
      <c r="N209" s="359">
        <f>'F1'!N228*(1+wheeling!$F$33)</f>
        <v>1.5965744175517831</v>
      </c>
      <c r="O209" s="359">
        <f t="shared" si="33"/>
        <v>19.144703288700867</v>
      </c>
      <c r="R209" s="532"/>
      <c r="S209" s="532"/>
    </row>
    <row r="210" spans="1:19" x14ac:dyDescent="0.3">
      <c r="B210" s="458"/>
      <c r="C210" s="359"/>
      <c r="D210" s="359"/>
      <c r="E210" s="359"/>
      <c r="F210" s="359"/>
      <c r="G210" s="359"/>
      <c r="H210" s="359"/>
      <c r="I210" s="359"/>
      <c r="J210" s="359"/>
      <c r="K210" s="359"/>
      <c r="L210" s="359"/>
      <c r="M210" s="359"/>
      <c r="N210" s="359"/>
      <c r="O210" s="359"/>
      <c r="R210" s="532"/>
      <c r="S210" s="532"/>
    </row>
    <row r="211" spans="1:19" s="425" customFormat="1" x14ac:dyDescent="0.3">
      <c r="B211" s="434" t="s">
        <v>416</v>
      </c>
      <c r="C211" s="361">
        <f>SUM(C194:C209)</f>
        <v>350.94897488376341</v>
      </c>
      <c r="D211" s="361">
        <f t="shared" ref="D211" si="34">SUM(D194:D209)</f>
        <v>404.88636625008326</v>
      </c>
      <c r="E211" s="361">
        <f t="shared" ref="E211:N211" si="35">SUM(E194:E209)</f>
        <v>380.0228023005576</v>
      </c>
      <c r="F211" s="361">
        <f t="shared" si="35"/>
        <v>349.72138337948337</v>
      </c>
      <c r="G211" s="361">
        <f t="shared" si="35"/>
        <v>343.83277456218144</v>
      </c>
      <c r="H211" s="361">
        <f t="shared" si="35"/>
        <v>344.60444566605639</v>
      </c>
      <c r="I211" s="361">
        <f t="shared" si="35"/>
        <v>373.84857449241031</v>
      </c>
      <c r="J211" s="361">
        <f t="shared" si="35"/>
        <v>388.84577871533071</v>
      </c>
      <c r="K211" s="361">
        <f t="shared" si="35"/>
        <v>343.68554768050183</v>
      </c>
      <c r="L211" s="361">
        <f t="shared" si="35"/>
        <v>301.06554303427629</v>
      </c>
      <c r="M211" s="361">
        <f t="shared" si="35"/>
        <v>255.28441290143476</v>
      </c>
      <c r="N211" s="361">
        <f t="shared" si="35"/>
        <v>275.07899595803019</v>
      </c>
      <c r="O211" s="361">
        <f>SUM(C211:N211)</f>
        <v>4111.8255998241093</v>
      </c>
      <c r="R211" s="532"/>
      <c r="S211" s="532"/>
    </row>
    <row r="212" spans="1:19" x14ac:dyDescent="0.3">
      <c r="B212" s="434"/>
      <c r="C212" s="359"/>
      <c r="D212" s="359"/>
      <c r="E212" s="359"/>
      <c r="F212" s="359"/>
      <c r="G212" s="359"/>
      <c r="H212" s="359"/>
      <c r="I212" s="359"/>
      <c r="J212" s="359"/>
      <c r="K212" s="359"/>
      <c r="L212" s="359"/>
      <c r="M212" s="359"/>
      <c r="N212" s="359"/>
      <c r="O212" s="359"/>
    </row>
    <row r="213" spans="1:19" x14ac:dyDescent="0.3">
      <c r="B213" s="433" t="s">
        <v>145</v>
      </c>
      <c r="C213" s="361">
        <f>C211+C191</f>
        <v>402.96777026309258</v>
      </c>
      <c r="D213" s="361">
        <f t="shared" ref="D213" si="36">D211+D191</f>
        <v>461.0281940925455</v>
      </c>
      <c r="E213" s="361">
        <f t="shared" ref="E213:N213" si="37">E211+E191</f>
        <v>440.71543938878187</v>
      </c>
      <c r="F213" s="361">
        <f t="shared" si="37"/>
        <v>408.51250666359414</v>
      </c>
      <c r="G213" s="361">
        <f t="shared" si="37"/>
        <v>401.94896774780193</v>
      </c>
      <c r="H213" s="361">
        <f t="shared" si="37"/>
        <v>401.33653439880436</v>
      </c>
      <c r="I213" s="361">
        <f t="shared" si="37"/>
        <v>427.25043641379921</v>
      </c>
      <c r="J213" s="361">
        <f t="shared" si="37"/>
        <v>448.66446008272567</v>
      </c>
      <c r="K213" s="361">
        <f t="shared" si="37"/>
        <v>398.29722125113608</v>
      </c>
      <c r="L213" s="361">
        <f t="shared" si="37"/>
        <v>351.89837152133566</v>
      </c>
      <c r="M213" s="361">
        <f t="shared" si="37"/>
        <v>304.25273944096165</v>
      </c>
      <c r="N213" s="361">
        <f t="shared" si="37"/>
        <v>319.18219833016974</v>
      </c>
      <c r="O213" s="361">
        <f>SUM(C213:N213)</f>
        <v>4766.054839594748</v>
      </c>
    </row>
    <row r="214" spans="1:19" customFormat="1" x14ac:dyDescent="0.3">
      <c r="A214" s="425"/>
      <c r="B214" s="576" t="s">
        <v>436</v>
      </c>
      <c r="P214" s="426"/>
      <c r="Q214" s="426"/>
    </row>
    <row r="215" spans="1:19" customFormat="1" x14ac:dyDescent="0.3">
      <c r="A215" s="426"/>
      <c r="B215" s="573" t="s">
        <v>437</v>
      </c>
    </row>
    <row r="216" spans="1:19" customFormat="1" x14ac:dyDescent="0.3">
      <c r="A216" s="426"/>
      <c r="B216" s="573"/>
    </row>
    <row r="217" spans="1:19" customFormat="1" x14ac:dyDescent="0.3">
      <c r="A217" s="425"/>
      <c r="B217" s="426"/>
    </row>
    <row r="218" spans="1:19" customFormat="1" x14ac:dyDescent="0.3">
      <c r="A218" s="425"/>
      <c r="B218" s="597" t="s">
        <v>836</v>
      </c>
    </row>
    <row r="219" spans="1:19" customFormat="1" x14ac:dyDescent="0.3">
      <c r="A219" s="496"/>
      <c r="B219" s="597"/>
      <c r="P219" s="426"/>
      <c r="Q219" s="426"/>
    </row>
    <row r="220" spans="1:19" s="596" customFormat="1" ht="28" x14ac:dyDescent="0.3">
      <c r="B220" s="827" t="s">
        <v>292</v>
      </c>
      <c r="C220" s="827" t="s">
        <v>151</v>
      </c>
      <c r="D220" s="827" t="s">
        <v>152</v>
      </c>
      <c r="E220" s="827" t="s">
        <v>153</v>
      </c>
      <c r="F220" s="827" t="s">
        <v>154</v>
      </c>
      <c r="G220" s="827" t="s">
        <v>155</v>
      </c>
      <c r="H220" s="827" t="s">
        <v>156</v>
      </c>
      <c r="I220" s="827" t="s">
        <v>157</v>
      </c>
      <c r="J220" s="827" t="s">
        <v>158</v>
      </c>
      <c r="K220" s="827" t="s">
        <v>159</v>
      </c>
      <c r="L220" s="827" t="s">
        <v>160</v>
      </c>
      <c r="M220" s="827" t="s">
        <v>161</v>
      </c>
      <c r="N220" s="827" t="s">
        <v>162</v>
      </c>
      <c r="O220" s="827" t="s">
        <v>145</v>
      </c>
      <c r="R220" s="532"/>
      <c r="S220" s="532"/>
    </row>
    <row r="221" spans="1:19" s="532" customFormat="1" x14ac:dyDescent="0.3">
      <c r="B221" s="458" t="s">
        <v>293</v>
      </c>
      <c r="C221" s="359"/>
      <c r="D221" s="359"/>
      <c r="E221" s="359"/>
      <c r="F221" s="359"/>
      <c r="G221" s="359"/>
      <c r="H221" s="359"/>
      <c r="I221" s="359"/>
      <c r="J221" s="359"/>
      <c r="K221" s="359"/>
      <c r="L221" s="359"/>
      <c r="M221" s="359"/>
      <c r="N221" s="359"/>
      <c r="O221" s="359"/>
    </row>
    <row r="222" spans="1:19" s="532" customFormat="1" x14ac:dyDescent="0.3">
      <c r="B222" s="344"/>
      <c r="C222" s="359"/>
      <c r="D222" s="359"/>
      <c r="E222" s="359"/>
      <c r="F222" s="359"/>
      <c r="G222" s="359"/>
      <c r="H222" s="359"/>
      <c r="I222" s="359"/>
      <c r="J222" s="359"/>
      <c r="K222" s="359"/>
      <c r="L222" s="359"/>
      <c r="M222" s="359"/>
      <c r="N222" s="359"/>
      <c r="O222" s="359"/>
    </row>
    <row r="223" spans="1:19" s="532" customFormat="1" x14ac:dyDescent="0.3">
      <c r="B223" s="344" t="s">
        <v>953</v>
      </c>
      <c r="C223" s="359">
        <f>'F1'!C245*(1+wheeling!$G$32)</f>
        <v>13.278123893494831</v>
      </c>
      <c r="D223" s="359">
        <f>'F1'!D245*(1+wheeling!$G$32)</f>
        <v>14.540606852351949</v>
      </c>
      <c r="E223" s="359">
        <f>'F1'!E245*(1+wheeling!$G$32)</f>
        <v>15.33397102908077</v>
      </c>
      <c r="F223" s="359">
        <f>'F1'!F245*(1+wheeling!$G$32)</f>
        <v>14.918450752426027</v>
      </c>
      <c r="G223" s="359">
        <f>'F1'!G245*(1+wheeling!$G$32)</f>
        <v>14.624005544869416</v>
      </c>
      <c r="H223" s="359">
        <f>'F1'!H245*(1+wheeling!$G$32)</f>
        <v>14.588796603163511</v>
      </c>
      <c r="I223" s="359">
        <f>'F1'!I245*(1+wheeling!$G$32)</f>
        <v>15.874883944897286</v>
      </c>
      <c r="J223" s="359">
        <f>'F1'!J245*(1+wheeling!$G$32)</f>
        <v>20.185350054181779</v>
      </c>
      <c r="K223" s="359">
        <f>'F1'!K245*(1+wheeling!$G$32)</f>
        <v>18.616753717477042</v>
      </c>
      <c r="L223" s="359">
        <f>'F1'!L245*(1+wheeling!$G$32)</f>
        <v>17.498828308343487</v>
      </c>
      <c r="M223" s="359">
        <f>'F1'!M245*(1+wheeling!$G$32)</f>
        <v>17.224972570605651</v>
      </c>
      <c r="N223" s="359">
        <f>'F1'!N245*(1+wheeling!$G$32)</f>
        <v>15.686975113082573</v>
      </c>
      <c r="O223" s="359">
        <f t="shared" ref="O223:O229" si="38">SUM(C223:N223)</f>
        <v>192.37171838397435</v>
      </c>
    </row>
    <row r="224" spans="1:19" s="532" customFormat="1" x14ac:dyDescent="0.3">
      <c r="B224" s="344" t="s">
        <v>954</v>
      </c>
      <c r="C224" s="359">
        <f>'F1'!C246*(1+wheeling!$G$32)</f>
        <v>18.270526706798311</v>
      </c>
      <c r="D224" s="359">
        <f>'F1'!D246*(1+wheeling!$G$32)</f>
        <v>19.61919003229665</v>
      </c>
      <c r="E224" s="359">
        <f>'F1'!E246*(1+wheeling!$G$32)</f>
        <v>21.550276102706196</v>
      </c>
      <c r="F224" s="359">
        <f>'F1'!F246*(1+wheeling!$G$32)</f>
        <v>20.76618248903057</v>
      </c>
      <c r="G224" s="359">
        <f>'F1'!G246*(1+wheeling!$G$32)</f>
        <v>19.461747074809015</v>
      </c>
      <c r="H224" s="359">
        <f>'F1'!H246*(1+wheeling!$G$32)</f>
        <v>19.027009704017079</v>
      </c>
      <c r="I224" s="359">
        <f>'F1'!I246*(1+wheeling!$G$32)</f>
        <v>16.837293020176617</v>
      </c>
      <c r="J224" s="359">
        <f>'F1'!J246*(1+wheeling!$G$32)</f>
        <v>17.424445965928573</v>
      </c>
      <c r="K224" s="359">
        <f>'F1'!K246*(1+wheeling!$G$32)</f>
        <v>15.835566423391656</v>
      </c>
      <c r="L224" s="359">
        <f>'F1'!L246*(1+wheeling!$G$32)</f>
        <v>14.717648191750353</v>
      </c>
      <c r="M224" s="359">
        <f>'F1'!M246*(1+wheeling!$G$32)</f>
        <v>14.142455883889063</v>
      </c>
      <c r="N224" s="359">
        <f>'F1'!N246*(1+wheeling!$G$32)</f>
        <v>12.969860899342059</v>
      </c>
      <c r="O224" s="359">
        <f t="shared" si="38"/>
        <v>210.62220249413616</v>
      </c>
    </row>
    <row r="225" spans="2:15" s="532" customFormat="1" x14ac:dyDescent="0.3">
      <c r="B225" s="348" t="s">
        <v>955</v>
      </c>
      <c r="C225" s="359">
        <f>'F1'!C247*(1+wheeling!$G$32)</f>
        <v>2.22034077307196</v>
      </c>
      <c r="D225" s="359">
        <f>'F1'!D247*(1+wheeling!$G$32)</f>
        <v>2.988784059648844</v>
      </c>
      <c r="E225" s="359">
        <f>'F1'!E247*(1+wheeling!$G$32)</f>
        <v>3.2878882934984572</v>
      </c>
      <c r="F225" s="359">
        <f>'F1'!F247*(1+wheeling!$G$32)</f>
        <v>3.0306001089084109</v>
      </c>
      <c r="G225" s="359">
        <f>'F1'!G247*(1+wheeling!$G$32)</f>
        <v>2.9226068904751012</v>
      </c>
      <c r="H225" s="359">
        <f>'F1'!H247*(1+wheeling!$G$32)</f>
        <v>2.9132120463041349</v>
      </c>
      <c r="I225" s="359">
        <f>'F1'!I247*(1+wheeling!$G$32)</f>
        <v>2.7212021886349542</v>
      </c>
      <c r="J225" s="359">
        <f>'F1'!J247*(1+wheeling!$G$32)</f>
        <v>3.0116193195262104</v>
      </c>
      <c r="K225" s="359">
        <f>'F1'!K247*(1+wheeling!$G$32)</f>
        <v>2.7092788053689696</v>
      </c>
      <c r="L225" s="359">
        <f>'F1'!L247*(1+wheeling!$G$32)</f>
        <v>2.3877135816646562</v>
      </c>
      <c r="M225" s="359">
        <f>'F1'!M247*(1+wheeling!$G$32)</f>
        <v>2.2422140213310136</v>
      </c>
      <c r="N225" s="359">
        <f>'F1'!N247*(1+wheeling!$G$32)</f>
        <v>2.0204272411555251</v>
      </c>
      <c r="O225" s="359">
        <f t="shared" si="38"/>
        <v>32.455887329588236</v>
      </c>
    </row>
    <row r="226" spans="2:15" s="532" customFormat="1" x14ac:dyDescent="0.3">
      <c r="B226" s="348" t="s">
        <v>956</v>
      </c>
      <c r="C226" s="359">
        <f>'F1'!C248*(1+wheeling!$G$32)</f>
        <v>0.22806595526454376</v>
      </c>
      <c r="D226" s="359">
        <f>'F1'!D248*(1+wheeling!$G$32)</f>
        <v>0.22919357906480176</v>
      </c>
      <c r="E226" s="359">
        <f>'F1'!E248*(1+wheeling!$G$32)</f>
        <v>0.24375669898695076</v>
      </c>
      <c r="F226" s="359">
        <f>'F1'!F248*(1+wheeling!$G$32)</f>
        <v>0.22169528495932281</v>
      </c>
      <c r="G226" s="359">
        <f>'F1'!G248*(1+wheeling!$G$32)</f>
        <v>0.2151841668868654</v>
      </c>
      <c r="H226" s="359">
        <f>'F1'!H248*(1+wheeling!$G$32)</f>
        <v>0.19708055073164829</v>
      </c>
      <c r="I226" s="359">
        <f>'F1'!I248*(1+wheeling!$G$32)</f>
        <v>0.20758526176641054</v>
      </c>
      <c r="J226" s="359">
        <f>'F1'!J248*(1+wheeling!$G$32)</f>
        <v>0.23137029047536006</v>
      </c>
      <c r="K226" s="359">
        <f>'F1'!K248*(1+wheeling!$G$32)</f>
        <v>0.23099952028764029</v>
      </c>
      <c r="L226" s="359">
        <f>'F1'!L248*(1+wheeling!$G$32)</f>
        <v>0.21880530078041319</v>
      </c>
      <c r="M226" s="359">
        <f>'F1'!M248*(1+wheeling!$G$32)</f>
        <v>0.19826754038221184</v>
      </c>
      <c r="N226" s="359">
        <f>'F1'!N248*(1+wheeling!$G$32)</f>
        <v>0.17650357269651901</v>
      </c>
      <c r="O226" s="359">
        <f t="shared" si="38"/>
        <v>2.5985077222826876</v>
      </c>
    </row>
    <row r="227" spans="2:15" s="532" customFormat="1" x14ac:dyDescent="0.3">
      <c r="B227" s="594" t="s">
        <v>957</v>
      </c>
      <c r="C227" s="359">
        <f>'F1'!C249*(1+wheeling!$G$32)</f>
        <v>2.4248943575192965</v>
      </c>
      <c r="D227" s="359">
        <f>'F1'!D249*(1+wheeling!$G$32)</f>
        <v>2.6863777876457866</v>
      </c>
      <c r="E227" s="359">
        <f>'F1'!E249*(1+wheeling!$G$32)</f>
        <v>2.8349775878754833</v>
      </c>
      <c r="F227" s="359">
        <f>'F1'!F249*(1+wheeling!$G$32)</f>
        <v>2.5479437786834698</v>
      </c>
      <c r="G227" s="359">
        <f>'F1'!G249*(1+wheeling!$G$32)</f>
        <v>2.39873368743643</v>
      </c>
      <c r="H227" s="359">
        <f>'F1'!H249*(1+wheeling!$G$32)</f>
        <v>2.4325139014957711</v>
      </c>
      <c r="I227" s="359">
        <f>'F1'!I249*(1+wheeling!$G$32)</f>
        <v>2.3245583720501752</v>
      </c>
      <c r="J227" s="359">
        <f>'F1'!J249*(1+wheeling!$G$32)</f>
        <v>2.5356804455808915</v>
      </c>
      <c r="K227" s="359">
        <f>'F1'!K249*(1+wheeling!$G$32)</f>
        <v>2.2312093087050271</v>
      </c>
      <c r="L227" s="359">
        <f>'F1'!L249*(1+wheeling!$G$32)</f>
        <v>1.9513203731847455</v>
      </c>
      <c r="M227" s="359">
        <f>'F1'!M249*(1+wheeling!$G$32)</f>
        <v>1.9678210439659181</v>
      </c>
      <c r="N227" s="359">
        <f>'F1'!N249*(1+wheeling!$G$32)</f>
        <v>1.7371703632638793</v>
      </c>
      <c r="O227" s="359">
        <f t="shared" si="38"/>
        <v>28.073201007406873</v>
      </c>
    </row>
    <row r="228" spans="2:15" s="532" customFormat="1" x14ac:dyDescent="0.3">
      <c r="B228" s="594" t="s">
        <v>958</v>
      </c>
      <c r="C228" s="359">
        <f>'F1'!C250*(1+wheeling!$G$32)</f>
        <v>15.584168117048764</v>
      </c>
      <c r="D228" s="359">
        <f>'F1'!D250*(1+wheeling!$G$32)</f>
        <v>16.063995283617142</v>
      </c>
      <c r="E228" s="359">
        <f>'F1'!E250*(1+wheeling!$G$32)</f>
        <v>17.426978218880052</v>
      </c>
      <c r="F228" s="359">
        <f>'F1'!F250*(1+wheeling!$G$32)</f>
        <v>17.291925060487326</v>
      </c>
      <c r="G228" s="359">
        <f>'F1'!G250*(1+wheeling!$G$32)</f>
        <v>18.479754473772523</v>
      </c>
      <c r="H228" s="359">
        <f>'F1'!H250*(1+wheeling!$G$32)</f>
        <v>17.559651848554491</v>
      </c>
      <c r="I228" s="359">
        <f>'F1'!I250*(1+wheeling!$G$32)</f>
        <v>15.423326541753092</v>
      </c>
      <c r="J228" s="359">
        <f>'F1'!J250*(1+wheeling!$G$32)</f>
        <v>16.415639093921634</v>
      </c>
      <c r="K228" s="359">
        <f>'F1'!K250*(1+wheeling!$G$32)</f>
        <v>14.974558404854779</v>
      </c>
      <c r="L228" s="359">
        <f>'F1'!L250*(1+wheeling!$G$32)</f>
        <v>14.046126143319484</v>
      </c>
      <c r="M228" s="359">
        <f>'F1'!M250*(1+wheeling!$G$32)</f>
        <v>13.180663220127203</v>
      </c>
      <c r="N228" s="359">
        <f>'F1'!N250*(1+wheeling!$G$32)</f>
        <v>11.501518422793595</v>
      </c>
      <c r="O228" s="359">
        <f t="shared" si="38"/>
        <v>187.94830482913011</v>
      </c>
    </row>
    <row r="229" spans="2:15" s="532" customFormat="1" x14ac:dyDescent="0.3">
      <c r="B229" s="594" t="s">
        <v>959</v>
      </c>
      <c r="C229" s="359">
        <f>'F1'!C251*(1+wheeling!$G$32)</f>
        <v>0</v>
      </c>
      <c r="D229" s="359">
        <f>'F1'!D251*(1+wheeling!$G$32)</f>
        <v>0</v>
      </c>
      <c r="E229" s="359">
        <f>'F1'!E251*(1+wheeling!$G$32)</f>
        <v>0</v>
      </c>
      <c r="F229" s="359">
        <f>'F1'!F251*(1+wheeling!$G$32)</f>
        <v>0</v>
      </c>
      <c r="G229" s="359">
        <f>'F1'!G251*(1+wheeling!$G$32)</f>
        <v>0</v>
      </c>
      <c r="H229" s="359">
        <f>'F1'!H251*(1+wheeling!$G$32)</f>
        <v>0</v>
      </c>
      <c r="I229" s="359">
        <f>'F1'!I251*(1+wheeling!$G$32)</f>
        <v>0</v>
      </c>
      <c r="J229" s="359">
        <f>'F1'!J251*(1+wheeling!$G$32)</f>
        <v>0</v>
      </c>
      <c r="K229" s="359">
        <f>'F1'!K251*(1+wheeling!$G$32)</f>
        <v>0</v>
      </c>
      <c r="L229" s="359">
        <f>'F1'!L251*(1+wheeling!$G$32)</f>
        <v>0</v>
      </c>
      <c r="M229" s="359">
        <f>'F1'!M251*(1+wheeling!$G$32)</f>
        <v>0</v>
      </c>
      <c r="N229" s="359">
        <f>'F1'!N251*(1+wheeling!$G$32)</f>
        <v>0</v>
      </c>
      <c r="O229" s="359">
        <f t="shared" si="38"/>
        <v>0</v>
      </c>
    </row>
    <row r="230" spans="2:15" s="532" customFormat="1" x14ac:dyDescent="0.3">
      <c r="B230" s="594"/>
      <c r="C230" s="359"/>
      <c r="D230" s="359"/>
      <c r="E230" s="359"/>
      <c r="F230" s="359"/>
      <c r="G230" s="359"/>
      <c r="H230" s="359"/>
      <c r="I230" s="359"/>
      <c r="J230" s="359"/>
      <c r="K230" s="359"/>
      <c r="L230" s="359"/>
      <c r="M230" s="359"/>
      <c r="N230" s="359"/>
      <c r="O230" s="359"/>
    </row>
    <row r="231" spans="2:15" s="532" customFormat="1" x14ac:dyDescent="0.3">
      <c r="B231" s="434" t="s">
        <v>416</v>
      </c>
      <c r="C231" s="361">
        <f>SUM(C223:C229)</f>
        <v>52.006119803197706</v>
      </c>
      <c r="D231" s="361">
        <f t="shared" ref="D231" si="39">SUM(D223:D229)</f>
        <v>56.128147594625176</v>
      </c>
      <c r="E231" s="361">
        <f t="shared" ref="E231:N231" si="40">SUM(E223:E229)</f>
        <v>60.677847931027905</v>
      </c>
      <c r="F231" s="361">
        <f t="shared" si="40"/>
        <v>58.776797474495126</v>
      </c>
      <c r="G231" s="361">
        <f t="shared" si="40"/>
        <v>58.102031838249353</v>
      </c>
      <c r="H231" s="361">
        <f t="shared" si="40"/>
        <v>56.718264654266633</v>
      </c>
      <c r="I231" s="361">
        <f t="shared" si="40"/>
        <v>53.388849329278536</v>
      </c>
      <c r="J231" s="361">
        <f t="shared" si="40"/>
        <v>59.804105169614452</v>
      </c>
      <c r="K231" s="361">
        <f t="shared" si="40"/>
        <v>54.598366180085108</v>
      </c>
      <c r="L231" s="361">
        <f t="shared" si="40"/>
        <v>50.820441899043132</v>
      </c>
      <c r="M231" s="361">
        <f t="shared" si="40"/>
        <v>48.956394280301062</v>
      </c>
      <c r="N231" s="361">
        <f t="shared" si="40"/>
        <v>44.092455612334149</v>
      </c>
      <c r="O231" s="361">
        <f>SUM(C231:N231)</f>
        <v>654.06982176651832</v>
      </c>
    </row>
    <row r="232" spans="2:15" s="532" customFormat="1" x14ac:dyDescent="0.3">
      <c r="B232" s="594"/>
      <c r="C232" s="359"/>
      <c r="D232" s="359"/>
      <c r="E232" s="359"/>
      <c r="F232" s="359"/>
      <c r="G232" s="359"/>
      <c r="H232" s="359"/>
      <c r="I232" s="359"/>
      <c r="J232" s="359"/>
      <c r="K232" s="359"/>
      <c r="L232" s="359"/>
      <c r="M232" s="359"/>
      <c r="N232" s="359"/>
      <c r="O232" s="359"/>
    </row>
    <row r="233" spans="2:15" s="532" customFormat="1" x14ac:dyDescent="0.3">
      <c r="B233" s="458" t="s">
        <v>294</v>
      </c>
      <c r="C233" s="359"/>
      <c r="D233" s="359"/>
      <c r="E233" s="359"/>
      <c r="F233" s="359"/>
      <c r="G233" s="359"/>
      <c r="H233" s="359"/>
      <c r="I233" s="359"/>
      <c r="J233" s="359"/>
      <c r="K233" s="359"/>
      <c r="L233" s="359"/>
      <c r="M233" s="359"/>
      <c r="N233" s="359"/>
      <c r="O233" s="359"/>
    </row>
    <row r="234" spans="2:15" s="532" customFormat="1" x14ac:dyDescent="0.3">
      <c r="B234" s="344" t="s">
        <v>960</v>
      </c>
      <c r="C234" s="359">
        <f>'F1'!C256*(1+wheeling!$G$33)</f>
        <v>1.6360709198820318E-3</v>
      </c>
      <c r="D234" s="359">
        <f>'F1'!D256*(1+wheeling!$G$33)</f>
        <v>1.6907819731513986E-3</v>
      </c>
      <c r="E234" s="359">
        <f>'F1'!E256*(1+wheeling!$G$33)</f>
        <v>1.4719377600739309E-3</v>
      </c>
      <c r="F234" s="359">
        <f>'F1'!F256*(1+wheeling!$G$33)</f>
        <v>1.292022565668897E-3</v>
      </c>
      <c r="G234" s="359">
        <f>'F1'!G256*(1+wheeling!$G$33)</f>
        <v>1.853862997319704E-3</v>
      </c>
      <c r="H234" s="359">
        <f>'F1'!H256*(1+wheeling!$G$33)</f>
        <v>1.6571136326779421E-3</v>
      </c>
      <c r="I234" s="359">
        <f>'F1'!I256*(1+wheeling!$G$33)</f>
        <v>4.1639516866568303E-3</v>
      </c>
      <c r="J234" s="359">
        <f>'F1'!J256*(1+wheeling!$G$33)</f>
        <v>4.6419180349697598E-3</v>
      </c>
      <c r="K234" s="359">
        <f>'F1'!K256*(1+wheeling!$G$33)</f>
        <v>5.2006674280679708E-3</v>
      </c>
      <c r="L234" s="359">
        <f>'F1'!L256*(1+wheeling!$G$33)</f>
        <v>4.8599286878838891E-3</v>
      </c>
      <c r="M234" s="359">
        <f>'F1'!M256*(1+wheeling!$G$33)</f>
        <v>4.0520982400310537E-3</v>
      </c>
      <c r="N234" s="359">
        <f>'F1'!N256*(1+wheeling!$G$33)</f>
        <v>5.3544659171784149E-3</v>
      </c>
      <c r="O234" s="359">
        <f t="shared" ref="O234:O249" si="41">SUM(C234:N234)</f>
        <v>3.7874819843561822E-2</v>
      </c>
    </row>
    <row r="235" spans="2:15" s="532" customFormat="1" x14ac:dyDescent="0.3">
      <c r="B235" s="344" t="s">
        <v>961</v>
      </c>
      <c r="C235" s="359">
        <f>'F1'!C257*(1+wheeling!$G$33)</f>
        <v>0</v>
      </c>
      <c r="D235" s="359">
        <f>'F1'!D257*(1+wheeling!$G$33)</f>
        <v>0</v>
      </c>
      <c r="E235" s="359">
        <f>'F1'!E257*(1+wheeling!$G$33)</f>
        <v>0</v>
      </c>
      <c r="F235" s="359">
        <f>'F1'!F257*(1+wheeling!$G$33)</f>
        <v>0</v>
      </c>
      <c r="G235" s="359">
        <f>'F1'!G257*(1+wheeling!$G$33)</f>
        <v>0</v>
      </c>
      <c r="H235" s="359">
        <f>'F1'!H257*(1+wheeling!$G$33)</f>
        <v>0</v>
      </c>
      <c r="I235" s="359">
        <f>'F1'!I257*(1+wheeling!$G$33)</f>
        <v>0</v>
      </c>
      <c r="J235" s="359">
        <f>'F1'!J257*(1+wheeling!$G$33)</f>
        <v>0</v>
      </c>
      <c r="K235" s="359">
        <f>'F1'!K257*(1+wheeling!$G$33)</f>
        <v>0</v>
      </c>
      <c r="L235" s="359">
        <f>'F1'!L257*(1+wheeling!$G$33)</f>
        <v>0</v>
      </c>
      <c r="M235" s="359">
        <f>'F1'!M257*(1+wheeling!$G$33)</f>
        <v>0</v>
      </c>
      <c r="N235" s="359">
        <f>'F1'!N257*(1+wheeling!$G$33)</f>
        <v>0</v>
      </c>
      <c r="O235" s="359">
        <f t="shared" si="41"/>
        <v>0</v>
      </c>
    </row>
    <row r="236" spans="2:15" s="532" customFormat="1" x14ac:dyDescent="0.3">
      <c r="B236" s="594" t="s">
        <v>900</v>
      </c>
      <c r="C236" s="359">
        <f>'F1'!C258*(1+wheeling!$G$33)</f>
        <v>66.985745818879224</v>
      </c>
      <c r="D236" s="359">
        <f>'F1'!D258*(1+wheeling!$G$33)</f>
        <v>68.12123633816249</v>
      </c>
      <c r="E236" s="359">
        <f>'F1'!E258*(1+wheeling!$G$33)</f>
        <v>66.709670529854733</v>
      </c>
      <c r="F236" s="359">
        <f>'F1'!F258*(1+wheeling!$G$33)</f>
        <v>67.179333351790234</v>
      </c>
      <c r="G236" s="359">
        <f>'F1'!G258*(1+wheeling!$G$33)</f>
        <v>67.476592540744278</v>
      </c>
      <c r="H236" s="359">
        <f>'F1'!H258*(1+wheeling!$G$33)</f>
        <v>67.617083832379137</v>
      </c>
      <c r="I236" s="359">
        <f>'F1'!I258*(1+wheeling!$G$33)</f>
        <v>68.833514957908392</v>
      </c>
      <c r="J236" s="359">
        <f>'F1'!J258*(1+wheeling!$G$33)</f>
        <v>68.519812193422339</v>
      </c>
      <c r="K236" s="359">
        <f>'F1'!K258*(1+wheeling!$G$33)</f>
        <v>67.450318699146649</v>
      </c>
      <c r="L236" s="359">
        <f>'F1'!L258*(1+wheeling!$G$33)</f>
        <v>65.539989219150527</v>
      </c>
      <c r="M236" s="359">
        <f>'F1'!M258*(1+wheeling!$G$33)</f>
        <v>61.101306858602008</v>
      </c>
      <c r="N236" s="359">
        <f>'F1'!N258*(1+wheeling!$G$33)</f>
        <v>63.915570487131163</v>
      </c>
      <c r="O236" s="359">
        <f t="shared" si="41"/>
        <v>799.45017482717128</v>
      </c>
    </row>
    <row r="237" spans="2:15" s="532" customFormat="1" x14ac:dyDescent="0.3">
      <c r="B237" s="594" t="s">
        <v>901</v>
      </c>
      <c r="C237" s="359">
        <f>'F1'!C259*(1+wheeling!$G$33)</f>
        <v>66.648528757270384</v>
      </c>
      <c r="D237" s="359">
        <f>'F1'!D259*(1+wheeling!$G$33)</f>
        <v>77.621369849365294</v>
      </c>
      <c r="E237" s="359">
        <f>'F1'!E259*(1+wheeling!$G$33)</f>
        <v>70.428567822953681</v>
      </c>
      <c r="F237" s="359">
        <f>'F1'!F259*(1+wheeling!$G$33)</f>
        <v>66.500407806721</v>
      </c>
      <c r="G237" s="359">
        <f>'F1'!G259*(1+wheeling!$G$33)</f>
        <v>65.665562104211972</v>
      </c>
      <c r="H237" s="359">
        <f>'F1'!H259*(1+wheeling!$G$33)</f>
        <v>65.634630795178623</v>
      </c>
      <c r="I237" s="359">
        <f>'F1'!I259*(1+wheeling!$G$33)</f>
        <v>76.152500173773362</v>
      </c>
      <c r="J237" s="359">
        <f>'F1'!J259*(1+wheeling!$G$33)</f>
        <v>75.617709537431807</v>
      </c>
      <c r="K237" s="359">
        <f>'F1'!K259*(1+wheeling!$G$33)</f>
        <v>66.152613557494533</v>
      </c>
      <c r="L237" s="359">
        <f>'F1'!L259*(1+wheeling!$G$33)</f>
        <v>53.175633414288221</v>
      </c>
      <c r="M237" s="359">
        <f>'F1'!M259*(1+wheeling!$G$33)</f>
        <v>38.142257802444419</v>
      </c>
      <c r="N237" s="359">
        <f>'F1'!N259*(1+wheeling!$G$33)</f>
        <v>47.193138640478544</v>
      </c>
      <c r="O237" s="359">
        <f t="shared" si="41"/>
        <v>768.9329202616118</v>
      </c>
    </row>
    <row r="238" spans="2:15" s="532" customFormat="1" x14ac:dyDescent="0.3">
      <c r="B238" s="594" t="s">
        <v>902</v>
      </c>
      <c r="C238" s="359">
        <f>'F1'!C260*(1+wheeling!$G$33)</f>
        <v>22.525772989056197</v>
      </c>
      <c r="D238" s="359">
        <f>'F1'!D260*(1+wheeling!$G$33)</f>
        <v>32.62935227221773</v>
      </c>
      <c r="E238" s="359">
        <f>'F1'!E260*(1+wheeling!$G$33)</f>
        <v>27.751351438591172</v>
      </c>
      <c r="F238" s="359">
        <f>'F1'!F260*(1+wheeling!$G$33)</f>
        <v>20.987464203912303</v>
      </c>
      <c r="G238" s="359">
        <f>'F1'!G260*(1+wheeling!$G$33)</f>
        <v>19.506758010648721</v>
      </c>
      <c r="H238" s="359">
        <f>'F1'!H260*(1+wheeling!$G$33)</f>
        <v>19.615788022533188</v>
      </c>
      <c r="I238" s="359">
        <f>'F1'!I260*(1+wheeling!$G$33)</f>
        <v>26.300560818225268</v>
      </c>
      <c r="J238" s="359">
        <f>'F1'!J260*(1+wheeling!$G$33)</f>
        <v>28.075147348360272</v>
      </c>
      <c r="K238" s="359">
        <f>'F1'!K260*(1+wheeling!$G$33)</f>
        <v>20.823197003402228</v>
      </c>
      <c r="L238" s="359">
        <f>'F1'!L260*(1+wheeling!$G$33)</f>
        <v>14.872244291052022</v>
      </c>
      <c r="M238" s="359">
        <f>'F1'!M260*(1+wheeling!$G$33)</f>
        <v>8.820010128870134</v>
      </c>
      <c r="N238" s="359">
        <f>'F1'!N260*(1+wheeling!$G$33)</f>
        <v>11.47897793302765</v>
      </c>
      <c r="O238" s="359">
        <f t="shared" si="41"/>
        <v>253.38662445989689</v>
      </c>
    </row>
    <row r="239" spans="2:15" s="532" customFormat="1" x14ac:dyDescent="0.3">
      <c r="B239" s="594" t="s">
        <v>903</v>
      </c>
      <c r="C239" s="359">
        <f>'F1'!C261*(1+wheeling!$G$33)</f>
        <v>36.371674910814129</v>
      </c>
      <c r="D239" s="359">
        <f>'F1'!D261*(1+wheeling!$G$33)</f>
        <v>52.168135656196981</v>
      </c>
      <c r="E239" s="359">
        <f>'F1'!E261*(1+wheeling!$G$33)</f>
        <v>44.027451677999572</v>
      </c>
      <c r="F239" s="359">
        <f>'F1'!F261*(1+wheeling!$G$33)</f>
        <v>33.777704978199402</v>
      </c>
      <c r="G239" s="359">
        <f>'F1'!G261*(1+wheeling!$G$33)</f>
        <v>34.699602369757486</v>
      </c>
      <c r="H239" s="359">
        <f>'F1'!H261*(1+wheeling!$G$33)</f>
        <v>33.939599835694821</v>
      </c>
      <c r="I239" s="359">
        <f>'F1'!I261*(1+wheeling!$G$33)</f>
        <v>39.683395605254262</v>
      </c>
      <c r="J239" s="359">
        <f>'F1'!J261*(1+wheeling!$G$33)</f>
        <v>43.633895906488732</v>
      </c>
      <c r="K239" s="359">
        <f>'F1'!K261*(1+wheeling!$G$33)</f>
        <v>34.688674390416757</v>
      </c>
      <c r="L239" s="359">
        <f>'F1'!L261*(1+wheeling!$G$33)</f>
        <v>26.671877693194528</v>
      </c>
      <c r="M239" s="359">
        <f>'F1'!M261*(1+wheeling!$G$33)</f>
        <v>19.987340283845356</v>
      </c>
      <c r="N239" s="359">
        <f>'F1'!N261*(1+wheeling!$G$33)</f>
        <v>21.903797816352803</v>
      </c>
      <c r="O239" s="359">
        <f t="shared" si="41"/>
        <v>421.55315112421476</v>
      </c>
    </row>
    <row r="240" spans="2:15" s="532" customFormat="1" x14ac:dyDescent="0.3">
      <c r="B240" s="344" t="s">
        <v>962</v>
      </c>
      <c r="C240" s="359">
        <f>'F1'!C262*(1+wheeling!$G$33)</f>
        <v>74.414612567551288</v>
      </c>
      <c r="D240" s="359">
        <f>'F1'!D262*(1+wheeling!$G$33)</f>
        <v>85.196160603832226</v>
      </c>
      <c r="E240" s="359">
        <f>'F1'!E262*(1+wheeling!$G$33)</f>
        <v>78.179752578011659</v>
      </c>
      <c r="F240" s="359">
        <f>'F1'!F262*(1+wheeling!$G$33)</f>
        <v>72.565817030453971</v>
      </c>
      <c r="G240" s="359">
        <f>'F1'!G262*(1+wheeling!$G$33)</f>
        <v>72.646110988961055</v>
      </c>
      <c r="H240" s="359">
        <f>'F1'!H262*(1+wheeling!$G$33)</f>
        <v>73.794356941052158</v>
      </c>
      <c r="I240" s="359">
        <f>'F1'!I262*(1+wheeling!$G$33)</f>
        <v>80.903933793084263</v>
      </c>
      <c r="J240" s="359">
        <f>'F1'!J262*(1+wheeling!$G$33)</f>
        <v>80.999055508425627</v>
      </c>
      <c r="K240" s="359">
        <f>'F1'!K262*(1+wheeling!$G$33)</f>
        <v>73.504541920491988</v>
      </c>
      <c r="L240" s="359">
        <f>'F1'!L262*(1+wheeling!$G$33)</f>
        <v>65.772403318016501</v>
      </c>
      <c r="M240" s="359">
        <f>'F1'!M262*(1+wheeling!$G$33)</f>
        <v>55.900589137033656</v>
      </c>
      <c r="N240" s="359">
        <f>'F1'!N262*(1+wheeling!$G$33)</f>
        <v>63.268951135472065</v>
      </c>
      <c r="O240" s="359">
        <f t="shared" si="41"/>
        <v>877.14628552238651</v>
      </c>
    </row>
    <row r="241" spans="2:19" s="532" customFormat="1" x14ac:dyDescent="0.3">
      <c r="B241" s="344" t="s">
        <v>963</v>
      </c>
      <c r="C241" s="359">
        <f>'F1'!C263*(1+wheeling!$G$33)</f>
        <v>15.689126624221347</v>
      </c>
      <c r="D241" s="359">
        <f>'F1'!D263*(1+wheeling!$G$33)</f>
        <v>16.695590704274249</v>
      </c>
      <c r="E241" s="359">
        <f>'F1'!E263*(1+wheeling!$G$33)</f>
        <v>17.818159824980025</v>
      </c>
      <c r="F241" s="359">
        <f>'F1'!F263*(1+wheeling!$G$33)</f>
        <v>16.542255637788628</v>
      </c>
      <c r="G241" s="359">
        <f>'F1'!G263*(1+wheeling!$G$33)</f>
        <v>14.90860677392013</v>
      </c>
      <c r="H241" s="359">
        <f>'F1'!H263*(1+wheeling!$G$33)</f>
        <v>14.897294492125624</v>
      </c>
      <c r="I241" s="359">
        <f>'F1'!I263*(1+wheeling!$G$33)</f>
        <v>14.768144861209203</v>
      </c>
      <c r="J241" s="359">
        <f>'F1'!J263*(1+wheeling!$G$33)</f>
        <v>16.962208442997579</v>
      </c>
      <c r="K241" s="359">
        <f>'F1'!K263*(1+wheeling!$G$33)</f>
        <v>14.939612225554248</v>
      </c>
      <c r="L241" s="359">
        <f>'F1'!L263*(1+wheeling!$G$33)</f>
        <v>13.524394775418884</v>
      </c>
      <c r="M241" s="359">
        <f>'F1'!M263*(1+wheeling!$G$33)</f>
        <v>12.603274512633146</v>
      </c>
      <c r="N241" s="359">
        <f>'F1'!N263*(1+wheeling!$G$33)</f>
        <v>11.874375910424474</v>
      </c>
      <c r="O241" s="359">
        <f t="shared" si="41"/>
        <v>181.22304478554756</v>
      </c>
    </row>
    <row r="242" spans="2:19" s="532" customFormat="1" x14ac:dyDescent="0.3">
      <c r="B242" s="344" t="s">
        <v>964</v>
      </c>
      <c r="C242" s="359">
        <f>'F1'!C264*(1+wheeling!$G$33)</f>
        <v>31.719778955741464</v>
      </c>
      <c r="D242" s="359">
        <f>'F1'!D264*(1+wheeling!$G$33)</f>
        <v>34.475750415571326</v>
      </c>
      <c r="E242" s="359">
        <f>'F1'!E264*(1+wheeling!$G$33)</f>
        <v>37.157141240574276</v>
      </c>
      <c r="F242" s="359">
        <f>'F1'!F264*(1+wheeling!$G$33)</f>
        <v>34.660783197728321</v>
      </c>
      <c r="G242" s="359">
        <f>'F1'!G264*(1+wheeling!$G$33)</f>
        <v>31.774824588144284</v>
      </c>
      <c r="H242" s="359">
        <f>'F1'!H264*(1+wheeling!$G$33)</f>
        <v>32.006067167601103</v>
      </c>
      <c r="I242" s="359">
        <f>'F1'!I264*(1+wheeling!$G$33)</f>
        <v>30.446396756409548</v>
      </c>
      <c r="J242" s="359">
        <f>'F1'!J264*(1+wheeling!$G$33)</f>
        <v>35.217603462003382</v>
      </c>
      <c r="K242" s="359">
        <f>'F1'!K264*(1+wheeling!$G$33)</f>
        <v>31.057221176535627</v>
      </c>
      <c r="L242" s="359">
        <f>'F1'!L264*(1+wheeling!$G$33)</f>
        <v>27.788994149476988</v>
      </c>
      <c r="M242" s="359">
        <f>'F1'!M264*(1+wheeling!$G$33)</f>
        <v>26.204903895879415</v>
      </c>
      <c r="N242" s="359">
        <f>'F1'!N264*(1+wheeling!$G$33)</f>
        <v>24.401703234717779</v>
      </c>
      <c r="O242" s="359">
        <f t="shared" si="41"/>
        <v>376.91116824038346</v>
      </c>
    </row>
    <row r="243" spans="2:19" x14ac:dyDescent="0.3">
      <c r="B243" s="344" t="s">
        <v>965</v>
      </c>
      <c r="C243" s="359">
        <f>'F1'!C265*(1+wheeling!$G$33)</f>
        <v>8.6211636598727281</v>
      </c>
      <c r="D243" s="359">
        <f>'F1'!D265*(1+wheeling!$G$33)</f>
        <v>9.3557710763917985</v>
      </c>
      <c r="E243" s="359">
        <f>'F1'!E265*(1+wheeling!$G$33)</f>
        <v>8.4283019364200111</v>
      </c>
      <c r="F243" s="359">
        <f>'F1'!F265*(1+wheeling!$G$33)</f>
        <v>8.7786294361314443</v>
      </c>
      <c r="G243" s="359">
        <f>'F1'!G265*(1+wheeling!$G$33)</f>
        <v>9.3358520444591893</v>
      </c>
      <c r="H243" s="359">
        <f>'F1'!H265*(1+wheeling!$G$33)</f>
        <v>9.3733143860497492</v>
      </c>
      <c r="I243" s="359">
        <f>'F1'!I265*(1+wheeling!$G$33)</f>
        <v>9.9328726635956244</v>
      </c>
      <c r="J243" s="359">
        <f>'F1'!J265*(1+wheeling!$G$33)</f>
        <v>10.119058908831457</v>
      </c>
      <c r="K243" s="359">
        <f>'F1'!K265*(1+wheeling!$G$33)</f>
        <v>9.4930302845982446</v>
      </c>
      <c r="L243" s="359">
        <f>'F1'!L265*(1+wheeling!$G$33)</f>
        <v>9.090393787654655</v>
      </c>
      <c r="M243" s="359">
        <f>'F1'!M265*(1+wheeling!$G$33)</f>
        <v>9.1554520171819362</v>
      </c>
      <c r="N243" s="359">
        <f>'F1'!N265*(1+wheeling!$G$33)</f>
        <v>9.5682005128897814</v>
      </c>
      <c r="O243" s="359">
        <f t="shared" si="41"/>
        <v>111.25204071407663</v>
      </c>
      <c r="R243" s="532"/>
      <c r="S243" s="532"/>
    </row>
    <row r="244" spans="2:19" x14ac:dyDescent="0.3">
      <c r="B244" s="344" t="s">
        <v>966</v>
      </c>
      <c r="C244" s="359">
        <f>'F1'!C266*(1+wheeling!$G$33)</f>
        <v>7.3263939680483245</v>
      </c>
      <c r="D244" s="359">
        <f>'F1'!D266*(1+wheeling!$G$33)</f>
        <v>7.2575990271046553</v>
      </c>
      <c r="E244" s="359">
        <f>'F1'!E266*(1+wheeling!$G$33)</f>
        <v>7.4493265483376732</v>
      </c>
      <c r="F244" s="359">
        <f>'F1'!F266*(1+wheeling!$G$33)</f>
        <v>7.1965183446719667</v>
      </c>
      <c r="G244" s="359">
        <f>'F1'!G266*(1+wheeling!$G$33)</f>
        <v>7.0338139850627073</v>
      </c>
      <c r="H244" s="359">
        <f>'F1'!H266*(1+wheeling!$G$33)</f>
        <v>6.9494484887857038</v>
      </c>
      <c r="I244" s="359">
        <f>'F1'!I266*(1+wheeling!$G$33)</f>
        <v>6.9268333828357846</v>
      </c>
      <c r="J244" s="359">
        <f>'F1'!J266*(1+wheeling!$G$33)</f>
        <v>7.6904263035290681</v>
      </c>
      <c r="K244" s="359">
        <f>'F1'!K266*(1+wheeling!$G$33)</f>
        <v>6.6967514587270589</v>
      </c>
      <c r="L244" s="359">
        <f>'F1'!L266*(1+wheeling!$G$33)</f>
        <v>6.9945908233764964</v>
      </c>
      <c r="M244" s="359">
        <f>'F1'!M266*(1+wheeling!$G$33)</f>
        <v>6.433055110820737</v>
      </c>
      <c r="N244" s="359">
        <f>'F1'!N266*(1+wheeling!$G$33)</f>
        <v>6.0131200656137587</v>
      </c>
      <c r="O244" s="359">
        <f t="shared" si="41"/>
        <v>83.967877506913936</v>
      </c>
      <c r="R244" s="532"/>
      <c r="S244" s="532"/>
    </row>
    <row r="245" spans="2:19" x14ac:dyDescent="0.3">
      <c r="B245" s="344" t="s">
        <v>967</v>
      </c>
      <c r="C245" s="359">
        <f>'F1'!C267*(1+wheeling!$G$33)</f>
        <v>5.3742499284796814</v>
      </c>
      <c r="D245" s="359">
        <f>'F1'!D267*(1+wheeling!$G$33)</f>
        <v>5.9639666939068716</v>
      </c>
      <c r="E245" s="359">
        <f>'F1'!E267*(1+wheeling!$G$33)</f>
        <v>6.019858243364089</v>
      </c>
      <c r="F245" s="359">
        <f>'F1'!F267*(1+wheeling!$G$33)</f>
        <v>5.7800786353259692</v>
      </c>
      <c r="G245" s="359">
        <f>'F1'!G267*(1+wheeling!$G$33)</f>
        <v>5.6559687152556899</v>
      </c>
      <c r="H245" s="359">
        <f>'F1'!H267*(1+wheeling!$G$33)</f>
        <v>5.5944398230404486</v>
      </c>
      <c r="I245" s="359">
        <f>'F1'!I267*(1+wheeling!$G$33)</f>
        <v>5.5357400268866028</v>
      </c>
      <c r="J245" s="359">
        <f>'F1'!J267*(1+wheeling!$G$33)</f>
        <v>6.1169534059450204</v>
      </c>
      <c r="K245" s="359">
        <f>'F1'!K267*(1+wheeling!$G$33)</f>
        <v>5.2352897187118117</v>
      </c>
      <c r="L245" s="359">
        <f>'F1'!L267*(1+wheeling!$G$33)</f>
        <v>4.678328647961334</v>
      </c>
      <c r="M245" s="359">
        <f>'F1'!M267*(1+wheeling!$G$33)</f>
        <v>4.4453213380760133</v>
      </c>
      <c r="N245" s="359">
        <f>'F1'!N267*(1+wheeling!$G$33)</f>
        <v>4.1980739784548087</v>
      </c>
      <c r="O245" s="359">
        <f t="shared" si="41"/>
        <v>64.598269155408346</v>
      </c>
      <c r="R245" s="532"/>
      <c r="S245" s="532"/>
    </row>
    <row r="246" spans="2:19" x14ac:dyDescent="0.3">
      <c r="B246" s="344" t="s">
        <v>968</v>
      </c>
      <c r="C246" s="359">
        <f>'F1'!C268*(1+wheeling!$G$33)</f>
        <v>16.612582474756504</v>
      </c>
      <c r="D246" s="359">
        <f>'F1'!D268*(1+wheeling!$G$33)</f>
        <v>17.246331958417645</v>
      </c>
      <c r="E246" s="359">
        <f>'F1'!E268*(1+wheeling!$G$33)</f>
        <v>17.47994573596587</v>
      </c>
      <c r="F246" s="359">
        <f>'F1'!F268*(1+wheeling!$G$33)</f>
        <v>16.984326826697359</v>
      </c>
      <c r="G246" s="359">
        <f>'F1'!G268*(1+wheeling!$G$33)</f>
        <v>16.471981380668069</v>
      </c>
      <c r="H246" s="359">
        <f>'F1'!H268*(1+wheeling!$G$33)</f>
        <v>16.411668652038866</v>
      </c>
      <c r="I246" s="359">
        <f>'F1'!I268*(1+wheeling!$G$33)</f>
        <v>15.937507659686506</v>
      </c>
      <c r="J246" s="359">
        <f>'F1'!J268*(1+wheeling!$G$33)</f>
        <v>17.532509025915662</v>
      </c>
      <c r="K246" s="359">
        <f>'F1'!K268*(1+wheeling!$G$33)</f>
        <v>14.899735137821017</v>
      </c>
      <c r="L246" s="359">
        <f>'F1'!L268*(1+wheeling!$G$33)</f>
        <v>13.801648523528081</v>
      </c>
      <c r="M246" s="359">
        <f>'F1'!M268*(1+wheeling!$G$33)</f>
        <v>12.870864879039985</v>
      </c>
      <c r="N246" s="359">
        <f>'F1'!N268*(1+wheeling!$G$33)</f>
        <v>11.893653951396868</v>
      </c>
      <c r="O246" s="359">
        <f t="shared" si="41"/>
        <v>188.14275620593241</v>
      </c>
      <c r="R246" s="532"/>
      <c r="S246" s="532"/>
    </row>
    <row r="247" spans="2:19" s="425" customFormat="1" x14ac:dyDescent="0.3">
      <c r="B247" s="344" t="s">
        <v>969</v>
      </c>
      <c r="C247" s="359">
        <f>'F1'!C269*(1+wheeling!$G$33)</f>
        <v>0</v>
      </c>
      <c r="D247" s="359">
        <f>'F1'!D269*(1+wheeling!$G$33)</f>
        <v>0</v>
      </c>
      <c r="E247" s="359">
        <f>'F1'!E269*(1+wheeling!$G$33)</f>
        <v>0</v>
      </c>
      <c r="F247" s="359">
        <f>'F1'!F269*(1+wheeling!$G$33)</f>
        <v>0</v>
      </c>
      <c r="G247" s="359">
        <f>'F1'!G269*(1+wheeling!$G$33)</f>
        <v>0</v>
      </c>
      <c r="H247" s="359">
        <f>'F1'!H269*(1+wheeling!$G$33)</f>
        <v>0</v>
      </c>
      <c r="I247" s="359">
        <f>'F1'!I269*(1+wheeling!$G$33)</f>
        <v>0</v>
      </c>
      <c r="J247" s="359">
        <f>'F1'!J269*(1+wheeling!$G$33)</f>
        <v>0</v>
      </c>
      <c r="K247" s="359">
        <f>'F1'!K269*(1+wheeling!$G$33)</f>
        <v>0</v>
      </c>
      <c r="L247" s="359">
        <f>'F1'!L269*(1+wheeling!$G$33)</f>
        <v>0</v>
      </c>
      <c r="M247" s="359">
        <f>'F1'!M269*(1+wheeling!$G$33)</f>
        <v>0</v>
      </c>
      <c r="N247" s="359">
        <f>'F1'!N269*(1+wheeling!$G$33)</f>
        <v>0</v>
      </c>
      <c r="O247" s="359">
        <f t="shared" si="41"/>
        <v>0</v>
      </c>
      <c r="R247" s="532"/>
      <c r="S247" s="532"/>
    </row>
    <row r="248" spans="2:19" s="425" customFormat="1" x14ac:dyDescent="0.3">
      <c r="B248" s="344" t="s">
        <v>970</v>
      </c>
      <c r="C248" s="359">
        <f>'F1'!C270*(1+wheeling!$G$33)</f>
        <v>5.4269156300652864E-3</v>
      </c>
      <c r="D248" s="359">
        <f>'F1'!D270*(1+wheeling!$G$33)</f>
        <v>5.4553232923397659E-3</v>
      </c>
      <c r="E248" s="359">
        <f>'F1'!E270*(1+wheeling!$G$33)</f>
        <v>6.5611178497648557E-3</v>
      </c>
      <c r="F248" s="359">
        <f>'F1'!F270*(1+wheeling!$G$33)</f>
        <v>6.1044909820935998E-3</v>
      </c>
      <c r="G248" s="359">
        <f>'F1'!G270*(1+wheeling!$G$33)</f>
        <v>3.6246072790955624E-3</v>
      </c>
      <c r="H248" s="359">
        <f>'F1'!H270*(1+wheeling!$G$33)</f>
        <v>3.8518685772913944E-3</v>
      </c>
      <c r="I248" s="359">
        <f>'F1'!I270*(1+wheeling!$G$33)</f>
        <v>3.8518685772913944E-3</v>
      </c>
      <c r="J248" s="359">
        <f>'F1'!J270*(1+wheeling!$G$33)</f>
        <v>3.8518685772913944E-3</v>
      </c>
      <c r="K248" s="359">
        <f>'F1'!K270*(1+wheeling!$G$33)</f>
        <v>3.8518685772913944E-3</v>
      </c>
      <c r="L248" s="359">
        <f>'F1'!L270*(1+wheeling!$G$33)</f>
        <v>3.8518685772913944E-3</v>
      </c>
      <c r="M248" s="359">
        <f>'F1'!M270*(1+wheeling!$G$33)</f>
        <v>3.8518685772913944E-3</v>
      </c>
      <c r="N248" s="359">
        <f>'F1'!N270*(1+wheeling!$G$33)</f>
        <v>3.8518685772913944E-3</v>
      </c>
      <c r="O248" s="359">
        <f t="shared" si="41"/>
        <v>5.413553507439884E-2</v>
      </c>
      <c r="R248" s="532"/>
      <c r="S248" s="532"/>
    </row>
    <row r="249" spans="2:19" s="425" customFormat="1" ht="16" x14ac:dyDescent="0.3">
      <c r="B249" s="344" t="s">
        <v>971</v>
      </c>
      <c r="C249" s="359">
        <f>'F1'!C271*(1+wheeling!$G$33)</f>
        <v>1.9528439728030174</v>
      </c>
      <c r="D249" s="359">
        <f>'F1'!D271*(1+wheeling!$G$33)</f>
        <v>1.9994377996113619</v>
      </c>
      <c r="E249" s="359">
        <f>'F1'!E271*(1+wheeling!$G$33)</f>
        <v>2.1357051469994786</v>
      </c>
      <c r="F249" s="359">
        <f>'F1'!F271*(1+wheeling!$G$33)</f>
        <v>2.0114334610745805</v>
      </c>
      <c r="G249" s="359">
        <f>'F1'!G271*(1+wheeling!$G$33)</f>
        <v>1.8491796785530643</v>
      </c>
      <c r="H249" s="359">
        <f>'F1'!H271*(1+wheeling!$G$33)</f>
        <v>1.993263078575312</v>
      </c>
      <c r="I249" s="359">
        <f>'F1'!I271*(1+wheeling!$G$33)</f>
        <v>1.993263078575312</v>
      </c>
      <c r="J249" s="359">
        <f>'F1'!J271*(1+wheeling!$G$33)</f>
        <v>1.993263078575312</v>
      </c>
      <c r="K249" s="359">
        <f>'F1'!K271*(1+wheeling!$G$33)</f>
        <v>1.993263078575312</v>
      </c>
      <c r="L249" s="359">
        <f>'F1'!L271*(1+wheeling!$G$33)</f>
        <v>1.993263078575312</v>
      </c>
      <c r="M249" s="359">
        <f>'F1'!M271*(1+wheeling!$G$33)</f>
        <v>1.993263078575312</v>
      </c>
      <c r="N249" s="359">
        <f>'F1'!N271*(1+wheeling!$G$33)</f>
        <v>1.993263078575312</v>
      </c>
      <c r="O249" s="359">
        <f t="shared" si="41"/>
        <v>23.901441609068684</v>
      </c>
      <c r="R249" s="885"/>
      <c r="S249" s="885"/>
    </row>
    <row r="250" spans="2:19" s="425" customFormat="1" ht="16" x14ac:dyDescent="0.3">
      <c r="B250" s="344"/>
      <c r="C250" s="359"/>
      <c r="D250" s="359"/>
      <c r="E250" s="359"/>
      <c r="F250" s="359"/>
      <c r="G250" s="359"/>
      <c r="H250" s="359"/>
      <c r="I250" s="359"/>
      <c r="J250" s="359"/>
      <c r="K250" s="359"/>
      <c r="L250" s="359"/>
      <c r="M250" s="359"/>
      <c r="N250" s="359"/>
      <c r="O250" s="359"/>
      <c r="R250" s="885"/>
      <c r="S250" s="885"/>
    </row>
    <row r="251" spans="2:19" s="425" customFormat="1" x14ac:dyDescent="0.3">
      <c r="B251" s="434" t="s">
        <v>416</v>
      </c>
      <c r="C251" s="361">
        <f>SUM(C234:C249)</f>
        <v>354.24953761404413</v>
      </c>
      <c r="D251" s="361">
        <f t="shared" ref="D251" si="42">SUM(D234:D249)</f>
        <v>408.73784850031814</v>
      </c>
      <c r="E251" s="361">
        <f t="shared" ref="E251:N251" si="43">SUM(E234:E249)</f>
        <v>383.59326577966203</v>
      </c>
      <c r="F251" s="361">
        <f t="shared" si="43"/>
        <v>352.97214942404298</v>
      </c>
      <c r="G251" s="361">
        <f t="shared" si="43"/>
        <v>347.03033165066313</v>
      </c>
      <c r="H251" s="361">
        <f t="shared" si="43"/>
        <v>347.83246449726471</v>
      </c>
      <c r="I251" s="361">
        <f t="shared" si="43"/>
        <v>377.42267959770811</v>
      </c>
      <c r="J251" s="361">
        <f t="shared" si="43"/>
        <v>392.48613690853847</v>
      </c>
      <c r="K251" s="361">
        <f t="shared" si="43"/>
        <v>346.94330118748087</v>
      </c>
      <c r="L251" s="361">
        <f t="shared" si="43"/>
        <v>303.91247351895862</v>
      </c>
      <c r="M251" s="361">
        <f t="shared" si="43"/>
        <v>257.66554300981949</v>
      </c>
      <c r="N251" s="361">
        <f t="shared" si="43"/>
        <v>277.71203307902942</v>
      </c>
      <c r="O251" s="361">
        <f>SUM(C251:N251)</f>
        <v>4150.55776476753</v>
      </c>
      <c r="R251" s="532"/>
      <c r="S251" s="532"/>
    </row>
    <row r="252" spans="2:19" s="496" customFormat="1" x14ac:dyDescent="0.25">
      <c r="B252" s="594"/>
      <c r="C252" s="359"/>
      <c r="D252" s="359"/>
      <c r="E252" s="359"/>
      <c r="F252" s="359"/>
      <c r="G252" s="359"/>
      <c r="H252" s="359"/>
      <c r="I252" s="359"/>
      <c r="J252" s="359"/>
      <c r="K252" s="359"/>
      <c r="L252" s="359"/>
      <c r="M252" s="359"/>
      <c r="N252" s="359"/>
      <c r="O252" s="359"/>
      <c r="R252" s="519"/>
      <c r="S252" s="519"/>
    </row>
    <row r="253" spans="2:19" s="576" customFormat="1" x14ac:dyDescent="0.3">
      <c r="B253" s="433" t="s">
        <v>145</v>
      </c>
      <c r="C253" s="361">
        <f>C251+C231</f>
        <v>406.25565741724182</v>
      </c>
      <c r="D253" s="361">
        <f t="shared" ref="D253" si="44">D251+D231</f>
        <v>464.86599609494328</v>
      </c>
      <c r="E253" s="361">
        <f t="shared" ref="E253:N253" si="45">E251+E231</f>
        <v>444.27111371068992</v>
      </c>
      <c r="F253" s="361">
        <f t="shared" si="45"/>
        <v>411.74894689853812</v>
      </c>
      <c r="G253" s="361">
        <f t="shared" si="45"/>
        <v>405.13236348891246</v>
      </c>
      <c r="H253" s="361">
        <f t="shared" si="45"/>
        <v>404.55072915153136</v>
      </c>
      <c r="I253" s="361">
        <f t="shared" si="45"/>
        <v>430.81152892698663</v>
      </c>
      <c r="J253" s="361">
        <f t="shared" si="45"/>
        <v>452.29024207815291</v>
      </c>
      <c r="K253" s="361">
        <f t="shared" si="45"/>
        <v>401.54166736756599</v>
      </c>
      <c r="L253" s="361">
        <f t="shared" si="45"/>
        <v>354.73291541800177</v>
      </c>
      <c r="M253" s="361">
        <f t="shared" si="45"/>
        <v>306.62193729012057</v>
      </c>
      <c r="N253" s="361">
        <f t="shared" si="45"/>
        <v>321.80448869136359</v>
      </c>
      <c r="O253" s="361">
        <f>SUM(C253:N253)</f>
        <v>4804.6275865340485</v>
      </c>
      <c r="R253" s="532"/>
      <c r="S253" s="532"/>
    </row>
    <row r="254" spans="2:19" s="576" customFormat="1" x14ac:dyDescent="0.3">
      <c r="B254" s="576" t="s">
        <v>436</v>
      </c>
      <c r="C254" s="420"/>
      <c r="D254" s="420"/>
      <c r="E254" s="420"/>
      <c r="F254" s="420"/>
      <c r="G254" s="420"/>
      <c r="H254" s="420"/>
      <c r="I254" s="420"/>
      <c r="J254" s="420"/>
      <c r="K254" s="420"/>
      <c r="L254" s="420"/>
      <c r="M254" s="420"/>
      <c r="N254" s="420"/>
      <c r="O254" s="420"/>
      <c r="R254" s="532"/>
      <c r="S254" s="532"/>
    </row>
    <row r="255" spans="2:19" s="576" customFormat="1" x14ac:dyDescent="0.3">
      <c r="B255" s="573" t="s">
        <v>437</v>
      </c>
      <c r="C255" s="1596"/>
      <c r="D255" s="1596"/>
      <c r="E255" s="1596"/>
      <c r="F255" s="1596"/>
      <c r="G255" s="1596"/>
      <c r="H255" s="1596"/>
      <c r="I255" s="1596"/>
      <c r="J255" s="1596"/>
      <c r="K255" s="1596"/>
      <c r="L255" s="1596"/>
      <c r="M255" s="1596"/>
      <c r="N255" s="1596"/>
      <c r="O255" s="1596"/>
      <c r="P255" s="1596"/>
      <c r="Q255" s="1596"/>
      <c r="R255" s="532"/>
      <c r="S255" s="532"/>
    </row>
    <row r="256" spans="2:19" s="576" customFormat="1" x14ac:dyDescent="0.3">
      <c r="B256" s="591"/>
      <c r="C256" s="1596"/>
      <c r="D256" s="1596"/>
      <c r="E256" s="1596"/>
      <c r="F256" s="1596"/>
      <c r="G256" s="1596"/>
      <c r="H256" s="1596"/>
      <c r="I256" s="1596"/>
      <c r="J256" s="1596"/>
      <c r="K256" s="1596"/>
      <c r="L256" s="1596"/>
      <c r="M256" s="1596"/>
      <c r="N256" s="1596"/>
      <c r="O256" s="1596"/>
      <c r="P256" s="1596"/>
      <c r="Q256" s="1596"/>
      <c r="R256" s="532"/>
      <c r="S256" s="532"/>
    </row>
    <row r="257" spans="2:19" s="576" customFormat="1" x14ac:dyDescent="0.3">
      <c r="B257" s="597" t="s">
        <v>838</v>
      </c>
      <c r="C257" s="1596"/>
      <c r="D257" s="1596"/>
      <c r="E257" s="1596"/>
      <c r="F257" s="1596"/>
      <c r="G257" s="1596"/>
      <c r="H257" s="1596"/>
      <c r="I257" s="1596"/>
      <c r="J257" s="1596"/>
      <c r="K257" s="1596"/>
      <c r="L257" s="1596"/>
      <c r="M257" s="1596"/>
      <c r="N257" s="1596"/>
      <c r="O257" s="1596"/>
      <c r="R257" s="532"/>
      <c r="S257" s="532"/>
    </row>
    <row r="258" spans="2:19" s="576" customFormat="1" x14ac:dyDescent="0.3">
      <c r="B258" s="597"/>
      <c r="C258" s="1596"/>
      <c r="D258" s="1596"/>
      <c r="E258" s="1596"/>
      <c r="F258" s="1596"/>
      <c r="G258" s="1596"/>
      <c r="H258" s="1596"/>
      <c r="I258" s="1596"/>
      <c r="J258" s="1596"/>
      <c r="K258" s="1596"/>
      <c r="L258" s="1596"/>
      <c r="M258" s="1596"/>
      <c r="N258" s="1596"/>
      <c r="O258" s="1596" t="s">
        <v>150</v>
      </c>
      <c r="R258" s="532"/>
      <c r="S258" s="532"/>
    </row>
    <row r="259" spans="2:19" s="576" customFormat="1" ht="28" x14ac:dyDescent="0.3">
      <c r="B259" s="827" t="s">
        <v>292</v>
      </c>
      <c r="C259" s="1581" t="s">
        <v>151</v>
      </c>
      <c r="D259" s="1581" t="s">
        <v>152</v>
      </c>
      <c r="E259" s="1581" t="s">
        <v>153</v>
      </c>
      <c r="F259" s="1581" t="s">
        <v>154</v>
      </c>
      <c r="G259" s="1581" t="s">
        <v>155</v>
      </c>
      <c r="H259" s="1581" t="s">
        <v>156</v>
      </c>
      <c r="I259" s="1581" t="s">
        <v>157</v>
      </c>
      <c r="J259" s="1581" t="s">
        <v>158</v>
      </c>
      <c r="K259" s="1581" t="s">
        <v>159</v>
      </c>
      <c r="L259" s="1581" t="s">
        <v>160</v>
      </c>
      <c r="M259" s="1581" t="s">
        <v>161</v>
      </c>
      <c r="N259" s="1581" t="s">
        <v>162</v>
      </c>
      <c r="O259" s="1581" t="s">
        <v>145</v>
      </c>
      <c r="R259" s="532"/>
      <c r="S259" s="532"/>
    </row>
    <row r="260" spans="2:19" s="576" customFormat="1" x14ac:dyDescent="0.3">
      <c r="B260" s="458" t="s">
        <v>293</v>
      </c>
      <c r="C260" s="359"/>
      <c r="D260" s="359"/>
      <c r="E260" s="359"/>
      <c r="F260" s="359"/>
      <c r="G260" s="359"/>
      <c r="H260" s="359"/>
      <c r="I260" s="359"/>
      <c r="J260" s="359"/>
      <c r="K260" s="359"/>
      <c r="L260" s="359"/>
      <c r="M260" s="359"/>
      <c r="N260" s="359"/>
      <c r="O260" s="359"/>
      <c r="R260" s="532"/>
      <c r="S260" s="532"/>
    </row>
    <row r="261" spans="2:19" s="576" customFormat="1" x14ac:dyDescent="0.3">
      <c r="B261" s="344"/>
      <c r="C261" s="359"/>
      <c r="D261" s="359"/>
      <c r="E261" s="359"/>
      <c r="F261" s="359"/>
      <c r="G261" s="359"/>
      <c r="H261" s="359"/>
      <c r="I261" s="359"/>
      <c r="J261" s="359"/>
      <c r="K261" s="359"/>
      <c r="L261" s="359"/>
      <c r="M261" s="359"/>
      <c r="N261" s="359"/>
      <c r="O261" s="359"/>
      <c r="R261" s="532"/>
      <c r="S261" s="532"/>
    </row>
    <row r="262" spans="2:19" s="576" customFormat="1" x14ac:dyDescent="0.3">
      <c r="B262" s="344" t="s">
        <v>953</v>
      </c>
      <c r="C262" s="359">
        <f>'F1'!C283*(1+wheeling!$H$32)</f>
        <v>13.274894350124812</v>
      </c>
      <c r="D262" s="359">
        <f>'F1'!D283*(1+wheeling!$H$32)</f>
        <v>14.537070244256354</v>
      </c>
      <c r="E262" s="359">
        <f>'F1'!E283*(1+wheeling!$H$32)</f>
        <v>15.330241456675044</v>
      </c>
      <c r="F262" s="359">
        <f>'F1'!F283*(1+wheeling!$H$32)</f>
        <v>14.914822244053545</v>
      </c>
      <c r="G262" s="359">
        <f>'F1'!G283*(1+wheeling!$H$32)</f>
        <v>14.62044865230467</v>
      </c>
      <c r="H262" s="359">
        <f>'F1'!H283*(1+wheeling!$H$32)</f>
        <v>14.585248274218534</v>
      </c>
      <c r="I262" s="359">
        <f>'F1'!I283*(1+wheeling!$H$32)</f>
        <v>15.871022810101042</v>
      </c>
      <c r="J262" s="359">
        <f>'F1'!J283*(1+wheeling!$H$32)</f>
        <v>20.180440515457644</v>
      </c>
      <c r="K262" s="359">
        <f>'F1'!K283*(1+wheeling!$H$32)</f>
        <v>18.612225697252065</v>
      </c>
      <c r="L262" s="359">
        <f>'F1'!L283*(1+wheeling!$H$32)</f>
        <v>17.494572193142307</v>
      </c>
      <c r="M262" s="359">
        <f>'F1'!M283*(1+wheeling!$H$32)</f>
        <v>17.220783063382317</v>
      </c>
      <c r="N262" s="359">
        <f>'F1'!N283*(1+wheeling!$H$32)</f>
        <v>15.683159682011254</v>
      </c>
      <c r="O262" s="359">
        <f t="shared" ref="O262:O268" si="46">SUM(C262:N262)</f>
        <v>192.32492918297959</v>
      </c>
      <c r="R262" s="532"/>
      <c r="S262" s="532"/>
    </row>
    <row r="263" spans="2:19" s="576" customFormat="1" x14ac:dyDescent="0.3">
      <c r="B263" s="344" t="s">
        <v>954</v>
      </c>
      <c r="C263" s="359">
        <f>'F1'!C284*(1+wheeling!$H$32)</f>
        <v>18.266082896899718</v>
      </c>
      <c r="D263" s="359">
        <f>'F1'!D284*(1+wheeling!$H$32)</f>
        <v>19.614418196636574</v>
      </c>
      <c r="E263" s="359">
        <f>'F1'!E284*(1+wheeling!$H$32)</f>
        <v>21.545034582754447</v>
      </c>
      <c r="F263" s="359">
        <f>'F1'!F284*(1+wheeling!$H$32)</f>
        <v>20.761131678576024</v>
      </c>
      <c r="G263" s="359">
        <f>'F1'!G284*(1+wheeling!$H$32)</f>
        <v>19.457013532876545</v>
      </c>
      <c r="H263" s="359">
        <f>'F1'!H284*(1+wheeling!$H$32)</f>
        <v>19.022381900154596</v>
      </c>
      <c r="I263" s="359">
        <f>'F1'!I284*(1+wheeling!$H$32)</f>
        <v>16.833197805485256</v>
      </c>
      <c r="J263" s="359">
        <f>'F1'!J284*(1+wheeling!$H$32)</f>
        <v>17.420207942214017</v>
      </c>
      <c r="K263" s="359">
        <f>'F1'!K284*(1+wheeling!$H$32)</f>
        <v>15.83171485151574</v>
      </c>
      <c r="L263" s="359">
        <f>'F1'!L284*(1+wheeling!$H$32)</f>
        <v>14.714068523152502</v>
      </c>
      <c r="M263" s="359">
        <f>'F1'!M284*(1+wheeling!$H$32)</f>
        <v>14.139016115213764</v>
      </c>
      <c r="N263" s="359">
        <f>'F1'!N284*(1+wheeling!$H$32)</f>
        <v>12.966706332581461</v>
      </c>
      <c r="O263" s="359">
        <f t="shared" si="46"/>
        <v>210.5709743580606</v>
      </c>
      <c r="R263" s="532"/>
      <c r="S263" s="532"/>
    </row>
    <row r="264" spans="2:19" s="576" customFormat="1" x14ac:dyDescent="0.3">
      <c r="B264" s="348" t="s">
        <v>955</v>
      </c>
      <c r="C264" s="359">
        <f>'F1'!C285*(1+wheeling!$H$32)</f>
        <v>2.219800735422035</v>
      </c>
      <c r="D264" s="359">
        <f>'F1'!D285*(1+wheeling!$H$32)</f>
        <v>2.9880571190191527</v>
      </c>
      <c r="E264" s="359">
        <f>'F1'!E285*(1+wheeling!$H$32)</f>
        <v>3.2870886038792917</v>
      </c>
      <c r="F264" s="359">
        <f>'F1'!F285*(1+wheeling!$H$32)</f>
        <v>3.0298629976593063</v>
      </c>
      <c r="G264" s="359">
        <f>'F1'!G285*(1+wheeling!$H$32)</f>
        <v>2.9218960456462679</v>
      </c>
      <c r="H264" s="359">
        <f>'F1'!H285*(1+wheeling!$H$32)</f>
        <v>2.9125034865162416</v>
      </c>
      <c r="I264" s="359">
        <f>'F1'!I285*(1+wheeling!$H$32)</f>
        <v>2.7205403300352553</v>
      </c>
      <c r="J264" s="359">
        <f>'F1'!J285*(1+wheeling!$H$32)</f>
        <v>3.0108868248391292</v>
      </c>
      <c r="K264" s="359">
        <f>'F1'!K285*(1+wheeling!$H$32)</f>
        <v>2.7086198468087401</v>
      </c>
      <c r="L264" s="359">
        <f>'F1'!L285*(1+wheeling!$H$32)</f>
        <v>2.3871328351202634</v>
      </c>
      <c r="M264" s="359">
        <f>'F1'!M285*(1+wheeling!$H$32)</f>
        <v>2.241668663606923</v>
      </c>
      <c r="N264" s="359">
        <f>'F1'!N285*(1+wheeling!$H$32)</f>
        <v>2.0199358270481094</v>
      </c>
      <c r="O264" s="359">
        <f t="shared" si="46"/>
        <v>32.447993315600712</v>
      </c>
      <c r="R264" s="532"/>
      <c r="S264" s="532"/>
    </row>
    <row r="265" spans="2:19" s="576" customFormat="1" x14ac:dyDescent="0.3">
      <c r="B265" s="348" t="s">
        <v>956</v>
      </c>
      <c r="C265" s="359">
        <f>'F1'!C286*(1+wheeling!$H$32)</f>
        <v>0.22801048440889735</v>
      </c>
      <c r="D265" s="359">
        <f>'F1'!D286*(1+wheeling!$H$32)</f>
        <v>0.22913783394526105</v>
      </c>
      <c r="E265" s="359">
        <f>'F1'!E286*(1+wheeling!$H$32)</f>
        <v>0.24369741178362106</v>
      </c>
      <c r="F265" s="359">
        <f>'F1'!F286*(1+wheeling!$H$32)</f>
        <v>0.22164136359637671</v>
      </c>
      <c r="G265" s="359">
        <f>'F1'!G286*(1+wheeling!$H$32)</f>
        <v>0.21513182917672832</v>
      </c>
      <c r="H265" s="359">
        <f>'F1'!H286*(1+wheeling!$H$32)</f>
        <v>0.19703261623494681</v>
      </c>
      <c r="I265" s="359">
        <f>'F1'!I286*(1+wheeling!$H$32)</f>
        <v>0.20753477228376763</v>
      </c>
      <c r="J265" s="359">
        <f>'F1'!J286*(1+wheeling!$H$32)</f>
        <v>0.23131401592982809</v>
      </c>
      <c r="K265" s="359">
        <f>'F1'!K286*(1+wheeling!$H$32)</f>
        <v>0.23094333592189659</v>
      </c>
      <c r="L265" s="359">
        <f>'F1'!L286*(1+wheeling!$H$32)</f>
        <v>0.21875208232770646</v>
      </c>
      <c r="M265" s="359">
        <f>'F1'!M286*(1+wheeling!$H$32)</f>
        <v>0.1982193171824837</v>
      </c>
      <c r="N265" s="359">
        <f>'F1'!N286*(1+wheeling!$H$32)</f>
        <v>0.17646064299142222</v>
      </c>
      <c r="O265" s="359">
        <f t="shared" si="46"/>
        <v>2.5978757057829358</v>
      </c>
      <c r="R265" s="532"/>
      <c r="S265" s="532"/>
    </row>
    <row r="266" spans="2:19" s="576" customFormat="1" x14ac:dyDescent="0.3">
      <c r="B266" s="594" t="s">
        <v>957</v>
      </c>
      <c r="C266" s="359">
        <f>'F1'!C287*(1+wheeling!$H$32)</f>
        <v>2.4243045677599802</v>
      </c>
      <c r="D266" s="359">
        <f>'F1'!D287*(1+wheeling!$H$32)</f>
        <v>2.6857243991367592</v>
      </c>
      <c r="E266" s="359">
        <f>'F1'!E287*(1+wheeling!$H$32)</f>
        <v>2.834288056496916</v>
      </c>
      <c r="F266" s="359">
        <f>'F1'!F287*(1+wheeling!$H$32)</f>
        <v>2.5473240604910785</v>
      </c>
      <c r="G266" s="359">
        <f>'F1'!G287*(1+wheeling!$H$32)</f>
        <v>2.39815026055031</v>
      </c>
      <c r="H266" s="359">
        <f>'F1'!H287*(1+wheeling!$H$32)</f>
        <v>2.4319222584891187</v>
      </c>
      <c r="I266" s="359">
        <f>'F1'!I287*(1+wheeling!$H$32)</f>
        <v>2.3239929862969704</v>
      </c>
      <c r="J266" s="359">
        <f>'F1'!J287*(1+wheeling!$H$32)</f>
        <v>2.5350637101115439</v>
      </c>
      <c r="K266" s="359">
        <f>'F1'!K287*(1+wheeling!$H$32)</f>
        <v>2.2306666275786986</v>
      </c>
      <c r="L266" s="359">
        <f>'F1'!L287*(1+wheeling!$H$32)</f>
        <v>1.95084576744793</v>
      </c>
      <c r="M266" s="359">
        <f>'F1'!M287*(1+wheeling!$H$32)</f>
        <v>1.9673424248886375</v>
      </c>
      <c r="N266" s="359">
        <f>'F1'!N287*(1+wheeling!$H$32)</f>
        <v>1.7367478437065782</v>
      </c>
      <c r="O266" s="359">
        <f t="shared" si="46"/>
        <v>28.066372962954521</v>
      </c>
      <c r="R266" s="532"/>
      <c r="S266" s="532"/>
    </row>
    <row r="267" spans="2:19" s="576" customFormat="1" x14ac:dyDescent="0.3">
      <c r="B267" s="594" t="s">
        <v>958</v>
      </c>
      <c r="C267" s="359">
        <f>'F1'!C288*(1+wheeling!$H$32)</f>
        <v>15.580377690989831</v>
      </c>
      <c r="D267" s="359">
        <f>'F1'!D288*(1+wheeling!$H$32)</f>
        <v>16.060088152618793</v>
      </c>
      <c r="E267" s="359">
        <f>'F1'!E288*(1+wheeling!$H$32)</f>
        <v>17.422739579263666</v>
      </c>
      <c r="F267" s="359">
        <f>'F1'!F288*(1+wheeling!$H$32)</f>
        <v>17.287719268887408</v>
      </c>
      <c r="G267" s="359">
        <f>'F1'!G288*(1+wheeling!$H$32)</f>
        <v>18.475259774896458</v>
      </c>
      <c r="H267" s="359">
        <f>'F1'!H288*(1+wheeling!$H$32)</f>
        <v>17.555380939677438</v>
      </c>
      <c r="I267" s="359">
        <f>'F1'!I288*(1+wheeling!$H$32)</f>
        <v>15.419575236043334</v>
      </c>
      <c r="J267" s="359">
        <f>'F1'!J288*(1+wheeling!$H$32)</f>
        <v>16.411646435107361</v>
      </c>
      <c r="K267" s="359">
        <f>'F1'!K288*(1+wheeling!$H$32)</f>
        <v>14.970916249818176</v>
      </c>
      <c r="L267" s="359">
        <f>'F1'!L288*(1+wheeling!$H$32)</f>
        <v>14.042709804239923</v>
      </c>
      <c r="M267" s="359">
        <f>'F1'!M288*(1+wheeling!$H$32)</f>
        <v>13.177457381421643</v>
      </c>
      <c r="N267" s="359">
        <f>'F1'!N288*(1+wheeling!$H$32)</f>
        <v>11.498720990500795</v>
      </c>
      <c r="O267" s="359">
        <f t="shared" si="46"/>
        <v>187.90259150346483</v>
      </c>
      <c r="R267" s="532"/>
      <c r="S267" s="532"/>
    </row>
    <row r="268" spans="2:19" s="576" customFormat="1" x14ac:dyDescent="0.3">
      <c r="B268" s="594" t="s">
        <v>959</v>
      </c>
      <c r="C268" s="359">
        <f>'F1'!C289*(1+wheeling!$H$32)</f>
        <v>0</v>
      </c>
      <c r="D268" s="359">
        <f>'F1'!D289*(1+wheeling!$H$32)</f>
        <v>0</v>
      </c>
      <c r="E268" s="359">
        <f>'F1'!E289*(1+wheeling!$H$32)</f>
        <v>0</v>
      </c>
      <c r="F268" s="359">
        <f>'F1'!F289*(1+wheeling!$H$32)</f>
        <v>0</v>
      </c>
      <c r="G268" s="359">
        <f>'F1'!G289*(1+wheeling!$H$32)</f>
        <v>0</v>
      </c>
      <c r="H268" s="359">
        <f>'F1'!H289*(1+wheeling!$H$32)</f>
        <v>0</v>
      </c>
      <c r="I268" s="359">
        <f>'F1'!I289*(1+wheeling!$H$32)</f>
        <v>0</v>
      </c>
      <c r="J268" s="359">
        <f>'F1'!J289*(1+wheeling!$H$32)</f>
        <v>0</v>
      </c>
      <c r="K268" s="359">
        <f>'F1'!K289*(1+wheeling!$H$32)</f>
        <v>0</v>
      </c>
      <c r="L268" s="359">
        <f>'F1'!L289*(1+wheeling!$H$32)</f>
        <v>0</v>
      </c>
      <c r="M268" s="359">
        <f>'F1'!M289*(1+wheeling!$H$32)</f>
        <v>0</v>
      </c>
      <c r="N268" s="359">
        <f>'F1'!N289*(1+wheeling!$H$32)</f>
        <v>0</v>
      </c>
      <c r="O268" s="359">
        <f t="shared" si="46"/>
        <v>0</v>
      </c>
      <c r="R268" s="532"/>
      <c r="S268" s="532"/>
    </row>
    <row r="269" spans="2:19" s="576" customFormat="1" x14ac:dyDescent="0.3">
      <c r="B269" s="594"/>
      <c r="C269" s="359"/>
      <c r="D269" s="359"/>
      <c r="E269" s="359"/>
      <c r="F269" s="359"/>
      <c r="G269" s="359"/>
      <c r="H269" s="359"/>
      <c r="I269" s="359"/>
      <c r="J269" s="359"/>
      <c r="K269" s="359"/>
      <c r="L269" s="359"/>
      <c r="M269" s="359"/>
      <c r="N269" s="359"/>
      <c r="O269" s="359"/>
      <c r="R269" s="532"/>
      <c r="S269" s="532"/>
    </row>
    <row r="270" spans="2:19" s="576" customFormat="1" x14ac:dyDescent="0.3">
      <c r="B270" s="434" t="s">
        <v>416</v>
      </c>
      <c r="C270" s="361">
        <f>SUM(C262:C268)</f>
        <v>51.993470725605277</v>
      </c>
      <c r="D270" s="361">
        <f t="shared" ref="D270" si="47">SUM(D262:D268)</f>
        <v>56.114495945612887</v>
      </c>
      <c r="E270" s="361">
        <f t="shared" ref="E270:N270" si="48">SUM(E262:E268)</f>
        <v>60.663089690852985</v>
      </c>
      <c r="F270" s="361">
        <f t="shared" si="48"/>
        <v>58.762501613263737</v>
      </c>
      <c r="G270" s="361">
        <f t="shared" si="48"/>
        <v>58.087900095450983</v>
      </c>
      <c r="H270" s="361">
        <f t="shared" si="48"/>
        <v>56.704469475290878</v>
      </c>
      <c r="I270" s="361">
        <f t="shared" si="48"/>
        <v>53.375863940245623</v>
      </c>
      <c r="J270" s="361">
        <f t="shared" si="48"/>
        <v>59.789559443659513</v>
      </c>
      <c r="K270" s="361">
        <f t="shared" si="48"/>
        <v>54.585086608895317</v>
      </c>
      <c r="L270" s="361">
        <f t="shared" si="48"/>
        <v>50.808081205430625</v>
      </c>
      <c r="M270" s="361">
        <f t="shared" si="48"/>
        <v>48.944486965695774</v>
      </c>
      <c r="N270" s="361">
        <f t="shared" si="48"/>
        <v>44.081731318839623</v>
      </c>
      <c r="O270" s="361">
        <f>SUM(C270:N270)</f>
        <v>653.91073702884319</v>
      </c>
      <c r="R270" s="532"/>
      <c r="S270" s="532"/>
    </row>
    <row r="271" spans="2:19" s="576" customFormat="1" x14ac:dyDescent="0.3">
      <c r="B271" s="594"/>
      <c r="C271" s="359"/>
      <c r="D271" s="359"/>
      <c r="E271" s="359"/>
      <c r="F271" s="359"/>
      <c r="G271" s="359"/>
      <c r="H271" s="359"/>
      <c r="I271" s="359"/>
      <c r="J271" s="359"/>
      <c r="K271" s="359"/>
      <c r="L271" s="359"/>
      <c r="M271" s="359"/>
      <c r="N271" s="359"/>
      <c r="O271" s="359"/>
      <c r="R271" s="532"/>
      <c r="S271" s="532"/>
    </row>
    <row r="272" spans="2:19" s="576" customFormat="1" x14ac:dyDescent="0.3">
      <c r="B272" s="458" t="s">
        <v>294</v>
      </c>
      <c r="C272" s="359"/>
      <c r="D272" s="359"/>
      <c r="E272" s="359"/>
      <c r="F272" s="359"/>
      <c r="G272" s="359"/>
      <c r="H272" s="359"/>
      <c r="I272" s="359"/>
      <c r="J272" s="359"/>
      <c r="K272" s="359"/>
      <c r="L272" s="359"/>
      <c r="M272" s="359"/>
      <c r="N272" s="359"/>
      <c r="O272" s="359"/>
      <c r="R272" s="532"/>
      <c r="S272" s="532"/>
    </row>
    <row r="273" spans="2:19" s="576" customFormat="1" x14ac:dyDescent="0.3">
      <c r="B273" s="344" t="s">
        <v>960</v>
      </c>
      <c r="C273" s="359">
        <f>'F1'!C294*(1+wheeling!$H$33)</f>
        <v>1.6340629186721285E-3</v>
      </c>
      <c r="D273" s="359">
        <f>'F1'!D294*(1+wheeling!$H$33)</f>
        <v>1.688706823347981E-3</v>
      </c>
      <c r="E273" s="359">
        <f>'F1'!E294*(1+wheeling!$H$33)</f>
        <v>1.470131204644571E-3</v>
      </c>
      <c r="F273" s="359">
        <f>'F1'!F294*(1+wheeling!$H$33)</f>
        <v>1.2904368258066711E-3</v>
      </c>
      <c r="G273" s="359">
        <f>'F1'!G294*(1+wheeling!$H$33)</f>
        <v>1.8515876930548492E-3</v>
      </c>
      <c r="H273" s="359">
        <f>'F1'!H294*(1+wheeling!$H$33)</f>
        <v>1.6550798050859181E-3</v>
      </c>
      <c r="I273" s="359">
        <f>'F1'!I294*(1+wheeling!$H$33)</f>
        <v>4.1588411380105725E-3</v>
      </c>
      <c r="J273" s="359">
        <f>'F1'!J294*(1+wheeling!$H$33)</f>
        <v>4.6362208632168608E-3</v>
      </c>
      <c r="K273" s="359">
        <f>'F1'!K294*(1+wheeling!$H$33)</f>
        <v>5.1942844856411119E-3</v>
      </c>
      <c r="L273" s="359">
        <f>'F1'!L294*(1+wheeling!$H$33)</f>
        <v>4.853963944811494E-3</v>
      </c>
      <c r="M273" s="359">
        <f>'F1'!M294*(1+wheeling!$H$33)</f>
        <v>4.0471249726318536E-3</v>
      </c>
      <c r="N273" s="359">
        <f>'F1'!N294*(1+wheeling!$H$33)</f>
        <v>5.3478942130368518E-3</v>
      </c>
      <c r="O273" s="359">
        <f t="shared" ref="O273:O288" si="49">SUM(C273:N273)</f>
        <v>3.782833488796087E-2</v>
      </c>
      <c r="R273" s="532"/>
      <c r="S273" s="532"/>
    </row>
    <row r="274" spans="2:19" s="576" customFormat="1" x14ac:dyDescent="0.3">
      <c r="B274" s="344" t="s">
        <v>961</v>
      </c>
      <c r="C274" s="359">
        <f>'F1'!C295*(1+wheeling!$H$33)</f>
        <v>0</v>
      </c>
      <c r="D274" s="359">
        <f>'F1'!D295*(1+wheeling!$H$33)</f>
        <v>0</v>
      </c>
      <c r="E274" s="359">
        <f>'F1'!E295*(1+wheeling!$H$33)</f>
        <v>0</v>
      </c>
      <c r="F274" s="359">
        <f>'F1'!F295*(1+wheeling!$H$33)</f>
        <v>0</v>
      </c>
      <c r="G274" s="359">
        <f>'F1'!G295*(1+wheeling!$H$33)</f>
        <v>0</v>
      </c>
      <c r="H274" s="359">
        <f>'F1'!H295*(1+wheeling!$H$33)</f>
        <v>0</v>
      </c>
      <c r="I274" s="359">
        <f>'F1'!I295*(1+wheeling!$H$33)</f>
        <v>0</v>
      </c>
      <c r="J274" s="359">
        <f>'F1'!J295*(1+wheeling!$H$33)</f>
        <v>0</v>
      </c>
      <c r="K274" s="359">
        <f>'F1'!K295*(1+wheeling!$H$33)</f>
        <v>0</v>
      </c>
      <c r="L274" s="359">
        <f>'F1'!L295*(1+wheeling!$H$33)</f>
        <v>0</v>
      </c>
      <c r="M274" s="359">
        <f>'F1'!M295*(1+wheeling!$H$33)</f>
        <v>0</v>
      </c>
      <c r="N274" s="359">
        <f>'F1'!N295*(1+wheeling!$H$33)</f>
        <v>0</v>
      </c>
      <c r="O274" s="359">
        <f t="shared" si="49"/>
        <v>0</v>
      </c>
      <c r="R274" s="532"/>
      <c r="S274" s="532"/>
    </row>
    <row r="275" spans="2:19" s="576" customFormat="1" x14ac:dyDescent="0.3">
      <c r="B275" s="594" t="s">
        <v>900</v>
      </c>
      <c r="C275" s="359">
        <f>'F1'!C296*(1+wheeling!$H$33)</f>
        <v>67.806729793275849</v>
      </c>
      <c r="D275" s="359">
        <f>'F1'!D296*(1+wheeling!$H$33)</f>
        <v>68.95613699748985</v>
      </c>
      <c r="E275" s="359">
        <f>'F1'!E296*(1+wheeling!$H$33)</f>
        <v>67.527270898004303</v>
      </c>
      <c r="F275" s="359">
        <f>'F1'!F296*(1+wheeling!$H$33)</f>
        <v>68.002689954276903</v>
      </c>
      <c r="G275" s="359">
        <f>'F1'!G296*(1+wheeling!$H$33)</f>
        <v>68.303592381466046</v>
      </c>
      <c r="H275" s="359">
        <f>'F1'!H296*(1+wheeling!$H$33)</f>
        <v>68.445805548368014</v>
      </c>
      <c r="I275" s="359">
        <f>'F1'!I296*(1+wheeling!$H$33)</f>
        <v>69.67714537496208</v>
      </c>
      <c r="J275" s="359">
        <f>'F1'!J296*(1+wheeling!$H$33)</f>
        <v>69.359597838140971</v>
      </c>
      <c r="K275" s="359">
        <f>'F1'!K296*(1+wheeling!$H$33)</f>
        <v>68.27699652504819</v>
      </c>
      <c r="L275" s="359">
        <f>'F1'!L296*(1+wheeling!$H$33)</f>
        <v>66.343253856623377</v>
      </c>
      <c r="M275" s="359">
        <f>'F1'!M296*(1+wheeling!$H$33)</f>
        <v>61.85017056284795</v>
      </c>
      <c r="N275" s="359">
        <f>'F1'!N296*(1+wheeling!$H$33)</f>
        <v>64.698926086787168</v>
      </c>
      <c r="O275" s="359">
        <f t="shared" si="49"/>
        <v>809.24831581729063</v>
      </c>
      <c r="R275" s="532"/>
      <c r="S275" s="532"/>
    </row>
    <row r="276" spans="2:19" s="576" customFormat="1" x14ac:dyDescent="0.3">
      <c r="B276" s="594" t="s">
        <v>901</v>
      </c>
      <c r="C276" s="359">
        <f>'F1'!C297*(1+wheeling!$H$33)</f>
        <v>67.465379765763743</v>
      </c>
      <c r="D276" s="359">
        <f>'F1'!D297*(1+wheeling!$H$33)</f>
        <v>78.572705091483058</v>
      </c>
      <c r="E276" s="359">
        <f>'F1'!E297*(1+wheeling!$H$33)</f>
        <v>71.291747366832936</v>
      </c>
      <c r="F276" s="359">
        <f>'F1'!F297*(1+wheeling!$H$33)</f>
        <v>67.31544343008747</v>
      </c>
      <c r="G276" s="359">
        <f>'F1'!G297*(1+wheeling!$H$33)</f>
        <v>66.470365775474676</v>
      </c>
      <c r="H276" s="359">
        <f>'F1'!H297*(1+wheeling!$H$33)</f>
        <v>66.4390553692362</v>
      </c>
      <c r="I276" s="359">
        <f>'F1'!I297*(1+wheeling!$H$33)</f>
        <v>77.085832802806863</v>
      </c>
      <c r="J276" s="359">
        <f>'F1'!J297*(1+wheeling!$H$33)</f>
        <v>76.544487719146318</v>
      </c>
      <c r="K276" s="359">
        <f>'F1'!K297*(1+wheeling!$H$33)</f>
        <v>66.963386579892514</v>
      </c>
      <c r="L276" s="359">
        <f>'F1'!L297*(1+wheeling!$H$33)</f>
        <v>53.82735927518349</v>
      </c>
      <c r="M276" s="359">
        <f>'F1'!M297*(1+wheeling!$H$33)</f>
        <v>38.609733114099249</v>
      </c>
      <c r="N276" s="359">
        <f>'F1'!N297*(1+wheeling!$H$33)</f>
        <v>47.771542449403391</v>
      </c>
      <c r="O276" s="359">
        <f t="shared" si="49"/>
        <v>778.35703873940986</v>
      </c>
      <c r="R276" s="532"/>
      <c r="S276" s="532"/>
    </row>
    <row r="277" spans="2:19" s="576" customFormat="1" x14ac:dyDescent="0.3">
      <c r="B277" s="594" t="s">
        <v>902</v>
      </c>
      <c r="C277" s="359">
        <f>'F1'!C298*(1+wheeling!$H$33)</f>
        <v>22.801851107002587</v>
      </c>
      <c r="D277" s="359">
        <f>'F1'!D298*(1+wheeling!$H$33)</f>
        <v>33.029260864455615</v>
      </c>
      <c r="E277" s="359">
        <f>'F1'!E298*(1+wheeling!$H$33)</f>
        <v>28.09147476662779</v>
      </c>
      <c r="F277" s="359">
        <f>'F1'!F298*(1+wheeling!$H$33)</f>
        <v>21.244688656129696</v>
      </c>
      <c r="G277" s="359">
        <f>'F1'!G298*(1+wheeling!$H$33)</f>
        <v>19.745834780242021</v>
      </c>
      <c r="H277" s="359">
        <f>'F1'!H298*(1+wheeling!$H$33)</f>
        <v>19.85620107481456</v>
      </c>
      <c r="I277" s="359">
        <f>'F1'!I298*(1+wheeling!$H$33)</f>
        <v>26.622903111879644</v>
      </c>
      <c r="J277" s="359">
        <f>'F1'!J298*(1+wheeling!$H$33)</f>
        <v>28.419239151326085</v>
      </c>
      <c r="K277" s="359">
        <f>'F1'!K298*(1+wheeling!$H$33)</f>
        <v>21.078408180444598</v>
      </c>
      <c r="L277" s="359">
        <f>'F1'!L298*(1+wheeling!$H$33)</f>
        <v>15.054519998771681</v>
      </c>
      <c r="M277" s="359">
        <f>'F1'!M298*(1+wheeling!$H$33)</f>
        <v>8.9281090517275015</v>
      </c>
      <c r="N277" s="359">
        <f>'F1'!N298*(1+wheeling!$H$33)</f>
        <v>11.619665430199806</v>
      </c>
      <c r="O277" s="359">
        <f t="shared" si="49"/>
        <v>256.49215617362159</v>
      </c>
      <c r="R277" s="532"/>
      <c r="S277" s="532"/>
    </row>
    <row r="278" spans="2:19" s="576" customFormat="1" x14ac:dyDescent="0.3">
      <c r="B278" s="594" t="s">
        <v>903</v>
      </c>
      <c r="C278" s="359">
        <f>'F1'!C299*(1+wheeling!$H$33)</f>
        <v>36.817449782149907</v>
      </c>
      <c r="D278" s="359">
        <f>'F1'!D299*(1+wheeling!$H$33)</f>
        <v>52.807513524194327</v>
      </c>
      <c r="E278" s="359">
        <f>'F1'!E299*(1+wheeling!$H$33)</f>
        <v>44.567056512121937</v>
      </c>
      <c r="F278" s="359">
        <f>'F1'!F299*(1+wheeling!$H$33)</f>
        <v>34.191687895609618</v>
      </c>
      <c r="G278" s="359">
        <f>'F1'!G299*(1+wheeling!$H$33)</f>
        <v>35.124884153445223</v>
      </c>
      <c r="H278" s="359">
        <f>'F1'!H299*(1+wheeling!$H$33)</f>
        <v>34.355566952607724</v>
      </c>
      <c r="I278" s="359">
        <f>'F1'!I299*(1+wheeling!$H$33)</f>
        <v>40.169759255360454</v>
      </c>
      <c r="J278" s="359">
        <f>'F1'!J299*(1+wheeling!$H$33)</f>
        <v>44.16867728186638</v>
      </c>
      <c r="K278" s="359">
        <f>'F1'!K299*(1+wheeling!$H$33)</f>
        <v>35.113822239700966</v>
      </c>
      <c r="L278" s="359">
        <f>'F1'!L299*(1+wheeling!$H$33)</f>
        <v>26.998770883462004</v>
      </c>
      <c r="M278" s="359">
        <f>'F1'!M299*(1+wheeling!$H$33)</f>
        <v>20.232307117658298</v>
      </c>
      <c r="N278" s="359">
        <f>'F1'!N299*(1+wheeling!$H$33)</f>
        <v>22.172252944616545</v>
      </c>
      <c r="O278" s="359">
        <f t="shared" si="49"/>
        <v>426.71974854279341</v>
      </c>
      <c r="R278" s="532"/>
      <c r="S278" s="532"/>
    </row>
    <row r="279" spans="2:19" s="576" customFormat="1" x14ac:dyDescent="0.3">
      <c r="B279" s="344" t="s">
        <v>962</v>
      </c>
      <c r="C279" s="359">
        <f>'F1'!C300*(1+wheeling!$H$33)</f>
        <v>74.969893723291207</v>
      </c>
      <c r="D279" s="359">
        <f>'F1'!D300*(1+wheeling!$H$33)</f>
        <v>85.831893572027909</v>
      </c>
      <c r="E279" s="359">
        <f>'F1'!E300*(1+wheeling!$H$33)</f>
        <v>78.76312917393993</v>
      </c>
      <c r="F279" s="359">
        <f>'F1'!F300*(1+wheeling!$H$33)</f>
        <v>73.107302490870822</v>
      </c>
      <c r="G279" s="359">
        <f>'F1'!G300*(1+wheeling!$H$33)</f>
        <v>73.18819560215907</v>
      </c>
      <c r="H279" s="359">
        <f>'F1'!H300*(1+wheeling!$H$33)</f>
        <v>74.345009755002025</v>
      </c>
      <c r="I279" s="359">
        <f>'F1'!I300*(1+wheeling!$H$33)</f>
        <v>81.507638204227291</v>
      </c>
      <c r="J279" s="359">
        <f>'F1'!J300*(1+wheeling!$H$33)</f>
        <v>81.603469716935166</v>
      </c>
      <c r="K279" s="359">
        <f>'F1'!K300*(1+wheeling!$H$33)</f>
        <v>74.053032137419379</v>
      </c>
      <c r="L279" s="359">
        <f>'F1'!L300*(1+wheeling!$H$33)</f>
        <v>66.263196387684999</v>
      </c>
      <c r="M279" s="359">
        <f>'F1'!M300*(1+wheeling!$H$33)</f>
        <v>56.317718819921907</v>
      </c>
      <c r="N279" s="359">
        <f>'F1'!N300*(1+wheeling!$H$33)</f>
        <v>63.74106346793991</v>
      </c>
      <c r="O279" s="359">
        <f t="shared" si="49"/>
        <v>883.69154305141956</v>
      </c>
      <c r="R279" s="532"/>
      <c r="S279" s="532"/>
    </row>
    <row r="280" spans="2:19" s="576" customFormat="1" x14ac:dyDescent="0.3">
      <c r="B280" s="344" t="s">
        <v>963</v>
      </c>
      <c r="C280" s="359">
        <f>'F1'!C301*(1+wheeling!$H$33)</f>
        <v>15.80619874304128</v>
      </c>
      <c r="D280" s="359">
        <f>'F1'!D301*(1+wheeling!$H$33)</f>
        <v>16.82017304881867</v>
      </c>
      <c r="E280" s="359">
        <f>'F1'!E301*(1+wheeling!$H$33)</f>
        <v>17.95111876999626</v>
      </c>
      <c r="F280" s="359">
        <f>'F1'!F301*(1+wheeling!$H$33)</f>
        <v>16.665693797474777</v>
      </c>
      <c r="G280" s="359">
        <f>'F1'!G301*(1+wheeling!$H$33)</f>
        <v>15.019854660783473</v>
      </c>
      <c r="H280" s="359">
        <f>'F1'!H301*(1+wheeling!$H$33)</f>
        <v>15.008457966846079</v>
      </c>
      <c r="I280" s="359">
        <f>'F1'!I301*(1+wheeling!$H$33)</f>
        <v>14.87834462256955</v>
      </c>
      <c r="J280" s="359">
        <f>'F1'!J301*(1+wheeling!$H$33)</f>
        <v>17.088780286660395</v>
      </c>
      <c r="K280" s="359">
        <f>'F1'!K301*(1+wheeling!$H$33)</f>
        <v>15.051091474813006</v>
      </c>
      <c r="L280" s="359">
        <f>'F1'!L301*(1+wheeling!$H$33)</f>
        <v>13.625313685058579</v>
      </c>
      <c r="M280" s="359">
        <f>'F1'!M301*(1+wheeling!$H$33)</f>
        <v>12.697320031329214</v>
      </c>
      <c r="N280" s="359">
        <f>'F1'!N301*(1+wheeling!$H$33)</f>
        <v>11.962982394443259</v>
      </c>
      <c r="O280" s="359">
        <f t="shared" si="49"/>
        <v>182.57532948183453</v>
      </c>
      <c r="R280" s="532"/>
      <c r="S280" s="532"/>
    </row>
    <row r="281" spans="2:19" s="576" customFormat="1" x14ac:dyDescent="0.3">
      <c r="B281" s="344" t="s">
        <v>964</v>
      </c>
      <c r="C281" s="359">
        <f>'F1'!C302*(1+wheeling!$H$33)</f>
        <v>31.680848275080272</v>
      </c>
      <c r="D281" s="359">
        <f>'F1'!D302*(1+wheeling!$H$33)</f>
        <v>34.433437244604519</v>
      </c>
      <c r="E281" s="359">
        <f>'F1'!E302*(1+wheeling!$H$33)</f>
        <v>37.111537114456688</v>
      </c>
      <c r="F281" s="359">
        <f>'F1'!F302*(1+wheeling!$H$33)</f>
        <v>34.618242930218244</v>
      </c>
      <c r="G281" s="359">
        <f>'F1'!G302*(1+wheeling!$H$33)</f>
        <v>31.735826348250104</v>
      </c>
      <c r="H281" s="359">
        <f>'F1'!H302*(1+wheeling!$H$33)</f>
        <v>31.966785116428518</v>
      </c>
      <c r="I281" s="359">
        <f>'F1'!I302*(1+wheeling!$H$33)</f>
        <v>30.409028937703702</v>
      </c>
      <c r="J281" s="359">
        <f>'F1'!J302*(1+wheeling!$H$33)</f>
        <v>35.174379791499732</v>
      </c>
      <c r="K281" s="359">
        <f>'F1'!K302*(1+wheeling!$H$33)</f>
        <v>31.019103673840075</v>
      </c>
      <c r="L281" s="359">
        <f>'F1'!L302*(1+wheeling!$H$33)</f>
        <v>27.754887844428691</v>
      </c>
      <c r="M281" s="359">
        <f>'F1'!M302*(1+wheeling!$H$33)</f>
        <v>26.172741794537185</v>
      </c>
      <c r="N281" s="359">
        <f>'F1'!N302*(1+wheeling!$H$33)</f>
        <v>24.371754258164522</v>
      </c>
      <c r="O281" s="359">
        <f t="shared" si="49"/>
        <v>376.44857332921219</v>
      </c>
      <c r="R281" s="532"/>
      <c r="S281" s="532"/>
    </row>
    <row r="282" spans="2:19" s="576" customFormat="1" x14ac:dyDescent="0.3">
      <c r="B282" s="344" t="s">
        <v>965</v>
      </c>
      <c r="C282" s="359">
        <f>'F1'!C303*(1+wheeling!$H$33)</f>
        <v>8.6105826350226273</v>
      </c>
      <c r="D282" s="359">
        <f>'F1'!D303*(1+wheeling!$H$33)</f>
        <v>9.3442884447939427</v>
      </c>
      <c r="E282" s="359">
        <f>'F1'!E303*(1+wheeling!$H$33)</f>
        <v>8.4179576168186454</v>
      </c>
      <c r="F282" s="359">
        <f>'F1'!F303*(1+wheeling!$H$33)</f>
        <v>8.7678551485899767</v>
      </c>
      <c r="G282" s="359">
        <f>'F1'!G303*(1+wheeling!$H$33)</f>
        <v>9.3243938601146468</v>
      </c>
      <c r="H282" s="359">
        <f>'F1'!H303*(1+wheeling!$H$33)</f>
        <v>9.3618102229971178</v>
      </c>
      <c r="I282" s="359">
        <f>'F1'!I303*(1+wheeling!$H$33)</f>
        <v>9.9206817370997538</v>
      </c>
      <c r="J282" s="359">
        <f>'F1'!J303*(1+wheeling!$H$33)</f>
        <v>10.106639470110867</v>
      </c>
      <c r="K282" s="359">
        <f>'F1'!K303*(1+wheeling!$H$33)</f>
        <v>9.4813791904644429</v>
      </c>
      <c r="L282" s="359">
        <f>'F1'!L303*(1+wheeling!$H$33)</f>
        <v>9.0792368619356747</v>
      </c>
      <c r="M282" s="359">
        <f>'F1'!M303*(1+wheeling!$H$33)</f>
        <v>9.144215243455136</v>
      </c>
      <c r="N282" s="359">
        <f>'F1'!N303*(1+wheeling!$H$33)</f>
        <v>9.5564571599745758</v>
      </c>
      <c r="O282" s="359">
        <f t="shared" si="49"/>
        <v>111.11549759137739</v>
      </c>
      <c r="R282" s="532"/>
      <c r="S282" s="532"/>
    </row>
    <row r="283" spans="2:19" s="576" customFormat="1" x14ac:dyDescent="0.3">
      <c r="B283" s="344" t="s">
        <v>966</v>
      </c>
      <c r="C283" s="359">
        <f>'F1'!C304*(1+wheeling!$H$33)</f>
        <v>7.3174020546946368</v>
      </c>
      <c r="D283" s="359">
        <f>'F1'!D304*(1+wheeling!$H$33)</f>
        <v>7.2486915479420349</v>
      </c>
      <c r="E283" s="359">
        <f>'F1'!E304*(1+wheeling!$H$33)</f>
        <v>7.4401837559683148</v>
      </c>
      <c r="F283" s="359">
        <f>'F1'!F304*(1+wheeling!$H$33)</f>
        <v>7.1876858317487287</v>
      </c>
      <c r="G283" s="359">
        <f>'F1'!G304*(1+wheeling!$H$33)</f>
        <v>7.0251811643086661</v>
      </c>
      <c r="H283" s="359">
        <f>'F1'!H304*(1+wheeling!$H$33)</f>
        <v>6.9409192124541823</v>
      </c>
      <c r="I283" s="359">
        <f>'F1'!I304*(1+wheeling!$H$33)</f>
        <v>6.9183318627338721</v>
      </c>
      <c r="J283" s="359">
        <f>'F1'!J304*(1+wheeling!$H$33)</f>
        <v>7.6809876018600285</v>
      </c>
      <c r="K283" s="359">
        <f>'F1'!K304*(1+wheeling!$H$33)</f>
        <v>6.6885323253947977</v>
      </c>
      <c r="L283" s="359">
        <f>'F1'!L304*(1+wheeling!$H$33)</f>
        <v>6.9860061424403366</v>
      </c>
      <c r="M283" s="359">
        <f>'F1'!M304*(1+wheeling!$H$33)</f>
        <v>6.4251596202958927</v>
      </c>
      <c r="N283" s="359">
        <f>'F1'!N304*(1+wheeling!$H$33)</f>
        <v>6.0057399745551656</v>
      </c>
      <c r="O283" s="359">
        <f t="shared" si="49"/>
        <v>83.864821094396646</v>
      </c>
      <c r="R283" s="532"/>
      <c r="S283" s="532"/>
    </row>
    <row r="284" spans="2:19" s="576" customFormat="1" x14ac:dyDescent="0.3">
      <c r="B284" s="344" t="s">
        <v>967</v>
      </c>
      <c r="C284" s="359">
        <f>'F1'!C305*(1+wheeling!$H$33)</f>
        <v>5.3676539427998629</v>
      </c>
      <c r="D284" s="359">
        <f>'F1'!D305*(1+wheeling!$H$33)</f>
        <v>5.9566469303247089</v>
      </c>
      <c r="E284" s="359">
        <f>'F1'!E305*(1+wheeling!$H$33)</f>
        <v>6.0124698823283751</v>
      </c>
      <c r="F284" s="359">
        <f>'F1'!F305*(1+wheeling!$H$33)</f>
        <v>5.7729845633318853</v>
      </c>
      <c r="G284" s="359">
        <f>'F1'!G305*(1+wheeling!$H$33)</f>
        <v>5.6490269672633548</v>
      </c>
      <c r="H284" s="359">
        <f>'F1'!H305*(1+wheeling!$H$33)</f>
        <v>5.5875735913894351</v>
      </c>
      <c r="I284" s="359">
        <f>'F1'!I305*(1+wheeling!$H$33)</f>
        <v>5.5289458393384869</v>
      </c>
      <c r="J284" s="359">
        <f>'F1'!J305*(1+wheeling!$H$33)</f>
        <v>6.1094458769676434</v>
      </c>
      <c r="K284" s="359">
        <f>'F1'!K305*(1+wheeling!$H$33)</f>
        <v>5.2288642832605623</v>
      </c>
      <c r="L284" s="359">
        <f>'F1'!L305*(1+wheeling!$H$33)</f>
        <v>4.6725867883198777</v>
      </c>
      <c r="M284" s="359">
        <f>'F1'!M305*(1+wheeling!$H$33)</f>
        <v>4.4398654556220247</v>
      </c>
      <c r="N284" s="359">
        <f>'F1'!N305*(1+wheeling!$H$33)</f>
        <v>4.1929215504484425</v>
      </c>
      <c r="O284" s="359">
        <f t="shared" si="49"/>
        <v>64.51898567139466</v>
      </c>
      <c r="R284" s="532"/>
      <c r="S284" s="532"/>
    </row>
    <row r="285" spans="2:19" s="576" customFormat="1" x14ac:dyDescent="0.3">
      <c r="B285" s="344" t="s">
        <v>968</v>
      </c>
      <c r="C285" s="359">
        <f>'F1'!C306*(1+wheeling!$H$33)</f>
        <v>16.59219333067751</v>
      </c>
      <c r="D285" s="359">
        <f>'F1'!D306*(1+wheeling!$H$33)</f>
        <v>17.225164993698662</v>
      </c>
      <c r="E285" s="359">
        <f>'F1'!E306*(1+wheeling!$H$33)</f>
        <v>17.458492049722619</v>
      </c>
      <c r="F285" s="359">
        <f>'F1'!F306*(1+wheeling!$H$33)</f>
        <v>16.963481429103066</v>
      </c>
      <c r="G285" s="359">
        <f>'F1'!G306*(1+wheeling!$H$33)</f>
        <v>16.45176480072649</v>
      </c>
      <c r="H285" s="359">
        <f>'F1'!H306*(1+wheeling!$H$33)</f>
        <v>16.391526095802856</v>
      </c>
      <c r="I285" s="359">
        <f>'F1'!I306*(1+wheeling!$H$33)</f>
        <v>15.917947056124286</v>
      </c>
      <c r="J285" s="359">
        <f>'F1'!J306*(1+wheeling!$H$33)</f>
        <v>17.510990827096251</v>
      </c>
      <c r="K285" s="359">
        <f>'F1'!K306*(1+wheeling!$H$33)</f>
        <v>14.881448225059229</v>
      </c>
      <c r="L285" s="359">
        <f>'F1'!L306*(1+wheeling!$H$33)</f>
        <v>13.784709326946126</v>
      </c>
      <c r="M285" s="359">
        <f>'F1'!M306*(1+wheeling!$H$33)</f>
        <v>12.855068062449984</v>
      </c>
      <c r="N285" s="359">
        <f>'F1'!N306*(1+wheeling!$H$33)</f>
        <v>11.879056496461176</v>
      </c>
      <c r="O285" s="359">
        <f t="shared" si="49"/>
        <v>187.91184269386824</v>
      </c>
      <c r="R285" s="532"/>
      <c r="S285" s="532"/>
    </row>
    <row r="286" spans="2:19" s="576" customFormat="1" x14ac:dyDescent="0.3">
      <c r="B286" s="344" t="s">
        <v>969</v>
      </c>
      <c r="C286" s="359">
        <f>'F1'!C307*(1+wheeling!$H$33)</f>
        <v>0</v>
      </c>
      <c r="D286" s="359">
        <f>'F1'!D307*(1+wheeling!$H$33)</f>
        <v>0</v>
      </c>
      <c r="E286" s="359">
        <f>'F1'!E307*(1+wheeling!$H$33)</f>
        <v>0</v>
      </c>
      <c r="F286" s="359">
        <f>'F1'!F307*(1+wheeling!$H$33)</f>
        <v>0</v>
      </c>
      <c r="G286" s="359">
        <f>'F1'!G307*(1+wheeling!$H$33)</f>
        <v>0</v>
      </c>
      <c r="H286" s="359">
        <f>'F1'!H307*(1+wheeling!$H$33)</f>
        <v>0</v>
      </c>
      <c r="I286" s="359">
        <f>'F1'!I307*(1+wheeling!$H$33)</f>
        <v>0</v>
      </c>
      <c r="J286" s="359">
        <f>'F1'!J307*(1+wheeling!$H$33)</f>
        <v>0</v>
      </c>
      <c r="K286" s="359">
        <f>'F1'!K307*(1+wheeling!$H$33)</f>
        <v>0</v>
      </c>
      <c r="L286" s="359">
        <f>'F1'!L307*(1+wheeling!$H$33)</f>
        <v>0</v>
      </c>
      <c r="M286" s="359">
        <f>'F1'!M307*(1+wheeling!$H$33)</f>
        <v>0</v>
      </c>
      <c r="N286" s="359">
        <f>'F1'!N307*(1+wheeling!$H$33)</f>
        <v>0</v>
      </c>
      <c r="O286" s="359">
        <f t="shared" si="49"/>
        <v>0</v>
      </c>
      <c r="R286" s="532"/>
      <c r="S286" s="532"/>
    </row>
    <row r="287" spans="2:19" s="576" customFormat="1" x14ac:dyDescent="0.3">
      <c r="B287" s="344" t="s">
        <v>970</v>
      </c>
      <c r="C287" s="359">
        <f>'F1'!C308*(1+wheeling!$H$33)</f>
        <v>5.4202550061162955E-3</v>
      </c>
      <c r="D287" s="359">
        <f>'F1'!D308*(1+wheeling!$H$33)</f>
        <v>5.4486278027749118E-3</v>
      </c>
      <c r="E287" s="359">
        <f>'F1'!E308*(1+wheeling!$H$33)</f>
        <v>6.5530651838195458E-3</v>
      </c>
      <c r="F287" s="359">
        <f>'F1'!F308*(1+wheeling!$H$33)</f>
        <v>6.0969987486403148E-3</v>
      </c>
      <c r="G287" s="359">
        <f>'F1'!G308*(1+wheeling!$H$33)</f>
        <v>3.6201586847752305E-3</v>
      </c>
      <c r="H287" s="359">
        <f>'F1'!H308*(1+wheeling!$H$33)</f>
        <v>3.8471410580441564E-3</v>
      </c>
      <c r="I287" s="359">
        <f>'F1'!I308*(1+wheeling!$H$33)</f>
        <v>3.8471410580441564E-3</v>
      </c>
      <c r="J287" s="359">
        <f>'F1'!J308*(1+wheeling!$H$33)</f>
        <v>3.8471410580441564E-3</v>
      </c>
      <c r="K287" s="359">
        <f>'F1'!K308*(1+wheeling!$H$33)</f>
        <v>3.8471410580441564E-3</v>
      </c>
      <c r="L287" s="359">
        <f>'F1'!L308*(1+wheeling!$H$33)</f>
        <v>3.8471410580441564E-3</v>
      </c>
      <c r="M287" s="359">
        <f>'F1'!M308*(1+wheeling!$H$33)</f>
        <v>3.8471410580441564E-3</v>
      </c>
      <c r="N287" s="359">
        <f>'F1'!N308*(1+wheeling!$H$33)</f>
        <v>3.8471410580441564E-3</v>
      </c>
      <c r="O287" s="359">
        <f t="shared" si="49"/>
        <v>5.4069092832435404E-2</v>
      </c>
      <c r="R287" s="532"/>
      <c r="S287" s="532"/>
    </row>
    <row r="288" spans="2:19" s="576" customFormat="1" x14ac:dyDescent="0.3">
      <c r="B288" s="344" t="s">
        <v>971</v>
      </c>
      <c r="C288" s="359">
        <f>'F1'!C309*(1+wheeling!$H$33)</f>
        <v>2.4380589825988905</v>
      </c>
      <c r="D288" s="359">
        <f>'F1'!D309*(1+wheeling!$H$33)</f>
        <v>2.4962297835260565</v>
      </c>
      <c r="E288" s="359">
        <f>'F1'!E309*(1+wheeling!$H$33)</f>
        <v>2.6663549112686784</v>
      </c>
      <c r="F288" s="359">
        <f>'F1'!F309*(1+wheeling!$H$33)</f>
        <v>2.5112059570401328</v>
      </c>
      <c r="G288" s="359">
        <f>'F1'!G309*(1+wheeling!$H$33)</f>
        <v>2.3086376528404755</v>
      </c>
      <c r="H288" s="359">
        <f>'F1'!H309*(1+wheeling!$H$33)</f>
        <v>2.4885208552672489</v>
      </c>
      <c r="I288" s="359">
        <f>'F1'!I309*(1+wheeling!$H$33)</f>
        <v>2.4885208552672489</v>
      </c>
      <c r="J288" s="359">
        <f>'F1'!J309*(1+wheeling!$H$33)</f>
        <v>2.4885208552672489</v>
      </c>
      <c r="K288" s="359">
        <f>'F1'!K309*(1+wheeling!$H$33)</f>
        <v>2.4885208552672489</v>
      </c>
      <c r="L288" s="359">
        <f>'F1'!L309*(1+wheeling!$H$33)</f>
        <v>2.4885208552672489</v>
      </c>
      <c r="M288" s="359">
        <f>'F1'!M309*(1+wheeling!$H$33)</f>
        <v>2.4885208552672489</v>
      </c>
      <c r="N288" s="359">
        <f>'F1'!N309*(1+wheeling!$H$33)</f>
        <v>2.4885208552672489</v>
      </c>
      <c r="O288" s="359">
        <f t="shared" si="49"/>
        <v>29.840133274144982</v>
      </c>
      <c r="R288" s="532"/>
      <c r="S288" s="532"/>
    </row>
    <row r="289" spans="2:19" s="576" customFormat="1" x14ac:dyDescent="0.3">
      <c r="B289" s="344"/>
      <c r="C289" s="359"/>
      <c r="D289" s="359"/>
      <c r="E289" s="359"/>
      <c r="F289" s="359"/>
      <c r="G289" s="359"/>
      <c r="H289" s="359"/>
      <c r="I289" s="359"/>
      <c r="J289" s="359"/>
      <c r="K289" s="359"/>
      <c r="L289" s="359"/>
      <c r="M289" s="359"/>
      <c r="N289" s="359"/>
      <c r="O289" s="359"/>
      <c r="R289" s="532"/>
      <c r="S289" s="532"/>
    </row>
    <row r="290" spans="2:19" x14ac:dyDescent="0.3">
      <c r="B290" s="434" t="s">
        <v>416</v>
      </c>
      <c r="C290" s="361">
        <f>SUM(C273:C288)</f>
        <v>357.68129645332317</v>
      </c>
      <c r="D290" s="361">
        <f t="shared" ref="D290" si="50">SUM(D273:D288)</f>
        <v>412.72927937798556</v>
      </c>
      <c r="E290" s="361">
        <f t="shared" ref="E290:N290" si="51">SUM(E273:E288)</f>
        <v>387.30681601447486</v>
      </c>
      <c r="F290" s="361">
        <f t="shared" si="51"/>
        <v>356.35634952005586</v>
      </c>
      <c r="G290" s="361">
        <f t="shared" si="51"/>
        <v>350.35302989345212</v>
      </c>
      <c r="H290" s="361">
        <f t="shared" si="51"/>
        <v>351.19273398207713</v>
      </c>
      <c r="I290" s="361">
        <f t="shared" si="51"/>
        <v>381.13308564226924</v>
      </c>
      <c r="J290" s="361">
        <f t="shared" si="51"/>
        <v>396.2636997787983</v>
      </c>
      <c r="K290" s="361">
        <f t="shared" si="51"/>
        <v>350.3336271161487</v>
      </c>
      <c r="L290" s="361">
        <f t="shared" si="51"/>
        <v>306.88706301112501</v>
      </c>
      <c r="M290" s="361">
        <f t="shared" si="51"/>
        <v>260.16882399524224</v>
      </c>
      <c r="N290" s="361">
        <f t="shared" si="51"/>
        <v>280.47007810353233</v>
      </c>
      <c r="O290" s="361">
        <f>SUM(C290:N290)</f>
        <v>4190.8758828884847</v>
      </c>
    </row>
    <row r="291" spans="2:19" x14ac:dyDescent="0.3">
      <c r="B291" s="594"/>
      <c r="C291" s="359"/>
      <c r="D291" s="359"/>
      <c r="E291" s="359"/>
      <c r="F291" s="359"/>
      <c r="G291" s="359"/>
      <c r="H291" s="359"/>
      <c r="I291" s="359"/>
      <c r="J291" s="359"/>
      <c r="K291" s="359"/>
      <c r="L291" s="359"/>
      <c r="M291" s="359"/>
      <c r="N291" s="359"/>
      <c r="O291" s="359"/>
    </row>
    <row r="292" spans="2:19" x14ac:dyDescent="0.3">
      <c r="B292" s="433" t="s">
        <v>145</v>
      </c>
      <c r="C292" s="361">
        <f>C290+C270</f>
        <v>409.67476717892845</v>
      </c>
      <c r="D292" s="361">
        <f t="shared" ref="D292" si="52">D290+D270</f>
        <v>468.84377532359844</v>
      </c>
      <c r="E292" s="361">
        <f t="shared" ref="E292:N292" si="53">E290+E270</f>
        <v>447.96990570532785</v>
      </c>
      <c r="F292" s="361">
        <f t="shared" si="53"/>
        <v>415.11885113331959</v>
      </c>
      <c r="G292" s="361">
        <f t="shared" si="53"/>
        <v>408.44092998890312</v>
      </c>
      <c r="H292" s="361">
        <f t="shared" si="53"/>
        <v>407.89720345736799</v>
      </c>
      <c r="I292" s="361">
        <f t="shared" si="53"/>
        <v>434.50894958251484</v>
      </c>
      <c r="J292" s="361">
        <f t="shared" si="53"/>
        <v>456.05325922245783</v>
      </c>
      <c r="K292" s="361">
        <f t="shared" si="53"/>
        <v>404.91871372504403</v>
      </c>
      <c r="L292" s="361">
        <f t="shared" si="53"/>
        <v>357.6951442165556</v>
      </c>
      <c r="M292" s="361">
        <f t="shared" si="53"/>
        <v>309.11331096093801</v>
      </c>
      <c r="N292" s="361">
        <f t="shared" si="53"/>
        <v>324.55180942237195</v>
      </c>
      <c r="O292" s="361">
        <f>SUM(C292:N292)</f>
        <v>4844.7866199173277</v>
      </c>
    </row>
    <row r="293" spans="2:19" x14ac:dyDescent="0.3">
      <c r="B293" s="596"/>
      <c r="E293" s="886"/>
      <c r="F293" s="887"/>
      <c r="G293" s="886"/>
      <c r="H293" s="886"/>
      <c r="I293" s="886"/>
      <c r="J293" s="886"/>
      <c r="K293" s="886"/>
      <c r="L293" s="886"/>
      <c r="M293" s="886"/>
      <c r="N293" s="886"/>
      <c r="O293" s="888"/>
    </row>
    <row r="295" spans="2:19" x14ac:dyDescent="0.3">
      <c r="B295" s="532" t="s">
        <v>418</v>
      </c>
    </row>
    <row r="297" spans="2:19" ht="28" x14ac:dyDescent="0.3">
      <c r="B297" s="827" t="s">
        <v>292</v>
      </c>
      <c r="C297" s="827" t="s">
        <v>177</v>
      </c>
      <c r="D297" s="827" t="s">
        <v>178</v>
      </c>
      <c r="E297" s="827" t="s">
        <v>179</v>
      </c>
      <c r="F297" s="827" t="s">
        <v>186</v>
      </c>
      <c r="G297" s="827" t="s">
        <v>426</v>
      </c>
    </row>
    <row r="298" spans="2:19" s="514" customFormat="1" x14ac:dyDescent="0.3">
      <c r="B298" s="458" t="s">
        <v>293</v>
      </c>
      <c r="C298" s="373"/>
      <c r="D298" s="373"/>
      <c r="E298" s="373"/>
      <c r="F298" s="373"/>
      <c r="G298" s="373"/>
    </row>
    <row r="299" spans="2:19" s="514" customFormat="1" x14ac:dyDescent="0.3">
      <c r="B299" s="344"/>
      <c r="C299" s="373"/>
      <c r="D299" s="373"/>
      <c r="E299" s="373"/>
      <c r="F299" s="373"/>
      <c r="G299" s="373"/>
    </row>
    <row r="300" spans="2:19" s="514" customFormat="1" x14ac:dyDescent="0.3">
      <c r="B300" s="344" t="s">
        <v>891</v>
      </c>
      <c r="C300" s="378">
        <v>140.78451141923318</v>
      </c>
      <c r="D300" s="373">
        <v>158.4226560122278</v>
      </c>
      <c r="E300" s="373">
        <v>158.89451072462117</v>
      </c>
      <c r="F300" s="373"/>
      <c r="G300" s="373"/>
    </row>
    <row r="301" spans="2:19" s="514" customFormat="1" x14ac:dyDescent="0.3">
      <c r="B301" s="344" t="s">
        <v>892</v>
      </c>
      <c r="C301" s="378">
        <v>273.201483216138</v>
      </c>
      <c r="D301" s="373">
        <v>249.26206398055049</v>
      </c>
      <c r="E301" s="373">
        <v>250.00447975914369</v>
      </c>
      <c r="F301" s="373"/>
      <c r="G301" s="373"/>
    </row>
    <row r="302" spans="2:19" s="514" customFormat="1" x14ac:dyDescent="0.3">
      <c r="B302" s="348" t="s">
        <v>893</v>
      </c>
      <c r="C302" s="378">
        <v>32.545969163459283</v>
      </c>
      <c r="D302" s="373">
        <v>30.976650055740024</v>
      </c>
      <c r="E302" s="373">
        <v>31.068912606254479</v>
      </c>
      <c r="F302" s="373"/>
      <c r="G302" s="373"/>
    </row>
    <row r="303" spans="2:19" s="514" customFormat="1" ht="42" x14ac:dyDescent="0.3">
      <c r="B303" s="348" t="s">
        <v>2016</v>
      </c>
      <c r="C303" s="373">
        <v>38.963312245331238</v>
      </c>
      <c r="D303" s="373">
        <v>36.10085865897058</v>
      </c>
      <c r="E303" s="373">
        <v>36.208383432942099</v>
      </c>
      <c r="F303" s="373"/>
      <c r="G303" s="373"/>
    </row>
    <row r="304" spans="2:19" s="514" customFormat="1" ht="56" x14ac:dyDescent="0.3">
      <c r="B304" s="594" t="s">
        <v>2017</v>
      </c>
      <c r="C304" s="373">
        <v>2.3144639583607458</v>
      </c>
      <c r="D304" s="373">
        <v>2.1658793457381198</v>
      </c>
      <c r="E304" s="373">
        <v>2.1723303193645385</v>
      </c>
      <c r="F304" s="373"/>
      <c r="G304" s="373"/>
    </row>
    <row r="305" spans="2:7" s="514" customFormat="1" ht="70" x14ac:dyDescent="0.3">
      <c r="B305" s="594" t="s">
        <v>2018</v>
      </c>
      <c r="C305" s="373">
        <v>26.808241976727469</v>
      </c>
      <c r="D305" s="373">
        <v>26.873282212769965</v>
      </c>
      <c r="E305" s="373">
        <v>26.953323067839293</v>
      </c>
      <c r="F305" s="373"/>
      <c r="G305" s="373"/>
    </row>
    <row r="306" spans="2:7" s="514" customFormat="1" ht="42" x14ac:dyDescent="0.3">
      <c r="B306" s="594" t="s">
        <v>2019</v>
      </c>
      <c r="C306" s="373">
        <v>169.22896898527054</v>
      </c>
      <c r="D306" s="373">
        <v>162.6846786590186</v>
      </c>
      <c r="E306" s="373">
        <v>163.16922761301123</v>
      </c>
      <c r="F306" s="373"/>
      <c r="G306" s="373"/>
    </row>
    <row r="307" spans="2:7" s="514" customFormat="1" ht="56" x14ac:dyDescent="0.3">
      <c r="B307" s="594" t="s">
        <v>2020</v>
      </c>
      <c r="C307" s="373">
        <v>12.138009620903571</v>
      </c>
      <c r="D307" s="373">
        <v>21.525840501514153</v>
      </c>
      <c r="E307" s="373">
        <v>26.621127993677476</v>
      </c>
      <c r="F307" s="373"/>
      <c r="G307" s="373"/>
    </row>
    <row r="308" spans="2:7" s="514" customFormat="1" x14ac:dyDescent="0.3">
      <c r="B308" s="434" t="s">
        <v>416</v>
      </c>
      <c r="C308" s="2137">
        <f>SUM(C300:C307)</f>
        <v>695.98496058542401</v>
      </c>
      <c r="D308" s="2137">
        <f t="shared" ref="D308:E308" si="54">SUM(D300:D307)</f>
        <v>688.01190942652977</v>
      </c>
      <c r="E308" s="2137">
        <f t="shared" si="54"/>
        <v>695.09229551685394</v>
      </c>
      <c r="F308" s="373"/>
      <c r="G308" s="373"/>
    </row>
    <row r="309" spans="2:7" s="514" customFormat="1" x14ac:dyDescent="0.3">
      <c r="B309" s="594"/>
      <c r="C309" s="373"/>
      <c r="D309" s="373"/>
      <c r="E309" s="373"/>
      <c r="F309" s="373"/>
      <c r="G309" s="373"/>
    </row>
    <row r="310" spans="2:7" s="514" customFormat="1" x14ac:dyDescent="0.3">
      <c r="B310" s="458" t="s">
        <v>294</v>
      </c>
      <c r="C310" s="373"/>
      <c r="D310" s="373"/>
      <c r="E310" s="373"/>
      <c r="F310" s="373"/>
      <c r="G310" s="373"/>
    </row>
    <row r="311" spans="2:7" s="514" customFormat="1" x14ac:dyDescent="0.3">
      <c r="B311" s="2133" t="s">
        <v>898</v>
      </c>
      <c r="C311" s="373">
        <v>0.22899134572262037</v>
      </c>
      <c r="D311" s="373">
        <v>7.6757406134730963E-2</v>
      </c>
      <c r="E311" s="373">
        <v>7.8019685148328147E-2</v>
      </c>
      <c r="F311" s="373"/>
      <c r="G311" s="373"/>
    </row>
    <row r="312" spans="2:7" s="514" customFormat="1" x14ac:dyDescent="0.3">
      <c r="B312" s="2134" t="s">
        <v>899</v>
      </c>
      <c r="C312" s="373"/>
      <c r="D312" s="373"/>
      <c r="E312" s="373"/>
      <c r="F312" s="373"/>
      <c r="G312" s="373"/>
    </row>
    <row r="313" spans="2:7" s="514" customFormat="1" x14ac:dyDescent="0.3">
      <c r="B313" s="2135" t="s">
        <v>900</v>
      </c>
      <c r="C313" s="373">
        <v>781.98411958323368</v>
      </c>
      <c r="D313" s="373">
        <v>776.56028827105069</v>
      </c>
      <c r="E313" s="373">
        <v>799.98458605659062</v>
      </c>
      <c r="F313" s="373"/>
      <c r="G313" s="373"/>
    </row>
    <row r="314" spans="2:7" s="514" customFormat="1" x14ac:dyDescent="0.3">
      <c r="B314" s="2135" t="s">
        <v>901</v>
      </c>
      <c r="C314" s="373">
        <v>710.9639343613328</v>
      </c>
      <c r="D314" s="373">
        <v>718.02066583500914</v>
      </c>
      <c r="E314" s="373">
        <v>739.67916440456304</v>
      </c>
      <c r="F314" s="373"/>
      <c r="G314" s="373"/>
    </row>
    <row r="315" spans="2:7" s="514" customFormat="1" x14ac:dyDescent="0.3">
      <c r="B315" s="2135" t="s">
        <v>902</v>
      </c>
      <c r="C315" s="373">
        <v>219.56255380706702</v>
      </c>
      <c r="D315" s="373">
        <v>229.8269173543699</v>
      </c>
      <c r="E315" s="373">
        <v>236.75945592549289</v>
      </c>
      <c r="F315" s="373"/>
      <c r="G315" s="373"/>
    </row>
    <row r="316" spans="2:7" s="514" customFormat="1" x14ac:dyDescent="0.3">
      <c r="B316" s="2135" t="s">
        <v>903</v>
      </c>
      <c r="C316" s="373">
        <v>382.39293080926217</v>
      </c>
      <c r="D316" s="373">
        <v>396.12796658381842</v>
      </c>
      <c r="E316" s="373">
        <v>408.07683853952813</v>
      </c>
      <c r="F316" s="373"/>
      <c r="G316" s="373"/>
    </row>
    <row r="317" spans="2:7" s="514" customFormat="1" x14ac:dyDescent="0.3">
      <c r="B317" s="2134" t="s">
        <v>904</v>
      </c>
      <c r="C317" s="373"/>
      <c r="D317" s="373">
        <v>0</v>
      </c>
      <c r="E317" s="373">
        <v>0</v>
      </c>
      <c r="F317" s="373"/>
      <c r="G317" s="373"/>
    </row>
    <row r="318" spans="2:7" s="514" customFormat="1" x14ac:dyDescent="0.3">
      <c r="B318" s="2133" t="s">
        <v>905</v>
      </c>
      <c r="C318" s="373">
        <v>585.81055447326821</v>
      </c>
      <c r="D318" s="373">
        <v>714.67795111157159</v>
      </c>
      <c r="E318" s="373">
        <v>734.04672252944715</v>
      </c>
      <c r="F318" s="373"/>
      <c r="G318" s="373"/>
    </row>
    <row r="319" spans="2:7" s="514" customFormat="1" x14ac:dyDescent="0.3">
      <c r="B319" s="2133" t="s">
        <v>906</v>
      </c>
      <c r="C319" s="373">
        <v>351.10719263365161</v>
      </c>
      <c r="D319" s="373">
        <v>218.00800421856982</v>
      </c>
      <c r="E319" s="373">
        <v>222.19538277542927</v>
      </c>
      <c r="F319" s="373"/>
      <c r="G319" s="373"/>
    </row>
    <row r="320" spans="2:7" s="514" customFormat="1" ht="28" x14ac:dyDescent="0.3">
      <c r="B320" s="2133" t="s">
        <v>1708</v>
      </c>
      <c r="C320" s="373">
        <v>228.32008114084618</v>
      </c>
      <c r="D320" s="373">
        <v>221.7614802085285</v>
      </c>
      <c r="E320" s="373">
        <v>225.40835777497625</v>
      </c>
      <c r="F320" s="373"/>
      <c r="G320" s="373"/>
    </row>
    <row r="321" spans="2:7" s="514" customFormat="1" ht="28" x14ac:dyDescent="0.3">
      <c r="B321" s="2133" t="s">
        <v>2021</v>
      </c>
      <c r="C321" s="373">
        <v>392.68574490098734</v>
      </c>
      <c r="D321" s="373">
        <v>388.63958687374469</v>
      </c>
      <c r="E321" s="373">
        <v>395.03078244779397</v>
      </c>
      <c r="F321" s="373"/>
      <c r="G321" s="373"/>
    </row>
    <row r="322" spans="2:7" x14ac:dyDescent="0.3">
      <c r="B322" s="2134" t="s">
        <v>908</v>
      </c>
      <c r="C322" s="430">
        <v>0</v>
      </c>
      <c r="D322" s="430">
        <v>0</v>
      </c>
      <c r="E322" s="430">
        <v>46.157700193003521</v>
      </c>
      <c r="F322" s="430"/>
      <c r="G322" s="430"/>
    </row>
    <row r="323" spans="2:7" x14ac:dyDescent="0.3">
      <c r="B323" s="2133" t="s">
        <v>905</v>
      </c>
      <c r="C323" s="349">
        <v>20.769416247399494</v>
      </c>
      <c r="D323" s="349">
        <v>30.940641751493992</v>
      </c>
      <c r="E323" s="349">
        <v>0</v>
      </c>
      <c r="F323" s="417"/>
      <c r="G323" s="346"/>
    </row>
    <row r="324" spans="2:7" x14ac:dyDescent="0.3">
      <c r="B324" s="2133" t="s">
        <v>906</v>
      </c>
      <c r="C324" s="349">
        <v>25.111411121528906</v>
      </c>
      <c r="D324" s="349">
        <v>14.470273881192863</v>
      </c>
      <c r="E324" s="349">
        <v>0</v>
      </c>
      <c r="F324" s="349"/>
      <c r="G324" s="349"/>
    </row>
    <row r="325" spans="2:7" ht="42" x14ac:dyDescent="0.3">
      <c r="B325" s="2133" t="s">
        <v>2022</v>
      </c>
      <c r="C325" s="349">
        <v>0</v>
      </c>
      <c r="D325" s="349">
        <v>0</v>
      </c>
      <c r="E325" s="349">
        <v>0</v>
      </c>
      <c r="F325" s="349"/>
      <c r="G325" s="349"/>
    </row>
    <row r="326" spans="2:7" ht="28" x14ac:dyDescent="0.3">
      <c r="B326" s="2133" t="s">
        <v>2023</v>
      </c>
      <c r="C326" s="349">
        <v>0</v>
      </c>
      <c r="D326" s="349">
        <v>0</v>
      </c>
      <c r="E326" s="349">
        <v>0</v>
      </c>
      <c r="F326" s="349"/>
      <c r="G326" s="349"/>
    </row>
    <row r="327" spans="2:7" ht="28" x14ac:dyDescent="0.3">
      <c r="B327" s="2133" t="s">
        <v>2024</v>
      </c>
      <c r="C327" s="349">
        <v>0</v>
      </c>
      <c r="D327" s="349">
        <v>0</v>
      </c>
      <c r="E327" s="349">
        <v>0</v>
      </c>
      <c r="F327" s="349"/>
      <c r="G327" s="349"/>
    </row>
    <row r="328" spans="2:7" x14ac:dyDescent="0.3">
      <c r="B328" s="2133" t="s">
        <v>1594</v>
      </c>
      <c r="C328" s="349">
        <v>0</v>
      </c>
      <c r="D328" s="349">
        <v>0</v>
      </c>
      <c r="E328" s="349">
        <v>0</v>
      </c>
      <c r="F328" s="349"/>
      <c r="G328" s="349"/>
    </row>
    <row r="329" spans="2:7" x14ac:dyDescent="0.3">
      <c r="B329" s="2133" t="s">
        <v>1594</v>
      </c>
      <c r="C329" s="349">
        <v>95.874710439458269</v>
      </c>
      <c r="D329" s="349">
        <v>94.857006096279875</v>
      </c>
      <c r="E329" s="349">
        <v>96.41693384941189</v>
      </c>
      <c r="F329" s="349"/>
      <c r="G329" s="349"/>
    </row>
    <row r="330" spans="2:7" ht="42" x14ac:dyDescent="0.3">
      <c r="B330" s="2136" t="s">
        <v>2025</v>
      </c>
      <c r="C330" s="343">
        <v>7.3135734797751351</v>
      </c>
      <c r="D330" s="343">
        <v>7.1596000548791841</v>
      </c>
      <c r="E330" s="343">
        <v>7.2773400014214111</v>
      </c>
      <c r="F330" s="343"/>
      <c r="G330" s="343"/>
    </row>
    <row r="331" spans="2:7" x14ac:dyDescent="0.3">
      <c r="B331" s="2136" t="s">
        <v>911</v>
      </c>
      <c r="C331" s="343">
        <v>1.733232923316588</v>
      </c>
      <c r="D331" s="343">
        <v>1.5966075699938844</v>
      </c>
      <c r="E331" s="343">
        <v>1.6228638536548532</v>
      </c>
      <c r="F331" s="343"/>
      <c r="G331" s="343"/>
    </row>
    <row r="332" spans="2:7" x14ac:dyDescent="0.3">
      <c r="B332" s="2136" t="s">
        <v>912</v>
      </c>
      <c r="C332" s="343">
        <v>30.042760248277737</v>
      </c>
      <c r="D332" s="343">
        <v>24.138826101254377</v>
      </c>
      <c r="E332" s="343">
        <v>20.333548253494548</v>
      </c>
      <c r="F332" s="343"/>
      <c r="G332" s="343"/>
    </row>
    <row r="333" spans="2:7" ht="28" x14ac:dyDescent="0.3">
      <c r="B333" s="2136" t="s">
        <v>913</v>
      </c>
      <c r="C333" s="343">
        <v>0.22860377341929183</v>
      </c>
      <c r="D333" s="343">
        <v>0.20887060802265656</v>
      </c>
      <c r="E333" s="343">
        <v>0.21230549461329379</v>
      </c>
      <c r="F333" s="343"/>
      <c r="G333" s="343"/>
    </row>
    <row r="334" spans="2:7" ht="28" x14ac:dyDescent="0.3">
      <c r="B334" s="2136" t="s">
        <v>914</v>
      </c>
      <c r="C334" s="343">
        <v>34.50018939104072</v>
      </c>
      <c r="D334" s="343">
        <v>15.648827496461802</v>
      </c>
      <c r="E334" s="343">
        <v>15.906173172024543</v>
      </c>
      <c r="F334" s="343"/>
      <c r="G334" s="343"/>
    </row>
    <row r="335" spans="2:7" ht="28" x14ac:dyDescent="0.3">
      <c r="B335" s="2136" t="s">
        <v>915</v>
      </c>
      <c r="C335" s="343">
        <v>1.7722755090815558</v>
      </c>
      <c r="D335" s="343">
        <v>1.6199359864687131</v>
      </c>
      <c r="E335" s="343">
        <v>1.6465759069931387</v>
      </c>
      <c r="F335" s="343"/>
      <c r="G335" s="343"/>
    </row>
    <row r="336" spans="2:7" ht="70" x14ac:dyDescent="0.3">
      <c r="B336" s="2136" t="s">
        <v>2026</v>
      </c>
      <c r="C336" s="343">
        <v>58.77801447455888</v>
      </c>
      <c r="D336" s="343">
        <v>57.485968043855912</v>
      </c>
      <c r="E336" s="343">
        <v>58.937848043704911</v>
      </c>
      <c r="F336" s="343"/>
      <c r="G336" s="343"/>
    </row>
    <row r="337" spans="2:7" ht="56" x14ac:dyDescent="0.3">
      <c r="B337" s="2136" t="s">
        <v>2027</v>
      </c>
      <c r="C337" s="343">
        <v>177.73133208169719</v>
      </c>
      <c r="D337" s="343">
        <v>171.33365265556085</v>
      </c>
      <c r="E337" s="343">
        <v>174.15124231838044</v>
      </c>
      <c r="F337" s="343"/>
      <c r="G337" s="343"/>
    </row>
    <row r="338" spans="2:7" x14ac:dyDescent="0.3">
      <c r="B338" s="2136" t="s">
        <v>917</v>
      </c>
      <c r="C338" s="343">
        <v>0</v>
      </c>
      <c r="D338" s="343">
        <v>0</v>
      </c>
      <c r="E338" s="343">
        <v>0</v>
      </c>
      <c r="F338" s="343"/>
      <c r="G338" s="343"/>
    </row>
    <row r="339" spans="2:7" x14ac:dyDescent="0.3">
      <c r="B339" s="2136" t="s">
        <v>918</v>
      </c>
      <c r="C339" s="343">
        <v>0</v>
      </c>
      <c r="D339" s="343">
        <v>0</v>
      </c>
      <c r="E339" s="343">
        <v>0</v>
      </c>
      <c r="F339" s="343"/>
      <c r="G339" s="343"/>
    </row>
    <row r="340" spans="2:7" x14ac:dyDescent="0.3">
      <c r="B340" s="2136" t="s">
        <v>919</v>
      </c>
      <c r="C340" s="343">
        <v>0</v>
      </c>
      <c r="D340" s="343">
        <v>3.4800049048778765E-2</v>
      </c>
      <c r="E340" s="343">
        <v>0.25236633674915732</v>
      </c>
      <c r="F340" s="343"/>
      <c r="G340" s="343"/>
    </row>
    <row r="341" spans="2:7" x14ac:dyDescent="0.3">
      <c r="B341" s="2136" t="s">
        <v>416</v>
      </c>
      <c r="C341" s="343">
        <f>SUM(C311:C340)</f>
        <v>4106.9116227449258</v>
      </c>
      <c r="D341" s="343">
        <f t="shared" ref="D341:F341" si="55">SUM(D311:D340)</f>
        <v>4083.19462815731</v>
      </c>
      <c r="E341" s="343">
        <f t="shared" si="55"/>
        <v>4184.1742075624215</v>
      </c>
      <c r="F341" s="343">
        <f t="shared" si="55"/>
        <v>0</v>
      </c>
      <c r="G341" s="343"/>
    </row>
    <row r="342" spans="2:7" x14ac:dyDescent="0.3">
      <c r="B342" s="2138" t="s">
        <v>145</v>
      </c>
      <c r="C342" s="349">
        <f>C308+C341</f>
        <v>4802.89658333035</v>
      </c>
      <c r="D342" s="349">
        <f t="shared" ref="D342:F342" si="56">D308+D341</f>
        <v>4771.2065375838401</v>
      </c>
      <c r="E342" s="349">
        <f t="shared" si="56"/>
        <v>4879.2665030792759</v>
      </c>
      <c r="F342" s="349">
        <f t="shared" si="56"/>
        <v>0</v>
      </c>
      <c r="G342" s="349"/>
    </row>
  </sheetData>
  <mergeCells count="9">
    <mergeCell ref="R9:R11"/>
    <mergeCell ref="B9:B11"/>
    <mergeCell ref="C9:D9"/>
    <mergeCell ref="F9:G9"/>
    <mergeCell ref="H9:I9"/>
    <mergeCell ref="J9:M9"/>
    <mergeCell ref="N9:O9"/>
    <mergeCell ref="P9:Q9"/>
    <mergeCell ref="E9:E11"/>
  </mergeCells>
  <pageMargins left="1.0236220472440944" right="0.23622047244094491" top="0.98425196850393704" bottom="0.98425196850393704" header="0.23622047244094491" footer="0.23622047244094491"/>
  <pageSetup paperSize="9" scale="33" fitToHeight="4" orientation="landscape" r:id="rId1"/>
  <headerFooter alignWithMargins="0">
    <oddHeader>&amp;F</oddHeader>
  </headerFooter>
  <rowBreaks count="7" manualBreakCount="7">
    <brk id="53" max="16383" man="1"/>
    <brk id="100" max="18" man="1"/>
    <brk id="138" max="18" man="1"/>
    <brk id="176" max="16383" man="1"/>
    <brk id="216" max="16383" man="1"/>
    <brk id="256" max="18" man="1"/>
    <brk id="29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8"/>
  <sheetViews>
    <sheetView showGridLines="0" view="pageBreakPreview" topLeftCell="E1" zoomScale="80" zoomScaleNormal="75" zoomScaleSheetLayoutView="80" zoomScalePageLayoutView="110" workbookViewId="0">
      <selection activeCell="B7" sqref="B7:B8"/>
    </sheetView>
  </sheetViews>
  <sheetFormatPr defaultColWidth="9.1796875" defaultRowHeight="14" x14ac:dyDescent="0.3"/>
  <cols>
    <col min="1" max="1" width="9.1796875" style="119"/>
    <col min="2" max="2" width="30.453125" style="119" customWidth="1"/>
    <col min="3" max="6" width="16.1796875" style="119" customWidth="1"/>
    <col min="7" max="7" width="13.7265625" style="119" customWidth="1"/>
    <col min="8" max="8" width="14.81640625" style="119" customWidth="1"/>
    <col min="9" max="9" width="14.26953125" style="119" customWidth="1"/>
    <col min="10" max="10" width="15.453125" style="119" customWidth="1"/>
    <col min="11" max="11" width="14.81640625" style="119" customWidth="1"/>
    <col min="12" max="15" width="14.54296875" style="119" customWidth="1"/>
    <col min="16" max="16" width="12.7265625" style="119" customWidth="1"/>
    <col min="17" max="17" width="14.453125" style="119" customWidth="1"/>
    <col min="18" max="18" width="16.7265625" style="119" customWidth="1"/>
    <col min="19" max="19" width="6.26953125" style="119" bestFit="1" customWidth="1"/>
    <col min="20" max="20" width="11.54296875" style="119" customWidth="1"/>
    <col min="21" max="259" width="9.1796875" style="119"/>
    <col min="260" max="260" width="15.7265625" style="119" customWidth="1"/>
    <col min="261" max="261" width="30.453125" style="119" customWidth="1"/>
    <col min="262" max="273" width="10.7265625" style="119" customWidth="1"/>
    <col min="274" max="274" width="12.54296875" style="119" customWidth="1"/>
    <col min="275" max="275" width="6.26953125" style="119" bestFit="1" customWidth="1"/>
    <col min="276" max="276" width="11.54296875" style="119" customWidth="1"/>
    <col min="277" max="515" width="9.1796875" style="119"/>
    <col min="516" max="516" width="15.7265625" style="119" customWidth="1"/>
    <col min="517" max="517" width="30.453125" style="119" customWidth="1"/>
    <col min="518" max="529" width="10.7265625" style="119" customWidth="1"/>
    <col min="530" max="530" width="12.54296875" style="119" customWidth="1"/>
    <col min="531" max="531" width="6.26953125" style="119" bestFit="1" customWidth="1"/>
    <col min="532" max="532" width="11.54296875" style="119" customWidth="1"/>
    <col min="533" max="771" width="9.1796875" style="119"/>
    <col min="772" max="772" width="15.7265625" style="119" customWidth="1"/>
    <col min="773" max="773" width="30.453125" style="119" customWidth="1"/>
    <col min="774" max="785" width="10.7265625" style="119" customWidth="1"/>
    <col min="786" max="786" width="12.54296875" style="119" customWidth="1"/>
    <col min="787" max="787" width="6.26953125" style="119" bestFit="1" customWidth="1"/>
    <col min="788" max="788" width="11.54296875" style="119" customWidth="1"/>
    <col min="789" max="1027" width="9.1796875" style="119"/>
    <col min="1028" max="1028" width="15.7265625" style="119" customWidth="1"/>
    <col min="1029" max="1029" width="30.453125" style="119" customWidth="1"/>
    <col min="1030" max="1041" width="10.7265625" style="119" customWidth="1"/>
    <col min="1042" max="1042" width="12.54296875" style="119" customWidth="1"/>
    <col min="1043" max="1043" width="6.26953125" style="119" bestFit="1" customWidth="1"/>
    <col min="1044" max="1044" width="11.54296875" style="119" customWidth="1"/>
    <col min="1045" max="1283" width="9.1796875" style="119"/>
    <col min="1284" max="1284" width="15.7265625" style="119" customWidth="1"/>
    <col min="1285" max="1285" width="30.453125" style="119" customWidth="1"/>
    <col min="1286" max="1297" width="10.7265625" style="119" customWidth="1"/>
    <col min="1298" max="1298" width="12.54296875" style="119" customWidth="1"/>
    <col min="1299" max="1299" width="6.26953125" style="119" bestFit="1" customWidth="1"/>
    <col min="1300" max="1300" width="11.54296875" style="119" customWidth="1"/>
    <col min="1301" max="1539" width="9.1796875" style="119"/>
    <col min="1540" max="1540" width="15.7265625" style="119" customWidth="1"/>
    <col min="1541" max="1541" width="30.453125" style="119" customWidth="1"/>
    <col min="1542" max="1553" width="10.7265625" style="119" customWidth="1"/>
    <col min="1554" max="1554" width="12.54296875" style="119" customWidth="1"/>
    <col min="1555" max="1555" width="6.26953125" style="119" bestFit="1" customWidth="1"/>
    <col min="1556" max="1556" width="11.54296875" style="119" customWidth="1"/>
    <col min="1557" max="1795" width="9.1796875" style="119"/>
    <col min="1796" max="1796" width="15.7265625" style="119" customWidth="1"/>
    <col min="1797" max="1797" width="30.453125" style="119" customWidth="1"/>
    <col min="1798" max="1809" width="10.7265625" style="119" customWidth="1"/>
    <col min="1810" max="1810" width="12.54296875" style="119" customWidth="1"/>
    <col min="1811" max="1811" width="6.26953125" style="119" bestFit="1" customWidth="1"/>
    <col min="1812" max="1812" width="11.54296875" style="119" customWidth="1"/>
    <col min="1813" max="2051" width="9.1796875" style="119"/>
    <col min="2052" max="2052" width="15.7265625" style="119" customWidth="1"/>
    <col min="2053" max="2053" width="30.453125" style="119" customWidth="1"/>
    <col min="2054" max="2065" width="10.7265625" style="119" customWidth="1"/>
    <col min="2066" max="2066" width="12.54296875" style="119" customWidth="1"/>
    <col min="2067" max="2067" width="6.26953125" style="119" bestFit="1" customWidth="1"/>
    <col min="2068" max="2068" width="11.54296875" style="119" customWidth="1"/>
    <col min="2069" max="2307" width="9.1796875" style="119"/>
    <col min="2308" max="2308" width="15.7265625" style="119" customWidth="1"/>
    <col min="2309" max="2309" width="30.453125" style="119" customWidth="1"/>
    <col min="2310" max="2321" width="10.7265625" style="119" customWidth="1"/>
    <col min="2322" max="2322" width="12.54296875" style="119" customWidth="1"/>
    <col min="2323" max="2323" width="6.26953125" style="119" bestFit="1" customWidth="1"/>
    <col min="2324" max="2324" width="11.54296875" style="119" customWidth="1"/>
    <col min="2325" max="2563" width="9.1796875" style="119"/>
    <col min="2564" max="2564" width="15.7265625" style="119" customWidth="1"/>
    <col min="2565" max="2565" width="30.453125" style="119" customWidth="1"/>
    <col min="2566" max="2577" width="10.7265625" style="119" customWidth="1"/>
    <col min="2578" max="2578" width="12.54296875" style="119" customWidth="1"/>
    <col min="2579" max="2579" width="6.26953125" style="119" bestFit="1" customWidth="1"/>
    <col min="2580" max="2580" width="11.54296875" style="119" customWidth="1"/>
    <col min="2581" max="2819" width="9.1796875" style="119"/>
    <col min="2820" max="2820" width="15.7265625" style="119" customWidth="1"/>
    <col min="2821" max="2821" width="30.453125" style="119" customWidth="1"/>
    <col min="2822" max="2833" width="10.7265625" style="119" customWidth="1"/>
    <col min="2834" max="2834" width="12.54296875" style="119" customWidth="1"/>
    <col min="2835" max="2835" width="6.26953125" style="119" bestFit="1" customWidth="1"/>
    <col min="2836" max="2836" width="11.54296875" style="119" customWidth="1"/>
    <col min="2837" max="3075" width="9.1796875" style="119"/>
    <col min="3076" max="3076" width="15.7265625" style="119" customWidth="1"/>
    <col min="3077" max="3077" width="30.453125" style="119" customWidth="1"/>
    <col min="3078" max="3089" width="10.7265625" style="119" customWidth="1"/>
    <col min="3090" max="3090" width="12.54296875" style="119" customWidth="1"/>
    <col min="3091" max="3091" width="6.26953125" style="119" bestFit="1" customWidth="1"/>
    <col min="3092" max="3092" width="11.54296875" style="119" customWidth="1"/>
    <col min="3093" max="3331" width="9.1796875" style="119"/>
    <col min="3332" max="3332" width="15.7265625" style="119" customWidth="1"/>
    <col min="3333" max="3333" width="30.453125" style="119" customWidth="1"/>
    <col min="3334" max="3345" width="10.7265625" style="119" customWidth="1"/>
    <col min="3346" max="3346" width="12.54296875" style="119" customWidth="1"/>
    <col min="3347" max="3347" width="6.26953125" style="119" bestFit="1" customWidth="1"/>
    <col min="3348" max="3348" width="11.54296875" style="119" customWidth="1"/>
    <col min="3349" max="3587" width="9.1796875" style="119"/>
    <col min="3588" max="3588" width="15.7265625" style="119" customWidth="1"/>
    <col min="3589" max="3589" width="30.453125" style="119" customWidth="1"/>
    <col min="3590" max="3601" width="10.7265625" style="119" customWidth="1"/>
    <col min="3602" max="3602" width="12.54296875" style="119" customWidth="1"/>
    <col min="3603" max="3603" width="6.26953125" style="119" bestFit="1" customWidth="1"/>
    <col min="3604" max="3604" width="11.54296875" style="119" customWidth="1"/>
    <col min="3605" max="3843" width="9.1796875" style="119"/>
    <col min="3844" max="3844" width="15.7265625" style="119" customWidth="1"/>
    <col min="3845" max="3845" width="30.453125" style="119" customWidth="1"/>
    <col min="3846" max="3857" width="10.7265625" style="119" customWidth="1"/>
    <col min="3858" max="3858" width="12.54296875" style="119" customWidth="1"/>
    <col min="3859" max="3859" width="6.26953125" style="119" bestFit="1" customWidth="1"/>
    <col min="3860" max="3860" width="11.54296875" style="119" customWidth="1"/>
    <col min="3861" max="4099" width="9.1796875" style="119"/>
    <col min="4100" max="4100" width="15.7265625" style="119" customWidth="1"/>
    <col min="4101" max="4101" width="30.453125" style="119" customWidth="1"/>
    <col min="4102" max="4113" width="10.7265625" style="119" customWidth="1"/>
    <col min="4114" max="4114" width="12.54296875" style="119" customWidth="1"/>
    <col min="4115" max="4115" width="6.26953125" style="119" bestFit="1" customWidth="1"/>
    <col min="4116" max="4116" width="11.54296875" style="119" customWidth="1"/>
    <col min="4117" max="4355" width="9.1796875" style="119"/>
    <col min="4356" max="4356" width="15.7265625" style="119" customWidth="1"/>
    <col min="4357" max="4357" width="30.453125" style="119" customWidth="1"/>
    <col min="4358" max="4369" width="10.7265625" style="119" customWidth="1"/>
    <col min="4370" max="4370" width="12.54296875" style="119" customWidth="1"/>
    <col min="4371" max="4371" width="6.26953125" style="119" bestFit="1" customWidth="1"/>
    <col min="4372" max="4372" width="11.54296875" style="119" customWidth="1"/>
    <col min="4373" max="4611" width="9.1796875" style="119"/>
    <col min="4612" max="4612" width="15.7265625" style="119" customWidth="1"/>
    <col min="4613" max="4613" width="30.453125" style="119" customWidth="1"/>
    <col min="4614" max="4625" width="10.7265625" style="119" customWidth="1"/>
    <col min="4626" max="4626" width="12.54296875" style="119" customWidth="1"/>
    <col min="4627" max="4627" width="6.26953125" style="119" bestFit="1" customWidth="1"/>
    <col min="4628" max="4628" width="11.54296875" style="119" customWidth="1"/>
    <col min="4629" max="4867" width="9.1796875" style="119"/>
    <col min="4868" max="4868" width="15.7265625" style="119" customWidth="1"/>
    <col min="4869" max="4869" width="30.453125" style="119" customWidth="1"/>
    <col min="4870" max="4881" width="10.7265625" style="119" customWidth="1"/>
    <col min="4882" max="4882" width="12.54296875" style="119" customWidth="1"/>
    <col min="4883" max="4883" width="6.26953125" style="119" bestFit="1" customWidth="1"/>
    <col min="4884" max="4884" width="11.54296875" style="119" customWidth="1"/>
    <col min="4885" max="5123" width="9.1796875" style="119"/>
    <col min="5124" max="5124" width="15.7265625" style="119" customWidth="1"/>
    <col min="5125" max="5125" width="30.453125" style="119" customWidth="1"/>
    <col min="5126" max="5137" width="10.7265625" style="119" customWidth="1"/>
    <col min="5138" max="5138" width="12.54296875" style="119" customWidth="1"/>
    <col min="5139" max="5139" width="6.26953125" style="119" bestFit="1" customWidth="1"/>
    <col min="5140" max="5140" width="11.54296875" style="119" customWidth="1"/>
    <col min="5141" max="5379" width="9.1796875" style="119"/>
    <col min="5380" max="5380" width="15.7265625" style="119" customWidth="1"/>
    <col min="5381" max="5381" width="30.453125" style="119" customWidth="1"/>
    <col min="5382" max="5393" width="10.7265625" style="119" customWidth="1"/>
    <col min="5394" max="5394" width="12.54296875" style="119" customWidth="1"/>
    <col min="5395" max="5395" width="6.26953125" style="119" bestFit="1" customWidth="1"/>
    <col min="5396" max="5396" width="11.54296875" style="119" customWidth="1"/>
    <col min="5397" max="5635" width="9.1796875" style="119"/>
    <col min="5636" max="5636" width="15.7265625" style="119" customWidth="1"/>
    <col min="5637" max="5637" width="30.453125" style="119" customWidth="1"/>
    <col min="5638" max="5649" width="10.7265625" style="119" customWidth="1"/>
    <col min="5650" max="5650" width="12.54296875" style="119" customWidth="1"/>
    <col min="5651" max="5651" width="6.26953125" style="119" bestFit="1" customWidth="1"/>
    <col min="5652" max="5652" width="11.54296875" style="119" customWidth="1"/>
    <col min="5653" max="5891" width="9.1796875" style="119"/>
    <col min="5892" max="5892" width="15.7265625" style="119" customWidth="1"/>
    <col min="5893" max="5893" width="30.453125" style="119" customWidth="1"/>
    <col min="5894" max="5905" width="10.7265625" style="119" customWidth="1"/>
    <col min="5906" max="5906" width="12.54296875" style="119" customWidth="1"/>
    <col min="5907" max="5907" width="6.26953125" style="119" bestFit="1" customWidth="1"/>
    <col min="5908" max="5908" width="11.54296875" style="119" customWidth="1"/>
    <col min="5909" max="6147" width="9.1796875" style="119"/>
    <col min="6148" max="6148" width="15.7265625" style="119" customWidth="1"/>
    <col min="6149" max="6149" width="30.453125" style="119" customWidth="1"/>
    <col min="6150" max="6161" width="10.7265625" style="119" customWidth="1"/>
    <col min="6162" max="6162" width="12.54296875" style="119" customWidth="1"/>
    <col min="6163" max="6163" width="6.26953125" style="119" bestFit="1" customWidth="1"/>
    <col min="6164" max="6164" width="11.54296875" style="119" customWidth="1"/>
    <col min="6165" max="6403" width="9.1796875" style="119"/>
    <col min="6404" max="6404" width="15.7265625" style="119" customWidth="1"/>
    <col min="6405" max="6405" width="30.453125" style="119" customWidth="1"/>
    <col min="6406" max="6417" width="10.7265625" style="119" customWidth="1"/>
    <col min="6418" max="6418" width="12.54296875" style="119" customWidth="1"/>
    <col min="6419" max="6419" width="6.26953125" style="119" bestFit="1" customWidth="1"/>
    <col min="6420" max="6420" width="11.54296875" style="119" customWidth="1"/>
    <col min="6421" max="6659" width="9.1796875" style="119"/>
    <col min="6660" max="6660" width="15.7265625" style="119" customWidth="1"/>
    <col min="6661" max="6661" width="30.453125" style="119" customWidth="1"/>
    <col min="6662" max="6673" width="10.7265625" style="119" customWidth="1"/>
    <col min="6674" max="6674" width="12.54296875" style="119" customWidth="1"/>
    <col min="6675" max="6675" width="6.26953125" style="119" bestFit="1" customWidth="1"/>
    <col min="6676" max="6676" width="11.54296875" style="119" customWidth="1"/>
    <col min="6677" max="6915" width="9.1796875" style="119"/>
    <col min="6916" max="6916" width="15.7265625" style="119" customWidth="1"/>
    <col min="6917" max="6917" width="30.453125" style="119" customWidth="1"/>
    <col min="6918" max="6929" width="10.7265625" style="119" customWidth="1"/>
    <col min="6930" max="6930" width="12.54296875" style="119" customWidth="1"/>
    <col min="6931" max="6931" width="6.26953125" style="119" bestFit="1" customWidth="1"/>
    <col min="6932" max="6932" width="11.54296875" style="119" customWidth="1"/>
    <col min="6933" max="7171" width="9.1796875" style="119"/>
    <col min="7172" max="7172" width="15.7265625" style="119" customWidth="1"/>
    <col min="7173" max="7173" width="30.453125" style="119" customWidth="1"/>
    <col min="7174" max="7185" width="10.7265625" style="119" customWidth="1"/>
    <col min="7186" max="7186" width="12.54296875" style="119" customWidth="1"/>
    <col min="7187" max="7187" width="6.26953125" style="119" bestFit="1" customWidth="1"/>
    <col min="7188" max="7188" width="11.54296875" style="119" customWidth="1"/>
    <col min="7189" max="7427" width="9.1796875" style="119"/>
    <col min="7428" max="7428" width="15.7265625" style="119" customWidth="1"/>
    <col min="7429" max="7429" width="30.453125" style="119" customWidth="1"/>
    <col min="7430" max="7441" width="10.7265625" style="119" customWidth="1"/>
    <col min="7442" max="7442" width="12.54296875" style="119" customWidth="1"/>
    <col min="7443" max="7443" width="6.26953125" style="119" bestFit="1" customWidth="1"/>
    <col min="7444" max="7444" width="11.54296875" style="119" customWidth="1"/>
    <col min="7445" max="7683" width="9.1796875" style="119"/>
    <col min="7684" max="7684" width="15.7265625" style="119" customWidth="1"/>
    <col min="7685" max="7685" width="30.453125" style="119" customWidth="1"/>
    <col min="7686" max="7697" width="10.7265625" style="119" customWidth="1"/>
    <col min="7698" max="7698" width="12.54296875" style="119" customWidth="1"/>
    <col min="7699" max="7699" width="6.26953125" style="119" bestFit="1" customWidth="1"/>
    <col min="7700" max="7700" width="11.54296875" style="119" customWidth="1"/>
    <col min="7701" max="7939" width="9.1796875" style="119"/>
    <col min="7940" max="7940" width="15.7265625" style="119" customWidth="1"/>
    <col min="7941" max="7941" width="30.453125" style="119" customWidth="1"/>
    <col min="7942" max="7953" width="10.7265625" style="119" customWidth="1"/>
    <col min="7954" max="7954" width="12.54296875" style="119" customWidth="1"/>
    <col min="7955" max="7955" width="6.26953125" style="119" bestFit="1" customWidth="1"/>
    <col min="7956" max="7956" width="11.54296875" style="119" customWidth="1"/>
    <col min="7957" max="8195" width="9.1796875" style="119"/>
    <col min="8196" max="8196" width="15.7265625" style="119" customWidth="1"/>
    <col min="8197" max="8197" width="30.453125" style="119" customWidth="1"/>
    <col min="8198" max="8209" width="10.7265625" style="119" customWidth="1"/>
    <col min="8210" max="8210" width="12.54296875" style="119" customWidth="1"/>
    <col min="8211" max="8211" width="6.26953125" style="119" bestFit="1" customWidth="1"/>
    <col min="8212" max="8212" width="11.54296875" style="119" customWidth="1"/>
    <col min="8213" max="8451" width="9.1796875" style="119"/>
    <col min="8452" max="8452" width="15.7265625" style="119" customWidth="1"/>
    <col min="8453" max="8453" width="30.453125" style="119" customWidth="1"/>
    <col min="8454" max="8465" width="10.7265625" style="119" customWidth="1"/>
    <col min="8466" max="8466" width="12.54296875" style="119" customWidth="1"/>
    <col min="8467" max="8467" width="6.26953125" style="119" bestFit="1" customWidth="1"/>
    <col min="8468" max="8468" width="11.54296875" style="119" customWidth="1"/>
    <col min="8469" max="8707" width="9.1796875" style="119"/>
    <col min="8708" max="8708" width="15.7265625" style="119" customWidth="1"/>
    <col min="8709" max="8709" width="30.453125" style="119" customWidth="1"/>
    <col min="8710" max="8721" width="10.7265625" style="119" customWidth="1"/>
    <col min="8722" max="8722" width="12.54296875" style="119" customWidth="1"/>
    <col min="8723" max="8723" width="6.26953125" style="119" bestFit="1" customWidth="1"/>
    <col min="8724" max="8724" width="11.54296875" style="119" customWidth="1"/>
    <col min="8725" max="8963" width="9.1796875" style="119"/>
    <col min="8964" max="8964" width="15.7265625" style="119" customWidth="1"/>
    <col min="8965" max="8965" width="30.453125" style="119" customWidth="1"/>
    <col min="8966" max="8977" width="10.7265625" style="119" customWidth="1"/>
    <col min="8978" max="8978" width="12.54296875" style="119" customWidth="1"/>
    <col min="8979" max="8979" width="6.26953125" style="119" bestFit="1" customWidth="1"/>
    <col min="8980" max="8980" width="11.54296875" style="119" customWidth="1"/>
    <col min="8981" max="9219" width="9.1796875" style="119"/>
    <col min="9220" max="9220" width="15.7265625" style="119" customWidth="1"/>
    <col min="9221" max="9221" width="30.453125" style="119" customWidth="1"/>
    <col min="9222" max="9233" width="10.7265625" style="119" customWidth="1"/>
    <col min="9234" max="9234" width="12.54296875" style="119" customWidth="1"/>
    <col min="9235" max="9235" width="6.26953125" style="119" bestFit="1" customWidth="1"/>
    <col min="9236" max="9236" width="11.54296875" style="119" customWidth="1"/>
    <col min="9237" max="9475" width="9.1796875" style="119"/>
    <col min="9476" max="9476" width="15.7265625" style="119" customWidth="1"/>
    <col min="9477" max="9477" width="30.453125" style="119" customWidth="1"/>
    <col min="9478" max="9489" width="10.7265625" style="119" customWidth="1"/>
    <col min="9490" max="9490" width="12.54296875" style="119" customWidth="1"/>
    <col min="9491" max="9491" width="6.26953125" style="119" bestFit="1" customWidth="1"/>
    <col min="9492" max="9492" width="11.54296875" style="119" customWidth="1"/>
    <col min="9493" max="9731" width="9.1796875" style="119"/>
    <col min="9732" max="9732" width="15.7265625" style="119" customWidth="1"/>
    <col min="9733" max="9733" width="30.453125" style="119" customWidth="1"/>
    <col min="9734" max="9745" width="10.7265625" style="119" customWidth="1"/>
    <col min="9746" max="9746" width="12.54296875" style="119" customWidth="1"/>
    <col min="9747" max="9747" width="6.26953125" style="119" bestFit="1" customWidth="1"/>
    <col min="9748" max="9748" width="11.54296875" style="119" customWidth="1"/>
    <col min="9749" max="9987" width="9.1796875" style="119"/>
    <col min="9988" max="9988" width="15.7265625" style="119" customWidth="1"/>
    <col min="9989" max="9989" width="30.453125" style="119" customWidth="1"/>
    <col min="9990" max="10001" width="10.7265625" style="119" customWidth="1"/>
    <col min="10002" max="10002" width="12.54296875" style="119" customWidth="1"/>
    <col min="10003" max="10003" width="6.26953125" style="119" bestFit="1" customWidth="1"/>
    <col min="10004" max="10004" width="11.54296875" style="119" customWidth="1"/>
    <col min="10005" max="10243" width="9.1796875" style="119"/>
    <col min="10244" max="10244" width="15.7265625" style="119" customWidth="1"/>
    <col min="10245" max="10245" width="30.453125" style="119" customWidth="1"/>
    <col min="10246" max="10257" width="10.7265625" style="119" customWidth="1"/>
    <col min="10258" max="10258" width="12.54296875" style="119" customWidth="1"/>
    <col min="10259" max="10259" width="6.26953125" style="119" bestFit="1" customWidth="1"/>
    <col min="10260" max="10260" width="11.54296875" style="119" customWidth="1"/>
    <col min="10261" max="10499" width="9.1796875" style="119"/>
    <col min="10500" max="10500" width="15.7265625" style="119" customWidth="1"/>
    <col min="10501" max="10501" width="30.453125" style="119" customWidth="1"/>
    <col min="10502" max="10513" width="10.7265625" style="119" customWidth="1"/>
    <col min="10514" max="10514" width="12.54296875" style="119" customWidth="1"/>
    <col min="10515" max="10515" width="6.26953125" style="119" bestFit="1" customWidth="1"/>
    <col min="10516" max="10516" width="11.54296875" style="119" customWidth="1"/>
    <col min="10517" max="10755" width="9.1796875" style="119"/>
    <col min="10756" max="10756" width="15.7265625" style="119" customWidth="1"/>
    <col min="10757" max="10757" width="30.453125" style="119" customWidth="1"/>
    <col min="10758" max="10769" width="10.7265625" style="119" customWidth="1"/>
    <col min="10770" max="10770" width="12.54296875" style="119" customWidth="1"/>
    <col min="10771" max="10771" width="6.26953125" style="119" bestFit="1" customWidth="1"/>
    <col min="10772" max="10772" width="11.54296875" style="119" customWidth="1"/>
    <col min="10773" max="11011" width="9.1796875" style="119"/>
    <col min="11012" max="11012" width="15.7265625" style="119" customWidth="1"/>
    <col min="11013" max="11013" width="30.453125" style="119" customWidth="1"/>
    <col min="11014" max="11025" width="10.7265625" style="119" customWidth="1"/>
    <col min="11026" max="11026" width="12.54296875" style="119" customWidth="1"/>
    <col min="11027" max="11027" width="6.26953125" style="119" bestFit="1" customWidth="1"/>
    <col min="11028" max="11028" width="11.54296875" style="119" customWidth="1"/>
    <col min="11029" max="11267" width="9.1796875" style="119"/>
    <col min="11268" max="11268" width="15.7265625" style="119" customWidth="1"/>
    <col min="11269" max="11269" width="30.453125" style="119" customWidth="1"/>
    <col min="11270" max="11281" width="10.7265625" style="119" customWidth="1"/>
    <col min="11282" max="11282" width="12.54296875" style="119" customWidth="1"/>
    <col min="11283" max="11283" width="6.26953125" style="119" bestFit="1" customWidth="1"/>
    <col min="11284" max="11284" width="11.54296875" style="119" customWidth="1"/>
    <col min="11285" max="11523" width="9.1796875" style="119"/>
    <col min="11524" max="11524" width="15.7265625" style="119" customWidth="1"/>
    <col min="11525" max="11525" width="30.453125" style="119" customWidth="1"/>
    <col min="11526" max="11537" width="10.7265625" style="119" customWidth="1"/>
    <col min="11538" max="11538" width="12.54296875" style="119" customWidth="1"/>
    <col min="11539" max="11539" width="6.26953125" style="119" bestFit="1" customWidth="1"/>
    <col min="11540" max="11540" width="11.54296875" style="119" customWidth="1"/>
    <col min="11541" max="11779" width="9.1796875" style="119"/>
    <col min="11780" max="11780" width="15.7265625" style="119" customWidth="1"/>
    <col min="11781" max="11781" width="30.453125" style="119" customWidth="1"/>
    <col min="11782" max="11793" width="10.7265625" style="119" customWidth="1"/>
    <col min="11794" max="11794" width="12.54296875" style="119" customWidth="1"/>
    <col min="11795" max="11795" width="6.26953125" style="119" bestFit="1" customWidth="1"/>
    <col min="11796" max="11796" width="11.54296875" style="119" customWidth="1"/>
    <col min="11797" max="12035" width="9.1796875" style="119"/>
    <col min="12036" max="12036" width="15.7265625" style="119" customWidth="1"/>
    <col min="12037" max="12037" width="30.453125" style="119" customWidth="1"/>
    <col min="12038" max="12049" width="10.7265625" style="119" customWidth="1"/>
    <col min="12050" max="12050" width="12.54296875" style="119" customWidth="1"/>
    <col min="12051" max="12051" width="6.26953125" style="119" bestFit="1" customWidth="1"/>
    <col min="12052" max="12052" width="11.54296875" style="119" customWidth="1"/>
    <col min="12053" max="12291" width="9.1796875" style="119"/>
    <col min="12292" max="12292" width="15.7265625" style="119" customWidth="1"/>
    <col min="12293" max="12293" width="30.453125" style="119" customWidth="1"/>
    <col min="12294" max="12305" width="10.7265625" style="119" customWidth="1"/>
    <col min="12306" max="12306" width="12.54296875" style="119" customWidth="1"/>
    <col min="12307" max="12307" width="6.26953125" style="119" bestFit="1" customWidth="1"/>
    <col min="12308" max="12308" width="11.54296875" style="119" customWidth="1"/>
    <col min="12309" max="12547" width="9.1796875" style="119"/>
    <col min="12548" max="12548" width="15.7265625" style="119" customWidth="1"/>
    <col min="12549" max="12549" width="30.453125" style="119" customWidth="1"/>
    <col min="12550" max="12561" width="10.7265625" style="119" customWidth="1"/>
    <col min="12562" max="12562" width="12.54296875" style="119" customWidth="1"/>
    <col min="12563" max="12563" width="6.26953125" style="119" bestFit="1" customWidth="1"/>
    <col min="12564" max="12564" width="11.54296875" style="119" customWidth="1"/>
    <col min="12565" max="12803" width="9.1796875" style="119"/>
    <col min="12804" max="12804" width="15.7265625" style="119" customWidth="1"/>
    <col min="12805" max="12805" width="30.453125" style="119" customWidth="1"/>
    <col min="12806" max="12817" width="10.7265625" style="119" customWidth="1"/>
    <col min="12818" max="12818" width="12.54296875" style="119" customWidth="1"/>
    <col min="12819" max="12819" width="6.26953125" style="119" bestFit="1" customWidth="1"/>
    <col min="12820" max="12820" width="11.54296875" style="119" customWidth="1"/>
    <col min="12821" max="13059" width="9.1796875" style="119"/>
    <col min="13060" max="13060" width="15.7265625" style="119" customWidth="1"/>
    <col min="13061" max="13061" width="30.453125" style="119" customWidth="1"/>
    <col min="13062" max="13073" width="10.7265625" style="119" customWidth="1"/>
    <col min="13074" max="13074" width="12.54296875" style="119" customWidth="1"/>
    <col min="13075" max="13075" width="6.26953125" style="119" bestFit="1" customWidth="1"/>
    <col min="13076" max="13076" width="11.54296875" style="119" customWidth="1"/>
    <col min="13077" max="13315" width="9.1796875" style="119"/>
    <col min="13316" max="13316" width="15.7265625" style="119" customWidth="1"/>
    <col min="13317" max="13317" width="30.453125" style="119" customWidth="1"/>
    <col min="13318" max="13329" width="10.7265625" style="119" customWidth="1"/>
    <col min="13330" max="13330" width="12.54296875" style="119" customWidth="1"/>
    <col min="13331" max="13331" width="6.26953125" style="119" bestFit="1" customWidth="1"/>
    <col min="13332" max="13332" width="11.54296875" style="119" customWidth="1"/>
    <col min="13333" max="13571" width="9.1796875" style="119"/>
    <col min="13572" max="13572" width="15.7265625" style="119" customWidth="1"/>
    <col min="13573" max="13573" width="30.453125" style="119" customWidth="1"/>
    <col min="13574" max="13585" width="10.7265625" style="119" customWidth="1"/>
    <col min="13586" max="13586" width="12.54296875" style="119" customWidth="1"/>
    <col min="13587" max="13587" width="6.26953125" style="119" bestFit="1" customWidth="1"/>
    <col min="13588" max="13588" width="11.54296875" style="119" customWidth="1"/>
    <col min="13589" max="13827" width="9.1796875" style="119"/>
    <col min="13828" max="13828" width="15.7265625" style="119" customWidth="1"/>
    <col min="13829" max="13829" width="30.453125" style="119" customWidth="1"/>
    <col min="13830" max="13841" width="10.7265625" style="119" customWidth="1"/>
    <col min="13842" max="13842" width="12.54296875" style="119" customWidth="1"/>
    <col min="13843" max="13843" width="6.26953125" style="119" bestFit="1" customWidth="1"/>
    <col min="13844" max="13844" width="11.54296875" style="119" customWidth="1"/>
    <col min="13845" max="14083" width="9.1796875" style="119"/>
    <col min="14084" max="14084" width="15.7265625" style="119" customWidth="1"/>
    <col min="14085" max="14085" width="30.453125" style="119" customWidth="1"/>
    <col min="14086" max="14097" width="10.7265625" style="119" customWidth="1"/>
    <col min="14098" max="14098" width="12.54296875" style="119" customWidth="1"/>
    <col min="14099" max="14099" width="6.26953125" style="119" bestFit="1" customWidth="1"/>
    <col min="14100" max="14100" width="11.54296875" style="119" customWidth="1"/>
    <col min="14101" max="14339" width="9.1796875" style="119"/>
    <col min="14340" max="14340" width="15.7265625" style="119" customWidth="1"/>
    <col min="14341" max="14341" width="30.453125" style="119" customWidth="1"/>
    <col min="14342" max="14353" width="10.7265625" style="119" customWidth="1"/>
    <col min="14354" max="14354" width="12.54296875" style="119" customWidth="1"/>
    <col min="14355" max="14355" width="6.26953125" style="119" bestFit="1" customWidth="1"/>
    <col min="14356" max="14356" width="11.54296875" style="119" customWidth="1"/>
    <col min="14357" max="14595" width="9.1796875" style="119"/>
    <col min="14596" max="14596" width="15.7265625" style="119" customWidth="1"/>
    <col min="14597" max="14597" width="30.453125" style="119" customWidth="1"/>
    <col min="14598" max="14609" width="10.7265625" style="119" customWidth="1"/>
    <col min="14610" max="14610" width="12.54296875" style="119" customWidth="1"/>
    <col min="14611" max="14611" width="6.26953125" style="119" bestFit="1" customWidth="1"/>
    <col min="14612" max="14612" width="11.54296875" style="119" customWidth="1"/>
    <col min="14613" max="14851" width="9.1796875" style="119"/>
    <col min="14852" max="14852" width="15.7265625" style="119" customWidth="1"/>
    <col min="14853" max="14853" width="30.453125" style="119" customWidth="1"/>
    <col min="14854" max="14865" width="10.7265625" style="119" customWidth="1"/>
    <col min="14866" max="14866" width="12.54296875" style="119" customWidth="1"/>
    <col min="14867" max="14867" width="6.26953125" style="119" bestFit="1" customWidth="1"/>
    <col min="14868" max="14868" width="11.54296875" style="119" customWidth="1"/>
    <col min="14869" max="15107" width="9.1796875" style="119"/>
    <col min="15108" max="15108" width="15.7265625" style="119" customWidth="1"/>
    <col min="15109" max="15109" width="30.453125" style="119" customWidth="1"/>
    <col min="15110" max="15121" width="10.7265625" style="119" customWidth="1"/>
    <col min="15122" max="15122" width="12.54296875" style="119" customWidth="1"/>
    <col min="15123" max="15123" width="6.26953125" style="119" bestFit="1" customWidth="1"/>
    <col min="15124" max="15124" width="11.54296875" style="119" customWidth="1"/>
    <col min="15125" max="15363" width="9.1796875" style="119"/>
    <col min="15364" max="15364" width="15.7265625" style="119" customWidth="1"/>
    <col min="15365" max="15365" width="30.453125" style="119" customWidth="1"/>
    <col min="15366" max="15377" width="10.7265625" style="119" customWidth="1"/>
    <col min="15378" max="15378" width="12.54296875" style="119" customWidth="1"/>
    <col min="15379" max="15379" width="6.26953125" style="119" bestFit="1" customWidth="1"/>
    <col min="15380" max="15380" width="11.54296875" style="119" customWidth="1"/>
    <col min="15381" max="15619" width="9.1796875" style="119"/>
    <col min="15620" max="15620" width="15.7265625" style="119" customWidth="1"/>
    <col min="15621" max="15621" width="30.453125" style="119" customWidth="1"/>
    <col min="15622" max="15633" width="10.7265625" style="119" customWidth="1"/>
    <col min="15634" max="15634" width="12.54296875" style="119" customWidth="1"/>
    <col min="15635" max="15635" width="6.26953125" style="119" bestFit="1" customWidth="1"/>
    <col min="15636" max="15636" width="11.54296875" style="119" customWidth="1"/>
    <col min="15637" max="15875" width="9.1796875" style="119"/>
    <col min="15876" max="15876" width="15.7265625" style="119" customWidth="1"/>
    <col min="15877" max="15877" width="30.453125" style="119" customWidth="1"/>
    <col min="15878" max="15889" width="10.7265625" style="119" customWidth="1"/>
    <col min="15890" max="15890" width="12.54296875" style="119" customWidth="1"/>
    <col min="15891" max="15891" width="6.26953125" style="119" bestFit="1" customWidth="1"/>
    <col min="15892" max="15892" width="11.54296875" style="119" customWidth="1"/>
    <col min="15893" max="16131" width="9.1796875" style="119"/>
    <col min="16132" max="16132" width="15.7265625" style="119" customWidth="1"/>
    <col min="16133" max="16133" width="30.453125" style="119" customWidth="1"/>
    <col min="16134" max="16145" width="10.7265625" style="119" customWidth="1"/>
    <col min="16146" max="16146" width="12.54296875" style="119" customWidth="1"/>
    <col min="16147" max="16147" width="6.26953125" style="119" bestFit="1" customWidth="1"/>
    <col min="16148" max="16148" width="11.54296875" style="119" customWidth="1"/>
    <col min="16149" max="16384" width="9.1796875" style="119"/>
  </cols>
  <sheetData>
    <row r="2" spans="2:20" x14ac:dyDescent="0.3">
      <c r="G2" s="74"/>
      <c r="H2" s="74"/>
      <c r="I2" s="74"/>
      <c r="J2" s="251" t="s">
        <v>1027</v>
      </c>
      <c r="K2" s="74"/>
      <c r="L2" s="74"/>
      <c r="M2" s="74"/>
      <c r="N2" s="74"/>
      <c r="O2" s="74"/>
      <c r="P2" s="74"/>
      <c r="Q2" s="74"/>
      <c r="R2" s="74"/>
    </row>
    <row r="3" spans="2:20" x14ac:dyDescent="0.3">
      <c r="G3" s="74"/>
      <c r="H3" s="74"/>
      <c r="I3" s="74"/>
      <c r="J3" s="251" t="s">
        <v>803</v>
      </c>
      <c r="K3" s="74"/>
      <c r="L3" s="74"/>
      <c r="M3" s="74"/>
      <c r="N3" s="74"/>
      <c r="O3" s="74"/>
      <c r="P3" s="74"/>
      <c r="Q3" s="74"/>
      <c r="R3" s="74"/>
    </row>
    <row r="4" spans="2:20" x14ac:dyDescent="0.3">
      <c r="B4" s="41"/>
      <c r="G4" s="74"/>
      <c r="H4" s="74"/>
      <c r="I4" s="74"/>
      <c r="J4" s="251" t="s">
        <v>603</v>
      </c>
      <c r="K4" s="74"/>
      <c r="L4" s="74"/>
      <c r="M4" s="74"/>
      <c r="N4" s="74"/>
      <c r="O4" s="74"/>
      <c r="P4" s="74"/>
      <c r="Q4" s="74"/>
      <c r="R4" s="74"/>
      <c r="S4" s="49"/>
      <c r="T4" s="49"/>
    </row>
    <row r="5" spans="2:20" x14ac:dyDescent="0.3">
      <c r="B5" s="41" t="s">
        <v>1744</v>
      </c>
      <c r="C5" s="18"/>
      <c r="D5" s="18"/>
      <c r="E5" s="18"/>
      <c r="F5" s="18"/>
      <c r="G5" s="118"/>
      <c r="H5" s="118"/>
      <c r="I5" s="118"/>
      <c r="J5" s="118"/>
      <c r="K5" s="118"/>
      <c r="L5" s="118"/>
      <c r="M5" s="118"/>
      <c r="N5" s="118"/>
      <c r="O5" s="118"/>
      <c r="P5" s="118"/>
      <c r="Q5" s="118"/>
      <c r="R5" s="118"/>
      <c r="S5" s="49"/>
      <c r="T5" s="49"/>
    </row>
    <row r="6" spans="2:20" x14ac:dyDescent="0.3">
      <c r="B6" s="1745" t="s">
        <v>1742</v>
      </c>
      <c r="C6" s="41"/>
      <c r="D6" s="41"/>
      <c r="E6" s="41"/>
      <c r="F6" s="41"/>
      <c r="G6" s="118"/>
      <c r="H6" s="118"/>
      <c r="I6" s="118"/>
      <c r="J6" s="118"/>
      <c r="K6" s="118"/>
      <c r="L6" s="118"/>
      <c r="M6" s="118"/>
      <c r="N6" s="118"/>
      <c r="O6" s="118"/>
      <c r="P6" s="41"/>
      <c r="Q6" s="118"/>
      <c r="R6" s="49"/>
    </row>
    <row r="7" spans="2:20" ht="15" customHeight="1" x14ac:dyDescent="0.3">
      <c r="B7" s="2192" t="s">
        <v>604</v>
      </c>
      <c r="C7" s="2190" t="s">
        <v>804</v>
      </c>
      <c r="D7" s="2191"/>
      <c r="E7" s="2190" t="s">
        <v>186</v>
      </c>
      <c r="F7" s="2191"/>
      <c r="G7" s="2190" t="s">
        <v>426</v>
      </c>
      <c r="H7" s="2191"/>
      <c r="I7" s="2192" t="s">
        <v>427</v>
      </c>
      <c r="J7" s="2192"/>
      <c r="K7" s="2192"/>
      <c r="L7" s="2192"/>
      <c r="M7" s="2190" t="s">
        <v>428</v>
      </c>
      <c r="N7" s="2191"/>
      <c r="O7" s="2190" t="s">
        <v>429</v>
      </c>
      <c r="P7" s="2191"/>
      <c r="Q7" s="2194" t="s">
        <v>39</v>
      </c>
      <c r="R7" s="42"/>
    </row>
    <row r="8" spans="2:20" ht="28" x14ac:dyDescent="0.3">
      <c r="B8" s="2192"/>
      <c r="C8" s="828" t="s">
        <v>404</v>
      </c>
      <c r="D8" s="827" t="s">
        <v>12</v>
      </c>
      <c r="E8" s="828" t="s">
        <v>404</v>
      </c>
      <c r="F8" s="827" t="s">
        <v>12</v>
      </c>
      <c r="G8" s="828" t="s">
        <v>404</v>
      </c>
      <c r="H8" s="827" t="s">
        <v>12</v>
      </c>
      <c r="I8" s="828" t="s">
        <v>404</v>
      </c>
      <c r="J8" s="827" t="s">
        <v>305</v>
      </c>
      <c r="K8" s="827" t="s">
        <v>333</v>
      </c>
      <c r="L8" s="827" t="s">
        <v>72</v>
      </c>
      <c r="M8" s="828" t="s">
        <v>404</v>
      </c>
      <c r="N8" s="827" t="s">
        <v>14</v>
      </c>
      <c r="O8" s="828" t="s">
        <v>404</v>
      </c>
      <c r="P8" s="827" t="s">
        <v>14</v>
      </c>
      <c r="Q8" s="2196"/>
    </row>
    <row r="9" spans="2:20" x14ac:dyDescent="0.3">
      <c r="B9" s="348" t="s">
        <v>605</v>
      </c>
      <c r="C9" s="348"/>
      <c r="D9" s="349"/>
      <c r="E9" s="348"/>
      <c r="F9" s="349"/>
      <c r="G9" s="348"/>
      <c r="H9" s="349"/>
      <c r="I9" s="432"/>
      <c r="J9" s="349"/>
      <c r="K9" s="457"/>
      <c r="L9" s="340"/>
      <c r="M9" s="432"/>
      <c r="N9" s="343"/>
      <c r="O9" s="432"/>
      <c r="P9" s="343"/>
      <c r="Q9" s="343"/>
    </row>
    <row r="10" spans="2:20" x14ac:dyDescent="0.3">
      <c r="B10" s="348" t="s">
        <v>658</v>
      </c>
      <c r="C10" s="348"/>
      <c r="D10" s="349"/>
      <c r="E10" s="348"/>
      <c r="F10" s="349"/>
      <c r="G10" s="348"/>
      <c r="H10" s="349"/>
      <c r="I10" s="432"/>
      <c r="J10" s="349"/>
      <c r="K10" s="457"/>
      <c r="L10" s="340"/>
      <c r="M10" s="432"/>
      <c r="N10" s="343"/>
      <c r="O10" s="432"/>
      <c r="P10" s="343"/>
      <c r="Q10" s="343"/>
    </row>
    <row r="11" spans="2:20" x14ac:dyDescent="0.3">
      <c r="B11" s="348" t="s">
        <v>606</v>
      </c>
      <c r="C11" s="348"/>
      <c r="D11" s="349"/>
      <c r="E11" s="348"/>
      <c r="F11" s="349"/>
      <c r="G11" s="348"/>
      <c r="H11" s="349"/>
      <c r="I11" s="432"/>
      <c r="J11" s="349"/>
      <c r="K11" s="457"/>
      <c r="L11" s="340"/>
      <c r="M11" s="432"/>
      <c r="N11" s="343"/>
      <c r="O11" s="432"/>
      <c r="P11" s="343"/>
      <c r="Q11" s="343"/>
    </row>
    <row r="12" spans="2:20" x14ac:dyDescent="0.3">
      <c r="B12" s="890" t="s">
        <v>818</v>
      </c>
      <c r="C12" s="348">
        <f>SUM(C9:C11)</f>
        <v>0</v>
      </c>
      <c r="D12" s="348">
        <f t="shared" ref="D12:P12" si="0">SUM(D9:D11)</f>
        <v>0</v>
      </c>
      <c r="E12" s="348">
        <f t="shared" si="0"/>
        <v>0</v>
      </c>
      <c r="F12" s="348">
        <f t="shared" si="0"/>
        <v>0</v>
      </c>
      <c r="G12" s="348">
        <f t="shared" si="0"/>
        <v>0</v>
      </c>
      <c r="H12" s="348">
        <f t="shared" si="0"/>
        <v>0</v>
      </c>
      <c r="I12" s="348">
        <f t="shared" si="0"/>
        <v>0</v>
      </c>
      <c r="J12" s="348">
        <f t="shared" si="0"/>
        <v>0</v>
      </c>
      <c r="K12" s="348">
        <f t="shared" si="0"/>
        <v>0</v>
      </c>
      <c r="L12" s="348">
        <f t="shared" si="0"/>
        <v>0</v>
      </c>
      <c r="M12" s="348">
        <f t="shared" si="0"/>
        <v>0</v>
      </c>
      <c r="N12" s="348">
        <f t="shared" si="0"/>
        <v>0</v>
      </c>
      <c r="O12" s="348">
        <f t="shared" si="0"/>
        <v>0</v>
      </c>
      <c r="P12" s="348">
        <f t="shared" si="0"/>
        <v>0</v>
      </c>
      <c r="Q12" s="348"/>
    </row>
    <row r="13" spans="2:20" x14ac:dyDescent="0.3">
      <c r="B13" s="348" t="s">
        <v>607</v>
      </c>
      <c r="C13" s="348"/>
      <c r="D13" s="349"/>
      <c r="E13" s="348"/>
      <c r="F13" s="349"/>
      <c r="G13" s="348"/>
      <c r="H13" s="349"/>
      <c r="I13" s="432"/>
      <c r="J13" s="349"/>
      <c r="K13" s="457"/>
      <c r="L13" s="340"/>
      <c r="M13" s="432"/>
      <c r="N13" s="343"/>
      <c r="O13" s="432"/>
      <c r="P13" s="343"/>
      <c r="Q13" s="343"/>
    </row>
    <row r="14" spans="2:20" x14ac:dyDescent="0.3">
      <c r="B14" s="594" t="s">
        <v>608</v>
      </c>
      <c r="C14" s="348">
        <f>'F1'!C22</f>
        <v>685.82799999999997</v>
      </c>
      <c r="D14" s="348">
        <f>'F1'!D22</f>
        <v>680.79977800000017</v>
      </c>
      <c r="E14" s="348">
        <f>'F1'!F20</f>
        <v>691.74</v>
      </c>
      <c r="F14" s="348">
        <f>'F1'!G20</f>
        <v>544.39448199999993</v>
      </c>
      <c r="G14" s="348">
        <f>'F1'!H20</f>
        <v>698.98800000000006</v>
      </c>
      <c r="H14" s="348">
        <f>'F1'!I20</f>
        <v>581.54173400000002</v>
      </c>
      <c r="I14" s="348">
        <f>'F1'!J20</f>
        <v>707.85400000000004</v>
      </c>
      <c r="J14" s="348">
        <f>'F1'!K20</f>
        <v>338.87957800000004</v>
      </c>
      <c r="K14" s="348">
        <f>'F1'!L20</f>
        <v>308.44794464047141</v>
      </c>
      <c r="L14" s="348">
        <f>'F1'!M20</f>
        <v>647.32752264047144</v>
      </c>
      <c r="M14" s="348">
        <f>'F1'!N20</f>
        <v>718.66399999999999</v>
      </c>
      <c r="N14" s="348">
        <f>'F1'!O20</f>
        <v>647.32752264047144</v>
      </c>
      <c r="O14" s="348">
        <f>'F1'!P20</f>
        <v>731.81400000000008</v>
      </c>
      <c r="P14" s="348">
        <f>'F1'!Q20</f>
        <v>647.32752264047144</v>
      </c>
      <c r="Q14" s="343"/>
    </row>
    <row r="15" spans="2:20" x14ac:dyDescent="0.3">
      <c r="B15" s="594" t="s">
        <v>819</v>
      </c>
      <c r="C15" s="348"/>
      <c r="D15" s="349"/>
      <c r="E15" s="348"/>
      <c r="F15" s="349"/>
      <c r="G15" s="348"/>
      <c r="H15" s="349"/>
      <c r="I15" s="432"/>
      <c r="J15" s="349"/>
      <c r="K15" s="457"/>
      <c r="L15" s="340"/>
      <c r="M15" s="432"/>
      <c r="N15" s="343"/>
      <c r="O15" s="432"/>
      <c r="P15" s="343"/>
      <c r="Q15" s="343"/>
    </row>
    <row r="16" spans="2:20" x14ac:dyDescent="0.3">
      <c r="B16" s="434" t="s">
        <v>659</v>
      </c>
      <c r="C16" s="434">
        <f>SUM(C13:C15)</f>
        <v>685.82799999999997</v>
      </c>
      <c r="D16" s="434">
        <f t="shared" ref="D16:P16" si="1">SUM(D13:D15)</f>
        <v>680.79977800000017</v>
      </c>
      <c r="E16" s="434">
        <f t="shared" si="1"/>
        <v>691.74</v>
      </c>
      <c r="F16" s="434">
        <f t="shared" si="1"/>
        <v>544.39448199999993</v>
      </c>
      <c r="G16" s="434">
        <f t="shared" si="1"/>
        <v>698.98800000000006</v>
      </c>
      <c r="H16" s="434">
        <f t="shared" si="1"/>
        <v>581.54173400000002</v>
      </c>
      <c r="I16" s="434">
        <f t="shared" si="1"/>
        <v>707.85400000000004</v>
      </c>
      <c r="J16" s="434">
        <f t="shared" si="1"/>
        <v>338.87957800000004</v>
      </c>
      <c r="K16" s="434">
        <f t="shared" si="1"/>
        <v>308.44794464047141</v>
      </c>
      <c r="L16" s="434">
        <f t="shared" si="1"/>
        <v>647.32752264047144</v>
      </c>
      <c r="M16" s="434">
        <f t="shared" si="1"/>
        <v>718.66399999999999</v>
      </c>
      <c r="N16" s="434">
        <f t="shared" si="1"/>
        <v>647.32752264047144</v>
      </c>
      <c r="O16" s="434">
        <f t="shared" si="1"/>
        <v>731.81400000000008</v>
      </c>
      <c r="P16" s="434">
        <f t="shared" si="1"/>
        <v>647.32752264047144</v>
      </c>
      <c r="Q16" s="434"/>
    </row>
    <row r="17" spans="2:17" x14ac:dyDescent="0.3">
      <c r="B17" s="458" t="s">
        <v>609</v>
      </c>
      <c r="C17" s="458">
        <f>'F1'!C50</f>
        <v>3920.2149999999997</v>
      </c>
      <c r="D17" s="458">
        <f>'F1'!D50</f>
        <v>3888.5415312700002</v>
      </c>
      <c r="E17" s="458">
        <f>'F1'!F42</f>
        <v>3951.92</v>
      </c>
      <c r="F17" s="458">
        <f>'F1'!G42</f>
        <v>3241.0496334999998</v>
      </c>
      <c r="G17" s="458">
        <f>'F1'!H42</f>
        <v>3984.788</v>
      </c>
      <c r="H17" s="458">
        <f>'F1'!I42</f>
        <v>3496.89014206</v>
      </c>
      <c r="I17" s="458">
        <f>'F1'!J42</f>
        <v>4019.1379999999999</v>
      </c>
      <c r="J17" s="458">
        <f>'F1'!K42</f>
        <v>2063.7476721999997</v>
      </c>
      <c r="K17" s="458">
        <f>'F1'!L42</f>
        <v>1839.5205623592562</v>
      </c>
      <c r="L17" s="458">
        <f>'F1'!M42</f>
        <v>3903.2682345592566</v>
      </c>
      <c r="M17" s="458">
        <f>'F1'!N42</f>
        <v>4052.7084000000009</v>
      </c>
      <c r="N17" s="458">
        <f>'F1'!O42</f>
        <v>3944.8884799436942</v>
      </c>
      <c r="O17" s="458">
        <f>'F1'!P42</f>
        <v>4084.8979999999997</v>
      </c>
      <c r="P17" s="458">
        <f>'F1'!Q42</f>
        <v>3988.1034710629638</v>
      </c>
      <c r="Q17" s="343"/>
    </row>
    <row r="18" spans="2:17" x14ac:dyDescent="0.3">
      <c r="B18" s="417" t="s">
        <v>145</v>
      </c>
      <c r="C18" s="417">
        <f>C12+C16+C17</f>
        <v>4606.0429999999997</v>
      </c>
      <c r="D18" s="417">
        <f t="shared" ref="D18:P18" si="2">D12+D16+D17</f>
        <v>4569.3413092700002</v>
      </c>
      <c r="E18" s="417">
        <f t="shared" si="2"/>
        <v>4643.66</v>
      </c>
      <c r="F18" s="417">
        <f t="shared" si="2"/>
        <v>3785.4441154999995</v>
      </c>
      <c r="G18" s="417">
        <f t="shared" si="2"/>
        <v>4683.7759999999998</v>
      </c>
      <c r="H18" s="417">
        <f t="shared" si="2"/>
        <v>4078.4318760599999</v>
      </c>
      <c r="I18" s="417">
        <f t="shared" si="2"/>
        <v>4726.9920000000002</v>
      </c>
      <c r="J18" s="417">
        <f t="shared" si="2"/>
        <v>2402.6272501999997</v>
      </c>
      <c r="K18" s="417">
        <f t="shared" si="2"/>
        <v>2147.9685069997277</v>
      </c>
      <c r="L18" s="417">
        <f t="shared" si="2"/>
        <v>4550.5957571997278</v>
      </c>
      <c r="M18" s="417">
        <f t="shared" si="2"/>
        <v>4771.3724000000011</v>
      </c>
      <c r="N18" s="417">
        <f t="shared" si="2"/>
        <v>4592.2160025841658</v>
      </c>
      <c r="O18" s="417">
        <f t="shared" si="2"/>
        <v>4816.7119999999995</v>
      </c>
      <c r="P18" s="417">
        <f t="shared" si="2"/>
        <v>4635.430993703435</v>
      </c>
      <c r="Q18" s="343"/>
    </row>
    <row r="19" spans="2:17" x14ac:dyDescent="0.3">
      <c r="B19" s="596" t="s">
        <v>435</v>
      </c>
      <c r="C19" s="596"/>
      <c r="D19" s="596"/>
      <c r="E19" s="596"/>
      <c r="F19" s="596"/>
      <c r="G19" s="426"/>
      <c r="H19" s="426"/>
      <c r="I19" s="426"/>
      <c r="J19" s="426"/>
      <c r="K19" s="426"/>
      <c r="L19" s="426"/>
      <c r="M19" s="426"/>
      <c r="N19" s="426"/>
      <c r="O19" s="426"/>
      <c r="P19" s="426"/>
      <c r="Q19" s="426"/>
    </row>
    <row r="20" spans="2:17" x14ac:dyDescent="0.3">
      <c r="B20" s="1643" t="s">
        <v>1743</v>
      </c>
      <c r="C20" s="375"/>
      <c r="D20" s="375"/>
      <c r="E20" s="375"/>
      <c r="F20" s="375"/>
      <c r="G20" s="426"/>
      <c r="H20" s="426"/>
      <c r="I20" s="426"/>
      <c r="J20" s="426"/>
      <c r="K20" s="426"/>
      <c r="L20" s="426"/>
      <c r="M20" s="426"/>
      <c r="N20" s="426"/>
      <c r="O20" s="426"/>
      <c r="P20" s="426"/>
      <c r="Q20" s="426"/>
    </row>
    <row r="21" spans="2:17" x14ac:dyDescent="0.3">
      <c r="B21" s="130"/>
      <c r="C21" s="130"/>
      <c r="D21" s="130"/>
      <c r="E21" s="130"/>
      <c r="F21" s="130"/>
    </row>
    <row r="33" spans="1:2" ht="14.5" x14ac:dyDescent="0.35">
      <c r="A33" s="733"/>
    </row>
    <row r="38" spans="1:2" ht="14.5" x14ac:dyDescent="0.35">
      <c r="B38" s="733"/>
    </row>
  </sheetData>
  <mergeCells count="8">
    <mergeCell ref="M7:N7"/>
    <mergeCell ref="O7:P7"/>
    <mergeCell ref="Q7:Q8"/>
    <mergeCell ref="B7:B8"/>
    <mergeCell ref="G7:H7"/>
    <mergeCell ref="I7:L7"/>
    <mergeCell ref="C7:D7"/>
    <mergeCell ref="E7:F7"/>
  </mergeCells>
  <pageMargins left="1.0236220472440944" right="0.23622047244094491" top="0.98425196850393704" bottom="0.98425196850393704" header="0.23622047244094491" footer="0.23622047244094491"/>
  <pageSetup paperSize="9" scale="45" orientation="landscape" r:id="rId1"/>
  <headerFooter alignWithMargins="0">
    <oddHeade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4"/>
  <sheetViews>
    <sheetView showGridLines="0" view="pageBreakPreview" topLeftCell="A36" zoomScale="75" zoomScaleNormal="75" zoomScaleSheetLayoutView="75" workbookViewId="0">
      <selection activeCell="A20" sqref="A20"/>
    </sheetView>
  </sheetViews>
  <sheetFormatPr defaultColWidth="9.1796875" defaultRowHeight="14" x14ac:dyDescent="0.25"/>
  <cols>
    <col min="1" max="1" width="6.81640625" style="15" customWidth="1"/>
    <col min="2" max="2" width="8.1796875" style="15" customWidth="1"/>
    <col min="3" max="3" width="23.7265625" style="15" customWidth="1"/>
    <col min="4" max="4" width="13.54296875" style="15" bestFit="1" customWidth="1"/>
    <col min="5" max="5" width="12.81640625" style="15" bestFit="1" customWidth="1"/>
    <col min="6" max="6" width="15.453125" style="15" customWidth="1"/>
    <col min="7" max="7" width="11.08984375" style="15" bestFit="1" customWidth="1"/>
    <col min="8" max="8" width="12.54296875" style="15" bestFit="1" customWidth="1"/>
    <col min="9" max="9" width="12.1796875" style="15" bestFit="1" customWidth="1"/>
    <col min="10" max="10" width="14.54296875" style="15" customWidth="1"/>
    <col min="11" max="11" width="18.453125" style="15" customWidth="1"/>
    <col min="12" max="12" width="17.81640625" style="15" customWidth="1"/>
    <col min="13" max="13" width="14.08984375" style="15" customWidth="1"/>
    <col min="14" max="14" width="17.453125" style="15" customWidth="1"/>
    <col min="15" max="257" width="9.1796875" style="15"/>
    <col min="258" max="258" width="6.81640625" style="15" customWidth="1"/>
    <col min="259" max="259" width="7" style="15" customWidth="1"/>
    <col min="260" max="260" width="17.81640625" style="15" bestFit="1" customWidth="1"/>
    <col min="261" max="261" width="12.81640625" style="15" customWidth="1"/>
    <col min="262" max="262" width="24" style="15" customWidth="1"/>
    <col min="263" max="263" width="13.453125" style="15" bestFit="1" customWidth="1"/>
    <col min="264" max="264" width="13.81640625" style="15" customWidth="1"/>
    <col min="265" max="265" width="13.1796875" style="15" customWidth="1"/>
    <col min="266" max="266" width="22.453125" style="15" customWidth="1"/>
    <col min="267" max="267" width="18.453125" style="15" customWidth="1"/>
    <col min="268" max="268" width="22" style="15" customWidth="1"/>
    <col min="269" max="269" width="21.26953125" style="15" customWidth="1"/>
    <col min="270" max="270" width="23" style="15" customWidth="1"/>
    <col min="271" max="513" width="9.1796875" style="15"/>
    <col min="514" max="514" width="6.81640625" style="15" customWidth="1"/>
    <col min="515" max="515" width="7" style="15" customWidth="1"/>
    <col min="516" max="516" width="17.81640625" style="15" bestFit="1" customWidth="1"/>
    <col min="517" max="517" width="12.81640625" style="15" customWidth="1"/>
    <col min="518" max="518" width="24" style="15" customWidth="1"/>
    <col min="519" max="519" width="13.453125" style="15" bestFit="1" customWidth="1"/>
    <col min="520" max="520" width="13.81640625" style="15" customWidth="1"/>
    <col min="521" max="521" width="13.1796875" style="15" customWidth="1"/>
    <col min="522" max="522" width="22.453125" style="15" customWidth="1"/>
    <col min="523" max="523" width="18.453125" style="15" customWidth="1"/>
    <col min="524" max="524" width="22" style="15" customWidth="1"/>
    <col min="525" max="525" width="21.26953125" style="15" customWidth="1"/>
    <col min="526" max="526" width="23" style="15" customWidth="1"/>
    <col min="527" max="769" width="9.1796875" style="15"/>
    <col min="770" max="770" width="6.81640625" style="15" customWidth="1"/>
    <col min="771" max="771" width="7" style="15" customWidth="1"/>
    <col min="772" max="772" width="17.81640625" style="15" bestFit="1" customWidth="1"/>
    <col min="773" max="773" width="12.81640625" style="15" customWidth="1"/>
    <col min="774" max="774" width="24" style="15" customWidth="1"/>
    <col min="775" max="775" width="13.453125" style="15" bestFit="1" customWidth="1"/>
    <col min="776" max="776" width="13.81640625" style="15" customWidth="1"/>
    <col min="777" max="777" width="13.1796875" style="15" customWidth="1"/>
    <col min="778" max="778" width="22.453125" style="15" customWidth="1"/>
    <col min="779" max="779" width="18.453125" style="15" customWidth="1"/>
    <col min="780" max="780" width="22" style="15" customWidth="1"/>
    <col min="781" max="781" width="21.26953125" style="15" customWidth="1"/>
    <col min="782" max="782" width="23" style="15" customWidth="1"/>
    <col min="783" max="1025" width="9.1796875" style="15"/>
    <col min="1026" max="1026" width="6.81640625" style="15" customWidth="1"/>
    <col min="1027" max="1027" width="7" style="15" customWidth="1"/>
    <col min="1028" max="1028" width="17.81640625" style="15" bestFit="1" customWidth="1"/>
    <col min="1029" max="1029" width="12.81640625" style="15" customWidth="1"/>
    <col min="1030" max="1030" width="24" style="15" customWidth="1"/>
    <col min="1031" max="1031" width="13.453125" style="15" bestFit="1" customWidth="1"/>
    <col min="1032" max="1032" width="13.81640625" style="15" customWidth="1"/>
    <col min="1033" max="1033" width="13.1796875" style="15" customWidth="1"/>
    <col min="1034" max="1034" width="22.453125" style="15" customWidth="1"/>
    <col min="1035" max="1035" width="18.453125" style="15" customWidth="1"/>
    <col min="1036" max="1036" width="22" style="15" customWidth="1"/>
    <col min="1037" max="1037" width="21.26953125" style="15" customWidth="1"/>
    <col min="1038" max="1038" width="23" style="15" customWidth="1"/>
    <col min="1039" max="1281" width="9.1796875" style="15"/>
    <col min="1282" max="1282" width="6.81640625" style="15" customWidth="1"/>
    <col min="1283" max="1283" width="7" style="15" customWidth="1"/>
    <col min="1284" max="1284" width="17.81640625" style="15" bestFit="1" customWidth="1"/>
    <col min="1285" max="1285" width="12.81640625" style="15" customWidth="1"/>
    <col min="1286" max="1286" width="24" style="15" customWidth="1"/>
    <col min="1287" max="1287" width="13.453125" style="15" bestFit="1" customWidth="1"/>
    <col min="1288" max="1288" width="13.81640625" style="15" customWidth="1"/>
    <col min="1289" max="1289" width="13.1796875" style="15" customWidth="1"/>
    <col min="1290" max="1290" width="22.453125" style="15" customWidth="1"/>
    <col min="1291" max="1291" width="18.453125" style="15" customWidth="1"/>
    <col min="1292" max="1292" width="22" style="15" customWidth="1"/>
    <col min="1293" max="1293" width="21.26953125" style="15" customWidth="1"/>
    <col min="1294" max="1294" width="23" style="15" customWidth="1"/>
    <col min="1295" max="1537" width="9.1796875" style="15"/>
    <col min="1538" max="1538" width="6.81640625" style="15" customWidth="1"/>
    <col min="1539" max="1539" width="7" style="15" customWidth="1"/>
    <col min="1540" max="1540" width="17.81640625" style="15" bestFit="1" customWidth="1"/>
    <col min="1541" max="1541" width="12.81640625" style="15" customWidth="1"/>
    <col min="1542" max="1542" width="24" style="15" customWidth="1"/>
    <col min="1543" max="1543" width="13.453125" style="15" bestFit="1" customWidth="1"/>
    <col min="1544" max="1544" width="13.81640625" style="15" customWidth="1"/>
    <col min="1545" max="1545" width="13.1796875" style="15" customWidth="1"/>
    <col min="1546" max="1546" width="22.453125" style="15" customWidth="1"/>
    <col min="1547" max="1547" width="18.453125" style="15" customWidth="1"/>
    <col min="1548" max="1548" width="22" style="15" customWidth="1"/>
    <col min="1549" max="1549" width="21.26953125" style="15" customWidth="1"/>
    <col min="1550" max="1550" width="23" style="15" customWidth="1"/>
    <col min="1551" max="1793" width="9.1796875" style="15"/>
    <col min="1794" max="1794" width="6.81640625" style="15" customWidth="1"/>
    <col min="1795" max="1795" width="7" style="15" customWidth="1"/>
    <col min="1796" max="1796" width="17.81640625" style="15" bestFit="1" customWidth="1"/>
    <col min="1797" max="1797" width="12.81640625" style="15" customWidth="1"/>
    <col min="1798" max="1798" width="24" style="15" customWidth="1"/>
    <col min="1799" max="1799" width="13.453125" style="15" bestFit="1" customWidth="1"/>
    <col min="1800" max="1800" width="13.81640625" style="15" customWidth="1"/>
    <col min="1801" max="1801" width="13.1796875" style="15" customWidth="1"/>
    <col min="1802" max="1802" width="22.453125" style="15" customWidth="1"/>
    <col min="1803" max="1803" width="18.453125" style="15" customWidth="1"/>
    <col min="1804" max="1804" width="22" style="15" customWidth="1"/>
    <col min="1805" max="1805" width="21.26953125" style="15" customWidth="1"/>
    <col min="1806" max="1806" width="23" style="15" customWidth="1"/>
    <col min="1807" max="2049" width="9.1796875" style="15"/>
    <col min="2050" max="2050" width="6.81640625" style="15" customWidth="1"/>
    <col min="2051" max="2051" width="7" style="15" customWidth="1"/>
    <col min="2052" max="2052" width="17.81640625" style="15" bestFit="1" customWidth="1"/>
    <col min="2053" max="2053" width="12.81640625" style="15" customWidth="1"/>
    <col min="2054" max="2054" width="24" style="15" customWidth="1"/>
    <col min="2055" max="2055" width="13.453125" style="15" bestFit="1" customWidth="1"/>
    <col min="2056" max="2056" width="13.81640625" style="15" customWidth="1"/>
    <col min="2057" max="2057" width="13.1796875" style="15" customWidth="1"/>
    <col min="2058" max="2058" width="22.453125" style="15" customWidth="1"/>
    <col min="2059" max="2059" width="18.453125" style="15" customWidth="1"/>
    <col min="2060" max="2060" width="22" style="15" customWidth="1"/>
    <col min="2061" max="2061" width="21.26953125" style="15" customWidth="1"/>
    <col min="2062" max="2062" width="23" style="15" customWidth="1"/>
    <col min="2063" max="2305" width="9.1796875" style="15"/>
    <col min="2306" max="2306" width="6.81640625" style="15" customWidth="1"/>
    <col min="2307" max="2307" width="7" style="15" customWidth="1"/>
    <col min="2308" max="2308" width="17.81640625" style="15" bestFit="1" customWidth="1"/>
    <col min="2309" max="2309" width="12.81640625" style="15" customWidth="1"/>
    <col min="2310" max="2310" width="24" style="15" customWidth="1"/>
    <col min="2311" max="2311" width="13.453125" style="15" bestFit="1" customWidth="1"/>
    <col min="2312" max="2312" width="13.81640625" style="15" customWidth="1"/>
    <col min="2313" max="2313" width="13.1796875" style="15" customWidth="1"/>
    <col min="2314" max="2314" width="22.453125" style="15" customWidth="1"/>
    <col min="2315" max="2315" width="18.453125" style="15" customWidth="1"/>
    <col min="2316" max="2316" width="22" style="15" customWidth="1"/>
    <col min="2317" max="2317" width="21.26953125" style="15" customWidth="1"/>
    <col min="2318" max="2318" width="23" style="15" customWidth="1"/>
    <col min="2319" max="2561" width="9.1796875" style="15"/>
    <col min="2562" max="2562" width="6.81640625" style="15" customWidth="1"/>
    <col min="2563" max="2563" width="7" style="15" customWidth="1"/>
    <col min="2564" max="2564" width="17.81640625" style="15" bestFit="1" customWidth="1"/>
    <col min="2565" max="2565" width="12.81640625" style="15" customWidth="1"/>
    <col min="2566" max="2566" width="24" style="15" customWidth="1"/>
    <col min="2567" max="2567" width="13.453125" style="15" bestFit="1" customWidth="1"/>
    <col min="2568" max="2568" width="13.81640625" style="15" customWidth="1"/>
    <col min="2569" max="2569" width="13.1796875" style="15" customWidth="1"/>
    <col min="2570" max="2570" width="22.453125" style="15" customWidth="1"/>
    <col min="2571" max="2571" width="18.453125" style="15" customWidth="1"/>
    <col min="2572" max="2572" width="22" style="15" customWidth="1"/>
    <col min="2573" max="2573" width="21.26953125" style="15" customWidth="1"/>
    <col min="2574" max="2574" width="23" style="15" customWidth="1"/>
    <col min="2575" max="2817" width="9.1796875" style="15"/>
    <col min="2818" max="2818" width="6.81640625" style="15" customWidth="1"/>
    <col min="2819" max="2819" width="7" style="15" customWidth="1"/>
    <col min="2820" max="2820" width="17.81640625" style="15" bestFit="1" customWidth="1"/>
    <col min="2821" max="2821" width="12.81640625" style="15" customWidth="1"/>
    <col min="2822" max="2822" width="24" style="15" customWidth="1"/>
    <col min="2823" max="2823" width="13.453125" style="15" bestFit="1" customWidth="1"/>
    <col min="2824" max="2824" width="13.81640625" style="15" customWidth="1"/>
    <col min="2825" max="2825" width="13.1796875" style="15" customWidth="1"/>
    <col min="2826" max="2826" width="22.453125" style="15" customWidth="1"/>
    <col min="2827" max="2827" width="18.453125" style="15" customWidth="1"/>
    <col min="2828" max="2828" width="22" style="15" customWidth="1"/>
    <col min="2829" max="2829" width="21.26953125" style="15" customWidth="1"/>
    <col min="2830" max="2830" width="23" style="15" customWidth="1"/>
    <col min="2831" max="3073" width="9.1796875" style="15"/>
    <col min="3074" max="3074" width="6.81640625" style="15" customWidth="1"/>
    <col min="3075" max="3075" width="7" style="15" customWidth="1"/>
    <col min="3076" max="3076" width="17.81640625" style="15" bestFit="1" customWidth="1"/>
    <col min="3077" max="3077" width="12.81640625" style="15" customWidth="1"/>
    <col min="3078" max="3078" width="24" style="15" customWidth="1"/>
    <col min="3079" max="3079" width="13.453125" style="15" bestFit="1" customWidth="1"/>
    <col min="3080" max="3080" width="13.81640625" style="15" customWidth="1"/>
    <col min="3081" max="3081" width="13.1796875" style="15" customWidth="1"/>
    <col min="3082" max="3082" width="22.453125" style="15" customWidth="1"/>
    <col min="3083" max="3083" width="18.453125" style="15" customWidth="1"/>
    <col min="3084" max="3084" width="22" style="15" customWidth="1"/>
    <col min="3085" max="3085" width="21.26953125" style="15" customWidth="1"/>
    <col min="3086" max="3086" width="23" style="15" customWidth="1"/>
    <col min="3087" max="3329" width="9.1796875" style="15"/>
    <col min="3330" max="3330" width="6.81640625" style="15" customWidth="1"/>
    <col min="3331" max="3331" width="7" style="15" customWidth="1"/>
    <col min="3332" max="3332" width="17.81640625" style="15" bestFit="1" customWidth="1"/>
    <col min="3333" max="3333" width="12.81640625" style="15" customWidth="1"/>
    <col min="3334" max="3334" width="24" style="15" customWidth="1"/>
    <col min="3335" max="3335" width="13.453125" style="15" bestFit="1" customWidth="1"/>
    <col min="3336" max="3336" width="13.81640625" style="15" customWidth="1"/>
    <col min="3337" max="3337" width="13.1796875" style="15" customWidth="1"/>
    <col min="3338" max="3338" width="22.453125" style="15" customWidth="1"/>
    <col min="3339" max="3339" width="18.453125" style="15" customWidth="1"/>
    <col min="3340" max="3340" width="22" style="15" customWidth="1"/>
    <col min="3341" max="3341" width="21.26953125" style="15" customWidth="1"/>
    <col min="3342" max="3342" width="23" style="15" customWidth="1"/>
    <col min="3343" max="3585" width="9.1796875" style="15"/>
    <col min="3586" max="3586" width="6.81640625" style="15" customWidth="1"/>
    <col min="3587" max="3587" width="7" style="15" customWidth="1"/>
    <col min="3588" max="3588" width="17.81640625" style="15" bestFit="1" customWidth="1"/>
    <col min="3589" max="3589" width="12.81640625" style="15" customWidth="1"/>
    <col min="3590" max="3590" width="24" style="15" customWidth="1"/>
    <col min="3591" max="3591" width="13.453125" style="15" bestFit="1" customWidth="1"/>
    <col min="3592" max="3592" width="13.81640625" style="15" customWidth="1"/>
    <col min="3593" max="3593" width="13.1796875" style="15" customWidth="1"/>
    <col min="3594" max="3594" width="22.453125" style="15" customWidth="1"/>
    <col min="3595" max="3595" width="18.453125" style="15" customWidth="1"/>
    <col min="3596" max="3596" width="22" style="15" customWidth="1"/>
    <col min="3597" max="3597" width="21.26953125" style="15" customWidth="1"/>
    <col min="3598" max="3598" width="23" style="15" customWidth="1"/>
    <col min="3599" max="3841" width="9.1796875" style="15"/>
    <col min="3842" max="3842" width="6.81640625" style="15" customWidth="1"/>
    <col min="3843" max="3843" width="7" style="15" customWidth="1"/>
    <col min="3844" max="3844" width="17.81640625" style="15" bestFit="1" customWidth="1"/>
    <col min="3845" max="3845" width="12.81640625" style="15" customWidth="1"/>
    <col min="3846" max="3846" width="24" style="15" customWidth="1"/>
    <col min="3847" max="3847" width="13.453125" style="15" bestFit="1" customWidth="1"/>
    <col min="3848" max="3848" width="13.81640625" style="15" customWidth="1"/>
    <col min="3849" max="3849" width="13.1796875" style="15" customWidth="1"/>
    <col min="3850" max="3850" width="22.453125" style="15" customWidth="1"/>
    <col min="3851" max="3851" width="18.453125" style="15" customWidth="1"/>
    <col min="3852" max="3852" width="22" style="15" customWidth="1"/>
    <col min="3853" max="3853" width="21.26953125" style="15" customWidth="1"/>
    <col min="3854" max="3854" width="23" style="15" customWidth="1"/>
    <col min="3855" max="4097" width="9.1796875" style="15"/>
    <col min="4098" max="4098" width="6.81640625" style="15" customWidth="1"/>
    <col min="4099" max="4099" width="7" style="15" customWidth="1"/>
    <col min="4100" max="4100" width="17.81640625" style="15" bestFit="1" customWidth="1"/>
    <col min="4101" max="4101" width="12.81640625" style="15" customWidth="1"/>
    <col min="4102" max="4102" width="24" style="15" customWidth="1"/>
    <col min="4103" max="4103" width="13.453125" style="15" bestFit="1" customWidth="1"/>
    <col min="4104" max="4104" width="13.81640625" style="15" customWidth="1"/>
    <col min="4105" max="4105" width="13.1796875" style="15" customWidth="1"/>
    <col min="4106" max="4106" width="22.453125" style="15" customWidth="1"/>
    <col min="4107" max="4107" width="18.453125" style="15" customWidth="1"/>
    <col min="4108" max="4108" width="22" style="15" customWidth="1"/>
    <col min="4109" max="4109" width="21.26953125" style="15" customWidth="1"/>
    <col min="4110" max="4110" width="23" style="15" customWidth="1"/>
    <col min="4111" max="4353" width="9.1796875" style="15"/>
    <col min="4354" max="4354" width="6.81640625" style="15" customWidth="1"/>
    <col min="4355" max="4355" width="7" style="15" customWidth="1"/>
    <col min="4356" max="4356" width="17.81640625" style="15" bestFit="1" customWidth="1"/>
    <col min="4357" max="4357" width="12.81640625" style="15" customWidth="1"/>
    <col min="4358" max="4358" width="24" style="15" customWidth="1"/>
    <col min="4359" max="4359" width="13.453125" style="15" bestFit="1" customWidth="1"/>
    <col min="4360" max="4360" width="13.81640625" style="15" customWidth="1"/>
    <col min="4361" max="4361" width="13.1796875" style="15" customWidth="1"/>
    <col min="4362" max="4362" width="22.453125" style="15" customWidth="1"/>
    <col min="4363" max="4363" width="18.453125" style="15" customWidth="1"/>
    <col min="4364" max="4364" width="22" style="15" customWidth="1"/>
    <col min="4365" max="4365" width="21.26953125" style="15" customWidth="1"/>
    <col min="4366" max="4366" width="23" style="15" customWidth="1"/>
    <col min="4367" max="4609" width="9.1796875" style="15"/>
    <col min="4610" max="4610" width="6.81640625" style="15" customWidth="1"/>
    <col min="4611" max="4611" width="7" style="15" customWidth="1"/>
    <col min="4612" max="4612" width="17.81640625" style="15" bestFit="1" customWidth="1"/>
    <col min="4613" max="4613" width="12.81640625" style="15" customWidth="1"/>
    <col min="4614" max="4614" width="24" style="15" customWidth="1"/>
    <col min="4615" max="4615" width="13.453125" style="15" bestFit="1" customWidth="1"/>
    <col min="4616" max="4616" width="13.81640625" style="15" customWidth="1"/>
    <col min="4617" max="4617" width="13.1796875" style="15" customWidth="1"/>
    <col min="4618" max="4618" width="22.453125" style="15" customWidth="1"/>
    <col min="4619" max="4619" width="18.453125" style="15" customWidth="1"/>
    <col min="4620" max="4620" width="22" style="15" customWidth="1"/>
    <col min="4621" max="4621" width="21.26953125" style="15" customWidth="1"/>
    <col min="4622" max="4622" width="23" style="15" customWidth="1"/>
    <col min="4623" max="4865" width="9.1796875" style="15"/>
    <col min="4866" max="4866" width="6.81640625" style="15" customWidth="1"/>
    <col min="4867" max="4867" width="7" style="15" customWidth="1"/>
    <col min="4868" max="4868" width="17.81640625" style="15" bestFit="1" customWidth="1"/>
    <col min="4869" max="4869" width="12.81640625" style="15" customWidth="1"/>
    <col min="4870" max="4870" width="24" style="15" customWidth="1"/>
    <col min="4871" max="4871" width="13.453125" style="15" bestFit="1" customWidth="1"/>
    <col min="4872" max="4872" width="13.81640625" style="15" customWidth="1"/>
    <col min="4873" max="4873" width="13.1796875" style="15" customWidth="1"/>
    <col min="4874" max="4874" width="22.453125" style="15" customWidth="1"/>
    <col min="4875" max="4875" width="18.453125" style="15" customWidth="1"/>
    <col min="4876" max="4876" width="22" style="15" customWidth="1"/>
    <col min="4877" max="4877" width="21.26953125" style="15" customWidth="1"/>
    <col min="4878" max="4878" width="23" style="15" customWidth="1"/>
    <col min="4879" max="5121" width="9.1796875" style="15"/>
    <col min="5122" max="5122" width="6.81640625" style="15" customWidth="1"/>
    <col min="5123" max="5123" width="7" style="15" customWidth="1"/>
    <col min="5124" max="5124" width="17.81640625" style="15" bestFit="1" customWidth="1"/>
    <col min="5125" max="5125" width="12.81640625" style="15" customWidth="1"/>
    <col min="5126" max="5126" width="24" style="15" customWidth="1"/>
    <col min="5127" max="5127" width="13.453125" style="15" bestFit="1" customWidth="1"/>
    <col min="5128" max="5128" width="13.81640625" style="15" customWidth="1"/>
    <col min="5129" max="5129" width="13.1796875" style="15" customWidth="1"/>
    <col min="5130" max="5130" width="22.453125" style="15" customWidth="1"/>
    <col min="5131" max="5131" width="18.453125" style="15" customWidth="1"/>
    <col min="5132" max="5132" width="22" style="15" customWidth="1"/>
    <col min="5133" max="5133" width="21.26953125" style="15" customWidth="1"/>
    <col min="5134" max="5134" width="23" style="15" customWidth="1"/>
    <col min="5135" max="5377" width="9.1796875" style="15"/>
    <col min="5378" max="5378" width="6.81640625" style="15" customWidth="1"/>
    <col min="5379" max="5379" width="7" style="15" customWidth="1"/>
    <col min="5380" max="5380" width="17.81640625" style="15" bestFit="1" customWidth="1"/>
    <col min="5381" max="5381" width="12.81640625" style="15" customWidth="1"/>
    <col min="5382" max="5382" width="24" style="15" customWidth="1"/>
    <col min="5383" max="5383" width="13.453125" style="15" bestFit="1" customWidth="1"/>
    <col min="5384" max="5384" width="13.81640625" style="15" customWidth="1"/>
    <col min="5385" max="5385" width="13.1796875" style="15" customWidth="1"/>
    <col min="5386" max="5386" width="22.453125" style="15" customWidth="1"/>
    <col min="5387" max="5387" width="18.453125" style="15" customWidth="1"/>
    <col min="5388" max="5388" width="22" style="15" customWidth="1"/>
    <col min="5389" max="5389" width="21.26953125" style="15" customWidth="1"/>
    <col min="5390" max="5390" width="23" style="15" customWidth="1"/>
    <col min="5391" max="5633" width="9.1796875" style="15"/>
    <col min="5634" max="5634" width="6.81640625" style="15" customWidth="1"/>
    <col min="5635" max="5635" width="7" style="15" customWidth="1"/>
    <col min="5636" max="5636" width="17.81640625" style="15" bestFit="1" customWidth="1"/>
    <col min="5637" max="5637" width="12.81640625" style="15" customWidth="1"/>
    <col min="5638" max="5638" width="24" style="15" customWidth="1"/>
    <col min="5639" max="5639" width="13.453125" style="15" bestFit="1" customWidth="1"/>
    <col min="5640" max="5640" width="13.81640625" style="15" customWidth="1"/>
    <col min="5641" max="5641" width="13.1796875" style="15" customWidth="1"/>
    <col min="5642" max="5642" width="22.453125" style="15" customWidth="1"/>
    <col min="5643" max="5643" width="18.453125" style="15" customWidth="1"/>
    <col min="5644" max="5644" width="22" style="15" customWidth="1"/>
    <col min="5645" max="5645" width="21.26953125" style="15" customWidth="1"/>
    <col min="5646" max="5646" width="23" style="15" customWidth="1"/>
    <col min="5647" max="5889" width="9.1796875" style="15"/>
    <col min="5890" max="5890" width="6.81640625" style="15" customWidth="1"/>
    <col min="5891" max="5891" width="7" style="15" customWidth="1"/>
    <col min="5892" max="5892" width="17.81640625" style="15" bestFit="1" customWidth="1"/>
    <col min="5893" max="5893" width="12.81640625" style="15" customWidth="1"/>
    <col min="5894" max="5894" width="24" style="15" customWidth="1"/>
    <col min="5895" max="5895" width="13.453125" style="15" bestFit="1" customWidth="1"/>
    <col min="5896" max="5896" width="13.81640625" style="15" customWidth="1"/>
    <col min="5897" max="5897" width="13.1796875" style="15" customWidth="1"/>
    <col min="5898" max="5898" width="22.453125" style="15" customWidth="1"/>
    <col min="5899" max="5899" width="18.453125" style="15" customWidth="1"/>
    <col min="5900" max="5900" width="22" style="15" customWidth="1"/>
    <col min="5901" max="5901" width="21.26953125" style="15" customWidth="1"/>
    <col min="5902" max="5902" width="23" style="15" customWidth="1"/>
    <col min="5903" max="6145" width="9.1796875" style="15"/>
    <col min="6146" max="6146" width="6.81640625" style="15" customWidth="1"/>
    <col min="6147" max="6147" width="7" style="15" customWidth="1"/>
    <col min="6148" max="6148" width="17.81640625" style="15" bestFit="1" customWidth="1"/>
    <col min="6149" max="6149" width="12.81640625" style="15" customWidth="1"/>
    <col min="6150" max="6150" width="24" style="15" customWidth="1"/>
    <col min="6151" max="6151" width="13.453125" style="15" bestFit="1" customWidth="1"/>
    <col min="6152" max="6152" width="13.81640625" style="15" customWidth="1"/>
    <col min="6153" max="6153" width="13.1796875" style="15" customWidth="1"/>
    <col min="6154" max="6154" width="22.453125" style="15" customWidth="1"/>
    <col min="6155" max="6155" width="18.453125" style="15" customWidth="1"/>
    <col min="6156" max="6156" width="22" style="15" customWidth="1"/>
    <col min="6157" max="6157" width="21.26953125" style="15" customWidth="1"/>
    <col min="6158" max="6158" width="23" style="15" customWidth="1"/>
    <col min="6159" max="6401" width="9.1796875" style="15"/>
    <col min="6402" max="6402" width="6.81640625" style="15" customWidth="1"/>
    <col min="6403" max="6403" width="7" style="15" customWidth="1"/>
    <col min="6404" max="6404" width="17.81640625" style="15" bestFit="1" customWidth="1"/>
    <col min="6405" max="6405" width="12.81640625" style="15" customWidth="1"/>
    <col min="6406" max="6406" width="24" style="15" customWidth="1"/>
    <col min="6407" max="6407" width="13.453125" style="15" bestFit="1" customWidth="1"/>
    <col min="6408" max="6408" width="13.81640625" style="15" customWidth="1"/>
    <col min="6409" max="6409" width="13.1796875" style="15" customWidth="1"/>
    <col min="6410" max="6410" width="22.453125" style="15" customWidth="1"/>
    <col min="6411" max="6411" width="18.453125" style="15" customWidth="1"/>
    <col min="6412" max="6412" width="22" style="15" customWidth="1"/>
    <col min="6413" max="6413" width="21.26953125" style="15" customWidth="1"/>
    <col min="6414" max="6414" width="23" style="15" customWidth="1"/>
    <col min="6415" max="6657" width="9.1796875" style="15"/>
    <col min="6658" max="6658" width="6.81640625" style="15" customWidth="1"/>
    <col min="6659" max="6659" width="7" style="15" customWidth="1"/>
    <col min="6660" max="6660" width="17.81640625" style="15" bestFit="1" customWidth="1"/>
    <col min="6661" max="6661" width="12.81640625" style="15" customWidth="1"/>
    <col min="6662" max="6662" width="24" style="15" customWidth="1"/>
    <col min="6663" max="6663" width="13.453125" style="15" bestFit="1" customWidth="1"/>
    <col min="6664" max="6664" width="13.81640625" style="15" customWidth="1"/>
    <col min="6665" max="6665" width="13.1796875" style="15" customWidth="1"/>
    <col min="6666" max="6666" width="22.453125" style="15" customWidth="1"/>
    <col min="6667" max="6667" width="18.453125" style="15" customWidth="1"/>
    <col min="6668" max="6668" width="22" style="15" customWidth="1"/>
    <col min="6669" max="6669" width="21.26953125" style="15" customWidth="1"/>
    <col min="6670" max="6670" width="23" style="15" customWidth="1"/>
    <col min="6671" max="6913" width="9.1796875" style="15"/>
    <col min="6914" max="6914" width="6.81640625" style="15" customWidth="1"/>
    <col min="6915" max="6915" width="7" style="15" customWidth="1"/>
    <col min="6916" max="6916" width="17.81640625" style="15" bestFit="1" customWidth="1"/>
    <col min="6917" max="6917" width="12.81640625" style="15" customWidth="1"/>
    <col min="6918" max="6918" width="24" style="15" customWidth="1"/>
    <col min="6919" max="6919" width="13.453125" style="15" bestFit="1" customWidth="1"/>
    <col min="6920" max="6920" width="13.81640625" style="15" customWidth="1"/>
    <col min="6921" max="6921" width="13.1796875" style="15" customWidth="1"/>
    <col min="6922" max="6922" width="22.453125" style="15" customWidth="1"/>
    <col min="6923" max="6923" width="18.453125" style="15" customWidth="1"/>
    <col min="6924" max="6924" width="22" style="15" customWidth="1"/>
    <col min="6925" max="6925" width="21.26953125" style="15" customWidth="1"/>
    <col min="6926" max="6926" width="23" style="15" customWidth="1"/>
    <col min="6927" max="7169" width="9.1796875" style="15"/>
    <col min="7170" max="7170" width="6.81640625" style="15" customWidth="1"/>
    <col min="7171" max="7171" width="7" style="15" customWidth="1"/>
    <col min="7172" max="7172" width="17.81640625" style="15" bestFit="1" customWidth="1"/>
    <col min="7173" max="7173" width="12.81640625" style="15" customWidth="1"/>
    <col min="7174" max="7174" width="24" style="15" customWidth="1"/>
    <col min="7175" max="7175" width="13.453125" style="15" bestFit="1" customWidth="1"/>
    <col min="7176" max="7176" width="13.81640625" style="15" customWidth="1"/>
    <col min="7177" max="7177" width="13.1796875" style="15" customWidth="1"/>
    <col min="7178" max="7178" width="22.453125" style="15" customWidth="1"/>
    <col min="7179" max="7179" width="18.453125" style="15" customWidth="1"/>
    <col min="7180" max="7180" width="22" style="15" customWidth="1"/>
    <col min="7181" max="7181" width="21.26953125" style="15" customWidth="1"/>
    <col min="7182" max="7182" width="23" style="15" customWidth="1"/>
    <col min="7183" max="7425" width="9.1796875" style="15"/>
    <col min="7426" max="7426" width="6.81640625" style="15" customWidth="1"/>
    <col min="7427" max="7427" width="7" style="15" customWidth="1"/>
    <col min="7428" max="7428" width="17.81640625" style="15" bestFit="1" customWidth="1"/>
    <col min="7429" max="7429" width="12.81640625" style="15" customWidth="1"/>
    <col min="7430" max="7430" width="24" style="15" customWidth="1"/>
    <col min="7431" max="7431" width="13.453125" style="15" bestFit="1" customWidth="1"/>
    <col min="7432" max="7432" width="13.81640625" style="15" customWidth="1"/>
    <col min="7433" max="7433" width="13.1796875" style="15" customWidth="1"/>
    <col min="7434" max="7434" width="22.453125" style="15" customWidth="1"/>
    <col min="7435" max="7435" width="18.453125" style="15" customWidth="1"/>
    <col min="7436" max="7436" width="22" style="15" customWidth="1"/>
    <col min="7437" max="7437" width="21.26953125" style="15" customWidth="1"/>
    <col min="7438" max="7438" width="23" style="15" customWidth="1"/>
    <col min="7439" max="7681" width="9.1796875" style="15"/>
    <col min="7682" max="7682" width="6.81640625" style="15" customWidth="1"/>
    <col min="7683" max="7683" width="7" style="15" customWidth="1"/>
    <col min="7684" max="7684" width="17.81640625" style="15" bestFit="1" customWidth="1"/>
    <col min="7685" max="7685" width="12.81640625" style="15" customWidth="1"/>
    <col min="7686" max="7686" width="24" style="15" customWidth="1"/>
    <col min="7687" max="7687" width="13.453125" style="15" bestFit="1" customWidth="1"/>
    <col min="7688" max="7688" width="13.81640625" style="15" customWidth="1"/>
    <col min="7689" max="7689" width="13.1796875" style="15" customWidth="1"/>
    <col min="7690" max="7690" width="22.453125" style="15" customWidth="1"/>
    <col min="7691" max="7691" width="18.453125" style="15" customWidth="1"/>
    <col min="7692" max="7692" width="22" style="15" customWidth="1"/>
    <col min="7693" max="7693" width="21.26953125" style="15" customWidth="1"/>
    <col min="7694" max="7694" width="23" style="15" customWidth="1"/>
    <col min="7695" max="7937" width="9.1796875" style="15"/>
    <col min="7938" max="7938" width="6.81640625" style="15" customWidth="1"/>
    <col min="7939" max="7939" width="7" style="15" customWidth="1"/>
    <col min="7940" max="7940" width="17.81640625" style="15" bestFit="1" customWidth="1"/>
    <col min="7941" max="7941" width="12.81640625" style="15" customWidth="1"/>
    <col min="7942" max="7942" width="24" style="15" customWidth="1"/>
    <col min="7943" max="7943" width="13.453125" style="15" bestFit="1" customWidth="1"/>
    <col min="7944" max="7944" width="13.81640625" style="15" customWidth="1"/>
    <col min="7945" max="7945" width="13.1796875" style="15" customWidth="1"/>
    <col min="7946" max="7946" width="22.453125" style="15" customWidth="1"/>
    <col min="7947" max="7947" width="18.453125" style="15" customWidth="1"/>
    <col min="7948" max="7948" width="22" style="15" customWidth="1"/>
    <col min="7949" max="7949" width="21.26953125" style="15" customWidth="1"/>
    <col min="7950" max="7950" width="23" style="15" customWidth="1"/>
    <col min="7951" max="8193" width="9.1796875" style="15"/>
    <col min="8194" max="8194" width="6.81640625" style="15" customWidth="1"/>
    <col min="8195" max="8195" width="7" style="15" customWidth="1"/>
    <col min="8196" max="8196" width="17.81640625" style="15" bestFit="1" customWidth="1"/>
    <col min="8197" max="8197" width="12.81640625" style="15" customWidth="1"/>
    <col min="8198" max="8198" width="24" style="15" customWidth="1"/>
    <col min="8199" max="8199" width="13.453125" style="15" bestFit="1" customWidth="1"/>
    <col min="8200" max="8200" width="13.81640625" style="15" customWidth="1"/>
    <col min="8201" max="8201" width="13.1796875" style="15" customWidth="1"/>
    <col min="8202" max="8202" width="22.453125" style="15" customWidth="1"/>
    <col min="8203" max="8203" width="18.453125" style="15" customWidth="1"/>
    <col min="8204" max="8204" width="22" style="15" customWidth="1"/>
    <col min="8205" max="8205" width="21.26953125" style="15" customWidth="1"/>
    <col min="8206" max="8206" width="23" style="15" customWidth="1"/>
    <col min="8207" max="8449" width="9.1796875" style="15"/>
    <col min="8450" max="8450" width="6.81640625" style="15" customWidth="1"/>
    <col min="8451" max="8451" width="7" style="15" customWidth="1"/>
    <col min="8452" max="8452" width="17.81640625" style="15" bestFit="1" customWidth="1"/>
    <col min="8453" max="8453" width="12.81640625" style="15" customWidth="1"/>
    <col min="8454" max="8454" width="24" style="15" customWidth="1"/>
    <col min="8455" max="8455" width="13.453125" style="15" bestFit="1" customWidth="1"/>
    <col min="8456" max="8456" width="13.81640625" style="15" customWidth="1"/>
    <col min="8457" max="8457" width="13.1796875" style="15" customWidth="1"/>
    <col min="8458" max="8458" width="22.453125" style="15" customWidth="1"/>
    <col min="8459" max="8459" width="18.453125" style="15" customWidth="1"/>
    <col min="8460" max="8460" width="22" style="15" customWidth="1"/>
    <col min="8461" max="8461" width="21.26953125" style="15" customWidth="1"/>
    <col min="8462" max="8462" width="23" style="15" customWidth="1"/>
    <col min="8463" max="8705" width="9.1796875" style="15"/>
    <col min="8706" max="8706" width="6.81640625" style="15" customWidth="1"/>
    <col min="8707" max="8707" width="7" style="15" customWidth="1"/>
    <col min="8708" max="8708" width="17.81640625" style="15" bestFit="1" customWidth="1"/>
    <col min="8709" max="8709" width="12.81640625" style="15" customWidth="1"/>
    <col min="8710" max="8710" width="24" style="15" customWidth="1"/>
    <col min="8711" max="8711" width="13.453125" style="15" bestFit="1" customWidth="1"/>
    <col min="8712" max="8712" width="13.81640625" style="15" customWidth="1"/>
    <col min="8713" max="8713" width="13.1796875" style="15" customWidth="1"/>
    <col min="8714" max="8714" width="22.453125" style="15" customWidth="1"/>
    <col min="8715" max="8715" width="18.453125" style="15" customWidth="1"/>
    <col min="8716" max="8716" width="22" style="15" customWidth="1"/>
    <col min="8717" max="8717" width="21.26953125" style="15" customWidth="1"/>
    <col min="8718" max="8718" width="23" style="15" customWidth="1"/>
    <col min="8719" max="8961" width="9.1796875" style="15"/>
    <col min="8962" max="8962" width="6.81640625" style="15" customWidth="1"/>
    <col min="8963" max="8963" width="7" style="15" customWidth="1"/>
    <col min="8964" max="8964" width="17.81640625" style="15" bestFit="1" customWidth="1"/>
    <col min="8965" max="8965" width="12.81640625" style="15" customWidth="1"/>
    <col min="8966" max="8966" width="24" style="15" customWidth="1"/>
    <col min="8967" max="8967" width="13.453125" style="15" bestFit="1" customWidth="1"/>
    <col min="8968" max="8968" width="13.81640625" style="15" customWidth="1"/>
    <col min="8969" max="8969" width="13.1796875" style="15" customWidth="1"/>
    <col min="8970" max="8970" width="22.453125" style="15" customWidth="1"/>
    <col min="8971" max="8971" width="18.453125" style="15" customWidth="1"/>
    <col min="8972" max="8972" width="22" style="15" customWidth="1"/>
    <col min="8973" max="8973" width="21.26953125" style="15" customWidth="1"/>
    <col min="8974" max="8974" width="23" style="15" customWidth="1"/>
    <col min="8975" max="9217" width="9.1796875" style="15"/>
    <col min="9218" max="9218" width="6.81640625" style="15" customWidth="1"/>
    <col min="9219" max="9219" width="7" style="15" customWidth="1"/>
    <col min="9220" max="9220" width="17.81640625" style="15" bestFit="1" customWidth="1"/>
    <col min="9221" max="9221" width="12.81640625" style="15" customWidth="1"/>
    <col min="9222" max="9222" width="24" style="15" customWidth="1"/>
    <col min="9223" max="9223" width="13.453125" style="15" bestFit="1" customWidth="1"/>
    <col min="9224" max="9224" width="13.81640625" style="15" customWidth="1"/>
    <col min="9225" max="9225" width="13.1796875" style="15" customWidth="1"/>
    <col min="9226" max="9226" width="22.453125" style="15" customWidth="1"/>
    <col min="9227" max="9227" width="18.453125" style="15" customWidth="1"/>
    <col min="9228" max="9228" width="22" style="15" customWidth="1"/>
    <col min="9229" max="9229" width="21.26953125" style="15" customWidth="1"/>
    <col min="9230" max="9230" width="23" style="15" customWidth="1"/>
    <col min="9231" max="9473" width="9.1796875" style="15"/>
    <col min="9474" max="9474" width="6.81640625" style="15" customWidth="1"/>
    <col min="9475" max="9475" width="7" style="15" customWidth="1"/>
    <col min="9476" max="9476" width="17.81640625" style="15" bestFit="1" customWidth="1"/>
    <col min="9477" max="9477" width="12.81640625" style="15" customWidth="1"/>
    <col min="9478" max="9478" width="24" style="15" customWidth="1"/>
    <col min="9479" max="9479" width="13.453125" style="15" bestFit="1" customWidth="1"/>
    <col min="9480" max="9480" width="13.81640625" style="15" customWidth="1"/>
    <col min="9481" max="9481" width="13.1796875" style="15" customWidth="1"/>
    <col min="9482" max="9482" width="22.453125" style="15" customWidth="1"/>
    <col min="9483" max="9483" width="18.453125" style="15" customWidth="1"/>
    <col min="9484" max="9484" width="22" style="15" customWidth="1"/>
    <col min="9485" max="9485" width="21.26953125" style="15" customWidth="1"/>
    <col min="9486" max="9486" width="23" style="15" customWidth="1"/>
    <col min="9487" max="9729" width="9.1796875" style="15"/>
    <col min="9730" max="9730" width="6.81640625" style="15" customWidth="1"/>
    <col min="9731" max="9731" width="7" style="15" customWidth="1"/>
    <col min="9732" max="9732" width="17.81640625" style="15" bestFit="1" customWidth="1"/>
    <col min="9733" max="9733" width="12.81640625" style="15" customWidth="1"/>
    <col min="9734" max="9734" width="24" style="15" customWidth="1"/>
    <col min="9735" max="9735" width="13.453125" style="15" bestFit="1" customWidth="1"/>
    <col min="9736" max="9736" width="13.81640625" style="15" customWidth="1"/>
    <col min="9737" max="9737" width="13.1796875" style="15" customWidth="1"/>
    <col min="9738" max="9738" width="22.453125" style="15" customWidth="1"/>
    <col min="9739" max="9739" width="18.453125" style="15" customWidth="1"/>
    <col min="9740" max="9740" width="22" style="15" customWidth="1"/>
    <col min="9741" max="9741" width="21.26953125" style="15" customWidth="1"/>
    <col min="9742" max="9742" width="23" style="15" customWidth="1"/>
    <col min="9743" max="9985" width="9.1796875" style="15"/>
    <col min="9986" max="9986" width="6.81640625" style="15" customWidth="1"/>
    <col min="9987" max="9987" width="7" style="15" customWidth="1"/>
    <col min="9988" max="9988" width="17.81640625" style="15" bestFit="1" customWidth="1"/>
    <col min="9989" max="9989" width="12.81640625" style="15" customWidth="1"/>
    <col min="9990" max="9990" width="24" style="15" customWidth="1"/>
    <col min="9991" max="9991" width="13.453125" style="15" bestFit="1" customWidth="1"/>
    <col min="9992" max="9992" width="13.81640625" style="15" customWidth="1"/>
    <col min="9993" max="9993" width="13.1796875" style="15" customWidth="1"/>
    <col min="9994" max="9994" width="22.453125" style="15" customWidth="1"/>
    <col min="9995" max="9995" width="18.453125" style="15" customWidth="1"/>
    <col min="9996" max="9996" width="22" style="15" customWidth="1"/>
    <col min="9997" max="9997" width="21.26953125" style="15" customWidth="1"/>
    <col min="9998" max="9998" width="23" style="15" customWidth="1"/>
    <col min="9999" max="10241" width="9.1796875" style="15"/>
    <col min="10242" max="10242" width="6.81640625" style="15" customWidth="1"/>
    <col min="10243" max="10243" width="7" style="15" customWidth="1"/>
    <col min="10244" max="10244" width="17.81640625" style="15" bestFit="1" customWidth="1"/>
    <col min="10245" max="10245" width="12.81640625" style="15" customWidth="1"/>
    <col min="10246" max="10246" width="24" style="15" customWidth="1"/>
    <col min="10247" max="10247" width="13.453125" style="15" bestFit="1" customWidth="1"/>
    <col min="10248" max="10248" width="13.81640625" style="15" customWidth="1"/>
    <col min="10249" max="10249" width="13.1796875" style="15" customWidth="1"/>
    <col min="10250" max="10250" width="22.453125" style="15" customWidth="1"/>
    <col min="10251" max="10251" width="18.453125" style="15" customWidth="1"/>
    <col min="10252" max="10252" width="22" style="15" customWidth="1"/>
    <col min="10253" max="10253" width="21.26953125" style="15" customWidth="1"/>
    <col min="10254" max="10254" width="23" style="15" customWidth="1"/>
    <col min="10255" max="10497" width="9.1796875" style="15"/>
    <col min="10498" max="10498" width="6.81640625" style="15" customWidth="1"/>
    <col min="10499" max="10499" width="7" style="15" customWidth="1"/>
    <col min="10500" max="10500" width="17.81640625" style="15" bestFit="1" customWidth="1"/>
    <col min="10501" max="10501" width="12.81640625" style="15" customWidth="1"/>
    <col min="10502" max="10502" width="24" style="15" customWidth="1"/>
    <col min="10503" max="10503" width="13.453125" style="15" bestFit="1" customWidth="1"/>
    <col min="10504" max="10504" width="13.81640625" style="15" customWidth="1"/>
    <col min="10505" max="10505" width="13.1796875" style="15" customWidth="1"/>
    <col min="10506" max="10506" width="22.453125" style="15" customWidth="1"/>
    <col min="10507" max="10507" width="18.453125" style="15" customWidth="1"/>
    <col min="10508" max="10508" width="22" style="15" customWidth="1"/>
    <col min="10509" max="10509" width="21.26953125" style="15" customWidth="1"/>
    <col min="10510" max="10510" width="23" style="15" customWidth="1"/>
    <col min="10511" max="10753" width="9.1796875" style="15"/>
    <col min="10754" max="10754" width="6.81640625" style="15" customWidth="1"/>
    <col min="10755" max="10755" width="7" style="15" customWidth="1"/>
    <col min="10756" max="10756" width="17.81640625" style="15" bestFit="1" customWidth="1"/>
    <col min="10757" max="10757" width="12.81640625" style="15" customWidth="1"/>
    <col min="10758" max="10758" width="24" style="15" customWidth="1"/>
    <col min="10759" max="10759" width="13.453125" style="15" bestFit="1" customWidth="1"/>
    <col min="10760" max="10760" width="13.81640625" style="15" customWidth="1"/>
    <col min="10761" max="10761" width="13.1796875" style="15" customWidth="1"/>
    <col min="10762" max="10762" width="22.453125" style="15" customWidth="1"/>
    <col min="10763" max="10763" width="18.453125" style="15" customWidth="1"/>
    <col min="10764" max="10764" width="22" style="15" customWidth="1"/>
    <col min="10765" max="10765" width="21.26953125" style="15" customWidth="1"/>
    <col min="10766" max="10766" width="23" style="15" customWidth="1"/>
    <col min="10767" max="11009" width="9.1796875" style="15"/>
    <col min="11010" max="11010" width="6.81640625" style="15" customWidth="1"/>
    <col min="11011" max="11011" width="7" style="15" customWidth="1"/>
    <col min="11012" max="11012" width="17.81640625" style="15" bestFit="1" customWidth="1"/>
    <col min="11013" max="11013" width="12.81640625" style="15" customWidth="1"/>
    <col min="11014" max="11014" width="24" style="15" customWidth="1"/>
    <col min="11015" max="11015" width="13.453125" style="15" bestFit="1" customWidth="1"/>
    <col min="11016" max="11016" width="13.81640625" style="15" customWidth="1"/>
    <col min="11017" max="11017" width="13.1796875" style="15" customWidth="1"/>
    <col min="11018" max="11018" width="22.453125" style="15" customWidth="1"/>
    <col min="11019" max="11019" width="18.453125" style="15" customWidth="1"/>
    <col min="11020" max="11020" width="22" style="15" customWidth="1"/>
    <col min="11021" max="11021" width="21.26953125" style="15" customWidth="1"/>
    <col min="11022" max="11022" width="23" style="15" customWidth="1"/>
    <col min="11023" max="11265" width="9.1796875" style="15"/>
    <col min="11266" max="11266" width="6.81640625" style="15" customWidth="1"/>
    <col min="11267" max="11267" width="7" style="15" customWidth="1"/>
    <col min="11268" max="11268" width="17.81640625" style="15" bestFit="1" customWidth="1"/>
    <col min="11269" max="11269" width="12.81640625" style="15" customWidth="1"/>
    <col min="11270" max="11270" width="24" style="15" customWidth="1"/>
    <col min="11271" max="11271" width="13.453125" style="15" bestFit="1" customWidth="1"/>
    <col min="11272" max="11272" width="13.81640625" style="15" customWidth="1"/>
    <col min="11273" max="11273" width="13.1796875" style="15" customWidth="1"/>
    <col min="11274" max="11274" width="22.453125" style="15" customWidth="1"/>
    <col min="11275" max="11275" width="18.453125" style="15" customWidth="1"/>
    <col min="11276" max="11276" width="22" style="15" customWidth="1"/>
    <col min="11277" max="11277" width="21.26953125" style="15" customWidth="1"/>
    <col min="11278" max="11278" width="23" style="15" customWidth="1"/>
    <col min="11279" max="11521" width="9.1796875" style="15"/>
    <col min="11522" max="11522" width="6.81640625" style="15" customWidth="1"/>
    <col min="11523" max="11523" width="7" style="15" customWidth="1"/>
    <col min="11524" max="11524" width="17.81640625" style="15" bestFit="1" customWidth="1"/>
    <col min="11525" max="11525" width="12.81640625" style="15" customWidth="1"/>
    <col min="11526" max="11526" width="24" style="15" customWidth="1"/>
    <col min="11527" max="11527" width="13.453125" style="15" bestFit="1" customWidth="1"/>
    <col min="11528" max="11528" width="13.81640625" style="15" customWidth="1"/>
    <col min="11529" max="11529" width="13.1796875" style="15" customWidth="1"/>
    <col min="11530" max="11530" width="22.453125" style="15" customWidth="1"/>
    <col min="11531" max="11531" width="18.453125" style="15" customWidth="1"/>
    <col min="11532" max="11532" width="22" style="15" customWidth="1"/>
    <col min="11533" max="11533" width="21.26953125" style="15" customWidth="1"/>
    <col min="11534" max="11534" width="23" style="15" customWidth="1"/>
    <col min="11535" max="11777" width="9.1796875" style="15"/>
    <col min="11778" max="11778" width="6.81640625" style="15" customWidth="1"/>
    <col min="11779" max="11779" width="7" style="15" customWidth="1"/>
    <col min="11780" max="11780" width="17.81640625" style="15" bestFit="1" customWidth="1"/>
    <col min="11781" max="11781" width="12.81640625" style="15" customWidth="1"/>
    <col min="11782" max="11782" width="24" style="15" customWidth="1"/>
    <col min="11783" max="11783" width="13.453125" style="15" bestFit="1" customWidth="1"/>
    <col min="11784" max="11784" width="13.81640625" style="15" customWidth="1"/>
    <col min="11785" max="11785" width="13.1796875" style="15" customWidth="1"/>
    <col min="11786" max="11786" width="22.453125" style="15" customWidth="1"/>
    <col min="11787" max="11787" width="18.453125" style="15" customWidth="1"/>
    <col min="11788" max="11788" width="22" style="15" customWidth="1"/>
    <col min="11789" max="11789" width="21.26953125" style="15" customWidth="1"/>
    <col min="11790" max="11790" width="23" style="15" customWidth="1"/>
    <col min="11791" max="12033" width="9.1796875" style="15"/>
    <col min="12034" max="12034" width="6.81640625" style="15" customWidth="1"/>
    <col min="12035" max="12035" width="7" style="15" customWidth="1"/>
    <col min="12036" max="12036" width="17.81640625" style="15" bestFit="1" customWidth="1"/>
    <col min="12037" max="12037" width="12.81640625" style="15" customWidth="1"/>
    <col min="12038" max="12038" width="24" style="15" customWidth="1"/>
    <col min="12039" max="12039" width="13.453125" style="15" bestFit="1" customWidth="1"/>
    <col min="12040" max="12040" width="13.81640625" style="15" customWidth="1"/>
    <col min="12041" max="12041" width="13.1796875" style="15" customWidth="1"/>
    <col min="12042" max="12042" width="22.453125" style="15" customWidth="1"/>
    <col min="12043" max="12043" width="18.453125" style="15" customWidth="1"/>
    <col min="12044" max="12044" width="22" style="15" customWidth="1"/>
    <col min="12045" max="12045" width="21.26953125" style="15" customWidth="1"/>
    <col min="12046" max="12046" width="23" style="15" customWidth="1"/>
    <col min="12047" max="12289" width="9.1796875" style="15"/>
    <col min="12290" max="12290" width="6.81640625" style="15" customWidth="1"/>
    <col min="12291" max="12291" width="7" style="15" customWidth="1"/>
    <col min="12292" max="12292" width="17.81640625" style="15" bestFit="1" customWidth="1"/>
    <col min="12293" max="12293" width="12.81640625" style="15" customWidth="1"/>
    <col min="12294" max="12294" width="24" style="15" customWidth="1"/>
    <col min="12295" max="12295" width="13.453125" style="15" bestFit="1" customWidth="1"/>
    <col min="12296" max="12296" width="13.81640625" style="15" customWidth="1"/>
    <col min="12297" max="12297" width="13.1796875" style="15" customWidth="1"/>
    <col min="12298" max="12298" width="22.453125" style="15" customWidth="1"/>
    <col min="12299" max="12299" width="18.453125" style="15" customWidth="1"/>
    <col min="12300" max="12300" width="22" style="15" customWidth="1"/>
    <col min="12301" max="12301" width="21.26953125" style="15" customWidth="1"/>
    <col min="12302" max="12302" width="23" style="15" customWidth="1"/>
    <col min="12303" max="12545" width="9.1796875" style="15"/>
    <col min="12546" max="12546" width="6.81640625" style="15" customWidth="1"/>
    <col min="12547" max="12547" width="7" style="15" customWidth="1"/>
    <col min="12548" max="12548" width="17.81640625" style="15" bestFit="1" customWidth="1"/>
    <col min="12549" max="12549" width="12.81640625" style="15" customWidth="1"/>
    <col min="12550" max="12550" width="24" style="15" customWidth="1"/>
    <col min="12551" max="12551" width="13.453125" style="15" bestFit="1" customWidth="1"/>
    <col min="12552" max="12552" width="13.81640625" style="15" customWidth="1"/>
    <col min="12553" max="12553" width="13.1796875" style="15" customWidth="1"/>
    <col min="12554" max="12554" width="22.453125" style="15" customWidth="1"/>
    <col min="12555" max="12555" width="18.453125" style="15" customWidth="1"/>
    <col min="12556" max="12556" width="22" style="15" customWidth="1"/>
    <col min="12557" max="12557" width="21.26953125" style="15" customWidth="1"/>
    <col min="12558" max="12558" width="23" style="15" customWidth="1"/>
    <col min="12559" max="12801" width="9.1796875" style="15"/>
    <col min="12802" max="12802" width="6.81640625" style="15" customWidth="1"/>
    <col min="12803" max="12803" width="7" style="15" customWidth="1"/>
    <col min="12804" max="12804" width="17.81640625" style="15" bestFit="1" customWidth="1"/>
    <col min="12805" max="12805" width="12.81640625" style="15" customWidth="1"/>
    <col min="12806" max="12806" width="24" style="15" customWidth="1"/>
    <col min="12807" max="12807" width="13.453125" style="15" bestFit="1" customWidth="1"/>
    <col min="12808" max="12808" width="13.81640625" style="15" customWidth="1"/>
    <col min="12809" max="12809" width="13.1796875" style="15" customWidth="1"/>
    <col min="12810" max="12810" width="22.453125" style="15" customWidth="1"/>
    <col min="12811" max="12811" width="18.453125" style="15" customWidth="1"/>
    <col min="12812" max="12812" width="22" style="15" customWidth="1"/>
    <col min="12813" max="12813" width="21.26953125" style="15" customWidth="1"/>
    <col min="12814" max="12814" width="23" style="15" customWidth="1"/>
    <col min="12815" max="13057" width="9.1796875" style="15"/>
    <col min="13058" max="13058" width="6.81640625" style="15" customWidth="1"/>
    <col min="13059" max="13059" width="7" style="15" customWidth="1"/>
    <col min="13060" max="13060" width="17.81640625" style="15" bestFit="1" customWidth="1"/>
    <col min="13061" max="13061" width="12.81640625" style="15" customWidth="1"/>
    <col min="13062" max="13062" width="24" style="15" customWidth="1"/>
    <col min="13063" max="13063" width="13.453125" style="15" bestFit="1" customWidth="1"/>
    <col min="13064" max="13064" width="13.81640625" style="15" customWidth="1"/>
    <col min="13065" max="13065" width="13.1796875" style="15" customWidth="1"/>
    <col min="13066" max="13066" width="22.453125" style="15" customWidth="1"/>
    <col min="13067" max="13067" width="18.453125" style="15" customWidth="1"/>
    <col min="13068" max="13068" width="22" style="15" customWidth="1"/>
    <col min="13069" max="13069" width="21.26953125" style="15" customWidth="1"/>
    <col min="13070" max="13070" width="23" style="15" customWidth="1"/>
    <col min="13071" max="13313" width="9.1796875" style="15"/>
    <col min="13314" max="13314" width="6.81640625" style="15" customWidth="1"/>
    <col min="13315" max="13315" width="7" style="15" customWidth="1"/>
    <col min="13316" max="13316" width="17.81640625" style="15" bestFit="1" customWidth="1"/>
    <col min="13317" max="13317" width="12.81640625" style="15" customWidth="1"/>
    <col min="13318" max="13318" width="24" style="15" customWidth="1"/>
    <col min="13319" max="13319" width="13.453125" style="15" bestFit="1" customWidth="1"/>
    <col min="13320" max="13320" width="13.81640625" style="15" customWidth="1"/>
    <col min="13321" max="13321" width="13.1796875" style="15" customWidth="1"/>
    <col min="13322" max="13322" width="22.453125" style="15" customWidth="1"/>
    <col min="13323" max="13323" width="18.453125" style="15" customWidth="1"/>
    <col min="13324" max="13324" width="22" style="15" customWidth="1"/>
    <col min="13325" max="13325" width="21.26953125" style="15" customWidth="1"/>
    <col min="13326" max="13326" width="23" style="15" customWidth="1"/>
    <col min="13327" max="13569" width="9.1796875" style="15"/>
    <col min="13570" max="13570" width="6.81640625" style="15" customWidth="1"/>
    <col min="13571" max="13571" width="7" style="15" customWidth="1"/>
    <col min="13572" max="13572" width="17.81640625" style="15" bestFit="1" customWidth="1"/>
    <col min="13573" max="13573" width="12.81640625" style="15" customWidth="1"/>
    <col min="13574" max="13574" width="24" style="15" customWidth="1"/>
    <col min="13575" max="13575" width="13.453125" style="15" bestFit="1" customWidth="1"/>
    <col min="13576" max="13576" width="13.81640625" style="15" customWidth="1"/>
    <col min="13577" max="13577" width="13.1796875" style="15" customWidth="1"/>
    <col min="13578" max="13578" width="22.453125" style="15" customWidth="1"/>
    <col min="13579" max="13579" width="18.453125" style="15" customWidth="1"/>
    <col min="13580" max="13580" width="22" style="15" customWidth="1"/>
    <col min="13581" max="13581" width="21.26953125" style="15" customWidth="1"/>
    <col min="13582" max="13582" width="23" style="15" customWidth="1"/>
    <col min="13583" max="13825" width="9.1796875" style="15"/>
    <col min="13826" max="13826" width="6.81640625" style="15" customWidth="1"/>
    <col min="13827" max="13827" width="7" style="15" customWidth="1"/>
    <col min="13828" max="13828" width="17.81640625" style="15" bestFit="1" customWidth="1"/>
    <col min="13829" max="13829" width="12.81640625" style="15" customWidth="1"/>
    <col min="13830" max="13830" width="24" style="15" customWidth="1"/>
    <col min="13831" max="13831" width="13.453125" style="15" bestFit="1" customWidth="1"/>
    <col min="13832" max="13832" width="13.81640625" style="15" customWidth="1"/>
    <col min="13833" max="13833" width="13.1796875" style="15" customWidth="1"/>
    <col min="13834" max="13834" width="22.453125" style="15" customWidth="1"/>
    <col min="13835" max="13835" width="18.453125" style="15" customWidth="1"/>
    <col min="13836" max="13836" width="22" style="15" customWidth="1"/>
    <col min="13837" max="13837" width="21.26953125" style="15" customWidth="1"/>
    <col min="13838" max="13838" width="23" style="15" customWidth="1"/>
    <col min="13839" max="14081" width="9.1796875" style="15"/>
    <col min="14082" max="14082" width="6.81640625" style="15" customWidth="1"/>
    <col min="14083" max="14083" width="7" style="15" customWidth="1"/>
    <col min="14084" max="14084" width="17.81640625" style="15" bestFit="1" customWidth="1"/>
    <col min="14085" max="14085" width="12.81640625" style="15" customWidth="1"/>
    <col min="14086" max="14086" width="24" style="15" customWidth="1"/>
    <col min="14087" max="14087" width="13.453125" style="15" bestFit="1" customWidth="1"/>
    <col min="14088" max="14088" width="13.81640625" style="15" customWidth="1"/>
    <col min="14089" max="14089" width="13.1796875" style="15" customWidth="1"/>
    <col min="14090" max="14090" width="22.453125" style="15" customWidth="1"/>
    <col min="14091" max="14091" width="18.453125" style="15" customWidth="1"/>
    <col min="14092" max="14092" width="22" style="15" customWidth="1"/>
    <col min="14093" max="14093" width="21.26953125" style="15" customWidth="1"/>
    <col min="14094" max="14094" width="23" style="15" customWidth="1"/>
    <col min="14095" max="14337" width="9.1796875" style="15"/>
    <col min="14338" max="14338" width="6.81640625" style="15" customWidth="1"/>
    <col min="14339" max="14339" width="7" style="15" customWidth="1"/>
    <col min="14340" max="14340" width="17.81640625" style="15" bestFit="1" customWidth="1"/>
    <col min="14341" max="14341" width="12.81640625" style="15" customWidth="1"/>
    <col min="14342" max="14342" width="24" style="15" customWidth="1"/>
    <col min="14343" max="14343" width="13.453125" style="15" bestFit="1" customWidth="1"/>
    <col min="14344" max="14344" width="13.81640625" style="15" customWidth="1"/>
    <col min="14345" max="14345" width="13.1796875" style="15" customWidth="1"/>
    <col min="14346" max="14346" width="22.453125" style="15" customWidth="1"/>
    <col min="14347" max="14347" width="18.453125" style="15" customWidth="1"/>
    <col min="14348" max="14348" width="22" style="15" customWidth="1"/>
    <col min="14349" max="14349" width="21.26953125" style="15" customWidth="1"/>
    <col min="14350" max="14350" width="23" style="15" customWidth="1"/>
    <col min="14351" max="14593" width="9.1796875" style="15"/>
    <col min="14594" max="14594" width="6.81640625" style="15" customWidth="1"/>
    <col min="14595" max="14595" width="7" style="15" customWidth="1"/>
    <col min="14596" max="14596" width="17.81640625" style="15" bestFit="1" customWidth="1"/>
    <col min="14597" max="14597" width="12.81640625" style="15" customWidth="1"/>
    <col min="14598" max="14598" width="24" style="15" customWidth="1"/>
    <col min="14599" max="14599" width="13.453125" style="15" bestFit="1" customWidth="1"/>
    <col min="14600" max="14600" width="13.81640625" style="15" customWidth="1"/>
    <col min="14601" max="14601" width="13.1796875" style="15" customWidth="1"/>
    <col min="14602" max="14602" width="22.453125" style="15" customWidth="1"/>
    <col min="14603" max="14603" width="18.453125" style="15" customWidth="1"/>
    <col min="14604" max="14604" width="22" style="15" customWidth="1"/>
    <col min="14605" max="14605" width="21.26953125" style="15" customWidth="1"/>
    <col min="14606" max="14606" width="23" style="15" customWidth="1"/>
    <col min="14607" max="14849" width="9.1796875" style="15"/>
    <col min="14850" max="14850" width="6.81640625" style="15" customWidth="1"/>
    <col min="14851" max="14851" width="7" style="15" customWidth="1"/>
    <col min="14852" max="14852" width="17.81640625" style="15" bestFit="1" customWidth="1"/>
    <col min="14853" max="14853" width="12.81640625" style="15" customWidth="1"/>
    <col min="14854" max="14854" width="24" style="15" customWidth="1"/>
    <col min="14855" max="14855" width="13.453125" style="15" bestFit="1" customWidth="1"/>
    <col min="14856" max="14856" width="13.81640625" style="15" customWidth="1"/>
    <col min="14857" max="14857" width="13.1796875" style="15" customWidth="1"/>
    <col min="14858" max="14858" width="22.453125" style="15" customWidth="1"/>
    <col min="14859" max="14859" width="18.453125" style="15" customWidth="1"/>
    <col min="14860" max="14860" width="22" style="15" customWidth="1"/>
    <col min="14861" max="14861" width="21.26953125" style="15" customWidth="1"/>
    <col min="14862" max="14862" width="23" style="15" customWidth="1"/>
    <col min="14863" max="15105" width="9.1796875" style="15"/>
    <col min="15106" max="15106" width="6.81640625" style="15" customWidth="1"/>
    <col min="15107" max="15107" width="7" style="15" customWidth="1"/>
    <col min="15108" max="15108" width="17.81640625" style="15" bestFit="1" customWidth="1"/>
    <col min="15109" max="15109" width="12.81640625" style="15" customWidth="1"/>
    <col min="15110" max="15110" width="24" style="15" customWidth="1"/>
    <col min="15111" max="15111" width="13.453125" style="15" bestFit="1" customWidth="1"/>
    <col min="15112" max="15112" width="13.81640625" style="15" customWidth="1"/>
    <col min="15113" max="15113" width="13.1796875" style="15" customWidth="1"/>
    <col min="15114" max="15114" width="22.453125" style="15" customWidth="1"/>
    <col min="15115" max="15115" width="18.453125" style="15" customWidth="1"/>
    <col min="15116" max="15116" width="22" style="15" customWidth="1"/>
    <col min="15117" max="15117" width="21.26953125" style="15" customWidth="1"/>
    <col min="15118" max="15118" width="23" style="15" customWidth="1"/>
    <col min="15119" max="15361" width="9.1796875" style="15"/>
    <col min="15362" max="15362" width="6.81640625" style="15" customWidth="1"/>
    <col min="15363" max="15363" width="7" style="15" customWidth="1"/>
    <col min="15364" max="15364" width="17.81640625" style="15" bestFit="1" customWidth="1"/>
    <col min="15365" max="15365" width="12.81640625" style="15" customWidth="1"/>
    <col min="15366" max="15366" width="24" style="15" customWidth="1"/>
    <col min="15367" max="15367" width="13.453125" style="15" bestFit="1" customWidth="1"/>
    <col min="15368" max="15368" width="13.81640625" style="15" customWidth="1"/>
    <col min="15369" max="15369" width="13.1796875" style="15" customWidth="1"/>
    <col min="15370" max="15370" width="22.453125" style="15" customWidth="1"/>
    <col min="15371" max="15371" width="18.453125" style="15" customWidth="1"/>
    <col min="15372" max="15372" width="22" style="15" customWidth="1"/>
    <col min="15373" max="15373" width="21.26953125" style="15" customWidth="1"/>
    <col min="15374" max="15374" width="23" style="15" customWidth="1"/>
    <col min="15375" max="15617" width="9.1796875" style="15"/>
    <col min="15618" max="15618" width="6.81640625" style="15" customWidth="1"/>
    <col min="15619" max="15619" width="7" style="15" customWidth="1"/>
    <col min="15620" max="15620" width="17.81640625" style="15" bestFit="1" customWidth="1"/>
    <col min="15621" max="15621" width="12.81640625" style="15" customWidth="1"/>
    <col min="15622" max="15622" width="24" style="15" customWidth="1"/>
    <col min="15623" max="15623" width="13.453125" style="15" bestFit="1" customWidth="1"/>
    <col min="15624" max="15624" width="13.81640625" style="15" customWidth="1"/>
    <col min="15625" max="15625" width="13.1796875" style="15" customWidth="1"/>
    <col min="15626" max="15626" width="22.453125" style="15" customWidth="1"/>
    <col min="15627" max="15627" width="18.453125" style="15" customWidth="1"/>
    <col min="15628" max="15628" width="22" style="15" customWidth="1"/>
    <col min="15629" max="15629" width="21.26953125" style="15" customWidth="1"/>
    <col min="15630" max="15630" width="23" style="15" customWidth="1"/>
    <col min="15631" max="15873" width="9.1796875" style="15"/>
    <col min="15874" max="15874" width="6.81640625" style="15" customWidth="1"/>
    <col min="15875" max="15875" width="7" style="15" customWidth="1"/>
    <col min="15876" max="15876" width="17.81640625" style="15" bestFit="1" customWidth="1"/>
    <col min="15877" max="15877" width="12.81640625" style="15" customWidth="1"/>
    <col min="15878" max="15878" width="24" style="15" customWidth="1"/>
    <col min="15879" max="15879" width="13.453125" style="15" bestFit="1" customWidth="1"/>
    <col min="15880" max="15880" width="13.81640625" style="15" customWidth="1"/>
    <col min="15881" max="15881" width="13.1796875" style="15" customWidth="1"/>
    <col min="15882" max="15882" width="22.453125" style="15" customWidth="1"/>
    <col min="15883" max="15883" width="18.453125" style="15" customWidth="1"/>
    <col min="15884" max="15884" width="22" style="15" customWidth="1"/>
    <col min="15885" max="15885" width="21.26953125" style="15" customWidth="1"/>
    <col min="15886" max="15886" width="23" style="15" customWidth="1"/>
    <col min="15887" max="16129" width="9.1796875" style="15"/>
    <col min="16130" max="16130" width="6.81640625" style="15" customWidth="1"/>
    <col min="16131" max="16131" width="7" style="15" customWidth="1"/>
    <col min="16132" max="16132" width="17.81640625" style="15" bestFit="1" customWidth="1"/>
    <col min="16133" max="16133" width="12.81640625" style="15" customWidth="1"/>
    <col min="16134" max="16134" width="24" style="15" customWidth="1"/>
    <col min="16135" max="16135" width="13.453125" style="15" bestFit="1" customWidth="1"/>
    <col min="16136" max="16136" width="13.81640625" style="15" customWidth="1"/>
    <col min="16137" max="16137" width="13.1796875" style="15" customWidth="1"/>
    <col min="16138" max="16138" width="22.453125" style="15" customWidth="1"/>
    <col min="16139" max="16139" width="18.453125" style="15" customWidth="1"/>
    <col min="16140" max="16140" width="22" style="15" customWidth="1"/>
    <col min="16141" max="16141" width="21.26953125" style="15" customWidth="1"/>
    <col min="16142" max="16142" width="23" style="15" customWidth="1"/>
    <col min="16143" max="16384" width="9.1796875" style="15"/>
  </cols>
  <sheetData>
    <row r="3" spans="2:14" x14ac:dyDescent="0.25">
      <c r="B3" s="2202" t="s">
        <v>1027</v>
      </c>
      <c r="C3" s="2202"/>
      <c r="D3" s="2140"/>
      <c r="E3" s="2140"/>
      <c r="F3" s="2140"/>
      <c r="G3" s="2140"/>
      <c r="H3" s="2140"/>
      <c r="I3" s="2140"/>
      <c r="J3" s="2140"/>
      <c r="K3" s="2140"/>
      <c r="L3" s="2140"/>
      <c r="M3" s="2140"/>
      <c r="N3" s="2140"/>
    </row>
    <row r="4" spans="2:14" x14ac:dyDescent="0.25">
      <c r="B4" s="2202" t="s">
        <v>826</v>
      </c>
      <c r="C4" s="2202"/>
      <c r="D4" s="2140"/>
      <c r="E4" s="2140"/>
      <c r="F4" s="2140"/>
      <c r="G4" s="2140"/>
      <c r="H4" s="2140"/>
      <c r="I4" s="2140"/>
      <c r="J4" s="2140"/>
      <c r="K4" s="2140"/>
      <c r="L4" s="2140"/>
      <c r="M4" s="2140"/>
      <c r="N4" s="2140"/>
    </row>
    <row r="5" spans="2:14" x14ac:dyDescent="0.25">
      <c r="B5" s="2202" t="s">
        <v>610</v>
      </c>
      <c r="C5" s="2202"/>
      <c r="D5" s="2140"/>
      <c r="E5" s="2140"/>
      <c r="F5" s="2140"/>
      <c r="G5" s="2140"/>
      <c r="H5" s="2140"/>
      <c r="I5" s="2140"/>
      <c r="J5" s="2140"/>
      <c r="K5" s="2140"/>
      <c r="L5" s="2140"/>
      <c r="M5" s="2140"/>
      <c r="N5" s="2140"/>
    </row>
    <row r="6" spans="2:14" x14ac:dyDescent="0.25">
      <c r="B6" s="268"/>
      <c r="C6" s="268"/>
      <c r="D6" s="264"/>
      <c r="E6" s="264"/>
      <c r="F6" s="264"/>
      <c r="G6" s="264"/>
      <c r="H6" s="264"/>
      <c r="I6" s="264"/>
      <c r="J6" s="264"/>
      <c r="K6" s="264"/>
      <c r="L6" s="264"/>
      <c r="M6" s="264"/>
      <c r="N6" s="264"/>
    </row>
    <row r="7" spans="2:14" x14ac:dyDescent="0.3">
      <c r="B7" s="41" t="s">
        <v>820</v>
      </c>
      <c r="C7" s="41"/>
      <c r="D7" s="120"/>
      <c r="E7" s="17"/>
      <c r="F7" s="17"/>
      <c r="G7" s="17"/>
      <c r="H7" s="17"/>
      <c r="I7" s="17"/>
      <c r="J7" s="17"/>
      <c r="K7" s="34"/>
      <c r="L7" s="34"/>
      <c r="M7" s="34"/>
    </row>
    <row r="8" spans="2:14" x14ac:dyDescent="0.25">
      <c r="D8" s="18"/>
      <c r="E8" s="18"/>
      <c r="F8" s="47"/>
      <c r="G8" s="47"/>
      <c r="H8" s="47"/>
      <c r="K8" s="36"/>
      <c r="L8" s="36"/>
      <c r="N8" s="143" t="s">
        <v>150</v>
      </c>
    </row>
    <row r="9" spans="2:14" ht="42" x14ac:dyDescent="0.25">
      <c r="B9" s="265" t="s">
        <v>11</v>
      </c>
      <c r="C9" s="265" t="s">
        <v>50</v>
      </c>
      <c r="D9" s="265" t="s">
        <v>295</v>
      </c>
      <c r="E9" s="265" t="s">
        <v>296</v>
      </c>
      <c r="F9" s="265" t="s">
        <v>308</v>
      </c>
      <c r="G9" s="265" t="s">
        <v>297</v>
      </c>
      <c r="H9" s="265" t="s">
        <v>298</v>
      </c>
      <c r="I9" s="265" t="s">
        <v>299</v>
      </c>
      <c r="J9" s="265" t="s">
        <v>300</v>
      </c>
      <c r="K9" s="265" t="s">
        <v>301</v>
      </c>
      <c r="L9" s="265" t="s">
        <v>302</v>
      </c>
      <c r="M9" s="265" t="s">
        <v>303</v>
      </c>
      <c r="N9" s="265" t="s">
        <v>304</v>
      </c>
    </row>
    <row r="10" spans="2:14" x14ac:dyDescent="0.25">
      <c r="B10" s="139" t="s">
        <v>83</v>
      </c>
      <c r="C10" s="139" t="s">
        <v>570</v>
      </c>
      <c r="D10" s="139"/>
      <c r="E10" s="139"/>
      <c r="F10" s="139"/>
      <c r="G10" s="139"/>
      <c r="H10" s="139"/>
      <c r="I10" s="139"/>
      <c r="J10" s="139"/>
      <c r="K10" s="139"/>
      <c r="L10" s="139"/>
      <c r="M10" s="139"/>
      <c r="N10" s="139"/>
    </row>
    <row r="11" spans="2:14" x14ac:dyDescent="0.25">
      <c r="B11" s="100"/>
      <c r="C11" s="100" t="s">
        <v>569</v>
      </c>
      <c r="D11" s="100"/>
      <c r="E11" s="481">
        <f ca="1">F1.4!E50</f>
        <v>4792.2502349999977</v>
      </c>
      <c r="F11" s="481">
        <f ca="1">E11</f>
        <v>4792.2502349999977</v>
      </c>
      <c r="G11" s="481">
        <f>'F1'!D52</f>
        <v>4569.3413092700002</v>
      </c>
      <c r="H11" s="481">
        <f>G11</f>
        <v>4569.3413092700002</v>
      </c>
      <c r="I11" s="481">
        <f ca="1">F11-H11</f>
        <v>222.90892572999746</v>
      </c>
      <c r="J11" s="810">
        <f ca="1">I11/E11</f>
        <v>4.6514458719620171E-2</v>
      </c>
      <c r="K11" s="481">
        <f ca="1">I11</f>
        <v>222.90892572999746</v>
      </c>
      <c r="L11" s="810">
        <f ca="1">K11/E11</f>
        <v>4.6514458719620171E-2</v>
      </c>
      <c r="M11" s="481">
        <v>0</v>
      </c>
      <c r="N11" s="483">
        <f ca="1">M11/E11</f>
        <v>0</v>
      </c>
    </row>
    <row r="12" spans="2:14" x14ac:dyDescent="0.25">
      <c r="B12" s="141"/>
      <c r="C12" s="100"/>
      <c r="D12" s="142"/>
      <c r="E12" s="482"/>
      <c r="F12" s="482"/>
      <c r="G12" s="482"/>
      <c r="H12" s="482"/>
      <c r="I12" s="481"/>
      <c r="J12" s="810"/>
      <c r="K12" s="481"/>
      <c r="L12" s="810"/>
      <c r="M12" s="481"/>
      <c r="N12" s="483"/>
    </row>
    <row r="13" spans="2:14" x14ac:dyDescent="0.25">
      <c r="B13" s="141" t="s">
        <v>89</v>
      </c>
      <c r="C13" s="142" t="s">
        <v>571</v>
      </c>
      <c r="D13" s="142"/>
      <c r="E13" s="482">
        <f ca="1">E11</f>
        <v>4792.2502349999977</v>
      </c>
      <c r="F13" s="482">
        <f t="shared" ref="F13:N13" ca="1" si="0">F11</f>
        <v>4792.2502349999977</v>
      </c>
      <c r="G13" s="482">
        <f t="shared" si="0"/>
        <v>4569.3413092700002</v>
      </c>
      <c r="H13" s="482">
        <f t="shared" si="0"/>
        <v>4569.3413092700002</v>
      </c>
      <c r="I13" s="482">
        <f t="shared" ca="1" si="0"/>
        <v>222.90892572999746</v>
      </c>
      <c r="J13" s="811">
        <f t="shared" ca="1" si="0"/>
        <v>4.6514458719620171E-2</v>
      </c>
      <c r="K13" s="482">
        <f t="shared" ca="1" si="0"/>
        <v>222.90892572999746</v>
      </c>
      <c r="L13" s="811">
        <f t="shared" ca="1" si="0"/>
        <v>4.6514458719620171E-2</v>
      </c>
      <c r="M13" s="482">
        <f t="shared" si="0"/>
        <v>0</v>
      </c>
      <c r="N13" s="484">
        <f t="shared" ca="1" si="0"/>
        <v>0</v>
      </c>
    </row>
    <row r="14" spans="2:14" x14ac:dyDescent="0.25">
      <c r="B14" s="144"/>
      <c r="C14" s="145"/>
      <c r="D14" s="145"/>
      <c r="E14" s="145"/>
      <c r="F14" s="145"/>
      <c r="G14" s="145"/>
      <c r="H14" s="145"/>
      <c r="I14" s="123"/>
      <c r="J14" s="123"/>
      <c r="K14" s="123"/>
      <c r="L14" s="123"/>
      <c r="M14" s="123"/>
      <c r="N14" s="123"/>
    </row>
    <row r="16" spans="2:14" x14ac:dyDescent="0.3">
      <c r="B16" s="41" t="s">
        <v>821</v>
      </c>
      <c r="C16" s="41"/>
      <c r="D16" s="120"/>
      <c r="E16" s="17"/>
      <c r="F16" s="17"/>
      <c r="G16" s="17"/>
      <c r="H16" s="17"/>
      <c r="I16" s="17"/>
      <c r="J16" s="17"/>
      <c r="K16" s="34"/>
      <c r="L16" s="34"/>
      <c r="M16" s="34"/>
    </row>
    <row r="17" spans="2:14" x14ac:dyDescent="0.25">
      <c r="D17" s="18"/>
      <c r="E17" s="18"/>
      <c r="F17" s="47"/>
      <c r="G17" s="47"/>
      <c r="H17" s="47"/>
      <c r="K17" s="36"/>
      <c r="L17" s="36"/>
      <c r="N17" s="143" t="s">
        <v>150</v>
      </c>
    </row>
    <row r="18" spans="2:14" ht="42" x14ac:dyDescent="0.25">
      <c r="B18" s="265" t="s">
        <v>11</v>
      </c>
      <c r="C18" s="265" t="s">
        <v>50</v>
      </c>
      <c r="D18" s="265" t="s">
        <v>295</v>
      </c>
      <c r="E18" s="265" t="s">
        <v>296</v>
      </c>
      <c r="F18" s="265" t="s">
        <v>308</v>
      </c>
      <c r="G18" s="265" t="s">
        <v>297</v>
      </c>
      <c r="H18" s="265" t="s">
        <v>298</v>
      </c>
      <c r="I18" s="265" t="s">
        <v>299</v>
      </c>
      <c r="J18" s="265" t="s">
        <v>300</v>
      </c>
      <c r="K18" s="265" t="s">
        <v>301</v>
      </c>
      <c r="L18" s="265" t="s">
        <v>302</v>
      </c>
      <c r="M18" s="265" t="s">
        <v>303</v>
      </c>
      <c r="N18" s="265" t="s">
        <v>304</v>
      </c>
    </row>
    <row r="19" spans="2:14" x14ac:dyDescent="0.25">
      <c r="B19" s="139" t="s">
        <v>83</v>
      </c>
      <c r="C19" s="139" t="s">
        <v>570</v>
      </c>
      <c r="D19" s="139"/>
      <c r="E19" s="139"/>
      <c r="F19" s="139"/>
      <c r="G19" s="139"/>
      <c r="H19" s="139"/>
      <c r="I19" s="139"/>
      <c r="J19" s="139"/>
      <c r="K19" s="139"/>
      <c r="L19" s="139"/>
      <c r="M19" s="139"/>
      <c r="N19" s="139"/>
    </row>
    <row r="20" spans="2:14" x14ac:dyDescent="0.25">
      <c r="B20" s="100"/>
      <c r="C20" s="100" t="s">
        <v>569</v>
      </c>
      <c r="D20" s="100"/>
      <c r="E20" s="481">
        <f ca="1">F1.4!H50</f>
        <v>3931.423713000001</v>
      </c>
      <c r="F20" s="481">
        <f ca="1">E20</f>
        <v>3931.423713000001</v>
      </c>
      <c r="G20" s="481">
        <f>'F16'!I85+'F1'!G40</f>
        <v>3730.8495736380987</v>
      </c>
      <c r="H20" s="481">
        <f>G20</f>
        <v>3730.8495736380987</v>
      </c>
      <c r="I20" s="481">
        <f ca="1">F20-H20</f>
        <v>200.57413936190233</v>
      </c>
      <c r="J20" s="810">
        <f ca="1">I20/E20</f>
        <v>5.1018194426275081E-2</v>
      </c>
      <c r="K20" s="481">
        <f ca="1">I20</f>
        <v>200.57413936190233</v>
      </c>
      <c r="L20" s="810">
        <f ca="1">K20/E20</f>
        <v>5.1018194426275081E-2</v>
      </c>
      <c r="M20" s="481">
        <v>0</v>
      </c>
      <c r="N20" s="483">
        <f ca="1">M20/E20</f>
        <v>0</v>
      </c>
    </row>
    <row r="21" spans="2:14" x14ac:dyDescent="0.25">
      <c r="B21" s="141"/>
      <c r="C21" s="100"/>
      <c r="D21" s="142"/>
      <c r="E21" s="482"/>
      <c r="F21" s="482"/>
      <c r="G21" s="482"/>
      <c r="H21" s="482"/>
      <c r="I21" s="481"/>
      <c r="J21" s="810"/>
      <c r="K21" s="481"/>
      <c r="L21" s="810"/>
      <c r="M21" s="481"/>
      <c r="N21" s="483"/>
    </row>
    <row r="22" spans="2:14" x14ac:dyDescent="0.25">
      <c r="B22" s="141" t="s">
        <v>89</v>
      </c>
      <c r="C22" s="142" t="s">
        <v>571</v>
      </c>
      <c r="D22" s="142"/>
      <c r="E22" s="482">
        <f ca="1">E20</f>
        <v>3931.423713000001</v>
      </c>
      <c r="F22" s="482">
        <f t="shared" ref="F22:N22" ca="1" si="1">F20</f>
        <v>3931.423713000001</v>
      </c>
      <c r="G22" s="482">
        <f t="shared" si="1"/>
        <v>3730.8495736380987</v>
      </c>
      <c r="H22" s="482">
        <f t="shared" si="1"/>
        <v>3730.8495736380987</v>
      </c>
      <c r="I22" s="482">
        <f t="shared" ca="1" si="1"/>
        <v>200.57413936190233</v>
      </c>
      <c r="J22" s="811">
        <f t="shared" ca="1" si="1"/>
        <v>5.1018194426275081E-2</v>
      </c>
      <c r="K22" s="482">
        <f t="shared" ca="1" si="1"/>
        <v>200.57413936190233</v>
      </c>
      <c r="L22" s="811">
        <f t="shared" ca="1" si="1"/>
        <v>5.1018194426275081E-2</v>
      </c>
      <c r="M22" s="482">
        <f t="shared" si="1"/>
        <v>0</v>
      </c>
      <c r="N22" s="484">
        <f t="shared" ca="1" si="1"/>
        <v>0</v>
      </c>
    </row>
    <row r="23" spans="2:14" x14ac:dyDescent="0.25">
      <c r="B23" s="144"/>
      <c r="C23" s="145"/>
      <c r="D23" s="145"/>
      <c r="E23" s="145"/>
      <c r="F23" s="145"/>
      <c r="G23" s="145"/>
      <c r="H23" s="145"/>
      <c r="I23" s="123"/>
      <c r="J23" s="123"/>
      <c r="K23" s="123"/>
      <c r="L23" s="123"/>
      <c r="M23" s="123"/>
      <c r="N23" s="123"/>
    </row>
    <row r="24" spans="2:14" x14ac:dyDescent="0.25">
      <c r="B24" s="144"/>
      <c r="C24" s="145"/>
      <c r="D24" s="145"/>
      <c r="E24" s="145"/>
      <c r="F24" s="145"/>
      <c r="G24" s="145"/>
      <c r="H24" s="145"/>
      <c r="I24" s="123"/>
      <c r="J24" s="123"/>
      <c r="K24" s="123"/>
      <c r="L24" s="123"/>
      <c r="M24" s="123"/>
      <c r="N24" s="123"/>
    </row>
    <row r="25" spans="2:14" x14ac:dyDescent="0.3">
      <c r="B25" s="41" t="s">
        <v>822</v>
      </c>
      <c r="C25" s="41"/>
      <c r="D25" s="120"/>
      <c r="E25" s="17"/>
      <c r="F25" s="17"/>
      <c r="G25" s="17"/>
      <c r="H25" s="17"/>
      <c r="I25" s="17"/>
      <c r="J25" s="17"/>
      <c r="K25" s="34"/>
      <c r="L25" s="34"/>
      <c r="M25" s="34"/>
    </row>
    <row r="26" spans="2:14" x14ac:dyDescent="0.25">
      <c r="D26" s="18"/>
      <c r="E26" s="18"/>
      <c r="F26" s="47"/>
      <c r="G26" s="47"/>
      <c r="H26" s="47"/>
      <c r="K26" s="36"/>
      <c r="L26" s="36"/>
      <c r="N26" s="143" t="s">
        <v>150</v>
      </c>
    </row>
    <row r="27" spans="2:14" ht="42" x14ac:dyDescent="0.25">
      <c r="B27" s="308" t="s">
        <v>11</v>
      </c>
      <c r="C27" s="308" t="s">
        <v>50</v>
      </c>
      <c r="D27" s="308" t="s">
        <v>295</v>
      </c>
      <c r="E27" s="308" t="s">
        <v>296</v>
      </c>
      <c r="F27" s="308" t="s">
        <v>308</v>
      </c>
      <c r="G27" s="308" t="s">
        <v>297</v>
      </c>
      <c r="H27" s="308" t="s">
        <v>298</v>
      </c>
      <c r="I27" s="308" t="s">
        <v>299</v>
      </c>
      <c r="J27" s="308" t="s">
        <v>300</v>
      </c>
      <c r="K27" s="308" t="s">
        <v>301</v>
      </c>
      <c r="L27" s="308" t="s">
        <v>302</v>
      </c>
      <c r="M27" s="308" t="s">
        <v>303</v>
      </c>
      <c r="N27" s="308" t="s">
        <v>304</v>
      </c>
    </row>
    <row r="28" spans="2:14" x14ac:dyDescent="0.25">
      <c r="B28" s="139" t="s">
        <v>83</v>
      </c>
      <c r="C28" s="139" t="s">
        <v>570</v>
      </c>
      <c r="D28" s="139"/>
      <c r="E28" s="139"/>
      <c r="F28" s="139"/>
      <c r="G28" s="139"/>
      <c r="H28" s="139"/>
      <c r="I28" s="139"/>
      <c r="J28" s="139"/>
      <c r="K28" s="139"/>
      <c r="L28" s="139"/>
      <c r="M28" s="139"/>
      <c r="N28" s="139"/>
    </row>
    <row r="29" spans="2:14" x14ac:dyDescent="0.25">
      <c r="B29" s="100"/>
      <c r="C29" s="100" t="s">
        <v>569</v>
      </c>
      <c r="D29" s="100"/>
      <c r="E29" s="481">
        <f ca="1">F1.4!K50</f>
        <v>4266.5854600000011</v>
      </c>
      <c r="F29" s="481">
        <f ca="1">E29</f>
        <v>4266.5854600000011</v>
      </c>
      <c r="G29" s="481">
        <f>'F16'!I127+'F1'!I40</f>
        <v>4064.9808480000002</v>
      </c>
      <c r="H29" s="481">
        <f>G29</f>
        <v>4064.9808480000002</v>
      </c>
      <c r="I29" s="481">
        <f ca="1">F29-H29</f>
        <v>201.604612000001</v>
      </c>
      <c r="J29" s="810">
        <f ca="1">I29/E29</f>
        <v>4.7251980275581057E-2</v>
      </c>
      <c r="K29" s="481">
        <f ca="1">I29</f>
        <v>201.604612000001</v>
      </c>
      <c r="L29" s="810">
        <f ca="1">K29/E29</f>
        <v>4.7251980275581057E-2</v>
      </c>
      <c r="M29" s="481">
        <v>0</v>
      </c>
      <c r="N29" s="483">
        <f ca="1">M29/E29</f>
        <v>0</v>
      </c>
    </row>
    <row r="30" spans="2:14" x14ac:dyDescent="0.25">
      <c r="B30" s="141"/>
      <c r="C30" s="100"/>
      <c r="D30" s="142"/>
      <c r="E30" s="482"/>
      <c r="F30" s="482"/>
      <c r="G30" s="482"/>
      <c r="H30" s="482"/>
      <c r="I30" s="481"/>
      <c r="J30" s="483"/>
      <c r="K30" s="481"/>
      <c r="L30" s="483"/>
      <c r="M30" s="481"/>
      <c r="N30" s="483"/>
    </row>
    <row r="31" spans="2:14" x14ac:dyDescent="0.25">
      <c r="B31" s="141" t="s">
        <v>89</v>
      </c>
      <c r="C31" s="142" t="s">
        <v>571</v>
      </c>
      <c r="D31" s="142"/>
      <c r="E31" s="482">
        <f ca="1">E29</f>
        <v>4266.5854600000011</v>
      </c>
      <c r="F31" s="482">
        <f t="shared" ref="F31:N31" ca="1" si="2">F29</f>
        <v>4266.5854600000011</v>
      </c>
      <c r="G31" s="482">
        <f t="shared" si="2"/>
        <v>4064.9808480000002</v>
      </c>
      <c r="H31" s="482">
        <f t="shared" si="2"/>
        <v>4064.9808480000002</v>
      </c>
      <c r="I31" s="482">
        <f t="shared" ca="1" si="2"/>
        <v>201.604612000001</v>
      </c>
      <c r="J31" s="811">
        <f t="shared" ca="1" si="2"/>
        <v>4.7251980275581057E-2</v>
      </c>
      <c r="K31" s="482">
        <f t="shared" ca="1" si="2"/>
        <v>201.604612000001</v>
      </c>
      <c r="L31" s="811">
        <f t="shared" ca="1" si="2"/>
        <v>4.7251980275581057E-2</v>
      </c>
      <c r="M31" s="482">
        <f t="shared" si="2"/>
        <v>0</v>
      </c>
      <c r="N31" s="484">
        <f t="shared" ca="1" si="2"/>
        <v>0</v>
      </c>
    </row>
    <row r="32" spans="2:14" x14ac:dyDescent="0.25">
      <c r="B32" s="144"/>
      <c r="C32" s="145"/>
      <c r="D32" s="145"/>
      <c r="E32" s="145"/>
      <c r="F32" s="145"/>
      <c r="G32" s="145"/>
      <c r="H32" s="145"/>
      <c r="I32" s="123"/>
      <c r="J32" s="123"/>
      <c r="K32" s="123"/>
      <c r="L32" s="123"/>
      <c r="M32" s="123"/>
      <c r="N32" s="123"/>
    </row>
    <row r="33" spans="1:15" ht="14.5" x14ac:dyDescent="0.25">
      <c r="A33" s="731"/>
      <c r="B33" s="144"/>
      <c r="C33" s="145"/>
      <c r="D33" s="145"/>
      <c r="E33" s="145"/>
      <c r="F33" s="145"/>
      <c r="G33" s="145"/>
      <c r="H33" s="145"/>
      <c r="I33" s="123"/>
      <c r="J33" s="123"/>
      <c r="K33" s="123"/>
      <c r="L33" s="123"/>
      <c r="M33" s="123"/>
      <c r="N33" s="123"/>
    </row>
    <row r="34" spans="1:15" x14ac:dyDescent="0.3">
      <c r="B34" s="41" t="s">
        <v>823</v>
      </c>
      <c r="C34" s="41"/>
      <c r="D34" s="120"/>
      <c r="E34" s="17"/>
      <c r="F34" s="17"/>
      <c r="G34" s="17"/>
      <c r="H34" s="17"/>
      <c r="I34" s="17"/>
      <c r="J34" s="17"/>
      <c r="K34" s="34"/>
      <c r="L34" s="34"/>
      <c r="M34" s="34"/>
    </row>
    <row r="35" spans="1:15" x14ac:dyDescent="0.25">
      <c r="D35" s="18"/>
      <c r="E35" s="18"/>
      <c r="F35" s="47"/>
      <c r="G35" s="47"/>
      <c r="H35" s="47"/>
      <c r="K35" s="36"/>
      <c r="L35" s="36"/>
      <c r="N35" s="143" t="s">
        <v>150</v>
      </c>
    </row>
    <row r="36" spans="1:15" ht="47.5" customHeight="1" x14ac:dyDescent="0.25">
      <c r="B36" s="126" t="s">
        <v>11</v>
      </c>
      <c r="C36" s="199" t="s">
        <v>50</v>
      </c>
      <c r="D36" s="126" t="s">
        <v>295</v>
      </c>
      <c r="E36" s="126" t="s">
        <v>296</v>
      </c>
      <c r="F36" s="126" t="s">
        <v>308</v>
      </c>
      <c r="G36" s="126" t="s">
        <v>297</v>
      </c>
      <c r="H36" s="126" t="s">
        <v>298</v>
      </c>
      <c r="I36" s="126" t="s">
        <v>299</v>
      </c>
      <c r="J36" s="126" t="s">
        <v>300</v>
      </c>
      <c r="K36" s="126" t="s">
        <v>301</v>
      </c>
      <c r="L36" s="126" t="s">
        <v>302</v>
      </c>
      <c r="M36" s="126" t="s">
        <v>303</v>
      </c>
      <c r="N36" s="126" t="s">
        <v>304</v>
      </c>
    </row>
    <row r="37" spans="1:15" x14ac:dyDescent="0.25">
      <c r="B37" s="139" t="s">
        <v>83</v>
      </c>
      <c r="C37" s="139" t="s">
        <v>570</v>
      </c>
      <c r="D37" s="139"/>
      <c r="E37" s="139"/>
      <c r="F37" s="139"/>
      <c r="G37" s="139"/>
      <c r="H37" s="139"/>
      <c r="I37" s="139"/>
      <c r="J37" s="139"/>
      <c r="K37" s="139"/>
      <c r="L37" s="139"/>
      <c r="M37" s="139"/>
      <c r="N37" s="139"/>
    </row>
    <row r="38" spans="1:15" ht="14.5" x14ac:dyDescent="0.25">
      <c r="B38" s="798"/>
      <c r="C38" s="100" t="s">
        <v>569</v>
      </c>
      <c r="D38" s="100"/>
      <c r="E38" s="481">
        <f>F1.4!N50</f>
        <v>4753.3010550028393</v>
      </c>
      <c r="F38" s="481">
        <f>E38</f>
        <v>4753.3010550028393</v>
      </c>
      <c r="G38" s="481">
        <f>'F1'!M42</f>
        <v>3903.2682345592566</v>
      </c>
      <c r="H38" s="481">
        <f>G38</f>
        <v>3903.2682345592566</v>
      </c>
      <c r="I38" s="481">
        <f>F38-H38</f>
        <v>850.03282044358275</v>
      </c>
      <c r="J38" s="810">
        <f>I38/E38</f>
        <v>0.17882999848051387</v>
      </c>
      <c r="K38" s="481">
        <f>I38</f>
        <v>850.03282044358275</v>
      </c>
      <c r="L38" s="810">
        <f>K38/E38</f>
        <v>0.17882999848051387</v>
      </c>
      <c r="M38" s="481">
        <v>0</v>
      </c>
      <c r="N38" s="483">
        <f>M38/E38</f>
        <v>0</v>
      </c>
    </row>
    <row r="39" spans="1:15" x14ac:dyDescent="0.25">
      <c r="B39" s="141"/>
      <c r="C39" s="100"/>
      <c r="D39" s="142"/>
      <c r="E39" s="482"/>
      <c r="F39" s="482"/>
      <c r="G39" s="482"/>
      <c r="H39" s="482"/>
      <c r="I39" s="481"/>
      <c r="J39" s="483"/>
      <c r="K39" s="481"/>
      <c r="L39" s="483"/>
      <c r="M39" s="481"/>
      <c r="N39" s="483"/>
      <c r="O39" s="128"/>
    </row>
    <row r="40" spans="1:15" x14ac:dyDescent="0.25">
      <c r="B40" s="141" t="s">
        <v>89</v>
      </c>
      <c r="C40" s="142" t="s">
        <v>571</v>
      </c>
      <c r="D40" s="142"/>
      <c r="E40" s="482">
        <f>E38</f>
        <v>4753.3010550028393</v>
      </c>
      <c r="F40" s="482">
        <f t="shared" ref="F40:N40" si="3">F38</f>
        <v>4753.3010550028393</v>
      </c>
      <c r="G40" s="482">
        <f t="shared" si="3"/>
        <v>3903.2682345592566</v>
      </c>
      <c r="H40" s="482">
        <f t="shared" si="3"/>
        <v>3903.2682345592566</v>
      </c>
      <c r="I40" s="482">
        <f t="shared" si="3"/>
        <v>850.03282044358275</v>
      </c>
      <c r="J40" s="811">
        <f t="shared" si="3"/>
        <v>0.17882999848051387</v>
      </c>
      <c r="K40" s="482">
        <f t="shared" si="3"/>
        <v>850.03282044358275</v>
      </c>
      <c r="L40" s="811">
        <f t="shared" si="3"/>
        <v>0.17882999848051387</v>
      </c>
      <c r="M40" s="482">
        <f t="shared" si="3"/>
        <v>0</v>
      </c>
      <c r="N40" s="484">
        <f t="shared" si="3"/>
        <v>0</v>
      </c>
      <c r="O40" s="128"/>
    </row>
    <row r="42" spans="1:15" x14ac:dyDescent="0.25">
      <c r="B42" s="144"/>
      <c r="C42" s="144"/>
      <c r="D42" s="145"/>
      <c r="E42" s="145"/>
      <c r="F42" s="145"/>
      <c r="G42" s="145"/>
      <c r="H42" s="145"/>
      <c r="I42" s="123"/>
      <c r="J42" s="123"/>
      <c r="K42" s="123"/>
      <c r="L42" s="123"/>
      <c r="M42" s="123"/>
      <c r="N42" s="123"/>
    </row>
    <row r="43" spans="1:15" x14ac:dyDescent="0.3">
      <c r="B43" s="41" t="s">
        <v>670</v>
      </c>
      <c r="C43" s="41"/>
      <c r="D43" s="120"/>
      <c r="E43" s="17"/>
      <c r="F43" s="17"/>
      <c r="G43" s="17"/>
      <c r="H43" s="17"/>
      <c r="I43" s="17"/>
      <c r="J43" s="17"/>
      <c r="K43" s="34"/>
      <c r="L43" s="34"/>
      <c r="M43" s="34"/>
    </row>
    <row r="44" spans="1:15" x14ac:dyDescent="0.25">
      <c r="B44" s="130"/>
      <c r="C44" s="130"/>
      <c r="D44" s="18"/>
      <c r="E44" s="18"/>
      <c r="F44" s="47"/>
      <c r="G44" s="47"/>
      <c r="H44" s="47"/>
      <c r="J44" s="47"/>
      <c r="K44" s="36"/>
      <c r="L44" s="36"/>
      <c r="N44" s="143" t="s">
        <v>150</v>
      </c>
    </row>
    <row r="45" spans="1:15" ht="47.5" customHeight="1" x14ac:dyDescent="0.25">
      <c r="B45" s="199" t="s">
        <v>11</v>
      </c>
      <c r="C45" s="199" t="s">
        <v>50</v>
      </c>
      <c r="D45" s="199" t="s">
        <v>295</v>
      </c>
      <c r="E45" s="199" t="s">
        <v>296</v>
      </c>
      <c r="F45" s="199" t="s">
        <v>308</v>
      </c>
      <c r="G45" s="199" t="s">
        <v>297</v>
      </c>
      <c r="H45" s="199" t="s">
        <v>298</v>
      </c>
      <c r="I45" s="199" t="s">
        <v>299</v>
      </c>
      <c r="J45" s="199" t="s">
        <v>300</v>
      </c>
      <c r="K45" s="199" t="s">
        <v>301</v>
      </c>
      <c r="L45" s="199" t="s">
        <v>302</v>
      </c>
      <c r="M45" s="199" t="s">
        <v>303</v>
      </c>
      <c r="N45" s="199" t="s">
        <v>304</v>
      </c>
    </row>
    <row r="46" spans="1:15" x14ac:dyDescent="0.25">
      <c r="B46" s="100"/>
      <c r="C46" s="100" t="s">
        <v>569</v>
      </c>
      <c r="D46" s="100"/>
      <c r="E46" s="481">
        <f>F1.4!Q50</f>
        <v>4791.8769096951428</v>
      </c>
      <c r="F46" s="481">
        <f>E46</f>
        <v>4791.8769096951428</v>
      </c>
      <c r="G46" s="481">
        <f>'F1'!O52</f>
        <v>4592.2160025841658</v>
      </c>
      <c r="H46" s="481">
        <f>G46</f>
        <v>4592.2160025841658</v>
      </c>
      <c r="I46" s="481">
        <f>F46-H46</f>
        <v>199.66090711097695</v>
      </c>
      <c r="J46" s="810">
        <f>I46/E46</f>
        <v>4.1666535028688639E-2</v>
      </c>
      <c r="K46" s="481">
        <f>I46</f>
        <v>199.66090711097695</v>
      </c>
      <c r="L46" s="810">
        <f>K46/E46</f>
        <v>4.1666535028688639E-2</v>
      </c>
      <c r="M46" s="481">
        <f>0</f>
        <v>0</v>
      </c>
      <c r="N46" s="483">
        <f>M46/E46</f>
        <v>0</v>
      </c>
    </row>
    <row r="47" spans="1:15" x14ac:dyDescent="0.25">
      <c r="B47" s="144"/>
      <c r="C47" s="144"/>
      <c r="D47" s="145"/>
      <c r="E47" s="145"/>
      <c r="F47" s="145"/>
      <c r="G47" s="145"/>
      <c r="H47" s="145"/>
      <c r="I47" s="123"/>
      <c r="J47" s="123"/>
      <c r="K47" s="123"/>
      <c r="L47" s="123"/>
      <c r="M47" s="123"/>
      <c r="N47" s="123"/>
    </row>
    <row r="48" spans="1:15" x14ac:dyDescent="0.25">
      <c r="B48" s="144"/>
      <c r="C48" s="144"/>
      <c r="D48" s="145"/>
      <c r="E48" s="145"/>
      <c r="F48" s="145"/>
      <c r="G48" s="145"/>
      <c r="H48" s="145"/>
      <c r="I48" s="123"/>
      <c r="J48" s="123"/>
      <c r="K48" s="123"/>
      <c r="L48" s="123"/>
      <c r="M48" s="123"/>
      <c r="N48" s="123"/>
    </row>
    <row r="49" spans="2:14" x14ac:dyDescent="0.3">
      <c r="B49" s="41" t="s">
        <v>671</v>
      </c>
      <c r="C49" s="41"/>
      <c r="D49" s="120"/>
      <c r="E49" s="17"/>
      <c r="F49" s="17"/>
      <c r="G49" s="17"/>
      <c r="H49" s="17"/>
      <c r="I49" s="17"/>
      <c r="J49" s="17"/>
      <c r="K49" s="34"/>
      <c r="L49" s="34"/>
      <c r="M49" s="34"/>
    </row>
    <row r="50" spans="2:14" x14ac:dyDescent="0.25">
      <c r="B50" s="130"/>
      <c r="C50" s="130"/>
      <c r="D50" s="18"/>
      <c r="E50" s="18"/>
      <c r="F50" s="47"/>
      <c r="G50" s="47"/>
      <c r="H50" s="47"/>
      <c r="J50" s="47"/>
      <c r="K50" s="36"/>
      <c r="L50" s="36"/>
      <c r="N50" s="143" t="s">
        <v>150</v>
      </c>
    </row>
    <row r="51" spans="2:14" ht="47.5" customHeight="1" x14ac:dyDescent="0.25">
      <c r="B51" s="199" t="s">
        <v>11</v>
      </c>
      <c r="C51" s="199" t="s">
        <v>50</v>
      </c>
      <c r="D51" s="199" t="s">
        <v>295</v>
      </c>
      <c r="E51" s="199" t="s">
        <v>296</v>
      </c>
      <c r="F51" s="199" t="s">
        <v>308</v>
      </c>
      <c r="G51" s="199" t="s">
        <v>297</v>
      </c>
      <c r="H51" s="199" t="s">
        <v>298</v>
      </c>
      <c r="I51" s="199" t="s">
        <v>299</v>
      </c>
      <c r="J51" s="199" t="s">
        <v>300</v>
      </c>
      <c r="K51" s="199" t="s">
        <v>301</v>
      </c>
      <c r="L51" s="199" t="s">
        <v>302</v>
      </c>
      <c r="M51" s="199" t="s">
        <v>303</v>
      </c>
      <c r="N51" s="199" t="s">
        <v>304</v>
      </c>
    </row>
    <row r="52" spans="2:14" x14ac:dyDescent="0.25">
      <c r="B52" s="100"/>
      <c r="C52" s="100" t="s">
        <v>569</v>
      </c>
      <c r="D52" s="100"/>
      <c r="E52" s="481">
        <f>F1.4!S50</f>
        <v>4832.039044334605</v>
      </c>
      <c r="F52" s="481">
        <f>E52</f>
        <v>4832.039044334605</v>
      </c>
      <c r="G52" s="481">
        <f>'F1'!Q52</f>
        <v>4635.430993703435</v>
      </c>
      <c r="H52" s="481">
        <f>G52</f>
        <v>4635.430993703435</v>
      </c>
      <c r="I52" s="481">
        <f>F52-H52</f>
        <v>196.60805063117004</v>
      </c>
      <c r="J52" s="810">
        <f>I52/E52</f>
        <v>4.0688423422754839E-2</v>
      </c>
      <c r="K52" s="481">
        <f>I52</f>
        <v>196.60805063117004</v>
      </c>
      <c r="L52" s="810">
        <f>K52/E52</f>
        <v>4.0688423422754839E-2</v>
      </c>
      <c r="M52" s="481">
        <f>0</f>
        <v>0</v>
      </c>
      <c r="N52" s="483">
        <f>M52/E52</f>
        <v>0</v>
      </c>
    </row>
    <row r="53" spans="2:14" x14ac:dyDescent="0.3">
      <c r="B53" s="41"/>
      <c r="C53" s="41"/>
      <c r="D53" s="120"/>
      <c r="E53" s="17"/>
      <c r="F53" s="17"/>
      <c r="G53" s="17"/>
      <c r="H53" s="17"/>
      <c r="I53" s="17"/>
      <c r="J53" s="17"/>
      <c r="K53" s="34"/>
      <c r="L53" s="34"/>
      <c r="M53" s="34"/>
    </row>
    <row r="54" spans="2:14" x14ac:dyDescent="0.25">
      <c r="B54" s="130"/>
      <c r="C54" s="130"/>
      <c r="D54" s="18"/>
      <c r="E54" s="18"/>
      <c r="F54" s="47"/>
      <c r="G54" s="47"/>
      <c r="H54" s="47"/>
      <c r="J54" s="47"/>
      <c r="K54" s="36"/>
      <c r="L54" s="36"/>
      <c r="N54" s="143"/>
    </row>
  </sheetData>
  <mergeCells count="3">
    <mergeCell ref="B3:N3"/>
    <mergeCell ref="B4:N4"/>
    <mergeCell ref="B5:N5"/>
  </mergeCells>
  <pageMargins left="0.35433070866141736" right="0.19685039370078741" top="0.47244094488188981" bottom="0.31496062992125984" header="0.23622047244094491" footer="0.23622047244094491"/>
  <pageSetup paperSize="9" scale="55" fitToHeight="2" orientation="landscape" r:id="rId1"/>
  <headerFooter alignWithMargins="0">
    <oddHeader>&amp;F</oddHeader>
  </headerFooter>
  <rowBreaks count="1" manualBreakCount="1">
    <brk id="4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view="pageBreakPreview" zoomScale="80" zoomScaleNormal="75" zoomScaleSheetLayoutView="75" workbookViewId="0">
      <pane xSplit="3" ySplit="9" topLeftCell="N10" activePane="bottomRight" state="frozen"/>
      <selection pane="topRight" activeCell="D1" sqref="D1"/>
      <selection pane="bottomLeft" activeCell="A10" sqref="A10"/>
      <selection pane="bottomRight" activeCell="A48" sqref="A48"/>
    </sheetView>
  </sheetViews>
  <sheetFormatPr defaultColWidth="9.1796875" defaultRowHeight="14" x14ac:dyDescent="0.25"/>
  <cols>
    <col min="1" max="1" width="6.81640625" style="68" customWidth="1"/>
    <col min="2" max="2" width="54.6328125" style="15" customWidth="1"/>
    <col min="3" max="3" width="8.1796875" style="68" customWidth="1"/>
    <col min="4" max="4" width="13.26953125" style="375" customWidth="1"/>
    <col min="5" max="5" width="20.81640625" style="375" customWidth="1"/>
    <col min="6" max="7" width="13.26953125" style="375" customWidth="1"/>
    <col min="8" max="8" width="15.54296875" style="375" customWidth="1"/>
    <col min="9" max="9" width="13.26953125" style="375" customWidth="1"/>
    <col min="10" max="10" width="14.54296875" style="375" customWidth="1"/>
    <col min="11" max="11" width="12.90625" style="375" customWidth="1"/>
    <col min="12" max="12" width="15.81640625" style="375" customWidth="1"/>
    <col min="13" max="13" width="17.7265625" style="375" customWidth="1"/>
    <col min="14" max="14" width="18.453125" style="375" customWidth="1"/>
    <col min="15" max="15" width="18" style="375" customWidth="1"/>
    <col min="16" max="19" width="17.7265625" style="375" customWidth="1"/>
    <col min="20" max="20" width="8.90625" style="15" bestFit="1" customWidth="1"/>
    <col min="21" max="258" width="9.1796875" style="15"/>
    <col min="259" max="259" width="6.81640625" style="15" customWidth="1"/>
    <col min="260" max="260" width="7" style="15" customWidth="1"/>
    <col min="261" max="261" width="17.81640625" style="15" bestFit="1" customWidth="1"/>
    <col min="262" max="262" width="12.81640625" style="15" customWidth="1"/>
    <col min="263" max="263" width="24" style="15" customWidth="1"/>
    <col min="264" max="264" width="13.453125" style="15" bestFit="1" customWidth="1"/>
    <col min="265" max="265" width="13.81640625" style="15" customWidth="1"/>
    <col min="266" max="266" width="13.1796875" style="15" customWidth="1"/>
    <col min="267" max="267" width="22.453125" style="15" customWidth="1"/>
    <col min="268" max="268" width="18.453125" style="15" customWidth="1"/>
    <col min="269" max="269" width="22" style="15" customWidth="1"/>
    <col min="270" max="270" width="21.26953125" style="15" customWidth="1"/>
    <col min="271" max="271" width="23" style="15" customWidth="1"/>
    <col min="272" max="514" width="9.1796875" style="15"/>
    <col min="515" max="515" width="6.81640625" style="15" customWidth="1"/>
    <col min="516" max="516" width="7" style="15" customWidth="1"/>
    <col min="517" max="517" width="17.81640625" style="15" bestFit="1" customWidth="1"/>
    <col min="518" max="518" width="12.81640625" style="15" customWidth="1"/>
    <col min="519" max="519" width="24" style="15" customWidth="1"/>
    <col min="520" max="520" width="13.453125" style="15" bestFit="1" customWidth="1"/>
    <col min="521" max="521" width="13.81640625" style="15" customWidth="1"/>
    <col min="522" max="522" width="13.1796875" style="15" customWidth="1"/>
    <col min="523" max="523" width="22.453125" style="15" customWidth="1"/>
    <col min="524" max="524" width="18.453125" style="15" customWidth="1"/>
    <col min="525" max="525" width="22" style="15" customWidth="1"/>
    <col min="526" max="526" width="21.26953125" style="15" customWidth="1"/>
    <col min="527" max="527" width="23" style="15" customWidth="1"/>
    <col min="528" max="770" width="9.1796875" style="15"/>
    <col min="771" max="771" width="6.81640625" style="15" customWidth="1"/>
    <col min="772" max="772" width="7" style="15" customWidth="1"/>
    <col min="773" max="773" width="17.81640625" style="15" bestFit="1" customWidth="1"/>
    <col min="774" max="774" width="12.81640625" style="15" customWidth="1"/>
    <col min="775" max="775" width="24" style="15" customWidth="1"/>
    <col min="776" max="776" width="13.453125" style="15" bestFit="1" customWidth="1"/>
    <col min="777" max="777" width="13.81640625" style="15" customWidth="1"/>
    <col min="778" max="778" width="13.1796875" style="15" customWidth="1"/>
    <col min="779" max="779" width="22.453125" style="15" customWidth="1"/>
    <col min="780" max="780" width="18.453125" style="15" customWidth="1"/>
    <col min="781" max="781" width="22" style="15" customWidth="1"/>
    <col min="782" max="782" width="21.26953125" style="15" customWidth="1"/>
    <col min="783" max="783" width="23" style="15" customWidth="1"/>
    <col min="784" max="1026" width="9.1796875" style="15"/>
    <col min="1027" max="1027" width="6.81640625" style="15" customWidth="1"/>
    <col min="1028" max="1028" width="7" style="15" customWidth="1"/>
    <col min="1029" max="1029" width="17.81640625" style="15" bestFit="1" customWidth="1"/>
    <col min="1030" max="1030" width="12.81640625" style="15" customWidth="1"/>
    <col min="1031" max="1031" width="24" style="15" customWidth="1"/>
    <col min="1032" max="1032" width="13.453125" style="15" bestFit="1" customWidth="1"/>
    <col min="1033" max="1033" width="13.81640625" style="15" customWidth="1"/>
    <col min="1034" max="1034" width="13.1796875" style="15" customWidth="1"/>
    <col min="1035" max="1035" width="22.453125" style="15" customWidth="1"/>
    <col min="1036" max="1036" width="18.453125" style="15" customWidth="1"/>
    <col min="1037" max="1037" width="22" style="15" customWidth="1"/>
    <col min="1038" max="1038" width="21.26953125" style="15" customWidth="1"/>
    <col min="1039" max="1039" width="23" style="15" customWidth="1"/>
    <col min="1040" max="1282" width="9.1796875" style="15"/>
    <col min="1283" max="1283" width="6.81640625" style="15" customWidth="1"/>
    <col min="1284" max="1284" width="7" style="15" customWidth="1"/>
    <col min="1285" max="1285" width="17.81640625" style="15" bestFit="1" customWidth="1"/>
    <col min="1286" max="1286" width="12.81640625" style="15" customWidth="1"/>
    <col min="1287" max="1287" width="24" style="15" customWidth="1"/>
    <col min="1288" max="1288" width="13.453125" style="15" bestFit="1" customWidth="1"/>
    <col min="1289" max="1289" width="13.81640625" style="15" customWidth="1"/>
    <col min="1290" max="1290" width="13.1796875" style="15" customWidth="1"/>
    <col min="1291" max="1291" width="22.453125" style="15" customWidth="1"/>
    <col min="1292" max="1292" width="18.453125" style="15" customWidth="1"/>
    <col min="1293" max="1293" width="22" style="15" customWidth="1"/>
    <col min="1294" max="1294" width="21.26953125" style="15" customWidth="1"/>
    <col min="1295" max="1295" width="23" style="15" customWidth="1"/>
    <col min="1296" max="1538" width="9.1796875" style="15"/>
    <col min="1539" max="1539" width="6.81640625" style="15" customWidth="1"/>
    <col min="1540" max="1540" width="7" style="15" customWidth="1"/>
    <col min="1541" max="1541" width="17.81640625" style="15" bestFit="1" customWidth="1"/>
    <col min="1542" max="1542" width="12.81640625" style="15" customWidth="1"/>
    <col min="1543" max="1543" width="24" style="15" customWidth="1"/>
    <col min="1544" max="1544" width="13.453125" style="15" bestFit="1" customWidth="1"/>
    <col min="1545" max="1545" width="13.81640625" style="15" customWidth="1"/>
    <col min="1546" max="1546" width="13.1796875" style="15" customWidth="1"/>
    <col min="1547" max="1547" width="22.453125" style="15" customWidth="1"/>
    <col min="1548" max="1548" width="18.453125" style="15" customWidth="1"/>
    <col min="1549" max="1549" width="22" style="15" customWidth="1"/>
    <col min="1550" max="1550" width="21.26953125" style="15" customWidth="1"/>
    <col min="1551" max="1551" width="23" style="15" customWidth="1"/>
    <col min="1552" max="1794" width="9.1796875" style="15"/>
    <col min="1795" max="1795" width="6.81640625" style="15" customWidth="1"/>
    <col min="1796" max="1796" width="7" style="15" customWidth="1"/>
    <col min="1797" max="1797" width="17.81640625" style="15" bestFit="1" customWidth="1"/>
    <col min="1798" max="1798" width="12.81640625" style="15" customWidth="1"/>
    <col min="1799" max="1799" width="24" style="15" customWidth="1"/>
    <col min="1800" max="1800" width="13.453125" style="15" bestFit="1" customWidth="1"/>
    <col min="1801" max="1801" width="13.81640625" style="15" customWidth="1"/>
    <col min="1802" max="1802" width="13.1796875" style="15" customWidth="1"/>
    <col min="1803" max="1803" width="22.453125" style="15" customWidth="1"/>
    <col min="1804" max="1804" width="18.453125" style="15" customWidth="1"/>
    <col min="1805" max="1805" width="22" style="15" customWidth="1"/>
    <col min="1806" max="1806" width="21.26953125" style="15" customWidth="1"/>
    <col min="1807" max="1807" width="23" style="15" customWidth="1"/>
    <col min="1808" max="2050" width="9.1796875" style="15"/>
    <col min="2051" max="2051" width="6.81640625" style="15" customWidth="1"/>
    <col min="2052" max="2052" width="7" style="15" customWidth="1"/>
    <col min="2053" max="2053" width="17.81640625" style="15" bestFit="1" customWidth="1"/>
    <col min="2054" max="2054" width="12.81640625" style="15" customWidth="1"/>
    <col min="2055" max="2055" width="24" style="15" customWidth="1"/>
    <col min="2056" max="2056" width="13.453125" style="15" bestFit="1" customWidth="1"/>
    <col min="2057" max="2057" width="13.81640625" style="15" customWidth="1"/>
    <col min="2058" max="2058" width="13.1796875" style="15" customWidth="1"/>
    <col min="2059" max="2059" width="22.453125" style="15" customWidth="1"/>
    <col min="2060" max="2060" width="18.453125" style="15" customWidth="1"/>
    <col min="2061" max="2061" width="22" style="15" customWidth="1"/>
    <col min="2062" max="2062" width="21.26953125" style="15" customWidth="1"/>
    <col min="2063" max="2063" width="23" style="15" customWidth="1"/>
    <col min="2064" max="2306" width="9.1796875" style="15"/>
    <col min="2307" max="2307" width="6.81640625" style="15" customWidth="1"/>
    <col min="2308" max="2308" width="7" style="15" customWidth="1"/>
    <col min="2309" max="2309" width="17.81640625" style="15" bestFit="1" customWidth="1"/>
    <col min="2310" max="2310" width="12.81640625" style="15" customWidth="1"/>
    <col min="2311" max="2311" width="24" style="15" customWidth="1"/>
    <col min="2312" max="2312" width="13.453125" style="15" bestFit="1" customWidth="1"/>
    <col min="2313" max="2313" width="13.81640625" style="15" customWidth="1"/>
    <col min="2314" max="2314" width="13.1796875" style="15" customWidth="1"/>
    <col min="2315" max="2315" width="22.453125" style="15" customWidth="1"/>
    <col min="2316" max="2316" width="18.453125" style="15" customWidth="1"/>
    <col min="2317" max="2317" width="22" style="15" customWidth="1"/>
    <col min="2318" max="2318" width="21.26953125" style="15" customWidth="1"/>
    <col min="2319" max="2319" width="23" style="15" customWidth="1"/>
    <col min="2320" max="2562" width="9.1796875" style="15"/>
    <col min="2563" max="2563" width="6.81640625" style="15" customWidth="1"/>
    <col min="2564" max="2564" width="7" style="15" customWidth="1"/>
    <col min="2565" max="2565" width="17.81640625" style="15" bestFit="1" customWidth="1"/>
    <col min="2566" max="2566" width="12.81640625" style="15" customWidth="1"/>
    <col min="2567" max="2567" width="24" style="15" customWidth="1"/>
    <col min="2568" max="2568" width="13.453125" style="15" bestFit="1" customWidth="1"/>
    <col min="2569" max="2569" width="13.81640625" style="15" customWidth="1"/>
    <col min="2570" max="2570" width="13.1796875" style="15" customWidth="1"/>
    <col min="2571" max="2571" width="22.453125" style="15" customWidth="1"/>
    <col min="2572" max="2572" width="18.453125" style="15" customWidth="1"/>
    <col min="2573" max="2573" width="22" style="15" customWidth="1"/>
    <col min="2574" max="2574" width="21.26953125" style="15" customWidth="1"/>
    <col min="2575" max="2575" width="23" style="15" customWidth="1"/>
    <col min="2576" max="2818" width="9.1796875" style="15"/>
    <col min="2819" max="2819" width="6.81640625" style="15" customWidth="1"/>
    <col min="2820" max="2820" width="7" style="15" customWidth="1"/>
    <col min="2821" max="2821" width="17.81640625" style="15" bestFit="1" customWidth="1"/>
    <col min="2822" max="2822" width="12.81640625" style="15" customWidth="1"/>
    <col min="2823" max="2823" width="24" style="15" customWidth="1"/>
    <col min="2824" max="2824" width="13.453125" style="15" bestFit="1" customWidth="1"/>
    <col min="2825" max="2825" width="13.81640625" style="15" customWidth="1"/>
    <col min="2826" max="2826" width="13.1796875" style="15" customWidth="1"/>
    <col min="2827" max="2827" width="22.453125" style="15" customWidth="1"/>
    <col min="2828" max="2828" width="18.453125" style="15" customWidth="1"/>
    <col min="2829" max="2829" width="22" style="15" customWidth="1"/>
    <col min="2830" max="2830" width="21.26953125" style="15" customWidth="1"/>
    <col min="2831" max="2831" width="23" style="15" customWidth="1"/>
    <col min="2832" max="3074" width="9.1796875" style="15"/>
    <col min="3075" max="3075" width="6.81640625" style="15" customWidth="1"/>
    <col min="3076" max="3076" width="7" style="15" customWidth="1"/>
    <col min="3077" max="3077" width="17.81640625" style="15" bestFit="1" customWidth="1"/>
    <col min="3078" max="3078" width="12.81640625" style="15" customWidth="1"/>
    <col min="3079" max="3079" width="24" style="15" customWidth="1"/>
    <col min="3080" max="3080" width="13.453125" style="15" bestFit="1" customWidth="1"/>
    <col min="3081" max="3081" width="13.81640625" style="15" customWidth="1"/>
    <col min="3082" max="3082" width="13.1796875" style="15" customWidth="1"/>
    <col min="3083" max="3083" width="22.453125" style="15" customWidth="1"/>
    <col min="3084" max="3084" width="18.453125" style="15" customWidth="1"/>
    <col min="3085" max="3085" width="22" style="15" customWidth="1"/>
    <col min="3086" max="3086" width="21.26953125" style="15" customWidth="1"/>
    <col min="3087" max="3087" width="23" style="15" customWidth="1"/>
    <col min="3088" max="3330" width="9.1796875" style="15"/>
    <col min="3331" max="3331" width="6.81640625" style="15" customWidth="1"/>
    <col min="3332" max="3332" width="7" style="15" customWidth="1"/>
    <col min="3333" max="3333" width="17.81640625" style="15" bestFit="1" customWidth="1"/>
    <col min="3334" max="3334" width="12.81640625" style="15" customWidth="1"/>
    <col min="3335" max="3335" width="24" style="15" customWidth="1"/>
    <col min="3336" max="3336" width="13.453125" style="15" bestFit="1" customWidth="1"/>
    <col min="3337" max="3337" width="13.81640625" style="15" customWidth="1"/>
    <col min="3338" max="3338" width="13.1796875" style="15" customWidth="1"/>
    <col min="3339" max="3339" width="22.453125" style="15" customWidth="1"/>
    <col min="3340" max="3340" width="18.453125" style="15" customWidth="1"/>
    <col min="3341" max="3341" width="22" style="15" customWidth="1"/>
    <col min="3342" max="3342" width="21.26953125" style="15" customWidth="1"/>
    <col min="3343" max="3343" width="23" style="15" customWidth="1"/>
    <col min="3344" max="3586" width="9.1796875" style="15"/>
    <col min="3587" max="3587" width="6.81640625" style="15" customWidth="1"/>
    <col min="3588" max="3588" width="7" style="15" customWidth="1"/>
    <col min="3589" max="3589" width="17.81640625" style="15" bestFit="1" customWidth="1"/>
    <col min="3590" max="3590" width="12.81640625" style="15" customWidth="1"/>
    <col min="3591" max="3591" width="24" style="15" customWidth="1"/>
    <col min="3592" max="3592" width="13.453125" style="15" bestFit="1" customWidth="1"/>
    <col min="3593" max="3593" width="13.81640625" style="15" customWidth="1"/>
    <col min="3594" max="3594" width="13.1796875" style="15" customWidth="1"/>
    <col min="3595" max="3595" width="22.453125" style="15" customWidth="1"/>
    <col min="3596" max="3596" width="18.453125" style="15" customWidth="1"/>
    <col min="3597" max="3597" width="22" style="15" customWidth="1"/>
    <col min="3598" max="3598" width="21.26953125" style="15" customWidth="1"/>
    <col min="3599" max="3599" width="23" style="15" customWidth="1"/>
    <col min="3600" max="3842" width="9.1796875" style="15"/>
    <col min="3843" max="3843" width="6.81640625" style="15" customWidth="1"/>
    <col min="3844" max="3844" width="7" style="15" customWidth="1"/>
    <col min="3845" max="3845" width="17.81640625" style="15" bestFit="1" customWidth="1"/>
    <col min="3846" max="3846" width="12.81640625" style="15" customWidth="1"/>
    <col min="3847" max="3847" width="24" style="15" customWidth="1"/>
    <col min="3848" max="3848" width="13.453125" style="15" bestFit="1" customWidth="1"/>
    <col min="3849" max="3849" width="13.81640625" style="15" customWidth="1"/>
    <col min="3850" max="3850" width="13.1796875" style="15" customWidth="1"/>
    <col min="3851" max="3851" width="22.453125" style="15" customWidth="1"/>
    <col min="3852" max="3852" width="18.453125" style="15" customWidth="1"/>
    <col min="3853" max="3853" width="22" style="15" customWidth="1"/>
    <col min="3854" max="3854" width="21.26953125" style="15" customWidth="1"/>
    <col min="3855" max="3855" width="23" style="15" customWidth="1"/>
    <col min="3856" max="4098" width="9.1796875" style="15"/>
    <col min="4099" max="4099" width="6.81640625" style="15" customWidth="1"/>
    <col min="4100" max="4100" width="7" style="15" customWidth="1"/>
    <col min="4101" max="4101" width="17.81640625" style="15" bestFit="1" customWidth="1"/>
    <col min="4102" max="4102" width="12.81640625" style="15" customWidth="1"/>
    <col min="4103" max="4103" width="24" style="15" customWidth="1"/>
    <col min="4104" max="4104" width="13.453125" style="15" bestFit="1" customWidth="1"/>
    <col min="4105" max="4105" width="13.81640625" style="15" customWidth="1"/>
    <col min="4106" max="4106" width="13.1796875" style="15" customWidth="1"/>
    <col min="4107" max="4107" width="22.453125" style="15" customWidth="1"/>
    <col min="4108" max="4108" width="18.453125" style="15" customWidth="1"/>
    <col min="4109" max="4109" width="22" style="15" customWidth="1"/>
    <col min="4110" max="4110" width="21.26953125" style="15" customWidth="1"/>
    <col min="4111" max="4111" width="23" style="15" customWidth="1"/>
    <col min="4112" max="4354" width="9.1796875" style="15"/>
    <col min="4355" max="4355" width="6.81640625" style="15" customWidth="1"/>
    <col min="4356" max="4356" width="7" style="15" customWidth="1"/>
    <col min="4357" max="4357" width="17.81640625" style="15" bestFit="1" customWidth="1"/>
    <col min="4358" max="4358" width="12.81640625" style="15" customWidth="1"/>
    <col min="4359" max="4359" width="24" style="15" customWidth="1"/>
    <col min="4360" max="4360" width="13.453125" style="15" bestFit="1" customWidth="1"/>
    <col min="4361" max="4361" width="13.81640625" style="15" customWidth="1"/>
    <col min="4362" max="4362" width="13.1796875" style="15" customWidth="1"/>
    <col min="4363" max="4363" width="22.453125" style="15" customWidth="1"/>
    <col min="4364" max="4364" width="18.453125" style="15" customWidth="1"/>
    <col min="4365" max="4365" width="22" style="15" customWidth="1"/>
    <col min="4366" max="4366" width="21.26953125" style="15" customWidth="1"/>
    <col min="4367" max="4367" width="23" style="15" customWidth="1"/>
    <col min="4368" max="4610" width="9.1796875" style="15"/>
    <col min="4611" max="4611" width="6.81640625" style="15" customWidth="1"/>
    <col min="4612" max="4612" width="7" style="15" customWidth="1"/>
    <col min="4613" max="4613" width="17.81640625" style="15" bestFit="1" customWidth="1"/>
    <col min="4614" max="4614" width="12.81640625" style="15" customWidth="1"/>
    <col min="4615" max="4615" width="24" style="15" customWidth="1"/>
    <col min="4616" max="4616" width="13.453125" style="15" bestFit="1" customWidth="1"/>
    <col min="4617" max="4617" width="13.81640625" style="15" customWidth="1"/>
    <col min="4618" max="4618" width="13.1796875" style="15" customWidth="1"/>
    <col min="4619" max="4619" width="22.453125" style="15" customWidth="1"/>
    <col min="4620" max="4620" width="18.453125" style="15" customWidth="1"/>
    <col min="4621" max="4621" width="22" style="15" customWidth="1"/>
    <col min="4622" max="4622" width="21.26953125" style="15" customWidth="1"/>
    <col min="4623" max="4623" width="23" style="15" customWidth="1"/>
    <col min="4624" max="4866" width="9.1796875" style="15"/>
    <col min="4867" max="4867" width="6.81640625" style="15" customWidth="1"/>
    <col min="4868" max="4868" width="7" style="15" customWidth="1"/>
    <col min="4869" max="4869" width="17.81640625" style="15" bestFit="1" customWidth="1"/>
    <col min="4870" max="4870" width="12.81640625" style="15" customWidth="1"/>
    <col min="4871" max="4871" width="24" style="15" customWidth="1"/>
    <col min="4872" max="4872" width="13.453125" style="15" bestFit="1" customWidth="1"/>
    <col min="4873" max="4873" width="13.81640625" style="15" customWidth="1"/>
    <col min="4874" max="4874" width="13.1796875" style="15" customWidth="1"/>
    <col min="4875" max="4875" width="22.453125" style="15" customWidth="1"/>
    <col min="4876" max="4876" width="18.453125" style="15" customWidth="1"/>
    <col min="4877" max="4877" width="22" style="15" customWidth="1"/>
    <col min="4878" max="4878" width="21.26953125" style="15" customWidth="1"/>
    <col min="4879" max="4879" width="23" style="15" customWidth="1"/>
    <col min="4880" max="5122" width="9.1796875" style="15"/>
    <col min="5123" max="5123" width="6.81640625" style="15" customWidth="1"/>
    <col min="5124" max="5124" width="7" style="15" customWidth="1"/>
    <col min="5125" max="5125" width="17.81640625" style="15" bestFit="1" customWidth="1"/>
    <col min="5126" max="5126" width="12.81640625" style="15" customWidth="1"/>
    <col min="5127" max="5127" width="24" style="15" customWidth="1"/>
    <col min="5128" max="5128" width="13.453125" style="15" bestFit="1" customWidth="1"/>
    <col min="5129" max="5129" width="13.81640625" style="15" customWidth="1"/>
    <col min="5130" max="5130" width="13.1796875" style="15" customWidth="1"/>
    <col min="5131" max="5131" width="22.453125" style="15" customWidth="1"/>
    <col min="5132" max="5132" width="18.453125" style="15" customWidth="1"/>
    <col min="5133" max="5133" width="22" style="15" customWidth="1"/>
    <col min="5134" max="5134" width="21.26953125" style="15" customWidth="1"/>
    <col min="5135" max="5135" width="23" style="15" customWidth="1"/>
    <col min="5136" max="5378" width="9.1796875" style="15"/>
    <col min="5379" max="5379" width="6.81640625" style="15" customWidth="1"/>
    <col min="5380" max="5380" width="7" style="15" customWidth="1"/>
    <col min="5381" max="5381" width="17.81640625" style="15" bestFit="1" customWidth="1"/>
    <col min="5382" max="5382" width="12.81640625" style="15" customWidth="1"/>
    <col min="5383" max="5383" width="24" style="15" customWidth="1"/>
    <col min="5384" max="5384" width="13.453125" style="15" bestFit="1" customWidth="1"/>
    <col min="5385" max="5385" width="13.81640625" style="15" customWidth="1"/>
    <col min="5386" max="5386" width="13.1796875" style="15" customWidth="1"/>
    <col min="5387" max="5387" width="22.453125" style="15" customWidth="1"/>
    <col min="5388" max="5388" width="18.453125" style="15" customWidth="1"/>
    <col min="5389" max="5389" width="22" style="15" customWidth="1"/>
    <col min="5390" max="5390" width="21.26953125" style="15" customWidth="1"/>
    <col min="5391" max="5391" width="23" style="15" customWidth="1"/>
    <col min="5392" max="5634" width="9.1796875" style="15"/>
    <col min="5635" max="5635" width="6.81640625" style="15" customWidth="1"/>
    <col min="5636" max="5636" width="7" style="15" customWidth="1"/>
    <col min="5637" max="5637" width="17.81640625" style="15" bestFit="1" customWidth="1"/>
    <col min="5638" max="5638" width="12.81640625" style="15" customWidth="1"/>
    <col min="5639" max="5639" width="24" style="15" customWidth="1"/>
    <col min="5640" max="5640" width="13.453125" style="15" bestFit="1" customWidth="1"/>
    <col min="5641" max="5641" width="13.81640625" style="15" customWidth="1"/>
    <col min="5642" max="5642" width="13.1796875" style="15" customWidth="1"/>
    <col min="5643" max="5643" width="22.453125" style="15" customWidth="1"/>
    <col min="5644" max="5644" width="18.453125" style="15" customWidth="1"/>
    <col min="5645" max="5645" width="22" style="15" customWidth="1"/>
    <col min="5646" max="5646" width="21.26953125" style="15" customWidth="1"/>
    <col min="5647" max="5647" width="23" style="15" customWidth="1"/>
    <col min="5648" max="5890" width="9.1796875" style="15"/>
    <col min="5891" max="5891" width="6.81640625" style="15" customWidth="1"/>
    <col min="5892" max="5892" width="7" style="15" customWidth="1"/>
    <col min="5893" max="5893" width="17.81640625" style="15" bestFit="1" customWidth="1"/>
    <col min="5894" max="5894" width="12.81640625" style="15" customWidth="1"/>
    <col min="5895" max="5895" width="24" style="15" customWidth="1"/>
    <col min="5896" max="5896" width="13.453125" style="15" bestFit="1" customWidth="1"/>
    <col min="5897" max="5897" width="13.81640625" style="15" customWidth="1"/>
    <col min="5898" max="5898" width="13.1796875" style="15" customWidth="1"/>
    <col min="5899" max="5899" width="22.453125" style="15" customWidth="1"/>
    <col min="5900" max="5900" width="18.453125" style="15" customWidth="1"/>
    <col min="5901" max="5901" width="22" style="15" customWidth="1"/>
    <col min="5902" max="5902" width="21.26953125" style="15" customWidth="1"/>
    <col min="5903" max="5903" width="23" style="15" customWidth="1"/>
    <col min="5904" max="6146" width="9.1796875" style="15"/>
    <col min="6147" max="6147" width="6.81640625" style="15" customWidth="1"/>
    <col min="6148" max="6148" width="7" style="15" customWidth="1"/>
    <col min="6149" max="6149" width="17.81640625" style="15" bestFit="1" customWidth="1"/>
    <col min="6150" max="6150" width="12.81640625" style="15" customWidth="1"/>
    <col min="6151" max="6151" width="24" style="15" customWidth="1"/>
    <col min="6152" max="6152" width="13.453125" style="15" bestFit="1" customWidth="1"/>
    <col min="6153" max="6153" width="13.81640625" style="15" customWidth="1"/>
    <col min="6154" max="6154" width="13.1796875" style="15" customWidth="1"/>
    <col min="6155" max="6155" width="22.453125" style="15" customWidth="1"/>
    <col min="6156" max="6156" width="18.453125" style="15" customWidth="1"/>
    <col min="6157" max="6157" width="22" style="15" customWidth="1"/>
    <col min="6158" max="6158" width="21.26953125" style="15" customWidth="1"/>
    <col min="6159" max="6159" width="23" style="15" customWidth="1"/>
    <col min="6160" max="6402" width="9.1796875" style="15"/>
    <col min="6403" max="6403" width="6.81640625" style="15" customWidth="1"/>
    <col min="6404" max="6404" width="7" style="15" customWidth="1"/>
    <col min="6405" max="6405" width="17.81640625" style="15" bestFit="1" customWidth="1"/>
    <col min="6406" max="6406" width="12.81640625" style="15" customWidth="1"/>
    <col min="6407" max="6407" width="24" style="15" customWidth="1"/>
    <col min="6408" max="6408" width="13.453125" style="15" bestFit="1" customWidth="1"/>
    <col min="6409" max="6409" width="13.81640625" style="15" customWidth="1"/>
    <col min="6410" max="6410" width="13.1796875" style="15" customWidth="1"/>
    <col min="6411" max="6411" width="22.453125" style="15" customWidth="1"/>
    <col min="6412" max="6412" width="18.453125" style="15" customWidth="1"/>
    <col min="6413" max="6413" width="22" style="15" customWidth="1"/>
    <col min="6414" max="6414" width="21.26953125" style="15" customWidth="1"/>
    <col min="6415" max="6415" width="23" style="15" customWidth="1"/>
    <col min="6416" max="6658" width="9.1796875" style="15"/>
    <col min="6659" max="6659" width="6.81640625" style="15" customWidth="1"/>
    <col min="6660" max="6660" width="7" style="15" customWidth="1"/>
    <col min="6661" max="6661" width="17.81640625" style="15" bestFit="1" customWidth="1"/>
    <col min="6662" max="6662" width="12.81640625" style="15" customWidth="1"/>
    <col min="6663" max="6663" width="24" style="15" customWidth="1"/>
    <col min="6664" max="6664" width="13.453125" style="15" bestFit="1" customWidth="1"/>
    <col min="6665" max="6665" width="13.81640625" style="15" customWidth="1"/>
    <col min="6666" max="6666" width="13.1796875" style="15" customWidth="1"/>
    <col min="6667" max="6667" width="22.453125" style="15" customWidth="1"/>
    <col min="6668" max="6668" width="18.453125" style="15" customWidth="1"/>
    <col min="6669" max="6669" width="22" style="15" customWidth="1"/>
    <col min="6670" max="6670" width="21.26953125" style="15" customWidth="1"/>
    <col min="6671" max="6671" width="23" style="15" customWidth="1"/>
    <col min="6672" max="6914" width="9.1796875" style="15"/>
    <col min="6915" max="6915" width="6.81640625" style="15" customWidth="1"/>
    <col min="6916" max="6916" width="7" style="15" customWidth="1"/>
    <col min="6917" max="6917" width="17.81640625" style="15" bestFit="1" customWidth="1"/>
    <col min="6918" max="6918" width="12.81640625" style="15" customWidth="1"/>
    <col min="6919" max="6919" width="24" style="15" customWidth="1"/>
    <col min="6920" max="6920" width="13.453125" style="15" bestFit="1" customWidth="1"/>
    <col min="6921" max="6921" width="13.81640625" style="15" customWidth="1"/>
    <col min="6922" max="6922" width="13.1796875" style="15" customWidth="1"/>
    <col min="6923" max="6923" width="22.453125" style="15" customWidth="1"/>
    <col min="6924" max="6924" width="18.453125" style="15" customWidth="1"/>
    <col min="6925" max="6925" width="22" style="15" customWidth="1"/>
    <col min="6926" max="6926" width="21.26953125" style="15" customWidth="1"/>
    <col min="6927" max="6927" width="23" style="15" customWidth="1"/>
    <col min="6928" max="7170" width="9.1796875" style="15"/>
    <col min="7171" max="7171" width="6.81640625" style="15" customWidth="1"/>
    <col min="7172" max="7172" width="7" style="15" customWidth="1"/>
    <col min="7173" max="7173" width="17.81640625" style="15" bestFit="1" customWidth="1"/>
    <col min="7174" max="7174" width="12.81640625" style="15" customWidth="1"/>
    <col min="7175" max="7175" width="24" style="15" customWidth="1"/>
    <col min="7176" max="7176" width="13.453125" style="15" bestFit="1" customWidth="1"/>
    <col min="7177" max="7177" width="13.81640625" style="15" customWidth="1"/>
    <col min="7178" max="7178" width="13.1796875" style="15" customWidth="1"/>
    <col min="7179" max="7179" width="22.453125" style="15" customWidth="1"/>
    <col min="7180" max="7180" width="18.453125" style="15" customWidth="1"/>
    <col min="7181" max="7181" width="22" style="15" customWidth="1"/>
    <col min="7182" max="7182" width="21.26953125" style="15" customWidth="1"/>
    <col min="7183" max="7183" width="23" style="15" customWidth="1"/>
    <col min="7184" max="7426" width="9.1796875" style="15"/>
    <col min="7427" max="7427" width="6.81640625" style="15" customWidth="1"/>
    <col min="7428" max="7428" width="7" style="15" customWidth="1"/>
    <col min="7429" max="7429" width="17.81640625" style="15" bestFit="1" customWidth="1"/>
    <col min="7430" max="7430" width="12.81640625" style="15" customWidth="1"/>
    <col min="7431" max="7431" width="24" style="15" customWidth="1"/>
    <col min="7432" max="7432" width="13.453125" style="15" bestFit="1" customWidth="1"/>
    <col min="7433" max="7433" width="13.81640625" style="15" customWidth="1"/>
    <col min="7434" max="7434" width="13.1796875" style="15" customWidth="1"/>
    <col min="7435" max="7435" width="22.453125" style="15" customWidth="1"/>
    <col min="7436" max="7436" width="18.453125" style="15" customWidth="1"/>
    <col min="7437" max="7437" width="22" style="15" customWidth="1"/>
    <col min="7438" max="7438" width="21.26953125" style="15" customWidth="1"/>
    <col min="7439" max="7439" width="23" style="15" customWidth="1"/>
    <col min="7440" max="7682" width="9.1796875" style="15"/>
    <col min="7683" max="7683" width="6.81640625" style="15" customWidth="1"/>
    <col min="7684" max="7684" width="7" style="15" customWidth="1"/>
    <col min="7685" max="7685" width="17.81640625" style="15" bestFit="1" customWidth="1"/>
    <col min="7686" max="7686" width="12.81640625" style="15" customWidth="1"/>
    <col min="7687" max="7687" width="24" style="15" customWidth="1"/>
    <col min="7688" max="7688" width="13.453125" style="15" bestFit="1" customWidth="1"/>
    <col min="7689" max="7689" width="13.81640625" style="15" customWidth="1"/>
    <col min="7690" max="7690" width="13.1796875" style="15" customWidth="1"/>
    <col min="7691" max="7691" width="22.453125" style="15" customWidth="1"/>
    <col min="7692" max="7692" width="18.453125" style="15" customWidth="1"/>
    <col min="7693" max="7693" width="22" style="15" customWidth="1"/>
    <col min="7694" max="7694" width="21.26953125" style="15" customWidth="1"/>
    <col min="7695" max="7695" width="23" style="15" customWidth="1"/>
    <col min="7696" max="7938" width="9.1796875" style="15"/>
    <col min="7939" max="7939" width="6.81640625" style="15" customWidth="1"/>
    <col min="7940" max="7940" width="7" style="15" customWidth="1"/>
    <col min="7941" max="7941" width="17.81640625" style="15" bestFit="1" customWidth="1"/>
    <col min="7942" max="7942" width="12.81640625" style="15" customWidth="1"/>
    <col min="7943" max="7943" width="24" style="15" customWidth="1"/>
    <col min="7944" max="7944" width="13.453125" style="15" bestFit="1" customWidth="1"/>
    <col min="7945" max="7945" width="13.81640625" style="15" customWidth="1"/>
    <col min="7946" max="7946" width="13.1796875" style="15" customWidth="1"/>
    <col min="7947" max="7947" width="22.453125" style="15" customWidth="1"/>
    <col min="7948" max="7948" width="18.453125" style="15" customWidth="1"/>
    <col min="7949" max="7949" width="22" style="15" customWidth="1"/>
    <col min="7950" max="7950" width="21.26953125" style="15" customWidth="1"/>
    <col min="7951" max="7951" width="23" style="15" customWidth="1"/>
    <col min="7952" max="8194" width="9.1796875" style="15"/>
    <col min="8195" max="8195" width="6.81640625" style="15" customWidth="1"/>
    <col min="8196" max="8196" width="7" style="15" customWidth="1"/>
    <col min="8197" max="8197" width="17.81640625" style="15" bestFit="1" customWidth="1"/>
    <col min="8198" max="8198" width="12.81640625" style="15" customWidth="1"/>
    <col min="8199" max="8199" width="24" style="15" customWidth="1"/>
    <col min="8200" max="8200" width="13.453125" style="15" bestFit="1" customWidth="1"/>
    <col min="8201" max="8201" width="13.81640625" style="15" customWidth="1"/>
    <col min="8202" max="8202" width="13.1796875" style="15" customWidth="1"/>
    <col min="8203" max="8203" width="22.453125" style="15" customWidth="1"/>
    <col min="8204" max="8204" width="18.453125" style="15" customWidth="1"/>
    <col min="8205" max="8205" width="22" style="15" customWidth="1"/>
    <col min="8206" max="8206" width="21.26953125" style="15" customWidth="1"/>
    <col min="8207" max="8207" width="23" style="15" customWidth="1"/>
    <col min="8208" max="8450" width="9.1796875" style="15"/>
    <col min="8451" max="8451" width="6.81640625" style="15" customWidth="1"/>
    <col min="8452" max="8452" width="7" style="15" customWidth="1"/>
    <col min="8453" max="8453" width="17.81640625" style="15" bestFit="1" customWidth="1"/>
    <col min="8454" max="8454" width="12.81640625" style="15" customWidth="1"/>
    <col min="8455" max="8455" width="24" style="15" customWidth="1"/>
    <col min="8456" max="8456" width="13.453125" style="15" bestFit="1" customWidth="1"/>
    <col min="8457" max="8457" width="13.81640625" style="15" customWidth="1"/>
    <col min="8458" max="8458" width="13.1796875" style="15" customWidth="1"/>
    <col min="8459" max="8459" width="22.453125" style="15" customWidth="1"/>
    <col min="8460" max="8460" width="18.453125" style="15" customWidth="1"/>
    <col min="8461" max="8461" width="22" style="15" customWidth="1"/>
    <col min="8462" max="8462" width="21.26953125" style="15" customWidth="1"/>
    <col min="8463" max="8463" width="23" style="15" customWidth="1"/>
    <col min="8464" max="8706" width="9.1796875" style="15"/>
    <col min="8707" max="8707" width="6.81640625" style="15" customWidth="1"/>
    <col min="8708" max="8708" width="7" style="15" customWidth="1"/>
    <col min="8709" max="8709" width="17.81640625" style="15" bestFit="1" customWidth="1"/>
    <col min="8710" max="8710" width="12.81640625" style="15" customWidth="1"/>
    <col min="8711" max="8711" width="24" style="15" customWidth="1"/>
    <col min="8712" max="8712" width="13.453125" style="15" bestFit="1" customWidth="1"/>
    <col min="8713" max="8713" width="13.81640625" style="15" customWidth="1"/>
    <col min="8714" max="8714" width="13.1796875" style="15" customWidth="1"/>
    <col min="8715" max="8715" width="22.453125" style="15" customWidth="1"/>
    <col min="8716" max="8716" width="18.453125" style="15" customWidth="1"/>
    <col min="8717" max="8717" width="22" style="15" customWidth="1"/>
    <col min="8718" max="8718" width="21.26953125" style="15" customWidth="1"/>
    <col min="8719" max="8719" width="23" style="15" customWidth="1"/>
    <col min="8720" max="8962" width="9.1796875" style="15"/>
    <col min="8963" max="8963" width="6.81640625" style="15" customWidth="1"/>
    <col min="8964" max="8964" width="7" style="15" customWidth="1"/>
    <col min="8965" max="8965" width="17.81640625" style="15" bestFit="1" customWidth="1"/>
    <col min="8966" max="8966" width="12.81640625" style="15" customWidth="1"/>
    <col min="8967" max="8967" width="24" style="15" customWidth="1"/>
    <col min="8968" max="8968" width="13.453125" style="15" bestFit="1" customWidth="1"/>
    <col min="8969" max="8969" width="13.81640625" style="15" customWidth="1"/>
    <col min="8970" max="8970" width="13.1796875" style="15" customWidth="1"/>
    <col min="8971" max="8971" width="22.453125" style="15" customWidth="1"/>
    <col min="8972" max="8972" width="18.453125" style="15" customWidth="1"/>
    <col min="8973" max="8973" width="22" style="15" customWidth="1"/>
    <col min="8974" max="8974" width="21.26953125" style="15" customWidth="1"/>
    <col min="8975" max="8975" width="23" style="15" customWidth="1"/>
    <col min="8976" max="9218" width="9.1796875" style="15"/>
    <col min="9219" max="9219" width="6.81640625" style="15" customWidth="1"/>
    <col min="9220" max="9220" width="7" style="15" customWidth="1"/>
    <col min="9221" max="9221" width="17.81640625" style="15" bestFit="1" customWidth="1"/>
    <col min="9222" max="9222" width="12.81640625" style="15" customWidth="1"/>
    <col min="9223" max="9223" width="24" style="15" customWidth="1"/>
    <col min="9224" max="9224" width="13.453125" style="15" bestFit="1" customWidth="1"/>
    <col min="9225" max="9225" width="13.81640625" style="15" customWidth="1"/>
    <col min="9226" max="9226" width="13.1796875" style="15" customWidth="1"/>
    <col min="9227" max="9227" width="22.453125" style="15" customWidth="1"/>
    <col min="9228" max="9228" width="18.453125" style="15" customWidth="1"/>
    <col min="9229" max="9229" width="22" style="15" customWidth="1"/>
    <col min="9230" max="9230" width="21.26953125" style="15" customWidth="1"/>
    <col min="9231" max="9231" width="23" style="15" customWidth="1"/>
    <col min="9232" max="9474" width="9.1796875" style="15"/>
    <col min="9475" max="9475" width="6.81640625" style="15" customWidth="1"/>
    <col min="9476" max="9476" width="7" style="15" customWidth="1"/>
    <col min="9477" max="9477" width="17.81640625" style="15" bestFit="1" customWidth="1"/>
    <col min="9478" max="9478" width="12.81640625" style="15" customWidth="1"/>
    <col min="9479" max="9479" width="24" style="15" customWidth="1"/>
    <col min="9480" max="9480" width="13.453125" style="15" bestFit="1" customWidth="1"/>
    <col min="9481" max="9481" width="13.81640625" style="15" customWidth="1"/>
    <col min="9482" max="9482" width="13.1796875" style="15" customWidth="1"/>
    <col min="9483" max="9483" width="22.453125" style="15" customWidth="1"/>
    <col min="9484" max="9484" width="18.453125" style="15" customWidth="1"/>
    <col min="9485" max="9485" width="22" style="15" customWidth="1"/>
    <col min="9486" max="9486" width="21.26953125" style="15" customWidth="1"/>
    <col min="9487" max="9487" width="23" style="15" customWidth="1"/>
    <col min="9488" max="9730" width="9.1796875" style="15"/>
    <col min="9731" max="9731" width="6.81640625" style="15" customWidth="1"/>
    <col min="9732" max="9732" width="7" style="15" customWidth="1"/>
    <col min="9733" max="9733" width="17.81640625" style="15" bestFit="1" customWidth="1"/>
    <col min="9734" max="9734" width="12.81640625" style="15" customWidth="1"/>
    <col min="9735" max="9735" width="24" style="15" customWidth="1"/>
    <col min="9736" max="9736" width="13.453125" style="15" bestFit="1" customWidth="1"/>
    <col min="9737" max="9737" width="13.81640625" style="15" customWidth="1"/>
    <col min="9738" max="9738" width="13.1796875" style="15" customWidth="1"/>
    <col min="9739" max="9739" width="22.453125" style="15" customWidth="1"/>
    <col min="9740" max="9740" width="18.453125" style="15" customWidth="1"/>
    <col min="9741" max="9741" width="22" style="15" customWidth="1"/>
    <col min="9742" max="9742" width="21.26953125" style="15" customWidth="1"/>
    <col min="9743" max="9743" width="23" style="15" customWidth="1"/>
    <col min="9744" max="9986" width="9.1796875" style="15"/>
    <col min="9987" max="9987" width="6.81640625" style="15" customWidth="1"/>
    <col min="9988" max="9988" width="7" style="15" customWidth="1"/>
    <col min="9989" max="9989" width="17.81640625" style="15" bestFit="1" customWidth="1"/>
    <col min="9990" max="9990" width="12.81640625" style="15" customWidth="1"/>
    <col min="9991" max="9991" width="24" style="15" customWidth="1"/>
    <col min="9992" max="9992" width="13.453125" style="15" bestFit="1" customWidth="1"/>
    <col min="9993" max="9993" width="13.81640625" style="15" customWidth="1"/>
    <col min="9994" max="9994" width="13.1796875" style="15" customWidth="1"/>
    <col min="9995" max="9995" width="22.453125" style="15" customWidth="1"/>
    <col min="9996" max="9996" width="18.453125" style="15" customWidth="1"/>
    <col min="9997" max="9997" width="22" style="15" customWidth="1"/>
    <col min="9998" max="9998" width="21.26953125" style="15" customWidth="1"/>
    <col min="9999" max="9999" width="23" style="15" customWidth="1"/>
    <col min="10000" max="10242" width="9.1796875" style="15"/>
    <col min="10243" max="10243" width="6.81640625" style="15" customWidth="1"/>
    <col min="10244" max="10244" width="7" style="15" customWidth="1"/>
    <col min="10245" max="10245" width="17.81640625" style="15" bestFit="1" customWidth="1"/>
    <col min="10246" max="10246" width="12.81640625" style="15" customWidth="1"/>
    <col min="10247" max="10247" width="24" style="15" customWidth="1"/>
    <col min="10248" max="10248" width="13.453125" style="15" bestFit="1" customWidth="1"/>
    <col min="10249" max="10249" width="13.81640625" style="15" customWidth="1"/>
    <col min="10250" max="10250" width="13.1796875" style="15" customWidth="1"/>
    <col min="10251" max="10251" width="22.453125" style="15" customWidth="1"/>
    <col min="10252" max="10252" width="18.453125" style="15" customWidth="1"/>
    <col min="10253" max="10253" width="22" style="15" customWidth="1"/>
    <col min="10254" max="10254" width="21.26953125" style="15" customWidth="1"/>
    <col min="10255" max="10255" width="23" style="15" customWidth="1"/>
    <col min="10256" max="10498" width="9.1796875" style="15"/>
    <col min="10499" max="10499" width="6.81640625" style="15" customWidth="1"/>
    <col min="10500" max="10500" width="7" style="15" customWidth="1"/>
    <col min="10501" max="10501" width="17.81640625" style="15" bestFit="1" customWidth="1"/>
    <col min="10502" max="10502" width="12.81640625" style="15" customWidth="1"/>
    <col min="10503" max="10503" width="24" style="15" customWidth="1"/>
    <col min="10504" max="10504" width="13.453125" style="15" bestFit="1" customWidth="1"/>
    <col min="10505" max="10505" width="13.81640625" style="15" customWidth="1"/>
    <col min="10506" max="10506" width="13.1796875" style="15" customWidth="1"/>
    <col min="10507" max="10507" width="22.453125" style="15" customWidth="1"/>
    <col min="10508" max="10508" width="18.453125" style="15" customWidth="1"/>
    <col min="10509" max="10509" width="22" style="15" customWidth="1"/>
    <col min="10510" max="10510" width="21.26953125" style="15" customWidth="1"/>
    <col min="10511" max="10511" width="23" style="15" customWidth="1"/>
    <col min="10512" max="10754" width="9.1796875" style="15"/>
    <col min="10755" max="10755" width="6.81640625" style="15" customWidth="1"/>
    <col min="10756" max="10756" width="7" style="15" customWidth="1"/>
    <col min="10757" max="10757" width="17.81640625" style="15" bestFit="1" customWidth="1"/>
    <col min="10758" max="10758" width="12.81640625" style="15" customWidth="1"/>
    <col min="10759" max="10759" width="24" style="15" customWidth="1"/>
    <col min="10760" max="10760" width="13.453125" style="15" bestFit="1" customWidth="1"/>
    <col min="10761" max="10761" width="13.81640625" style="15" customWidth="1"/>
    <col min="10762" max="10762" width="13.1796875" style="15" customWidth="1"/>
    <col min="10763" max="10763" width="22.453125" style="15" customWidth="1"/>
    <col min="10764" max="10764" width="18.453125" style="15" customWidth="1"/>
    <col min="10765" max="10765" width="22" style="15" customWidth="1"/>
    <col min="10766" max="10766" width="21.26953125" style="15" customWidth="1"/>
    <col min="10767" max="10767" width="23" style="15" customWidth="1"/>
    <col min="10768" max="11010" width="9.1796875" style="15"/>
    <col min="11011" max="11011" width="6.81640625" style="15" customWidth="1"/>
    <col min="11012" max="11012" width="7" style="15" customWidth="1"/>
    <col min="11013" max="11013" width="17.81640625" style="15" bestFit="1" customWidth="1"/>
    <col min="11014" max="11014" width="12.81640625" style="15" customWidth="1"/>
    <col min="11015" max="11015" width="24" style="15" customWidth="1"/>
    <col min="11016" max="11016" width="13.453125" style="15" bestFit="1" customWidth="1"/>
    <col min="11017" max="11017" width="13.81640625" style="15" customWidth="1"/>
    <col min="11018" max="11018" width="13.1796875" style="15" customWidth="1"/>
    <col min="11019" max="11019" width="22.453125" style="15" customWidth="1"/>
    <col min="11020" max="11020" width="18.453125" style="15" customWidth="1"/>
    <col min="11021" max="11021" width="22" style="15" customWidth="1"/>
    <col min="11022" max="11022" width="21.26953125" style="15" customWidth="1"/>
    <col min="11023" max="11023" width="23" style="15" customWidth="1"/>
    <col min="11024" max="11266" width="9.1796875" style="15"/>
    <col min="11267" max="11267" width="6.81640625" style="15" customWidth="1"/>
    <col min="11268" max="11268" width="7" style="15" customWidth="1"/>
    <col min="11269" max="11269" width="17.81640625" style="15" bestFit="1" customWidth="1"/>
    <col min="11270" max="11270" width="12.81640625" style="15" customWidth="1"/>
    <col min="11271" max="11271" width="24" style="15" customWidth="1"/>
    <col min="11272" max="11272" width="13.453125" style="15" bestFit="1" customWidth="1"/>
    <col min="11273" max="11273" width="13.81640625" style="15" customWidth="1"/>
    <col min="11274" max="11274" width="13.1796875" style="15" customWidth="1"/>
    <col min="11275" max="11275" width="22.453125" style="15" customWidth="1"/>
    <col min="11276" max="11276" width="18.453125" style="15" customWidth="1"/>
    <col min="11277" max="11277" width="22" style="15" customWidth="1"/>
    <col min="11278" max="11278" width="21.26953125" style="15" customWidth="1"/>
    <col min="11279" max="11279" width="23" style="15" customWidth="1"/>
    <col min="11280" max="11522" width="9.1796875" style="15"/>
    <col min="11523" max="11523" width="6.81640625" style="15" customWidth="1"/>
    <col min="11524" max="11524" width="7" style="15" customWidth="1"/>
    <col min="11525" max="11525" width="17.81640625" style="15" bestFit="1" customWidth="1"/>
    <col min="11526" max="11526" width="12.81640625" style="15" customWidth="1"/>
    <col min="11527" max="11527" width="24" style="15" customWidth="1"/>
    <col min="11528" max="11528" width="13.453125" style="15" bestFit="1" customWidth="1"/>
    <col min="11529" max="11529" width="13.81640625" style="15" customWidth="1"/>
    <col min="11530" max="11530" width="13.1796875" style="15" customWidth="1"/>
    <col min="11531" max="11531" width="22.453125" style="15" customWidth="1"/>
    <col min="11532" max="11532" width="18.453125" style="15" customWidth="1"/>
    <col min="11533" max="11533" width="22" style="15" customWidth="1"/>
    <col min="11534" max="11534" width="21.26953125" style="15" customWidth="1"/>
    <col min="11535" max="11535" width="23" style="15" customWidth="1"/>
    <col min="11536" max="11778" width="9.1796875" style="15"/>
    <col min="11779" max="11779" width="6.81640625" style="15" customWidth="1"/>
    <col min="11780" max="11780" width="7" style="15" customWidth="1"/>
    <col min="11781" max="11781" width="17.81640625" style="15" bestFit="1" customWidth="1"/>
    <col min="11782" max="11782" width="12.81640625" style="15" customWidth="1"/>
    <col min="11783" max="11783" width="24" style="15" customWidth="1"/>
    <col min="11784" max="11784" width="13.453125" style="15" bestFit="1" customWidth="1"/>
    <col min="11785" max="11785" width="13.81640625" style="15" customWidth="1"/>
    <col min="11786" max="11786" width="13.1796875" style="15" customWidth="1"/>
    <col min="11787" max="11787" width="22.453125" style="15" customWidth="1"/>
    <col min="11788" max="11788" width="18.453125" style="15" customWidth="1"/>
    <col min="11789" max="11789" width="22" style="15" customWidth="1"/>
    <col min="11790" max="11790" width="21.26953125" style="15" customWidth="1"/>
    <col min="11791" max="11791" width="23" style="15" customWidth="1"/>
    <col min="11792" max="12034" width="9.1796875" style="15"/>
    <col min="12035" max="12035" width="6.81640625" style="15" customWidth="1"/>
    <col min="12036" max="12036" width="7" style="15" customWidth="1"/>
    <col min="12037" max="12037" width="17.81640625" style="15" bestFit="1" customWidth="1"/>
    <col min="12038" max="12038" width="12.81640625" style="15" customWidth="1"/>
    <col min="12039" max="12039" width="24" style="15" customWidth="1"/>
    <col min="12040" max="12040" width="13.453125" style="15" bestFit="1" customWidth="1"/>
    <col min="12041" max="12041" width="13.81640625" style="15" customWidth="1"/>
    <col min="12042" max="12042" width="13.1796875" style="15" customWidth="1"/>
    <col min="12043" max="12043" width="22.453125" style="15" customWidth="1"/>
    <col min="12044" max="12044" width="18.453125" style="15" customWidth="1"/>
    <col min="12045" max="12045" width="22" style="15" customWidth="1"/>
    <col min="12046" max="12046" width="21.26953125" style="15" customWidth="1"/>
    <col min="12047" max="12047" width="23" style="15" customWidth="1"/>
    <col min="12048" max="12290" width="9.1796875" style="15"/>
    <col min="12291" max="12291" width="6.81640625" style="15" customWidth="1"/>
    <col min="12292" max="12292" width="7" style="15" customWidth="1"/>
    <col min="12293" max="12293" width="17.81640625" style="15" bestFit="1" customWidth="1"/>
    <col min="12294" max="12294" width="12.81640625" style="15" customWidth="1"/>
    <col min="12295" max="12295" width="24" style="15" customWidth="1"/>
    <col min="12296" max="12296" width="13.453125" style="15" bestFit="1" customWidth="1"/>
    <col min="12297" max="12297" width="13.81640625" style="15" customWidth="1"/>
    <col min="12298" max="12298" width="13.1796875" style="15" customWidth="1"/>
    <col min="12299" max="12299" width="22.453125" style="15" customWidth="1"/>
    <col min="12300" max="12300" width="18.453125" style="15" customWidth="1"/>
    <col min="12301" max="12301" width="22" style="15" customWidth="1"/>
    <col min="12302" max="12302" width="21.26953125" style="15" customWidth="1"/>
    <col min="12303" max="12303" width="23" style="15" customWidth="1"/>
    <col min="12304" max="12546" width="9.1796875" style="15"/>
    <col min="12547" max="12547" width="6.81640625" style="15" customWidth="1"/>
    <col min="12548" max="12548" width="7" style="15" customWidth="1"/>
    <col min="12549" max="12549" width="17.81640625" style="15" bestFit="1" customWidth="1"/>
    <col min="12550" max="12550" width="12.81640625" style="15" customWidth="1"/>
    <col min="12551" max="12551" width="24" style="15" customWidth="1"/>
    <col min="12552" max="12552" width="13.453125" style="15" bestFit="1" customWidth="1"/>
    <col min="12553" max="12553" width="13.81640625" style="15" customWidth="1"/>
    <col min="12554" max="12554" width="13.1796875" style="15" customWidth="1"/>
    <col min="12555" max="12555" width="22.453125" style="15" customWidth="1"/>
    <col min="12556" max="12556" width="18.453125" style="15" customWidth="1"/>
    <col min="12557" max="12557" width="22" style="15" customWidth="1"/>
    <col min="12558" max="12558" width="21.26953125" style="15" customWidth="1"/>
    <col min="12559" max="12559" width="23" style="15" customWidth="1"/>
    <col min="12560" max="12802" width="9.1796875" style="15"/>
    <col min="12803" max="12803" width="6.81640625" style="15" customWidth="1"/>
    <col min="12804" max="12804" width="7" style="15" customWidth="1"/>
    <col min="12805" max="12805" width="17.81640625" style="15" bestFit="1" customWidth="1"/>
    <col min="12806" max="12806" width="12.81640625" style="15" customWidth="1"/>
    <col min="12807" max="12807" width="24" style="15" customWidth="1"/>
    <col min="12808" max="12808" width="13.453125" style="15" bestFit="1" customWidth="1"/>
    <col min="12809" max="12809" width="13.81640625" style="15" customWidth="1"/>
    <col min="12810" max="12810" width="13.1796875" style="15" customWidth="1"/>
    <col min="12811" max="12811" width="22.453125" style="15" customWidth="1"/>
    <col min="12812" max="12812" width="18.453125" style="15" customWidth="1"/>
    <col min="12813" max="12813" width="22" style="15" customWidth="1"/>
    <col min="12814" max="12814" width="21.26953125" style="15" customWidth="1"/>
    <col min="12815" max="12815" width="23" style="15" customWidth="1"/>
    <col min="12816" max="13058" width="9.1796875" style="15"/>
    <col min="13059" max="13059" width="6.81640625" style="15" customWidth="1"/>
    <col min="13060" max="13060" width="7" style="15" customWidth="1"/>
    <col min="13061" max="13061" width="17.81640625" style="15" bestFit="1" customWidth="1"/>
    <col min="13062" max="13062" width="12.81640625" style="15" customWidth="1"/>
    <col min="13063" max="13063" width="24" style="15" customWidth="1"/>
    <col min="13064" max="13064" width="13.453125" style="15" bestFit="1" customWidth="1"/>
    <col min="13065" max="13065" width="13.81640625" style="15" customWidth="1"/>
    <col min="13066" max="13066" width="13.1796875" style="15" customWidth="1"/>
    <col min="13067" max="13067" width="22.453125" style="15" customWidth="1"/>
    <col min="13068" max="13068" width="18.453125" style="15" customWidth="1"/>
    <col min="13069" max="13069" width="22" style="15" customWidth="1"/>
    <col min="13070" max="13070" width="21.26953125" style="15" customWidth="1"/>
    <col min="13071" max="13071" width="23" style="15" customWidth="1"/>
    <col min="13072" max="13314" width="9.1796875" style="15"/>
    <col min="13315" max="13315" width="6.81640625" style="15" customWidth="1"/>
    <col min="13316" max="13316" width="7" style="15" customWidth="1"/>
    <col min="13317" max="13317" width="17.81640625" style="15" bestFit="1" customWidth="1"/>
    <col min="13318" max="13318" width="12.81640625" style="15" customWidth="1"/>
    <col min="13319" max="13319" width="24" style="15" customWidth="1"/>
    <col min="13320" max="13320" width="13.453125" style="15" bestFit="1" customWidth="1"/>
    <col min="13321" max="13321" width="13.81640625" style="15" customWidth="1"/>
    <col min="13322" max="13322" width="13.1796875" style="15" customWidth="1"/>
    <col min="13323" max="13323" width="22.453125" style="15" customWidth="1"/>
    <col min="13324" max="13324" width="18.453125" style="15" customWidth="1"/>
    <col min="13325" max="13325" width="22" style="15" customWidth="1"/>
    <col min="13326" max="13326" width="21.26953125" style="15" customWidth="1"/>
    <col min="13327" max="13327" width="23" style="15" customWidth="1"/>
    <col min="13328" max="13570" width="9.1796875" style="15"/>
    <col min="13571" max="13571" width="6.81640625" style="15" customWidth="1"/>
    <col min="13572" max="13572" width="7" style="15" customWidth="1"/>
    <col min="13573" max="13573" width="17.81640625" style="15" bestFit="1" customWidth="1"/>
    <col min="13574" max="13574" width="12.81640625" style="15" customWidth="1"/>
    <col min="13575" max="13575" width="24" style="15" customWidth="1"/>
    <col min="13576" max="13576" width="13.453125" style="15" bestFit="1" customWidth="1"/>
    <col min="13577" max="13577" width="13.81640625" style="15" customWidth="1"/>
    <col min="13578" max="13578" width="13.1796875" style="15" customWidth="1"/>
    <col min="13579" max="13579" width="22.453125" style="15" customWidth="1"/>
    <col min="13580" max="13580" width="18.453125" style="15" customWidth="1"/>
    <col min="13581" max="13581" width="22" style="15" customWidth="1"/>
    <col min="13582" max="13582" width="21.26953125" style="15" customWidth="1"/>
    <col min="13583" max="13583" width="23" style="15" customWidth="1"/>
    <col min="13584" max="13826" width="9.1796875" style="15"/>
    <col min="13827" max="13827" width="6.81640625" style="15" customWidth="1"/>
    <col min="13828" max="13828" width="7" style="15" customWidth="1"/>
    <col min="13829" max="13829" width="17.81640625" style="15" bestFit="1" customWidth="1"/>
    <col min="13830" max="13830" width="12.81640625" style="15" customWidth="1"/>
    <col min="13831" max="13831" width="24" style="15" customWidth="1"/>
    <col min="13832" max="13832" width="13.453125" style="15" bestFit="1" customWidth="1"/>
    <col min="13833" max="13833" width="13.81640625" style="15" customWidth="1"/>
    <col min="13834" max="13834" width="13.1796875" style="15" customWidth="1"/>
    <col min="13835" max="13835" width="22.453125" style="15" customWidth="1"/>
    <col min="13836" max="13836" width="18.453125" style="15" customWidth="1"/>
    <col min="13837" max="13837" width="22" style="15" customWidth="1"/>
    <col min="13838" max="13838" width="21.26953125" style="15" customWidth="1"/>
    <col min="13839" max="13839" width="23" style="15" customWidth="1"/>
    <col min="13840" max="14082" width="9.1796875" style="15"/>
    <col min="14083" max="14083" width="6.81640625" style="15" customWidth="1"/>
    <col min="14084" max="14084" width="7" style="15" customWidth="1"/>
    <col min="14085" max="14085" width="17.81640625" style="15" bestFit="1" customWidth="1"/>
    <col min="14086" max="14086" width="12.81640625" style="15" customWidth="1"/>
    <col min="14087" max="14087" width="24" style="15" customWidth="1"/>
    <col min="14088" max="14088" width="13.453125" style="15" bestFit="1" customWidth="1"/>
    <col min="14089" max="14089" width="13.81640625" style="15" customWidth="1"/>
    <col min="14090" max="14090" width="13.1796875" style="15" customWidth="1"/>
    <col min="14091" max="14091" width="22.453125" style="15" customWidth="1"/>
    <col min="14092" max="14092" width="18.453125" style="15" customWidth="1"/>
    <col min="14093" max="14093" width="22" style="15" customWidth="1"/>
    <col min="14094" max="14094" width="21.26953125" style="15" customWidth="1"/>
    <col min="14095" max="14095" width="23" style="15" customWidth="1"/>
    <col min="14096" max="14338" width="9.1796875" style="15"/>
    <col min="14339" max="14339" width="6.81640625" style="15" customWidth="1"/>
    <col min="14340" max="14340" width="7" style="15" customWidth="1"/>
    <col min="14341" max="14341" width="17.81640625" style="15" bestFit="1" customWidth="1"/>
    <col min="14342" max="14342" width="12.81640625" style="15" customWidth="1"/>
    <col min="14343" max="14343" width="24" style="15" customWidth="1"/>
    <col min="14344" max="14344" width="13.453125" style="15" bestFit="1" customWidth="1"/>
    <col min="14345" max="14345" width="13.81640625" style="15" customWidth="1"/>
    <col min="14346" max="14346" width="13.1796875" style="15" customWidth="1"/>
    <col min="14347" max="14347" width="22.453125" style="15" customWidth="1"/>
    <col min="14348" max="14348" width="18.453125" style="15" customWidth="1"/>
    <col min="14349" max="14349" width="22" style="15" customWidth="1"/>
    <col min="14350" max="14350" width="21.26953125" style="15" customWidth="1"/>
    <col min="14351" max="14351" width="23" style="15" customWidth="1"/>
    <col min="14352" max="14594" width="9.1796875" style="15"/>
    <col min="14595" max="14595" width="6.81640625" style="15" customWidth="1"/>
    <col min="14596" max="14596" width="7" style="15" customWidth="1"/>
    <col min="14597" max="14597" width="17.81640625" style="15" bestFit="1" customWidth="1"/>
    <col min="14598" max="14598" width="12.81640625" style="15" customWidth="1"/>
    <col min="14599" max="14599" width="24" style="15" customWidth="1"/>
    <col min="14600" max="14600" width="13.453125" style="15" bestFit="1" customWidth="1"/>
    <col min="14601" max="14601" width="13.81640625" style="15" customWidth="1"/>
    <col min="14602" max="14602" width="13.1796875" style="15" customWidth="1"/>
    <col min="14603" max="14603" width="22.453125" style="15" customWidth="1"/>
    <col min="14604" max="14604" width="18.453125" style="15" customWidth="1"/>
    <col min="14605" max="14605" width="22" style="15" customWidth="1"/>
    <col min="14606" max="14606" width="21.26953125" style="15" customWidth="1"/>
    <col min="14607" max="14607" width="23" style="15" customWidth="1"/>
    <col min="14608" max="14850" width="9.1796875" style="15"/>
    <col min="14851" max="14851" width="6.81640625" style="15" customWidth="1"/>
    <col min="14852" max="14852" width="7" style="15" customWidth="1"/>
    <col min="14853" max="14853" width="17.81640625" style="15" bestFit="1" customWidth="1"/>
    <col min="14854" max="14854" width="12.81640625" style="15" customWidth="1"/>
    <col min="14855" max="14855" width="24" style="15" customWidth="1"/>
    <col min="14856" max="14856" width="13.453125" style="15" bestFit="1" customWidth="1"/>
    <col min="14857" max="14857" width="13.81640625" style="15" customWidth="1"/>
    <col min="14858" max="14858" width="13.1796875" style="15" customWidth="1"/>
    <col min="14859" max="14859" width="22.453125" style="15" customWidth="1"/>
    <col min="14860" max="14860" width="18.453125" style="15" customWidth="1"/>
    <col min="14861" max="14861" width="22" style="15" customWidth="1"/>
    <col min="14862" max="14862" width="21.26953125" style="15" customWidth="1"/>
    <col min="14863" max="14863" width="23" style="15" customWidth="1"/>
    <col min="14864" max="15106" width="9.1796875" style="15"/>
    <col min="15107" max="15107" width="6.81640625" style="15" customWidth="1"/>
    <col min="15108" max="15108" width="7" style="15" customWidth="1"/>
    <col min="15109" max="15109" width="17.81640625" style="15" bestFit="1" customWidth="1"/>
    <col min="15110" max="15110" width="12.81640625" style="15" customWidth="1"/>
    <col min="15111" max="15111" width="24" style="15" customWidth="1"/>
    <col min="15112" max="15112" width="13.453125" style="15" bestFit="1" customWidth="1"/>
    <col min="15113" max="15113" width="13.81640625" style="15" customWidth="1"/>
    <col min="15114" max="15114" width="13.1796875" style="15" customWidth="1"/>
    <col min="15115" max="15115" width="22.453125" style="15" customWidth="1"/>
    <col min="15116" max="15116" width="18.453125" style="15" customWidth="1"/>
    <col min="15117" max="15117" width="22" style="15" customWidth="1"/>
    <col min="15118" max="15118" width="21.26953125" style="15" customWidth="1"/>
    <col min="15119" max="15119" width="23" style="15" customWidth="1"/>
    <col min="15120" max="15362" width="9.1796875" style="15"/>
    <col min="15363" max="15363" width="6.81640625" style="15" customWidth="1"/>
    <col min="15364" max="15364" width="7" style="15" customWidth="1"/>
    <col min="15365" max="15365" width="17.81640625" style="15" bestFit="1" customWidth="1"/>
    <col min="15366" max="15366" width="12.81640625" style="15" customWidth="1"/>
    <col min="15367" max="15367" width="24" style="15" customWidth="1"/>
    <col min="15368" max="15368" width="13.453125" style="15" bestFit="1" customWidth="1"/>
    <col min="15369" max="15369" width="13.81640625" style="15" customWidth="1"/>
    <col min="15370" max="15370" width="13.1796875" style="15" customWidth="1"/>
    <col min="15371" max="15371" width="22.453125" style="15" customWidth="1"/>
    <col min="15372" max="15372" width="18.453125" style="15" customWidth="1"/>
    <col min="15373" max="15373" width="22" style="15" customWidth="1"/>
    <col min="15374" max="15374" width="21.26953125" style="15" customWidth="1"/>
    <col min="15375" max="15375" width="23" style="15" customWidth="1"/>
    <col min="15376" max="15618" width="9.1796875" style="15"/>
    <col min="15619" max="15619" width="6.81640625" style="15" customWidth="1"/>
    <col min="15620" max="15620" width="7" style="15" customWidth="1"/>
    <col min="15621" max="15621" width="17.81640625" style="15" bestFit="1" customWidth="1"/>
    <col min="15622" max="15622" width="12.81640625" style="15" customWidth="1"/>
    <col min="15623" max="15623" width="24" style="15" customWidth="1"/>
    <col min="15624" max="15624" width="13.453125" style="15" bestFit="1" customWidth="1"/>
    <col min="15625" max="15625" width="13.81640625" style="15" customWidth="1"/>
    <col min="15626" max="15626" width="13.1796875" style="15" customWidth="1"/>
    <col min="15627" max="15627" width="22.453125" style="15" customWidth="1"/>
    <col min="15628" max="15628" width="18.453125" style="15" customWidth="1"/>
    <col min="15629" max="15629" width="22" style="15" customWidth="1"/>
    <col min="15630" max="15630" width="21.26953125" style="15" customWidth="1"/>
    <col min="15631" max="15631" width="23" style="15" customWidth="1"/>
    <col min="15632" max="15874" width="9.1796875" style="15"/>
    <col min="15875" max="15875" width="6.81640625" style="15" customWidth="1"/>
    <col min="15876" max="15876" width="7" style="15" customWidth="1"/>
    <col min="15877" max="15877" width="17.81640625" style="15" bestFit="1" customWidth="1"/>
    <col min="15878" max="15878" width="12.81640625" style="15" customWidth="1"/>
    <col min="15879" max="15879" width="24" style="15" customWidth="1"/>
    <col min="15880" max="15880" width="13.453125" style="15" bestFit="1" customWidth="1"/>
    <col min="15881" max="15881" width="13.81640625" style="15" customWidth="1"/>
    <col min="15882" max="15882" width="13.1796875" style="15" customWidth="1"/>
    <col min="15883" max="15883" width="22.453125" style="15" customWidth="1"/>
    <col min="15884" max="15884" width="18.453125" style="15" customWidth="1"/>
    <col min="15885" max="15885" width="22" style="15" customWidth="1"/>
    <col min="15886" max="15886" width="21.26953125" style="15" customWidth="1"/>
    <col min="15887" max="15887" width="23" style="15" customWidth="1"/>
    <col min="15888" max="16130" width="9.1796875" style="15"/>
    <col min="16131" max="16131" width="6.81640625" style="15" customWidth="1"/>
    <col min="16132" max="16132" width="7" style="15" customWidth="1"/>
    <col min="16133" max="16133" width="17.81640625" style="15" bestFit="1" customWidth="1"/>
    <col min="16134" max="16134" width="12.81640625" style="15" customWidth="1"/>
    <col min="16135" max="16135" width="24" style="15" customWidth="1"/>
    <col min="16136" max="16136" width="13.453125" style="15" bestFit="1" customWidth="1"/>
    <col min="16137" max="16137" width="13.81640625" style="15" customWidth="1"/>
    <col min="16138" max="16138" width="13.1796875" style="15" customWidth="1"/>
    <col min="16139" max="16139" width="22.453125" style="15" customWidth="1"/>
    <col min="16140" max="16140" width="18.453125" style="15" customWidth="1"/>
    <col min="16141" max="16141" width="22" style="15" customWidth="1"/>
    <col min="16142" max="16142" width="21.26953125" style="15" customWidth="1"/>
    <col min="16143" max="16143" width="23" style="15" customWidth="1"/>
    <col min="16144" max="16384" width="9.1796875" style="15"/>
  </cols>
  <sheetData>
    <row r="1" spans="1:21" x14ac:dyDescent="0.25">
      <c r="D1" s="15"/>
      <c r="E1" s="15"/>
      <c r="F1" s="15"/>
      <c r="G1" s="15"/>
      <c r="H1" s="15"/>
      <c r="I1" s="15"/>
      <c r="J1" s="15"/>
      <c r="K1" s="15"/>
      <c r="L1" s="15"/>
      <c r="M1" s="15"/>
      <c r="N1" s="15"/>
      <c r="O1" s="15"/>
      <c r="P1" s="15"/>
      <c r="Q1" s="15"/>
      <c r="R1" s="15"/>
      <c r="S1" s="15"/>
    </row>
    <row r="2" spans="1:21" x14ac:dyDescent="0.25">
      <c r="D2" s="15"/>
      <c r="E2" s="15"/>
      <c r="F2" s="15"/>
      <c r="G2" s="15"/>
      <c r="H2" s="15"/>
      <c r="I2" s="15"/>
      <c r="J2" s="15"/>
      <c r="K2" s="15"/>
      <c r="L2" s="15"/>
      <c r="M2" s="15"/>
      <c r="N2" s="15"/>
      <c r="O2" s="15"/>
      <c r="P2" s="15"/>
      <c r="Q2" s="15"/>
      <c r="R2" s="15"/>
      <c r="S2" s="15"/>
    </row>
    <row r="3" spans="1:21" x14ac:dyDescent="0.25">
      <c r="C3" s="310"/>
      <c r="D3" s="45"/>
      <c r="E3" s="45"/>
      <c r="F3" s="45"/>
      <c r="G3" s="45"/>
      <c r="H3" s="45"/>
      <c r="I3" s="45"/>
      <c r="J3" s="45"/>
      <c r="K3" s="74"/>
      <c r="L3" s="263" t="s">
        <v>1027</v>
      </c>
      <c r="M3" s="74"/>
      <c r="N3" s="74"/>
      <c r="O3" s="15"/>
      <c r="P3" s="15"/>
      <c r="Q3" s="15"/>
      <c r="R3" s="15"/>
      <c r="S3" s="15"/>
    </row>
    <row r="4" spans="1:21" x14ac:dyDescent="0.25">
      <c r="C4" s="310"/>
      <c r="D4" s="45"/>
      <c r="E4" s="45"/>
      <c r="F4" s="45"/>
      <c r="G4" s="45"/>
      <c r="H4" s="45"/>
      <c r="I4" s="45"/>
      <c r="J4" s="45"/>
      <c r="K4" s="74"/>
      <c r="L4" s="263" t="s">
        <v>826</v>
      </c>
      <c r="M4" s="74"/>
      <c r="N4" s="74"/>
      <c r="O4" s="15"/>
      <c r="P4" s="15"/>
      <c r="Q4" s="15"/>
      <c r="R4" s="15"/>
      <c r="S4" s="15"/>
    </row>
    <row r="5" spans="1:21" x14ac:dyDescent="0.25">
      <c r="C5" s="310"/>
      <c r="D5" s="45"/>
      <c r="E5" s="45"/>
      <c r="F5" s="45"/>
      <c r="G5" s="45"/>
      <c r="H5" s="45"/>
      <c r="I5" s="45"/>
      <c r="J5" s="45"/>
      <c r="K5" s="74"/>
      <c r="L5" s="263" t="s">
        <v>611</v>
      </c>
      <c r="M5" s="74"/>
      <c r="N5" s="74"/>
      <c r="O5" s="15"/>
      <c r="P5" s="15"/>
      <c r="Q5" s="15"/>
      <c r="R5" s="15"/>
      <c r="S5" s="15"/>
    </row>
    <row r="6" spans="1:21" x14ac:dyDescent="0.25">
      <c r="B6" s="34"/>
      <c r="D6" s="34"/>
      <c r="E6" s="34"/>
      <c r="F6" s="34"/>
      <c r="G6" s="34"/>
      <c r="H6" s="34"/>
      <c r="I6" s="34"/>
      <c r="J6" s="34"/>
      <c r="K6" s="120"/>
      <c r="L6" s="17"/>
      <c r="M6" s="17"/>
      <c r="N6" s="17"/>
      <c r="O6" s="15"/>
      <c r="P6" s="15"/>
      <c r="Q6" s="15"/>
      <c r="R6" s="15"/>
      <c r="S6" s="15"/>
    </row>
    <row r="7" spans="1:21" s="262" customFormat="1" ht="15" customHeight="1" x14ac:dyDescent="0.3">
      <c r="A7" s="2208" t="s">
        <v>187</v>
      </c>
      <c r="B7" s="2208" t="s">
        <v>50</v>
      </c>
      <c r="C7" s="2208" t="s">
        <v>634</v>
      </c>
      <c r="D7" s="2172" t="s">
        <v>804</v>
      </c>
      <c r="E7" s="2176"/>
      <c r="F7" s="2173"/>
      <c r="G7" s="2172" t="s">
        <v>186</v>
      </c>
      <c r="H7" s="2176"/>
      <c r="I7" s="2173"/>
      <c r="J7" s="2172" t="s">
        <v>426</v>
      </c>
      <c r="K7" s="2176"/>
      <c r="L7" s="2173"/>
      <c r="M7" s="2180" t="s">
        <v>427</v>
      </c>
      <c r="N7" s="2180"/>
      <c r="O7" s="2180"/>
      <c r="P7" s="2203" t="s">
        <v>428</v>
      </c>
      <c r="Q7" s="2204"/>
      <c r="R7" s="2203" t="s">
        <v>429</v>
      </c>
      <c r="S7" s="2204"/>
      <c r="T7" s="2205" t="s">
        <v>39</v>
      </c>
      <c r="U7" s="261"/>
    </row>
    <row r="8" spans="1:21" s="262" customFormat="1" ht="28" x14ac:dyDescent="0.3">
      <c r="A8" s="2209"/>
      <c r="B8" s="2209"/>
      <c r="C8" s="2209"/>
      <c r="D8" s="318" t="s">
        <v>404</v>
      </c>
      <c r="E8" s="307" t="s">
        <v>405</v>
      </c>
      <c r="F8" s="307" t="s">
        <v>406</v>
      </c>
      <c r="G8" s="318" t="s">
        <v>404</v>
      </c>
      <c r="H8" s="307" t="s">
        <v>405</v>
      </c>
      <c r="I8" s="307" t="s">
        <v>406</v>
      </c>
      <c r="J8" s="318" t="s">
        <v>404</v>
      </c>
      <c r="K8" s="307" t="s">
        <v>405</v>
      </c>
      <c r="L8" s="307" t="s">
        <v>406</v>
      </c>
      <c r="M8" s="250" t="s">
        <v>404</v>
      </c>
      <c r="N8" s="250" t="s">
        <v>72</v>
      </c>
      <c r="O8" s="250" t="s">
        <v>409</v>
      </c>
      <c r="P8" s="308" t="s">
        <v>404</v>
      </c>
      <c r="Q8" s="275" t="s">
        <v>824</v>
      </c>
      <c r="R8" s="308" t="s">
        <v>404</v>
      </c>
      <c r="S8" s="307" t="s">
        <v>824</v>
      </c>
      <c r="T8" s="2206"/>
    </row>
    <row r="9" spans="1:21" x14ac:dyDescent="0.25">
      <c r="A9" s="2210"/>
      <c r="B9" s="2210"/>
      <c r="C9" s="2210"/>
      <c r="D9" s="307" t="s">
        <v>73</v>
      </c>
      <c r="E9" s="307" t="s">
        <v>74</v>
      </c>
      <c r="F9" s="307" t="s">
        <v>806</v>
      </c>
      <c r="G9" s="307" t="s">
        <v>411</v>
      </c>
      <c r="H9" s="307" t="s">
        <v>412</v>
      </c>
      <c r="I9" s="307" t="s">
        <v>439</v>
      </c>
      <c r="J9" s="307" t="s">
        <v>668</v>
      </c>
      <c r="K9" s="307" t="s">
        <v>582</v>
      </c>
      <c r="L9" s="307" t="s">
        <v>675</v>
      </c>
      <c r="M9" s="307" t="s">
        <v>782</v>
      </c>
      <c r="N9" s="307" t="s">
        <v>583</v>
      </c>
      <c r="O9" s="307" t="s">
        <v>589</v>
      </c>
      <c r="P9" s="307" t="s">
        <v>585</v>
      </c>
      <c r="Q9" s="307" t="s">
        <v>761</v>
      </c>
      <c r="R9" s="307" t="s">
        <v>784</v>
      </c>
      <c r="S9" s="307" t="s">
        <v>762</v>
      </c>
      <c r="T9" s="2207"/>
    </row>
    <row r="10" spans="1:21" x14ac:dyDescent="0.3">
      <c r="A10" s="70">
        <v>1</v>
      </c>
      <c r="B10" s="256" t="s">
        <v>646</v>
      </c>
      <c r="C10" s="320"/>
      <c r="D10" s="494"/>
      <c r="E10" s="494"/>
      <c r="F10" s="494">
        <f>E10-D10</f>
        <v>0</v>
      </c>
      <c r="G10" s="494"/>
      <c r="H10" s="494"/>
      <c r="I10" s="494">
        <f>H10-G10</f>
        <v>0</v>
      </c>
      <c r="J10" s="494"/>
      <c r="K10" s="494"/>
      <c r="L10" s="494">
        <f>K10-J10</f>
        <v>0</v>
      </c>
      <c r="M10" s="494"/>
      <c r="N10" s="494"/>
      <c r="O10" s="494">
        <f>N10-M10</f>
        <v>0</v>
      </c>
      <c r="P10" s="494"/>
      <c r="Q10" s="494"/>
      <c r="R10" s="494"/>
      <c r="S10" s="494"/>
      <c r="T10" s="257"/>
    </row>
    <row r="11" spans="1:21" x14ac:dyDescent="0.3">
      <c r="A11" s="69">
        <v>1.1000000000000001</v>
      </c>
      <c r="B11" s="257" t="s">
        <v>40</v>
      </c>
      <c r="C11" s="320" t="s">
        <v>317</v>
      </c>
      <c r="D11" s="494"/>
      <c r="E11" s="494"/>
      <c r="F11" s="494">
        <f t="shared" ref="F11:F61" si="0">E11-D11</f>
        <v>0</v>
      </c>
      <c r="G11" s="494"/>
      <c r="H11" s="494"/>
      <c r="I11" s="494">
        <f t="shared" ref="I11:I61" si="1">H11-G11</f>
        <v>0</v>
      </c>
      <c r="J11" s="494"/>
      <c r="K11" s="494"/>
      <c r="L11" s="494">
        <f t="shared" ref="L11:L61" si="2">K11-J11</f>
        <v>0</v>
      </c>
      <c r="M11" s="494"/>
      <c r="N11" s="494"/>
      <c r="O11" s="494">
        <f>N11-M11</f>
        <v>0</v>
      </c>
      <c r="P11" s="494"/>
      <c r="Q11" s="494"/>
      <c r="R11" s="494"/>
      <c r="S11" s="494"/>
      <c r="T11" s="257"/>
    </row>
    <row r="12" spans="1:21" x14ac:dyDescent="0.3">
      <c r="A12" s="69">
        <v>1.2</v>
      </c>
      <c r="B12" s="257" t="s">
        <v>46</v>
      </c>
      <c r="C12" s="320" t="s">
        <v>317</v>
      </c>
      <c r="D12" s="494"/>
      <c r="E12" s="494"/>
      <c r="F12" s="494">
        <f t="shared" si="0"/>
        <v>0</v>
      </c>
      <c r="G12" s="494"/>
      <c r="H12" s="494"/>
      <c r="I12" s="494">
        <f t="shared" si="1"/>
        <v>0</v>
      </c>
      <c r="J12" s="494"/>
      <c r="K12" s="494"/>
      <c r="L12" s="494">
        <f t="shared" si="2"/>
        <v>0</v>
      </c>
      <c r="M12" s="494"/>
      <c r="N12" s="494"/>
      <c r="O12" s="494">
        <f>N12-M12</f>
        <v>0</v>
      </c>
      <c r="P12" s="494"/>
      <c r="Q12" s="494"/>
      <c r="R12" s="494"/>
      <c r="S12" s="494"/>
      <c r="T12" s="257"/>
    </row>
    <row r="13" spans="1:21" x14ac:dyDescent="0.3">
      <c r="A13" s="69"/>
      <c r="B13" s="257"/>
      <c r="C13" s="320"/>
      <c r="D13" s="494"/>
      <c r="E13" s="494"/>
      <c r="F13" s="494"/>
      <c r="G13" s="494"/>
      <c r="H13" s="494"/>
      <c r="I13" s="494"/>
      <c r="J13" s="494"/>
      <c r="K13" s="494"/>
      <c r="L13" s="494"/>
      <c r="M13" s="494"/>
      <c r="N13" s="494"/>
      <c r="O13" s="494"/>
      <c r="P13" s="494"/>
      <c r="Q13" s="494"/>
      <c r="R13" s="494"/>
      <c r="S13" s="494"/>
      <c r="T13" s="257"/>
    </row>
    <row r="14" spans="1:21" x14ac:dyDescent="0.3">
      <c r="A14" s="70" t="s">
        <v>637</v>
      </c>
      <c r="B14" s="259" t="s">
        <v>635</v>
      </c>
      <c r="C14" s="321" t="s">
        <v>317</v>
      </c>
      <c r="D14" s="494">
        <f>SUM(D11:D12)</f>
        <v>0</v>
      </c>
      <c r="E14" s="494">
        <f>SUM(E11:E12)</f>
        <v>0</v>
      </c>
      <c r="F14" s="494">
        <f t="shared" si="0"/>
        <v>0</v>
      </c>
      <c r="G14" s="494">
        <f>SUM(G11:G12)</f>
        <v>0</v>
      </c>
      <c r="H14" s="494">
        <f>SUM(H11:H12)</f>
        <v>0</v>
      </c>
      <c r="I14" s="494">
        <f t="shared" si="1"/>
        <v>0</v>
      </c>
      <c r="J14" s="494">
        <f>SUM(J11:J12)</f>
        <v>0</v>
      </c>
      <c r="K14" s="494">
        <f>SUM(K11:K12)</f>
        <v>0</v>
      </c>
      <c r="L14" s="494">
        <f t="shared" si="2"/>
        <v>0</v>
      </c>
      <c r="M14" s="494">
        <f>SUM(M11:M12)</f>
        <v>0</v>
      </c>
      <c r="N14" s="494">
        <f>SUM(N11:N12)</f>
        <v>0</v>
      </c>
      <c r="O14" s="494">
        <f t="shared" ref="O14:O22" si="3">N14-M14</f>
        <v>0</v>
      </c>
      <c r="P14" s="494">
        <f>SUM(P11:P12)</f>
        <v>0</v>
      </c>
      <c r="Q14" s="494">
        <f>SUM(Q11:Q12)</f>
        <v>0</v>
      </c>
      <c r="R14" s="494">
        <f>SUM(R11:R12)</f>
        <v>0</v>
      </c>
      <c r="S14" s="494">
        <f>SUM(S11:S12)</f>
        <v>0</v>
      </c>
      <c r="T14" s="257"/>
    </row>
    <row r="15" spans="1:21" x14ac:dyDescent="0.3">
      <c r="A15" s="69">
        <v>2</v>
      </c>
      <c r="B15" s="258" t="s">
        <v>636</v>
      </c>
      <c r="C15" s="320" t="s">
        <v>638</v>
      </c>
      <c r="D15" s="494"/>
      <c r="E15" s="343"/>
      <c r="F15" s="494">
        <f t="shared" si="0"/>
        <v>0</v>
      </c>
      <c r="G15" s="494"/>
      <c r="H15" s="494"/>
      <c r="I15" s="494">
        <f t="shared" si="1"/>
        <v>0</v>
      </c>
      <c r="J15" s="494"/>
      <c r="K15" s="494"/>
      <c r="L15" s="494">
        <f t="shared" si="2"/>
        <v>0</v>
      </c>
      <c r="M15" s="494"/>
      <c r="N15" s="494"/>
      <c r="O15" s="494">
        <f t="shared" si="3"/>
        <v>0</v>
      </c>
      <c r="P15" s="494"/>
      <c r="Q15" s="494"/>
      <c r="R15" s="494"/>
      <c r="S15" s="494"/>
      <c r="T15" s="257"/>
    </row>
    <row r="16" spans="1:21" x14ac:dyDescent="0.3">
      <c r="A16" s="69">
        <v>2.1</v>
      </c>
      <c r="B16" s="258" t="s">
        <v>636</v>
      </c>
      <c r="C16" s="320" t="s">
        <v>317</v>
      </c>
      <c r="D16" s="495">
        <f>D14*(1+D15)</f>
        <v>0</v>
      </c>
      <c r="E16" s="495">
        <f>E14*(1+E15)</f>
        <v>0</v>
      </c>
      <c r="F16" s="494">
        <f t="shared" si="0"/>
        <v>0</v>
      </c>
      <c r="G16" s="495">
        <f>G14*(1+G15)</f>
        <v>0</v>
      </c>
      <c r="H16" s="495">
        <f>H14*(1+H15)</f>
        <v>0</v>
      </c>
      <c r="I16" s="494">
        <f t="shared" si="1"/>
        <v>0</v>
      </c>
      <c r="J16" s="495">
        <f>J14*(1+J15)</f>
        <v>0</v>
      </c>
      <c r="K16" s="495">
        <f>K14*(1+K15)</f>
        <v>0</v>
      </c>
      <c r="L16" s="494">
        <f t="shared" si="2"/>
        <v>0</v>
      </c>
      <c r="M16" s="495">
        <f>M14*(1+M15)</f>
        <v>0</v>
      </c>
      <c r="N16" s="495">
        <f>N14*(1+N15)</f>
        <v>0</v>
      </c>
      <c r="O16" s="494">
        <f t="shared" si="3"/>
        <v>0</v>
      </c>
      <c r="P16" s="495">
        <f>P14*(1+P15)</f>
        <v>0</v>
      </c>
      <c r="Q16" s="495">
        <f>Q14*(1+Q15)</f>
        <v>0</v>
      </c>
      <c r="R16" s="495">
        <f>R14*(1+R15)</f>
        <v>0</v>
      </c>
      <c r="S16" s="495">
        <f>S14*(1+S15)</f>
        <v>0</v>
      </c>
      <c r="T16" s="257"/>
    </row>
    <row r="17" spans="1:20" x14ac:dyDescent="0.3">
      <c r="A17" s="70">
        <v>3</v>
      </c>
      <c r="B17" s="259" t="s">
        <v>647</v>
      </c>
      <c r="C17" s="321" t="s">
        <v>317</v>
      </c>
      <c r="D17" s="494">
        <f>D14+D16</f>
        <v>0</v>
      </c>
      <c r="E17" s="494">
        <f>E14+E16</f>
        <v>0</v>
      </c>
      <c r="F17" s="494">
        <f t="shared" si="0"/>
        <v>0</v>
      </c>
      <c r="G17" s="494">
        <f>G14+G16</f>
        <v>0</v>
      </c>
      <c r="H17" s="494">
        <f>H14+H16</f>
        <v>0</v>
      </c>
      <c r="I17" s="494">
        <f t="shared" si="1"/>
        <v>0</v>
      </c>
      <c r="J17" s="494">
        <f>J14+J16</f>
        <v>0</v>
      </c>
      <c r="K17" s="494">
        <f>K14+K16</f>
        <v>0</v>
      </c>
      <c r="L17" s="494">
        <f t="shared" si="2"/>
        <v>0</v>
      </c>
      <c r="M17" s="494">
        <f>M14+M16</f>
        <v>0</v>
      </c>
      <c r="N17" s="494">
        <f>N14+N16</f>
        <v>0</v>
      </c>
      <c r="O17" s="494">
        <f t="shared" si="3"/>
        <v>0</v>
      </c>
      <c r="P17" s="494">
        <f>P14+P16</f>
        <v>0</v>
      </c>
      <c r="Q17" s="494">
        <f>Q14+Q16</f>
        <v>0</v>
      </c>
      <c r="R17" s="494">
        <f>R14+R16</f>
        <v>0</v>
      </c>
      <c r="S17" s="494">
        <f>S14+S16</f>
        <v>0</v>
      </c>
      <c r="T17" s="257"/>
    </row>
    <row r="18" spans="1:20" x14ac:dyDescent="0.3">
      <c r="A18" s="70"/>
      <c r="B18" s="258"/>
      <c r="C18" s="320"/>
      <c r="D18" s="494"/>
      <c r="E18" s="494"/>
      <c r="F18" s="494">
        <f t="shared" si="0"/>
        <v>0</v>
      </c>
      <c r="G18" s="494"/>
      <c r="H18" s="494"/>
      <c r="I18" s="494">
        <f t="shared" si="1"/>
        <v>0</v>
      </c>
      <c r="J18" s="494"/>
      <c r="K18" s="494"/>
      <c r="L18" s="494">
        <f t="shared" si="2"/>
        <v>0</v>
      </c>
      <c r="M18" s="494"/>
      <c r="N18" s="494"/>
      <c r="O18" s="494">
        <f t="shared" si="3"/>
        <v>0</v>
      </c>
      <c r="P18" s="494"/>
      <c r="Q18" s="494"/>
      <c r="R18" s="494"/>
      <c r="S18" s="494"/>
      <c r="T18" s="257"/>
    </row>
    <row r="19" spans="1:20" x14ac:dyDescent="0.3">
      <c r="A19" s="69">
        <v>4</v>
      </c>
      <c r="B19" s="259" t="s">
        <v>639</v>
      </c>
      <c r="C19" s="320"/>
      <c r="D19" s="494"/>
      <c r="E19" s="494"/>
      <c r="F19" s="494">
        <f t="shared" si="0"/>
        <v>0</v>
      </c>
      <c r="G19" s="494"/>
      <c r="H19" s="494"/>
      <c r="I19" s="494">
        <f t="shared" si="1"/>
        <v>0</v>
      </c>
      <c r="J19" s="494"/>
      <c r="K19" s="494"/>
      <c r="L19" s="494">
        <f t="shared" si="2"/>
        <v>0</v>
      </c>
      <c r="M19" s="494"/>
      <c r="N19" s="494"/>
      <c r="O19" s="494">
        <f t="shared" si="3"/>
        <v>0</v>
      </c>
      <c r="P19" s="494"/>
      <c r="Q19" s="494"/>
      <c r="R19" s="494"/>
      <c r="S19" s="494"/>
      <c r="T19" s="257"/>
    </row>
    <row r="20" spans="1:20" x14ac:dyDescent="0.3">
      <c r="A20" s="69">
        <f>A19+0.01</f>
        <v>4.01</v>
      </c>
      <c r="B20" s="258" t="s">
        <v>922</v>
      </c>
      <c r="C20" s="320" t="s">
        <v>317</v>
      </c>
      <c r="D20" s="494">
        <v>3521.45</v>
      </c>
      <c r="E20" s="494">
        <f>'F2'!G33</f>
        <v>3446.560628745</v>
      </c>
      <c r="F20" s="494">
        <f t="shared" si="0"/>
        <v>-74.889371254999787</v>
      </c>
      <c r="G20" s="494">
        <v>3588.43</v>
      </c>
      <c r="H20" s="494">
        <f>'F2'!G92</f>
        <v>3085.2293190600008</v>
      </c>
      <c r="I20" s="494">
        <f t="shared" si="1"/>
        <v>-503.20068093999907</v>
      </c>
      <c r="J20" s="494">
        <f>3656.63</f>
        <v>3656.63</v>
      </c>
      <c r="K20" s="494">
        <f>'F2'!G151</f>
        <v>3284.7378000000008</v>
      </c>
      <c r="L20" s="494">
        <f t="shared" si="2"/>
        <v>-371.89219999999932</v>
      </c>
      <c r="M20" s="494">
        <v>3510.94</v>
      </c>
      <c r="N20" s="494">
        <f>'F2'!G233</f>
        <v>3247.944926822438</v>
      </c>
      <c r="O20" s="494">
        <f t="shared" si="3"/>
        <v>-262.99507317756206</v>
      </c>
      <c r="P20" s="494">
        <v>3443.9</v>
      </c>
      <c r="Q20" s="494">
        <f>'F2'!G351</f>
        <v>2661.004478412041</v>
      </c>
      <c r="R20" s="494">
        <v>3355.21</v>
      </c>
      <c r="S20" s="494">
        <f>'F2'!G390</f>
        <v>742.99999999999989</v>
      </c>
      <c r="T20" s="257"/>
    </row>
    <row r="21" spans="1:20" x14ac:dyDescent="0.3">
      <c r="A21" s="69">
        <f>A20+0.01</f>
        <v>4.0199999999999996</v>
      </c>
      <c r="B21" s="258" t="s">
        <v>1213</v>
      </c>
      <c r="C21" s="320" t="s">
        <v>317</v>
      </c>
      <c r="D21" s="494">
        <v>31.5</v>
      </c>
      <c r="E21" s="494">
        <f>'F2'!G34</f>
        <v>32.250000119999996</v>
      </c>
      <c r="F21" s="494">
        <f t="shared" si="0"/>
        <v>0.75000011999999572</v>
      </c>
      <c r="G21" s="494">
        <v>31.5</v>
      </c>
      <c r="H21" s="494">
        <f>'F2'!G94</f>
        <v>31.910036020000003</v>
      </c>
      <c r="I21" s="494">
        <f t="shared" si="1"/>
        <v>0.41003602000000328</v>
      </c>
      <c r="J21" s="494">
        <v>31.5</v>
      </c>
      <c r="K21" s="494">
        <f>'F2'!G152</f>
        <v>31.616465640000001</v>
      </c>
      <c r="L21" s="494">
        <f t="shared" si="2"/>
        <v>0.11646564000000126</v>
      </c>
      <c r="M21" s="494">
        <v>31.5</v>
      </c>
      <c r="N21" s="494">
        <f>'F2'!G234</f>
        <v>31.496233149999998</v>
      </c>
      <c r="O21" s="494">
        <f t="shared" si="3"/>
        <v>-3.7668500000016536E-3</v>
      </c>
      <c r="P21" s="494">
        <v>31.5</v>
      </c>
      <c r="Q21" s="494">
        <f>'F2'!G352</f>
        <v>31.504939199999995</v>
      </c>
      <c r="R21" s="494">
        <v>31.5</v>
      </c>
      <c r="S21" s="494">
        <f>'F2'!G391</f>
        <v>31.504799999999996</v>
      </c>
      <c r="T21" s="257"/>
    </row>
    <row r="22" spans="1:20" x14ac:dyDescent="0.3">
      <c r="A22" s="69">
        <f t="shared" ref="A22:A35" si="4">A21+0.01</f>
        <v>4.0299999999999994</v>
      </c>
      <c r="B22" s="258" t="s">
        <v>1438</v>
      </c>
      <c r="C22" s="320" t="s">
        <v>317</v>
      </c>
      <c r="D22" s="494">
        <v>0</v>
      </c>
      <c r="E22" s="494">
        <f>'F2'!G35</f>
        <v>64.206000000000003</v>
      </c>
      <c r="F22" s="494">
        <f t="shared" si="0"/>
        <v>64.206000000000003</v>
      </c>
      <c r="G22" s="494">
        <v>744.6</v>
      </c>
      <c r="H22" s="494">
        <f>'F2'!G95</f>
        <v>846.41312499999992</v>
      </c>
      <c r="I22" s="494"/>
      <c r="J22" s="494">
        <v>744.6</v>
      </c>
      <c r="K22" s="494">
        <f>'F2'!G153</f>
        <v>720.08300700000007</v>
      </c>
      <c r="L22" s="494"/>
      <c r="M22" s="494">
        <v>744.6</v>
      </c>
      <c r="N22" s="494">
        <f>'F2'!G237</f>
        <v>744.6</v>
      </c>
      <c r="O22" s="494">
        <f t="shared" si="3"/>
        <v>0</v>
      </c>
      <c r="P22" s="494">
        <v>744.6</v>
      </c>
      <c r="Q22" s="494">
        <f>'F2'!G355</f>
        <v>744.6</v>
      </c>
      <c r="R22" s="494">
        <v>744.6</v>
      </c>
      <c r="S22" s="494">
        <f>'F2'!G394</f>
        <v>744.6</v>
      </c>
      <c r="T22" s="257"/>
    </row>
    <row r="23" spans="1:20" x14ac:dyDescent="0.3">
      <c r="A23" s="69">
        <f t="shared" si="4"/>
        <v>4.0399999999999991</v>
      </c>
      <c r="B23" s="258" t="s">
        <v>1630</v>
      </c>
      <c r="C23" s="320" t="s">
        <v>317</v>
      </c>
      <c r="D23" s="494"/>
      <c r="E23" s="494"/>
      <c r="F23" s="494">
        <f t="shared" si="0"/>
        <v>0</v>
      </c>
      <c r="G23" s="494"/>
      <c r="H23" s="494"/>
      <c r="I23" s="494"/>
      <c r="J23" s="494"/>
      <c r="K23" s="494"/>
      <c r="L23" s="494"/>
      <c r="M23" s="494"/>
      <c r="N23" s="494"/>
      <c r="O23" s="494"/>
      <c r="P23" s="494"/>
      <c r="Q23" s="494">
        <f>'F2'!G356</f>
        <v>185.64000000000001</v>
      </c>
      <c r="R23" s="494"/>
      <c r="S23" s="494">
        <f>'F2'!G395</f>
        <v>744.6</v>
      </c>
      <c r="T23" s="257"/>
    </row>
    <row r="24" spans="1:20" x14ac:dyDescent="0.3">
      <c r="A24" s="69">
        <f t="shared" si="4"/>
        <v>4.0499999999999989</v>
      </c>
      <c r="B24" s="258" t="s">
        <v>1214</v>
      </c>
      <c r="C24" s="320" t="s">
        <v>317</v>
      </c>
      <c r="D24" s="494">
        <v>1418.5</v>
      </c>
      <c r="E24" s="494">
        <f>SUM('F2'!G39:G42)</f>
        <v>647.15256449999993</v>
      </c>
      <c r="F24" s="494">
        <f t="shared" si="0"/>
        <v>-771.34743550000007</v>
      </c>
      <c r="G24" s="494">
        <v>640.79999999999995</v>
      </c>
      <c r="H24" s="494">
        <f>SUM('F2'!G98:G102)</f>
        <v>114.55040105849997</v>
      </c>
      <c r="I24" s="494">
        <f t="shared" si="1"/>
        <v>-526.24959894149993</v>
      </c>
      <c r="J24" s="494">
        <v>615.84</v>
      </c>
      <c r="K24" s="494">
        <f>SUM('F2'!G157:G160)</f>
        <v>309.07245188500002</v>
      </c>
      <c r="L24" s="494">
        <f t="shared" si="2"/>
        <v>-306.76754811500001</v>
      </c>
      <c r="M24" s="494">
        <v>0</v>
      </c>
      <c r="N24" s="494">
        <f>SUM('F2'!G240:G243)</f>
        <v>745.42903839924986</v>
      </c>
      <c r="O24" s="494">
        <f>N24-M24</f>
        <v>745.42903839924986</v>
      </c>
      <c r="P24" s="494">
        <v>0</v>
      </c>
      <c r="Q24" s="494">
        <f>'F2'!G362</f>
        <v>279.31317475843468</v>
      </c>
      <c r="R24" s="494">
        <v>0</v>
      </c>
      <c r="S24" s="494">
        <f ca="1">'F2'!G404</f>
        <v>638.89605985781566</v>
      </c>
      <c r="T24" s="257"/>
    </row>
    <row r="25" spans="1:20" x14ac:dyDescent="0.3">
      <c r="A25" s="69">
        <f t="shared" si="4"/>
        <v>4.0599999999999987</v>
      </c>
      <c r="B25" s="258" t="s">
        <v>1218</v>
      </c>
      <c r="C25" s="320" t="s">
        <v>317</v>
      </c>
      <c r="D25" s="494">
        <v>0</v>
      </c>
      <c r="E25" s="494">
        <v>0</v>
      </c>
      <c r="F25" s="494">
        <f t="shared" si="0"/>
        <v>0</v>
      </c>
      <c r="G25" s="494">
        <v>0</v>
      </c>
      <c r="H25" s="494"/>
      <c r="I25" s="494">
        <f t="shared" si="1"/>
        <v>0</v>
      </c>
      <c r="J25" s="494">
        <v>0</v>
      </c>
      <c r="K25" s="494">
        <f>'F2'!G163+'F2'!G164</f>
        <v>19.792439999999999</v>
      </c>
      <c r="L25" s="494">
        <f t="shared" si="2"/>
        <v>19.792439999999999</v>
      </c>
      <c r="M25" s="494">
        <v>307.74</v>
      </c>
      <c r="N25" s="494">
        <f>'F2'!G245</f>
        <v>113.83564606280898</v>
      </c>
      <c r="O25" s="494">
        <f>N25-M25</f>
        <v>-193.90435393719105</v>
      </c>
      <c r="P25" s="494">
        <v>417.12</v>
      </c>
      <c r="Q25" s="494">
        <f>'F2'!G359</f>
        <v>202.84998717230877</v>
      </c>
      <c r="R25" s="494">
        <v>549.04999999999995</v>
      </c>
      <c r="S25" s="494">
        <f>'F2'!G398</f>
        <v>304.50000000000006</v>
      </c>
      <c r="T25" s="257"/>
    </row>
    <row r="26" spans="1:20" x14ac:dyDescent="0.3">
      <c r="A26" s="69">
        <f t="shared" si="4"/>
        <v>4.0699999999999985</v>
      </c>
      <c r="B26" s="258" t="s">
        <v>1215</v>
      </c>
      <c r="C26" s="320" t="s">
        <v>317</v>
      </c>
      <c r="D26" s="494">
        <v>68</v>
      </c>
      <c r="E26" s="494">
        <f>'F2'!G43</f>
        <v>58.9526106422</v>
      </c>
      <c r="F26" s="494">
        <f t="shared" si="0"/>
        <v>-9.0473893578000002</v>
      </c>
      <c r="G26" s="494">
        <v>0</v>
      </c>
      <c r="H26" s="494">
        <f>'F2'!G103</f>
        <v>0</v>
      </c>
      <c r="I26" s="494">
        <f t="shared" si="1"/>
        <v>0</v>
      </c>
      <c r="J26" s="494">
        <v>0</v>
      </c>
      <c r="K26" s="494">
        <f>'F2'!G162+'F2'!G163</f>
        <v>0.57199</v>
      </c>
      <c r="L26" s="494">
        <f t="shared" si="2"/>
        <v>0.57199</v>
      </c>
      <c r="M26" s="494">
        <v>500.37</v>
      </c>
      <c r="N26" s="494">
        <f>'F2'!G244</f>
        <v>20.555253937191047</v>
      </c>
      <c r="O26" s="494">
        <f>N26-M26</f>
        <v>-479.81474606280898</v>
      </c>
      <c r="P26" s="494">
        <v>505.87</v>
      </c>
      <c r="Q26" s="494">
        <f>'F2'!G360</f>
        <v>222.15090909091001</v>
      </c>
      <c r="R26" s="494">
        <v>511.49</v>
      </c>
      <c r="S26" s="494">
        <f>'F2'!G399</f>
        <v>333.49999999999994</v>
      </c>
      <c r="T26" s="257"/>
    </row>
    <row r="27" spans="1:20" x14ac:dyDescent="0.3">
      <c r="A27" s="69">
        <f t="shared" si="4"/>
        <v>4.0799999999999983</v>
      </c>
      <c r="B27" s="258" t="s">
        <v>1633</v>
      </c>
      <c r="C27" s="320" t="s">
        <v>317</v>
      </c>
      <c r="D27" s="494"/>
      <c r="E27" s="494"/>
      <c r="F27" s="494">
        <f t="shared" si="0"/>
        <v>0</v>
      </c>
      <c r="G27" s="494"/>
      <c r="H27" s="494"/>
      <c r="I27" s="494"/>
      <c r="J27" s="494"/>
      <c r="K27" s="494"/>
      <c r="L27" s="494"/>
      <c r="M27" s="494"/>
      <c r="N27" s="494"/>
      <c r="O27" s="494"/>
      <c r="P27" s="494"/>
      <c r="Q27" s="494">
        <f>'F2'!G361</f>
        <v>622.20000000000005</v>
      </c>
      <c r="R27" s="494"/>
      <c r="S27" s="494">
        <f ca="1">'F2'!G400</f>
        <v>786.1500000000002</v>
      </c>
      <c r="T27" s="257"/>
    </row>
    <row r="28" spans="1:20" x14ac:dyDescent="0.3">
      <c r="A28" s="69">
        <f t="shared" si="4"/>
        <v>4.0899999999999981</v>
      </c>
      <c r="B28" s="258" t="s">
        <v>1816</v>
      </c>
      <c r="C28" s="320" t="s">
        <v>317</v>
      </c>
      <c r="D28" s="494"/>
      <c r="E28" s="494"/>
      <c r="F28" s="494"/>
      <c r="G28" s="494"/>
      <c r="H28" s="494"/>
      <c r="I28" s="494"/>
      <c r="J28" s="494"/>
      <c r="K28" s="494"/>
      <c r="L28" s="494"/>
      <c r="M28" s="494"/>
      <c r="N28" s="494"/>
      <c r="O28" s="494"/>
      <c r="P28" s="494"/>
      <c r="Q28" s="494"/>
      <c r="R28" s="494"/>
      <c r="S28" s="494">
        <f>'F2'!G401</f>
        <v>123.99634548000002</v>
      </c>
      <c r="T28" s="257"/>
    </row>
    <row r="29" spans="1:20" x14ac:dyDescent="0.3">
      <c r="A29" s="69">
        <f t="shared" si="4"/>
        <v>4.0999999999999979</v>
      </c>
      <c r="B29" s="258" t="s">
        <v>1817</v>
      </c>
      <c r="C29" s="320" t="s">
        <v>317</v>
      </c>
      <c r="D29" s="494"/>
      <c r="E29" s="494"/>
      <c r="F29" s="494"/>
      <c r="G29" s="494"/>
      <c r="H29" s="494"/>
      <c r="I29" s="494"/>
      <c r="J29" s="494"/>
      <c r="K29" s="494"/>
      <c r="L29" s="494"/>
      <c r="M29" s="494"/>
      <c r="N29" s="494"/>
      <c r="O29" s="494"/>
      <c r="P29" s="494"/>
      <c r="Q29" s="494"/>
      <c r="R29" s="494"/>
      <c r="S29" s="494">
        <f>'F2'!G402</f>
        <v>46.997681303999997</v>
      </c>
      <c r="T29" s="257"/>
    </row>
    <row r="30" spans="1:20" x14ac:dyDescent="0.3">
      <c r="A30" s="69">
        <f t="shared" si="4"/>
        <v>4.1099999999999977</v>
      </c>
      <c r="B30" s="258" t="s">
        <v>1814</v>
      </c>
      <c r="C30" s="320" t="s">
        <v>317</v>
      </c>
      <c r="D30" s="494"/>
      <c r="E30" s="494"/>
      <c r="F30" s="494"/>
      <c r="G30" s="494"/>
      <c r="H30" s="494"/>
      <c r="I30" s="494"/>
      <c r="J30" s="494"/>
      <c r="K30" s="494"/>
      <c r="L30" s="494"/>
      <c r="M30" s="494"/>
      <c r="N30" s="494"/>
      <c r="O30" s="494"/>
      <c r="P30" s="494"/>
      <c r="Q30" s="494"/>
      <c r="R30" s="494"/>
      <c r="S30" s="494">
        <f>'F2'!G403</f>
        <v>492.99983999999995</v>
      </c>
      <c r="T30" s="257"/>
    </row>
    <row r="31" spans="1:20" x14ac:dyDescent="0.3">
      <c r="A31" s="69">
        <f t="shared" si="4"/>
        <v>4.1199999999999974</v>
      </c>
      <c r="B31" s="258" t="s">
        <v>1216</v>
      </c>
      <c r="C31" s="320" t="s">
        <v>317</v>
      </c>
      <c r="D31" s="494">
        <v>144.41</v>
      </c>
      <c r="E31" s="494">
        <f>'F2'!G46</f>
        <v>136.69</v>
      </c>
      <c r="F31" s="494">
        <f t="shared" si="0"/>
        <v>-7.7199999999999989</v>
      </c>
      <c r="G31" s="494">
        <v>156.33000000000001</v>
      </c>
      <c r="H31" s="494">
        <f>'F2'!G106</f>
        <v>0</v>
      </c>
      <c r="I31" s="494">
        <f t="shared" si="1"/>
        <v>-156.33000000000001</v>
      </c>
      <c r="J31" s="494">
        <v>220.87</v>
      </c>
      <c r="K31" s="494">
        <f>'F2'!G170</f>
        <v>0</v>
      </c>
      <c r="L31" s="494">
        <f t="shared" si="2"/>
        <v>-220.87</v>
      </c>
      <c r="M31" s="494">
        <v>0</v>
      </c>
      <c r="N31" s="494"/>
      <c r="O31" s="494">
        <f>N31-M31</f>
        <v>0</v>
      </c>
      <c r="P31" s="494">
        <v>0</v>
      </c>
      <c r="Q31" s="494"/>
      <c r="R31" s="494">
        <v>0</v>
      </c>
      <c r="S31" s="494"/>
      <c r="T31" s="257"/>
    </row>
    <row r="32" spans="1:20" x14ac:dyDescent="0.3">
      <c r="A32" s="69">
        <f t="shared" si="4"/>
        <v>4.1299999999999972</v>
      </c>
      <c r="B32" s="258" t="s">
        <v>1217</v>
      </c>
      <c r="C32" s="320" t="s">
        <v>317</v>
      </c>
      <c r="D32" s="494">
        <v>504.65</v>
      </c>
      <c r="E32" s="494">
        <f>'F2'!G47</f>
        <v>513</v>
      </c>
      <c r="F32" s="494">
        <f t="shared" si="0"/>
        <v>8.3500000000000227</v>
      </c>
      <c r="G32" s="494">
        <v>490.04</v>
      </c>
      <c r="H32" s="494">
        <f>'F2'!G107</f>
        <v>0</v>
      </c>
      <c r="I32" s="494">
        <f t="shared" si="1"/>
        <v>-490.04</v>
      </c>
      <c r="J32" s="494">
        <v>495.02</v>
      </c>
      <c r="K32" s="494">
        <f>'F2'!G171</f>
        <v>0</v>
      </c>
      <c r="L32" s="494">
        <f t="shared" si="2"/>
        <v>-495.02</v>
      </c>
      <c r="M32" s="494">
        <v>0</v>
      </c>
      <c r="N32" s="494"/>
      <c r="O32" s="494">
        <f>N32-M32</f>
        <v>0</v>
      </c>
      <c r="P32" s="494">
        <v>0</v>
      </c>
      <c r="Q32" s="494"/>
      <c r="R32" s="494">
        <v>0</v>
      </c>
      <c r="S32" s="494"/>
      <c r="T32" s="257"/>
    </row>
    <row r="33" spans="1:20" x14ac:dyDescent="0.3">
      <c r="A33" s="69">
        <f t="shared" si="4"/>
        <v>4.139999999999997</v>
      </c>
      <c r="B33" s="3" t="s">
        <v>1340</v>
      </c>
      <c r="C33" s="320" t="s">
        <v>317</v>
      </c>
      <c r="D33" s="494"/>
      <c r="E33" s="494">
        <f>'F2'!G44</f>
        <v>5.5475000000000003</v>
      </c>
      <c r="F33" s="494">
        <f t="shared" si="0"/>
        <v>5.5475000000000003</v>
      </c>
      <c r="G33" s="494"/>
      <c r="H33" s="494">
        <f>'F2'!G104</f>
        <v>2.8619499999999998</v>
      </c>
      <c r="I33" s="494"/>
      <c r="J33" s="494"/>
      <c r="K33" s="494">
        <f>'F2'!G165</f>
        <v>3.82925</v>
      </c>
      <c r="L33" s="494"/>
      <c r="M33" s="494"/>
      <c r="N33" s="494">
        <f>'F2'!G246</f>
        <v>7.1011532500000003</v>
      </c>
      <c r="O33" s="494"/>
      <c r="P33" s="494"/>
      <c r="Q33" s="494"/>
      <c r="R33" s="494"/>
      <c r="S33" s="494"/>
      <c r="T33" s="257"/>
    </row>
    <row r="34" spans="1:20" x14ac:dyDescent="0.3">
      <c r="A34" s="69">
        <f t="shared" si="4"/>
        <v>4.1499999999999968</v>
      </c>
      <c r="B34" s="3" t="s">
        <v>1349</v>
      </c>
      <c r="C34" s="320" t="s">
        <v>317</v>
      </c>
      <c r="D34" s="494"/>
      <c r="E34" s="494">
        <f>'F2'!G45</f>
        <v>694.06204467514681</v>
      </c>
      <c r="F34" s="494">
        <f t="shared" si="0"/>
        <v>694.06204467514681</v>
      </c>
      <c r="G34" s="494"/>
      <c r="H34" s="494">
        <f>'F2'!G105</f>
        <v>-30.845915372031556</v>
      </c>
      <c r="I34" s="494"/>
      <c r="J34" s="494"/>
      <c r="K34" s="494">
        <f>'F2'!G167+'F2'!G168+'F2'!G169</f>
        <v>37.498958467399433</v>
      </c>
      <c r="L34" s="494"/>
      <c r="M34" s="494"/>
      <c r="N34" s="494">
        <f>'F2'!G248</f>
        <v>19.725877840684689</v>
      </c>
      <c r="O34" s="494"/>
      <c r="P34" s="494"/>
      <c r="Q34" s="494"/>
      <c r="R34" s="494"/>
      <c r="S34" s="494"/>
      <c r="T34" s="257"/>
    </row>
    <row r="35" spans="1:20" x14ac:dyDescent="0.3">
      <c r="A35" s="69">
        <f t="shared" si="4"/>
        <v>4.1599999999999966</v>
      </c>
      <c r="B35" s="258" t="s">
        <v>1635</v>
      </c>
      <c r="C35" s="320" t="s">
        <v>317</v>
      </c>
      <c r="D35" s="494"/>
      <c r="E35" s="494"/>
      <c r="F35" s="494">
        <f t="shared" si="0"/>
        <v>0</v>
      </c>
      <c r="G35" s="494"/>
      <c r="H35" s="494"/>
      <c r="I35" s="494"/>
      <c r="J35" s="494"/>
      <c r="K35" s="494"/>
      <c r="L35" s="494"/>
      <c r="M35" s="494"/>
      <c r="N35" s="494">
        <f>SUM('F2'!G247,'F2'!G249)</f>
        <v>-21.272226842228562</v>
      </c>
      <c r="O35" s="494"/>
      <c r="P35" s="494"/>
      <c r="Q35" s="494"/>
      <c r="R35" s="494"/>
      <c r="S35" s="494"/>
      <c r="T35" s="257"/>
    </row>
    <row r="36" spans="1:20" s="22" customFormat="1" x14ac:dyDescent="0.3">
      <c r="A36" s="69"/>
      <c r="C36" s="320" t="s">
        <v>466</v>
      </c>
      <c r="D36" s="495"/>
      <c r="E36" s="495"/>
      <c r="F36" s="494">
        <f t="shared" si="0"/>
        <v>0</v>
      </c>
      <c r="G36" s="495"/>
      <c r="H36" s="495"/>
      <c r="I36" s="494">
        <f t="shared" si="1"/>
        <v>0</v>
      </c>
      <c r="J36" s="495"/>
      <c r="K36" s="495"/>
      <c r="L36" s="494">
        <f t="shared" si="2"/>
        <v>0</v>
      </c>
      <c r="M36" s="494">
        <v>0</v>
      </c>
      <c r="N36" s="495"/>
      <c r="O36" s="494">
        <f>N36-M36</f>
        <v>0</v>
      </c>
      <c r="P36" s="495">
        <v>0</v>
      </c>
      <c r="Q36" s="495"/>
      <c r="R36" s="495">
        <v>0</v>
      </c>
      <c r="S36" s="495"/>
      <c r="T36" s="256"/>
    </row>
    <row r="37" spans="1:20" x14ac:dyDescent="0.3">
      <c r="A37" s="70" t="s">
        <v>640</v>
      </c>
      <c r="B37" s="259" t="s">
        <v>641</v>
      </c>
      <c r="C37" s="321" t="s">
        <v>317</v>
      </c>
      <c r="D37" s="494">
        <f>SUM(D20:D35)-SUM(D31:D32)</f>
        <v>5039.4499999999989</v>
      </c>
      <c r="E37" s="494">
        <f>SUM(E20:E35)-SUM(E31:E32)</f>
        <v>4948.7313486823459</v>
      </c>
      <c r="F37" s="494">
        <f>SUM(F20:F35)-SUM(F31:F32)</f>
        <v>-90.718651317653126</v>
      </c>
      <c r="G37" s="494">
        <f>SUM(G20:G35)-SUM(G31:G32)</f>
        <v>5005.33</v>
      </c>
      <c r="H37" s="494">
        <f>SUM(H20:H35)-SUM(H31:H32)</f>
        <v>4050.1189157664694</v>
      </c>
      <c r="I37" s="494">
        <f>SUM(I20:I34)-SUM(I31:I32)</f>
        <v>-1029.0402438614988</v>
      </c>
      <c r="J37" s="494">
        <f>SUM(J20:J35)-SUM(J31:J32)</f>
        <v>5048.5700000000006</v>
      </c>
      <c r="K37" s="494">
        <f>SUM(K20:K35)-SUM(K31:K32)</f>
        <v>4407.2023629924006</v>
      </c>
      <c r="L37" s="494">
        <f>SUM(L20:L34)-SUM(L31:L32)</f>
        <v>-658.17885247499942</v>
      </c>
      <c r="M37" s="494">
        <f>SUM(M20:M35)-SUM(M31:M32)</f>
        <v>5095.1499999999996</v>
      </c>
      <c r="N37" s="494">
        <f>SUM(N20:N36)-SUM(N31:N32)</f>
        <v>4909.4159026201442</v>
      </c>
      <c r="O37" s="494">
        <f>SUM(O20:O34)-SUM(O31:O32)</f>
        <v>-191.2889016283122</v>
      </c>
      <c r="P37" s="494">
        <f>SUM(P20:P35)-SUM(P31:P32)</f>
        <v>5142.99</v>
      </c>
      <c r="Q37" s="494">
        <f>SUM(Q20:Q36)-SUM(Q31:Q32)</f>
        <v>4949.2634886336946</v>
      </c>
      <c r="R37" s="494">
        <f>SUM(R20:R35)-SUM(R31:R32)</f>
        <v>5191.8500000000004</v>
      </c>
      <c r="S37" s="494">
        <f ca="1">SUM(S20:S36)-SUM(S31:S32)</f>
        <v>4990.7447266418167</v>
      </c>
      <c r="T37" s="257"/>
    </row>
    <row r="38" spans="1:20" s="22" customFormat="1" x14ac:dyDescent="0.3">
      <c r="A38" s="69">
        <v>5</v>
      </c>
      <c r="B38" s="257" t="s">
        <v>642</v>
      </c>
      <c r="C38" s="320" t="s">
        <v>317</v>
      </c>
      <c r="D38" s="495">
        <f>D37+D14</f>
        <v>5039.4499999999989</v>
      </c>
      <c r="E38" s="495">
        <f>E37+E14</f>
        <v>4948.7313486823459</v>
      </c>
      <c r="F38" s="494">
        <f t="shared" si="0"/>
        <v>-90.718651317652984</v>
      </c>
      <c r="G38" s="495">
        <f>G37+G14</f>
        <v>5005.33</v>
      </c>
      <c r="H38" s="495">
        <f>H37+H14</f>
        <v>4050.1189157664694</v>
      </c>
      <c r="I38" s="494">
        <f t="shared" si="1"/>
        <v>-955.21108423353053</v>
      </c>
      <c r="J38" s="495">
        <f>J37+J14</f>
        <v>5048.5700000000006</v>
      </c>
      <c r="K38" s="495">
        <f>K37+K14</f>
        <v>4407.2023629924006</v>
      </c>
      <c r="L38" s="494">
        <f t="shared" si="2"/>
        <v>-641.36763700760002</v>
      </c>
      <c r="M38" s="495">
        <f>M37+M14</f>
        <v>5095.1499999999996</v>
      </c>
      <c r="N38" s="495">
        <f>N37+N14</f>
        <v>4909.4159026201442</v>
      </c>
      <c r="O38" s="494">
        <f t="shared" ref="O38:O61" si="5">N38-M38</f>
        <v>-185.73409737985548</v>
      </c>
      <c r="P38" s="495">
        <f>P37+P14</f>
        <v>5142.99</v>
      </c>
      <c r="Q38" s="495">
        <f>Q37+Q14</f>
        <v>4949.2634886336946</v>
      </c>
      <c r="R38" s="495">
        <f>R37+R14</f>
        <v>5191.8500000000004</v>
      </c>
      <c r="S38" s="495">
        <f ca="1">S37+S14</f>
        <v>4990.7447266418167</v>
      </c>
      <c r="T38" s="256"/>
    </row>
    <row r="39" spans="1:20" ht="14.5" x14ac:dyDescent="0.3">
      <c r="A39" s="736">
        <v>6</v>
      </c>
      <c r="B39" s="256" t="s">
        <v>643</v>
      </c>
      <c r="C39" s="321" t="s">
        <v>317</v>
      </c>
      <c r="D39" s="495">
        <v>0</v>
      </c>
      <c r="E39" s="495"/>
      <c r="F39" s="494">
        <f t="shared" si="0"/>
        <v>0</v>
      </c>
      <c r="G39" s="495">
        <v>0</v>
      </c>
      <c r="H39" s="495">
        <v>0</v>
      </c>
      <c r="I39" s="494">
        <f t="shared" si="1"/>
        <v>0</v>
      </c>
      <c r="J39" s="495">
        <v>0</v>
      </c>
      <c r="K39" s="495">
        <v>0</v>
      </c>
      <c r="L39" s="494">
        <f t="shared" si="2"/>
        <v>0</v>
      </c>
      <c r="M39" s="495">
        <v>0</v>
      </c>
      <c r="N39" s="495">
        <v>0</v>
      </c>
      <c r="O39" s="494">
        <f t="shared" si="5"/>
        <v>0</v>
      </c>
      <c r="P39" s="495">
        <v>0</v>
      </c>
      <c r="Q39" s="495">
        <v>0</v>
      </c>
      <c r="R39" s="495">
        <v>0</v>
      </c>
      <c r="S39" s="495">
        <v>0</v>
      </c>
      <c r="T39" s="257"/>
    </row>
    <row r="40" spans="1:20" x14ac:dyDescent="0.3">
      <c r="A40" s="70">
        <v>7</v>
      </c>
      <c r="B40" s="256" t="s">
        <v>644</v>
      </c>
      <c r="C40" s="321" t="s">
        <v>317</v>
      </c>
      <c r="D40" s="495">
        <f>D17+D37+D39</f>
        <v>5039.4499999999989</v>
      </c>
      <c r="E40" s="495">
        <f>E17+E37+E39</f>
        <v>4948.7313486823459</v>
      </c>
      <c r="F40" s="495">
        <f t="shared" si="0"/>
        <v>-90.718651317652984</v>
      </c>
      <c r="G40" s="495">
        <f>G17+G37+G39</f>
        <v>5005.33</v>
      </c>
      <c r="H40" s="495">
        <f>H17+H37+H39</f>
        <v>4050.1189157664694</v>
      </c>
      <c r="I40" s="494">
        <f t="shared" si="1"/>
        <v>-955.21108423353053</v>
      </c>
      <c r="J40" s="495">
        <f>J17+J37+J39</f>
        <v>5048.5700000000006</v>
      </c>
      <c r="K40" s="495">
        <f>K17+K37+K39</f>
        <v>4407.2023629924006</v>
      </c>
      <c r="L40" s="494">
        <f t="shared" si="2"/>
        <v>-641.36763700760002</v>
      </c>
      <c r="M40" s="495">
        <f>M17+M37+M39</f>
        <v>5095.1499999999996</v>
      </c>
      <c r="N40" s="495">
        <f>N17+N37+N39</f>
        <v>4909.4159026201442</v>
      </c>
      <c r="O40" s="494">
        <f t="shared" si="5"/>
        <v>-185.73409737985548</v>
      </c>
      <c r="P40" s="495">
        <f>P17+P37+P39</f>
        <v>5142.99</v>
      </c>
      <c r="Q40" s="495">
        <f>Q17+Q37+Q39</f>
        <v>4949.2634886336946</v>
      </c>
      <c r="R40" s="495">
        <f>R17+R37+R39</f>
        <v>5191.8500000000004</v>
      </c>
      <c r="S40" s="495">
        <f ca="1">S17+S37+S39</f>
        <v>4990.7447266418167</v>
      </c>
      <c r="T40" s="257"/>
    </row>
    <row r="41" spans="1:20" x14ac:dyDescent="0.3">
      <c r="A41" s="70"/>
      <c r="B41" s="256"/>
      <c r="C41" s="321"/>
      <c r="D41" s="495"/>
      <c r="E41" s="495"/>
      <c r="F41" s="494">
        <f t="shared" si="0"/>
        <v>0</v>
      </c>
      <c r="G41" s="495"/>
      <c r="H41" s="495"/>
      <c r="I41" s="494">
        <f t="shared" si="1"/>
        <v>0</v>
      </c>
      <c r="J41" s="495"/>
      <c r="K41" s="495"/>
      <c r="L41" s="494">
        <f t="shared" si="2"/>
        <v>0</v>
      </c>
      <c r="M41" s="495"/>
      <c r="N41" s="495"/>
      <c r="O41" s="494">
        <f t="shared" si="5"/>
        <v>0</v>
      </c>
      <c r="P41" s="495"/>
      <c r="Q41" s="495"/>
      <c r="R41" s="495"/>
      <c r="S41" s="495"/>
      <c r="T41" s="257"/>
    </row>
    <row r="42" spans="1:20" s="22" customFormat="1" x14ac:dyDescent="0.3">
      <c r="A42" s="70"/>
      <c r="B42" s="256" t="s">
        <v>665</v>
      </c>
      <c r="C42" s="321" t="s">
        <v>317</v>
      </c>
      <c r="D42" s="495">
        <f ca="1">D48/(1-D43)</f>
        <v>5039.4500000000062</v>
      </c>
      <c r="E42" s="495">
        <f ca="1">E48/(1-E43)</f>
        <v>4948.7313486823459</v>
      </c>
      <c r="F42" s="495">
        <f t="shared" ca="1" si="0"/>
        <v>-90.71865131766026</v>
      </c>
      <c r="G42" s="495">
        <f>G48/(1-G43)</f>
        <v>5005.3257987553116</v>
      </c>
      <c r="H42" s="495">
        <f ca="1">H48/(1-H43)</f>
        <v>4050.1189157664694</v>
      </c>
      <c r="I42" s="495">
        <f t="shared" ca="1" si="1"/>
        <v>-955.20688298884215</v>
      </c>
      <c r="J42" s="495">
        <f>J48/(1-J43)+0.01</f>
        <v>5048.5772273768589</v>
      </c>
      <c r="K42" s="495">
        <f ca="1">K48/(1-K43)</f>
        <v>4407.2023629924006</v>
      </c>
      <c r="L42" s="495">
        <f t="shared" ca="1" si="2"/>
        <v>-641.37486438445831</v>
      </c>
      <c r="M42" s="495">
        <f>M48/(1-M43)-0.08</f>
        <v>5095.1479999280828</v>
      </c>
      <c r="N42" s="495">
        <f>N48/(1-N43)</f>
        <v>4909.4206310708942</v>
      </c>
      <c r="O42" s="494">
        <f t="shared" si="5"/>
        <v>-185.72736885718859</v>
      </c>
      <c r="P42" s="495">
        <f ca="1">P48/(1-P43)</f>
        <v>5142.99</v>
      </c>
      <c r="Q42" s="495">
        <f>Q48/(1-Q43)</f>
        <v>4949.2634886336946</v>
      </c>
      <c r="R42" s="495">
        <f ca="1">R48/(1-R43)</f>
        <v>5191.8500000000004</v>
      </c>
      <c r="S42" s="495">
        <f>S48/(1-S43)</f>
        <v>4990.7447266418149</v>
      </c>
      <c r="T42" s="256"/>
    </row>
    <row r="43" spans="1:20" x14ac:dyDescent="0.3">
      <c r="A43" s="69">
        <v>8</v>
      </c>
      <c r="B43" s="257" t="s">
        <v>645</v>
      </c>
      <c r="C43" s="320" t="s">
        <v>638</v>
      </c>
      <c r="D43" s="497">
        <v>3.1800000000000002E-2</v>
      </c>
      <c r="E43" s="497">
        <v>3.1620450304705464E-2</v>
      </c>
      <c r="F43" s="497">
        <f t="shared" si="0"/>
        <v>-1.7954969529453829E-4</v>
      </c>
      <c r="G43" s="497">
        <v>3.1784800000000002E-2</v>
      </c>
      <c r="H43" s="497">
        <v>2.9306596975315173E-2</v>
      </c>
      <c r="I43" s="497">
        <f t="shared" si="1"/>
        <v>-2.4782030246848288E-3</v>
      </c>
      <c r="J43" s="497">
        <v>3.1785000000000001E-2</v>
      </c>
      <c r="K43" s="497">
        <v>3.1906159829003966E-2</v>
      </c>
      <c r="L43" s="497">
        <f t="shared" si="2"/>
        <v>1.2115982900396532E-4</v>
      </c>
      <c r="M43" s="497">
        <v>3.1800000000000002E-2</v>
      </c>
      <c r="N43" s="497">
        <v>3.1800000000000002E-2</v>
      </c>
      <c r="O43" s="497">
        <f t="shared" si="5"/>
        <v>0</v>
      </c>
      <c r="P43" s="497">
        <v>3.1800000000000002E-2</v>
      </c>
      <c r="Q43" s="497">
        <v>3.1800000000000002E-2</v>
      </c>
      <c r="R43" s="497">
        <v>3.1800000000000002E-2</v>
      </c>
      <c r="S43" s="497">
        <v>3.1800000000000002E-2</v>
      </c>
      <c r="T43" s="257"/>
    </row>
    <row r="44" spans="1:20" ht="14.5" x14ac:dyDescent="0.35">
      <c r="A44" s="69">
        <v>8.1</v>
      </c>
      <c r="B44" s="797" t="s">
        <v>645</v>
      </c>
      <c r="C44" s="320" t="s">
        <v>317</v>
      </c>
      <c r="D44" s="494">
        <f ca="1">D42*D43</f>
        <v>160.25451000000021</v>
      </c>
      <c r="E44" s="494">
        <f ca="1">E42*E43</f>
        <v>156.48111368234817</v>
      </c>
      <c r="F44" s="494">
        <f t="shared" ca="1" si="0"/>
        <v>-3.7733963176520433</v>
      </c>
      <c r="G44" s="494">
        <f>G42*G43</f>
        <v>159.09327944827783</v>
      </c>
      <c r="H44" s="494">
        <f ca="1">H42*H43</f>
        <v>118.69520276646838</v>
      </c>
      <c r="I44" s="494">
        <f t="shared" ca="1" si="1"/>
        <v>-40.398076681809442</v>
      </c>
      <c r="J44" s="494">
        <f>J42*J43</f>
        <v>160.46902717217347</v>
      </c>
      <c r="K44" s="494">
        <f ca="1">K42*K43</f>
        <v>140.61690299239947</v>
      </c>
      <c r="L44" s="494">
        <f ca="1">L42*L43</f>
        <v>-7.7708868896262412E-2</v>
      </c>
      <c r="M44" s="494">
        <f>M42*M43</f>
        <v>162.02570639771304</v>
      </c>
      <c r="N44" s="494">
        <f>N42*N43</f>
        <v>156.11957606805444</v>
      </c>
      <c r="O44" s="494">
        <f t="shared" si="5"/>
        <v>-5.9061303296585947</v>
      </c>
      <c r="P44" s="494">
        <f ca="1">P42*P43</f>
        <v>163.54708199999999</v>
      </c>
      <c r="Q44" s="494">
        <f>Q42*Q43</f>
        <v>157.38657893855151</v>
      </c>
      <c r="R44" s="494">
        <f ca="1">R42*R43</f>
        <v>165.10083000000003</v>
      </c>
      <c r="S44" s="494">
        <f>S42*S43</f>
        <v>158.70568230720971</v>
      </c>
      <c r="T44" s="257"/>
    </row>
    <row r="45" spans="1:20" x14ac:dyDescent="0.3">
      <c r="A45" s="69">
        <v>9</v>
      </c>
      <c r="B45" s="257" t="s">
        <v>648</v>
      </c>
      <c r="C45" s="320" t="s">
        <v>317</v>
      </c>
      <c r="D45" s="494">
        <v>0</v>
      </c>
      <c r="E45" s="494">
        <v>0</v>
      </c>
      <c r="F45" s="494">
        <f t="shared" si="0"/>
        <v>0</v>
      </c>
      <c r="G45" s="494">
        <v>0</v>
      </c>
      <c r="H45" s="494"/>
      <c r="I45" s="494">
        <f t="shared" si="1"/>
        <v>0</v>
      </c>
      <c r="J45" s="494">
        <v>0</v>
      </c>
      <c r="K45" s="494"/>
      <c r="L45" s="494">
        <f t="shared" si="2"/>
        <v>0</v>
      </c>
      <c r="M45" s="494">
        <v>0</v>
      </c>
      <c r="N45" s="494">
        <v>0</v>
      </c>
      <c r="O45" s="494">
        <f t="shared" si="5"/>
        <v>0</v>
      </c>
      <c r="P45" s="494">
        <v>0</v>
      </c>
      <c r="Q45" s="494">
        <v>0</v>
      </c>
      <c r="R45" s="494">
        <v>0</v>
      </c>
      <c r="S45" s="494">
        <v>0</v>
      </c>
      <c r="T45" s="257"/>
    </row>
    <row r="46" spans="1:20" x14ac:dyDescent="0.3">
      <c r="A46" s="69">
        <f>A45+1</f>
        <v>10</v>
      </c>
      <c r="B46" s="257" t="s">
        <v>660</v>
      </c>
      <c r="C46" s="320" t="s">
        <v>317</v>
      </c>
      <c r="D46" s="494">
        <v>0</v>
      </c>
      <c r="E46" s="494">
        <v>0</v>
      </c>
      <c r="F46" s="494">
        <f t="shared" si="0"/>
        <v>0</v>
      </c>
      <c r="G46" s="494">
        <v>0</v>
      </c>
      <c r="H46" s="494"/>
      <c r="I46" s="494">
        <f t="shared" si="1"/>
        <v>0</v>
      </c>
      <c r="J46" s="494">
        <v>0</v>
      </c>
      <c r="K46" s="494"/>
      <c r="L46" s="494">
        <f t="shared" si="2"/>
        <v>0</v>
      </c>
      <c r="M46" s="494">
        <v>0</v>
      </c>
      <c r="N46" s="494">
        <v>0</v>
      </c>
      <c r="O46" s="494">
        <f t="shared" si="5"/>
        <v>0</v>
      </c>
      <c r="P46" s="494">
        <v>0</v>
      </c>
      <c r="Q46" s="494">
        <v>0</v>
      </c>
      <c r="R46" s="494">
        <v>0</v>
      </c>
      <c r="S46" s="494">
        <v>0</v>
      </c>
      <c r="T46" s="257"/>
    </row>
    <row r="47" spans="1:20" x14ac:dyDescent="0.3">
      <c r="A47" s="69">
        <f>A46+1</f>
        <v>11</v>
      </c>
      <c r="B47" s="257" t="s">
        <v>649</v>
      </c>
      <c r="C47" s="320" t="s">
        <v>317</v>
      </c>
      <c r="D47" s="494">
        <v>0</v>
      </c>
      <c r="E47" s="494">
        <v>0</v>
      </c>
      <c r="F47" s="494">
        <f t="shared" si="0"/>
        <v>0</v>
      </c>
      <c r="G47" s="494">
        <v>0</v>
      </c>
      <c r="H47" s="494"/>
      <c r="I47" s="494">
        <f t="shared" si="1"/>
        <v>0</v>
      </c>
      <c r="J47" s="494">
        <v>0</v>
      </c>
      <c r="K47" s="494"/>
      <c r="L47" s="494">
        <f t="shared" si="2"/>
        <v>0</v>
      </c>
      <c r="M47" s="494">
        <v>0</v>
      </c>
      <c r="N47" s="494">
        <v>0</v>
      </c>
      <c r="O47" s="494">
        <f t="shared" si="5"/>
        <v>0</v>
      </c>
      <c r="P47" s="494">
        <v>0</v>
      </c>
      <c r="Q47" s="494">
        <v>0</v>
      </c>
      <c r="R47" s="494">
        <v>0</v>
      </c>
      <c r="S47" s="494">
        <v>0</v>
      </c>
      <c r="T47" s="257"/>
    </row>
    <row r="48" spans="1:20" x14ac:dyDescent="0.3">
      <c r="A48" s="69">
        <f>A47+1</f>
        <v>12</v>
      </c>
      <c r="B48" s="257" t="s">
        <v>650</v>
      </c>
      <c r="C48" s="320" t="s">
        <v>317</v>
      </c>
      <c r="D48" s="494">
        <f ca="1">D42-D44</f>
        <v>4879.1954900000055</v>
      </c>
      <c r="E48" s="494">
        <f ca="1">E42-E44</f>
        <v>4792.2502349999977</v>
      </c>
      <c r="F48" s="494">
        <f t="shared" ca="1" si="0"/>
        <v>-86.945255000007819</v>
      </c>
      <c r="G48" s="494">
        <f>G63/(1-G51)</f>
        <v>4846.2325193070337</v>
      </c>
      <c r="H48" s="494">
        <f ca="1">H42-H44</f>
        <v>3931.423713000001</v>
      </c>
      <c r="I48" s="494">
        <f t="shared" ca="1" si="1"/>
        <v>-914.80880630703268</v>
      </c>
      <c r="J48" s="494">
        <f>J63/(1-J51)</f>
        <v>4888.0985180546859</v>
      </c>
      <c r="K48" s="494">
        <f ca="1">K42-K44</f>
        <v>4266.5854600000011</v>
      </c>
      <c r="L48" s="494">
        <f t="shared" ca="1" si="2"/>
        <v>-621.51305805468473</v>
      </c>
      <c r="M48" s="494">
        <f>M63/(1-M51)</f>
        <v>4933.1997495303694</v>
      </c>
      <c r="N48" s="494">
        <f>N63/(1-N51)</f>
        <v>4753.3010550028393</v>
      </c>
      <c r="O48" s="494">
        <f t="shared" si="5"/>
        <v>-179.8986945275301</v>
      </c>
      <c r="P48" s="494">
        <f ca="1">P42-P44</f>
        <v>4979.4429179999997</v>
      </c>
      <c r="Q48" s="494">
        <f>Q63/(1-Q51)</f>
        <v>4791.8769096951428</v>
      </c>
      <c r="R48" s="494">
        <f ca="1">R42-R44</f>
        <v>5026.74917</v>
      </c>
      <c r="S48" s="494">
        <f>S63/(1-S51)</f>
        <v>4832.039044334605</v>
      </c>
      <c r="T48" s="257"/>
    </row>
    <row r="49" spans="1:21" x14ac:dyDescent="0.3">
      <c r="A49" s="69">
        <v>13</v>
      </c>
      <c r="B49" s="257" t="s">
        <v>666</v>
      </c>
      <c r="C49" s="320" t="s">
        <v>317</v>
      </c>
      <c r="D49" s="495">
        <f ca="1">D48+0.07</f>
        <v>4879.2654900000052</v>
      </c>
      <c r="E49" s="495">
        <f ca="1">E48</f>
        <v>4792.2502349999977</v>
      </c>
      <c r="F49" s="494">
        <f t="shared" ca="1" si="0"/>
        <v>-87.015255000007528</v>
      </c>
      <c r="G49" s="495">
        <f>G48</f>
        <v>4846.2325193070337</v>
      </c>
      <c r="H49" s="495">
        <f ca="1">H48</f>
        <v>3931.423713000001</v>
      </c>
      <c r="I49" s="494">
        <f t="shared" ca="1" si="1"/>
        <v>-914.80880630703268</v>
      </c>
      <c r="J49" s="495">
        <f>J48</f>
        <v>4888.0985180546859</v>
      </c>
      <c r="K49" s="495">
        <f ca="1">K48</f>
        <v>4266.5854600000011</v>
      </c>
      <c r="L49" s="494">
        <f t="shared" ca="1" si="2"/>
        <v>-621.51305805468473</v>
      </c>
      <c r="M49" s="495">
        <f>M48</f>
        <v>4933.1997495303694</v>
      </c>
      <c r="N49" s="495">
        <f>N48</f>
        <v>4753.3010550028393</v>
      </c>
      <c r="O49" s="494">
        <f t="shared" si="5"/>
        <v>-179.8986945275301</v>
      </c>
      <c r="P49" s="495">
        <f ca="1">P48</f>
        <v>4979.4429179999997</v>
      </c>
      <c r="Q49" s="495">
        <f>Q48</f>
        <v>4791.8769096951428</v>
      </c>
      <c r="R49" s="495">
        <f ca="1">R48</f>
        <v>5026.74917</v>
      </c>
      <c r="S49" s="495">
        <f>S48</f>
        <v>4832.039044334605</v>
      </c>
      <c r="T49" s="257"/>
    </row>
    <row r="50" spans="1:21" x14ac:dyDescent="0.3">
      <c r="A50" s="69">
        <v>14</v>
      </c>
      <c r="B50" s="256" t="s">
        <v>667</v>
      </c>
      <c r="C50" s="321" t="s">
        <v>317</v>
      </c>
      <c r="D50" s="495">
        <f ca="1">D48+0.07</f>
        <v>4879.2654900000052</v>
      </c>
      <c r="E50" s="495">
        <f ca="1">E48</f>
        <v>4792.2502349999977</v>
      </c>
      <c r="F50" s="494">
        <f t="shared" ca="1" si="0"/>
        <v>-87.015255000007528</v>
      </c>
      <c r="G50" s="495">
        <f>G48</f>
        <v>4846.2325193070337</v>
      </c>
      <c r="H50" s="495">
        <f ca="1">H48</f>
        <v>3931.423713000001</v>
      </c>
      <c r="I50" s="494">
        <f t="shared" ca="1" si="1"/>
        <v>-914.80880630703268</v>
      </c>
      <c r="J50" s="495">
        <f>J48</f>
        <v>4888.0985180546859</v>
      </c>
      <c r="K50" s="495">
        <f ca="1">K48</f>
        <v>4266.5854600000011</v>
      </c>
      <c r="L50" s="494">
        <f t="shared" ca="1" si="2"/>
        <v>-621.51305805468473</v>
      </c>
      <c r="M50" s="495">
        <f>M48</f>
        <v>4933.1997495303694</v>
      </c>
      <c r="N50" s="495">
        <f>N48</f>
        <v>4753.3010550028393</v>
      </c>
      <c r="O50" s="494">
        <f t="shared" si="5"/>
        <v>-179.8986945275301</v>
      </c>
      <c r="P50" s="495">
        <f ca="1">P48</f>
        <v>4979.4429179999997</v>
      </c>
      <c r="Q50" s="495">
        <f>Q48</f>
        <v>4791.8769096951428</v>
      </c>
      <c r="R50" s="495">
        <f ca="1">R48</f>
        <v>5026.74917</v>
      </c>
      <c r="S50" s="495">
        <f>S48</f>
        <v>4832.039044334605</v>
      </c>
      <c r="T50" s="257"/>
    </row>
    <row r="51" spans="1:21" x14ac:dyDescent="0.3">
      <c r="A51" s="69">
        <v>15</v>
      </c>
      <c r="B51" s="257" t="s">
        <v>651</v>
      </c>
      <c r="C51" s="320" t="s">
        <v>638</v>
      </c>
      <c r="D51" s="497">
        <v>5.6000000000000001E-2</v>
      </c>
      <c r="E51" s="497">
        <f ca="1">E52/E50</f>
        <v>4.6514458719620171E-2</v>
      </c>
      <c r="F51" s="497">
        <f t="shared" ca="1" si="0"/>
        <v>-9.4855412803798306E-3</v>
      </c>
      <c r="G51" s="497">
        <v>4.1799999999999997E-2</v>
      </c>
      <c r="H51" s="497">
        <f ca="1">H52/H50</f>
        <v>3.9318826914752678E-2</v>
      </c>
      <c r="I51" s="497">
        <f t="shared" ca="1" si="1"/>
        <v>-2.4811730852473193E-3</v>
      </c>
      <c r="J51" s="497">
        <v>4.1799999999999997E-2</v>
      </c>
      <c r="K51" s="497">
        <f ca="1">K52/K50</f>
        <v>4.6317479115958231E-2</v>
      </c>
      <c r="L51" s="497">
        <f t="shared" ca="1" si="2"/>
        <v>4.5174791159582339E-3</v>
      </c>
      <c r="M51" s="497">
        <v>4.1799999999999997E-2</v>
      </c>
      <c r="N51" s="1741">
        <v>4.53E-2</v>
      </c>
      <c r="O51" s="497">
        <f t="shared" si="5"/>
        <v>3.5000000000000031E-3</v>
      </c>
      <c r="P51" s="497">
        <v>4.1799999999999997E-2</v>
      </c>
      <c r="Q51" s="497">
        <v>4.4299999999999999E-2</v>
      </c>
      <c r="R51" s="497">
        <v>4.1799999999999997E-2</v>
      </c>
      <c r="S51" s="497">
        <v>4.3299999999999998E-2</v>
      </c>
      <c r="T51" s="257"/>
    </row>
    <row r="52" spans="1:21" x14ac:dyDescent="0.3">
      <c r="A52" s="69">
        <v>15.1</v>
      </c>
      <c r="B52" s="257" t="s">
        <v>651</v>
      </c>
      <c r="C52" s="320" t="s">
        <v>317</v>
      </c>
      <c r="D52" s="494">
        <f ca="1">D50*D51</f>
        <v>273.23886744000032</v>
      </c>
      <c r="E52" s="494">
        <f ca="1">E50-E63</f>
        <v>222.90892572999746</v>
      </c>
      <c r="F52" s="494">
        <f t="shared" ca="1" si="0"/>
        <v>-50.329941710002856</v>
      </c>
      <c r="G52" s="494">
        <f>G50*G51</f>
        <v>202.57251930703399</v>
      </c>
      <c r="H52" s="494">
        <f ca="1">H50-H63</f>
        <v>154.57896850000134</v>
      </c>
      <c r="I52" s="494">
        <f t="shared" ca="1" si="1"/>
        <v>-47.993550807032648</v>
      </c>
      <c r="J52" s="494">
        <f>J50*J51</f>
        <v>204.32251805468584</v>
      </c>
      <c r="K52" s="494">
        <f ca="1">K50-K63</f>
        <v>197.61748294000108</v>
      </c>
      <c r="L52" s="494">
        <f t="shared" ca="1" si="2"/>
        <v>-6.7050351146847618</v>
      </c>
      <c r="M52" s="494">
        <f>M50*M51</f>
        <v>206.20774953036943</v>
      </c>
      <c r="N52" s="494">
        <f>N50-N63</f>
        <v>215.32453779162825</v>
      </c>
      <c r="O52" s="494">
        <f t="shared" si="5"/>
        <v>9.1167882612588187</v>
      </c>
      <c r="P52" s="494">
        <f ca="1">P50*P51</f>
        <v>208.14071397239996</v>
      </c>
      <c r="Q52" s="494">
        <f>Q50-Q63</f>
        <v>212.28014709949457</v>
      </c>
      <c r="R52" s="494">
        <f ca="1">R50*R51</f>
        <v>210.11811530599999</v>
      </c>
      <c r="S52" s="494">
        <f>S50-S63</f>
        <v>209.22729061968857</v>
      </c>
      <c r="T52" s="257"/>
      <c r="U52" s="635"/>
    </row>
    <row r="53" spans="1:21" x14ac:dyDescent="0.3">
      <c r="A53" s="69">
        <v>16</v>
      </c>
      <c r="B53" s="256" t="s">
        <v>652</v>
      </c>
      <c r="C53" s="320" t="s">
        <v>317</v>
      </c>
      <c r="D53" s="494">
        <f>SUM(D54:D57)</f>
        <v>685.82799999999997</v>
      </c>
      <c r="E53" s="494">
        <f>SUM(E54:E57)</f>
        <v>680.79977800000017</v>
      </c>
      <c r="F53" s="494">
        <f t="shared" si="0"/>
        <v>-5.0282219999998006</v>
      </c>
      <c r="G53" s="494">
        <f>SUM(G54:G57)</f>
        <v>691.74</v>
      </c>
      <c r="H53" s="494">
        <f>SUM(H54:H57)</f>
        <v>535.79511100000002</v>
      </c>
      <c r="I53" s="494">
        <f t="shared" si="1"/>
        <v>-155.94488899999999</v>
      </c>
      <c r="J53" s="494">
        <f>SUM(J54:J57)</f>
        <v>698.98800000000006</v>
      </c>
      <c r="K53" s="494">
        <f>SUM(K54:K57)</f>
        <v>572.07783499999994</v>
      </c>
      <c r="L53" s="494">
        <f t="shared" si="2"/>
        <v>-126.91016500000012</v>
      </c>
      <c r="M53" s="494">
        <f>SUM(M54:M57)</f>
        <v>707.85400000000004</v>
      </c>
      <c r="N53" s="494">
        <f>SUM(N54:N57)</f>
        <v>634.70828265195382</v>
      </c>
      <c r="O53" s="494">
        <f t="shared" si="5"/>
        <v>-73.145717348046219</v>
      </c>
      <c r="P53" s="494">
        <f>SUM(P54:P57)</f>
        <v>718.66399999999999</v>
      </c>
      <c r="Q53" s="494">
        <f>SUM(Q54:Q57)</f>
        <v>634.70828265195382</v>
      </c>
      <c r="R53" s="494">
        <f>SUM(R54:R57)</f>
        <v>731.81400000000008</v>
      </c>
      <c r="S53" s="494">
        <f>SUM(S54:S57)</f>
        <v>634.70828265195382</v>
      </c>
      <c r="T53" s="257"/>
    </row>
    <row r="54" spans="1:21" x14ac:dyDescent="0.3">
      <c r="A54" s="69">
        <f>A53+0.1</f>
        <v>16.100000000000001</v>
      </c>
      <c r="B54" s="260" t="s">
        <v>661</v>
      </c>
      <c r="C54" s="320" t="s">
        <v>317</v>
      </c>
      <c r="D54" s="494">
        <f>'F1'!C22</f>
        <v>685.82799999999997</v>
      </c>
      <c r="E54" s="494">
        <f>'F1'!D22</f>
        <v>680.79977800000017</v>
      </c>
      <c r="F54" s="494">
        <f t="shared" si="0"/>
        <v>-5.0282219999998006</v>
      </c>
      <c r="G54" s="494">
        <f>'F1'!F20</f>
        <v>691.74</v>
      </c>
      <c r="H54" s="494">
        <f>'F16'!I68</f>
        <v>535.79511100000002</v>
      </c>
      <c r="I54" s="494">
        <f t="shared" si="1"/>
        <v>-155.94488899999999</v>
      </c>
      <c r="J54" s="494">
        <f>'F1'!H20</f>
        <v>698.98800000000006</v>
      </c>
      <c r="K54" s="494">
        <f>'F16'!I109</f>
        <v>572.07783499999994</v>
      </c>
      <c r="L54" s="494">
        <f t="shared" si="2"/>
        <v>-126.91016500000012</v>
      </c>
      <c r="M54" s="494">
        <f>'F1'!J20</f>
        <v>707.85400000000004</v>
      </c>
      <c r="N54" s="494">
        <f>'Sales Forecast'!$P$18</f>
        <v>634.70828265195382</v>
      </c>
      <c r="O54" s="494">
        <f t="shared" si="5"/>
        <v>-73.145717348046219</v>
      </c>
      <c r="P54" s="494">
        <f>'F1'!N20</f>
        <v>718.66399999999999</v>
      </c>
      <c r="Q54" s="494">
        <f>'Sales Forecast'!$P$53</f>
        <v>634.70828265195382</v>
      </c>
      <c r="R54" s="494">
        <f>'F1'!P20</f>
        <v>731.81400000000008</v>
      </c>
      <c r="S54" s="494">
        <f>'Sales Forecast'!$P$88</f>
        <v>634.70828265195382</v>
      </c>
      <c r="T54" s="257"/>
    </row>
    <row r="55" spans="1:21" x14ac:dyDescent="0.3">
      <c r="A55" s="69">
        <f>A54+0.1</f>
        <v>16.200000000000003</v>
      </c>
      <c r="B55" s="260" t="s">
        <v>663</v>
      </c>
      <c r="C55" s="320" t="s">
        <v>317</v>
      </c>
      <c r="D55" s="494">
        <v>0</v>
      </c>
      <c r="E55" s="494">
        <v>0</v>
      </c>
      <c r="F55" s="494">
        <f t="shared" si="0"/>
        <v>0</v>
      </c>
      <c r="G55" s="494">
        <v>0</v>
      </c>
      <c r="H55" s="494">
        <v>0</v>
      </c>
      <c r="I55" s="494">
        <f t="shared" si="1"/>
        <v>0</v>
      </c>
      <c r="J55" s="494">
        <v>0</v>
      </c>
      <c r="K55" s="494">
        <v>0</v>
      </c>
      <c r="L55" s="494">
        <f t="shared" si="2"/>
        <v>0</v>
      </c>
      <c r="M55" s="494">
        <v>0</v>
      </c>
      <c r="N55" s="494">
        <v>0</v>
      </c>
      <c r="O55" s="494">
        <f t="shared" si="5"/>
        <v>0</v>
      </c>
      <c r="P55" s="494">
        <v>0</v>
      </c>
      <c r="Q55" s="494">
        <v>0</v>
      </c>
      <c r="R55" s="494">
        <v>0</v>
      </c>
      <c r="S55" s="494">
        <v>0</v>
      </c>
      <c r="T55" s="257"/>
    </row>
    <row r="56" spans="1:21" x14ac:dyDescent="0.3">
      <c r="A56" s="69">
        <f>A55+0.1</f>
        <v>16.300000000000004</v>
      </c>
      <c r="B56" s="260" t="s">
        <v>664</v>
      </c>
      <c r="C56" s="320" t="s">
        <v>317</v>
      </c>
      <c r="D56" s="494">
        <v>0</v>
      </c>
      <c r="E56" s="494">
        <v>0</v>
      </c>
      <c r="F56" s="494">
        <f t="shared" si="0"/>
        <v>0</v>
      </c>
      <c r="G56" s="494">
        <v>0</v>
      </c>
      <c r="H56" s="494">
        <v>0</v>
      </c>
      <c r="I56" s="494">
        <f t="shared" si="1"/>
        <v>0</v>
      </c>
      <c r="J56" s="494">
        <v>0</v>
      </c>
      <c r="K56" s="494">
        <v>0</v>
      </c>
      <c r="L56" s="494">
        <f t="shared" si="2"/>
        <v>0</v>
      </c>
      <c r="M56" s="494">
        <v>0</v>
      </c>
      <c r="N56" s="494">
        <v>0</v>
      </c>
      <c r="O56" s="494">
        <f t="shared" si="5"/>
        <v>0</v>
      </c>
      <c r="P56" s="494">
        <v>0</v>
      </c>
      <c r="Q56" s="494">
        <v>0</v>
      </c>
      <c r="R56" s="494">
        <v>0</v>
      </c>
      <c r="S56" s="494">
        <v>0</v>
      </c>
      <c r="T56" s="257"/>
    </row>
    <row r="57" spans="1:21" x14ac:dyDescent="0.3">
      <c r="A57" s="69">
        <f>A56+0.1</f>
        <v>16.400000000000006</v>
      </c>
      <c r="B57" s="260" t="s">
        <v>662</v>
      </c>
      <c r="C57" s="320" t="s">
        <v>317</v>
      </c>
      <c r="D57" s="494">
        <v>0</v>
      </c>
      <c r="E57" s="353">
        <v>0</v>
      </c>
      <c r="F57" s="494">
        <f t="shared" si="0"/>
        <v>0</v>
      </c>
      <c r="G57" s="494">
        <v>0</v>
      </c>
      <c r="H57" s="494">
        <v>0</v>
      </c>
      <c r="I57" s="494">
        <f t="shared" si="1"/>
        <v>0</v>
      </c>
      <c r="J57" s="494">
        <v>0</v>
      </c>
      <c r="K57" s="353">
        <v>0</v>
      </c>
      <c r="L57" s="494">
        <f t="shared" si="2"/>
        <v>0</v>
      </c>
      <c r="M57" s="494">
        <v>0</v>
      </c>
      <c r="N57" s="353">
        <v>0</v>
      </c>
      <c r="O57" s="494">
        <f t="shared" si="5"/>
        <v>0</v>
      </c>
      <c r="P57" s="494">
        <v>0</v>
      </c>
      <c r="Q57" s="353">
        <v>0</v>
      </c>
      <c r="R57" s="494">
        <v>0</v>
      </c>
      <c r="S57" s="353">
        <v>0</v>
      </c>
      <c r="T57" s="257"/>
    </row>
    <row r="58" spans="1:21" x14ac:dyDescent="0.3">
      <c r="A58" s="69">
        <v>17</v>
      </c>
      <c r="B58" s="256" t="s">
        <v>653</v>
      </c>
      <c r="C58" s="320" t="s">
        <v>317</v>
      </c>
      <c r="D58" s="494">
        <f>SUM(D59:D61)</f>
        <v>3920.2149999999997</v>
      </c>
      <c r="E58" s="494">
        <f>SUM(E59:E61)</f>
        <v>3888.5415312700002</v>
      </c>
      <c r="F58" s="494">
        <f t="shared" si="0"/>
        <v>-31.673468729999513</v>
      </c>
      <c r="G58" s="494">
        <f>SUM(G59:G61)</f>
        <v>3951.92</v>
      </c>
      <c r="H58" s="494">
        <f>SUM(H59:H61)</f>
        <v>3241.0496334999998</v>
      </c>
      <c r="I58" s="494">
        <f t="shared" si="1"/>
        <v>-710.87036650000027</v>
      </c>
      <c r="J58" s="494">
        <f>SUM(J59:J61)</f>
        <v>3984.788</v>
      </c>
      <c r="K58" s="494">
        <f>SUM(K59:K61)</f>
        <v>3496.89014206</v>
      </c>
      <c r="L58" s="494">
        <f t="shared" si="2"/>
        <v>-487.89785793999999</v>
      </c>
      <c r="M58" s="494">
        <f>SUM(M59:M61)</f>
        <v>4019.1379999999999</v>
      </c>
      <c r="N58" s="494">
        <f>SUM(N59:N61)</f>
        <v>3903.2682345592571</v>
      </c>
      <c r="O58" s="494">
        <f t="shared" si="5"/>
        <v>-115.86976544074287</v>
      </c>
      <c r="P58" s="494">
        <f>SUM(P59:P61)</f>
        <v>4052.7084000000009</v>
      </c>
      <c r="Q58" s="494">
        <f>SUM(Q59:Q61)</f>
        <v>3944.8884799436946</v>
      </c>
      <c r="R58" s="494">
        <f>SUM(R59:R61)</f>
        <v>4084.8979999999997</v>
      </c>
      <c r="S58" s="494">
        <f>SUM(S59:S61)</f>
        <v>3988.1034710629629</v>
      </c>
      <c r="T58" s="257"/>
    </row>
    <row r="59" spans="1:21" x14ac:dyDescent="0.3">
      <c r="A59" s="69">
        <f>A58+0.1</f>
        <v>17.100000000000001</v>
      </c>
      <c r="B59" s="260" t="s">
        <v>661</v>
      </c>
      <c r="C59" s="320" t="s">
        <v>317</v>
      </c>
      <c r="D59" s="494">
        <f>'F1'!C50</f>
        <v>3920.2149999999997</v>
      </c>
      <c r="E59" s="494">
        <f>'F1'!D50</f>
        <v>3888.5415312700002</v>
      </c>
      <c r="F59" s="494">
        <f t="shared" si="0"/>
        <v>-31.673468729999513</v>
      </c>
      <c r="G59" s="494">
        <f>'F1'!F42</f>
        <v>3951.92</v>
      </c>
      <c r="H59" s="494">
        <f>'F1'!G42</f>
        <v>3241.0496334999998</v>
      </c>
      <c r="I59" s="494">
        <f t="shared" si="1"/>
        <v>-710.87036650000027</v>
      </c>
      <c r="J59" s="494">
        <f>'F1'!H42</f>
        <v>3984.788</v>
      </c>
      <c r="K59" s="494">
        <f>'F1'!I42</f>
        <v>3496.89014206</v>
      </c>
      <c r="L59" s="494">
        <f t="shared" si="2"/>
        <v>-487.89785793999999</v>
      </c>
      <c r="M59" s="494">
        <f>'F1'!J42</f>
        <v>4019.1379999999999</v>
      </c>
      <c r="N59" s="494">
        <f>'Sales Forecast'!$P$37</f>
        <v>3903.2682345592571</v>
      </c>
      <c r="O59" s="494">
        <f t="shared" si="5"/>
        <v>-115.86976544074287</v>
      </c>
      <c r="P59" s="494">
        <f>'F1'!N42</f>
        <v>4052.7084000000009</v>
      </c>
      <c r="Q59" s="494">
        <f>'Sales Forecast'!$P$72</f>
        <v>3944.8884799436946</v>
      </c>
      <c r="R59" s="494">
        <f>'F1'!P42</f>
        <v>4084.8979999999997</v>
      </c>
      <c r="S59" s="494">
        <f>'Sales Forecast'!$P$107</f>
        <v>3988.1034710629629</v>
      </c>
      <c r="T59" s="257"/>
    </row>
    <row r="60" spans="1:21" x14ac:dyDescent="0.3">
      <c r="A60" s="69">
        <f>A59+0.1</f>
        <v>17.200000000000003</v>
      </c>
      <c r="B60" s="260" t="s">
        <v>663</v>
      </c>
      <c r="C60" s="320" t="s">
        <v>317</v>
      </c>
      <c r="D60" s="494">
        <v>0</v>
      </c>
      <c r="E60" s="494">
        <v>0</v>
      </c>
      <c r="F60" s="494">
        <f t="shared" si="0"/>
        <v>0</v>
      </c>
      <c r="G60" s="494">
        <v>0</v>
      </c>
      <c r="H60" s="494">
        <v>0</v>
      </c>
      <c r="I60" s="494">
        <f t="shared" si="1"/>
        <v>0</v>
      </c>
      <c r="J60" s="494">
        <v>0</v>
      </c>
      <c r="K60" s="494">
        <v>0</v>
      </c>
      <c r="L60" s="494">
        <f t="shared" si="2"/>
        <v>0</v>
      </c>
      <c r="M60" s="494">
        <v>0</v>
      </c>
      <c r="N60" s="494">
        <v>0</v>
      </c>
      <c r="O60" s="494">
        <f t="shared" si="5"/>
        <v>0</v>
      </c>
      <c r="P60" s="494">
        <v>0</v>
      </c>
      <c r="Q60" s="494">
        <v>0</v>
      </c>
      <c r="R60" s="494">
        <v>0</v>
      </c>
      <c r="S60" s="494">
        <v>0</v>
      </c>
      <c r="T60" s="257"/>
    </row>
    <row r="61" spans="1:21" x14ac:dyDescent="0.3">
      <c r="A61" s="69">
        <f>A60+0.1</f>
        <v>17.300000000000004</v>
      </c>
      <c r="B61" s="260" t="s">
        <v>664</v>
      </c>
      <c r="C61" s="320" t="s">
        <v>317</v>
      </c>
      <c r="D61" s="353">
        <v>0</v>
      </c>
      <c r="E61" s="353">
        <v>0</v>
      </c>
      <c r="F61" s="494">
        <f t="shared" si="0"/>
        <v>0</v>
      </c>
      <c r="G61" s="494">
        <v>0</v>
      </c>
      <c r="H61" s="494">
        <v>0</v>
      </c>
      <c r="I61" s="494">
        <f t="shared" si="1"/>
        <v>0</v>
      </c>
      <c r="J61" s="353">
        <v>0</v>
      </c>
      <c r="K61" s="353">
        <v>0</v>
      </c>
      <c r="L61" s="494">
        <f t="shared" si="2"/>
        <v>0</v>
      </c>
      <c r="M61" s="353">
        <v>0</v>
      </c>
      <c r="N61" s="353">
        <v>0</v>
      </c>
      <c r="O61" s="494">
        <f t="shared" si="5"/>
        <v>0</v>
      </c>
      <c r="P61" s="353">
        <v>0</v>
      </c>
      <c r="Q61" s="353">
        <v>0</v>
      </c>
      <c r="R61" s="353">
        <v>0</v>
      </c>
      <c r="S61" s="353">
        <v>0</v>
      </c>
      <c r="T61" s="25"/>
    </row>
    <row r="62" spans="1:21" x14ac:dyDescent="0.3">
      <c r="A62" s="69">
        <f>A61+0.1</f>
        <v>17.400000000000006</v>
      </c>
      <c r="B62" s="260" t="s">
        <v>1794</v>
      </c>
      <c r="C62" s="320" t="s">
        <v>317</v>
      </c>
      <c r="D62" s="353"/>
      <c r="E62" s="353"/>
      <c r="F62" s="494"/>
      <c r="G62" s="494"/>
      <c r="H62" s="494"/>
      <c r="I62" s="494"/>
      <c r="J62" s="353"/>
      <c r="K62" s="353"/>
      <c r="L62" s="494"/>
      <c r="M62" s="353"/>
      <c r="N62" s="353">
        <f>-'Sales Forecast'!P38</f>
        <v>0</v>
      </c>
      <c r="O62" s="494"/>
      <c r="P62" s="353"/>
      <c r="Q62" s="353">
        <f>-'Sales Forecast'!$P$73</f>
        <v>0</v>
      </c>
      <c r="R62" s="353"/>
      <c r="S62" s="353">
        <f>-'Sales Forecast'!$P$108</f>
        <v>0</v>
      </c>
      <c r="T62" s="25"/>
    </row>
    <row r="63" spans="1:21" x14ac:dyDescent="0.3">
      <c r="A63" s="70">
        <v>18</v>
      </c>
      <c r="B63" s="256" t="s">
        <v>594</v>
      </c>
      <c r="C63" s="321" t="s">
        <v>317</v>
      </c>
      <c r="D63" s="354">
        <f>D58+D53-0.01</f>
        <v>4606.0329999999994</v>
      </c>
      <c r="E63" s="354">
        <f t="shared" ref="E63:M63" si="6">E58+E53</f>
        <v>4569.3413092700002</v>
      </c>
      <c r="F63" s="354">
        <f t="shared" si="6"/>
        <v>-36.701690729999314</v>
      </c>
      <c r="G63" s="354">
        <f t="shared" si="6"/>
        <v>4643.66</v>
      </c>
      <c r="H63" s="354">
        <f>H58+H53</f>
        <v>3776.8447444999997</v>
      </c>
      <c r="I63" s="354">
        <f t="shared" si="6"/>
        <v>-866.81525550000026</v>
      </c>
      <c r="J63" s="354">
        <f t="shared" si="6"/>
        <v>4683.7759999999998</v>
      </c>
      <c r="K63" s="354">
        <f t="shared" si="6"/>
        <v>4068.9679770600001</v>
      </c>
      <c r="L63" s="354">
        <f t="shared" si="6"/>
        <v>-614.80802294000011</v>
      </c>
      <c r="M63" s="354">
        <f t="shared" si="6"/>
        <v>4726.9920000000002</v>
      </c>
      <c r="N63" s="354">
        <f>N58+N53+N62</f>
        <v>4537.9765172112111</v>
      </c>
      <c r="O63" s="354">
        <f t="shared" ref="O63:S63" si="7">O58+O53+O62</f>
        <v>-189.01548278878909</v>
      </c>
      <c r="P63" s="354">
        <f t="shared" si="7"/>
        <v>4771.3724000000011</v>
      </c>
      <c r="Q63" s="354">
        <f t="shared" si="7"/>
        <v>4579.5967625956482</v>
      </c>
      <c r="R63" s="354">
        <f t="shared" si="7"/>
        <v>4816.7119999999995</v>
      </c>
      <c r="S63" s="354">
        <f t="shared" si="7"/>
        <v>4622.8117537149164</v>
      </c>
      <c r="T63" s="28"/>
    </row>
    <row r="64" spans="1:21" hidden="1" x14ac:dyDescent="0.25">
      <c r="A64" s="15"/>
      <c r="T64" s="375"/>
    </row>
    <row r="65" spans="1:20" s="1694" customFormat="1" hidden="1" x14ac:dyDescent="0.25">
      <c r="A65" s="2113" t="s">
        <v>435</v>
      </c>
      <c r="B65" s="2112"/>
      <c r="C65" s="68"/>
      <c r="D65" s="375"/>
      <c r="E65" s="375"/>
      <c r="F65" s="375"/>
      <c r="G65" s="375"/>
      <c r="H65" s="375"/>
      <c r="I65" s="375"/>
      <c r="J65" s="375"/>
      <c r="K65" s="375"/>
      <c r="L65" s="375"/>
      <c r="M65" s="375"/>
      <c r="N65" s="375"/>
      <c r="O65" s="375"/>
      <c r="P65" s="375"/>
      <c r="Q65" s="375"/>
      <c r="R65" s="375"/>
      <c r="S65" s="375"/>
      <c r="T65" s="375"/>
    </row>
    <row r="66" spans="1:20" hidden="1" x14ac:dyDescent="0.25">
      <c r="A66" s="15" t="s">
        <v>825</v>
      </c>
    </row>
    <row r="67" spans="1:20" x14ac:dyDescent="0.25">
      <c r="A67" s="322"/>
      <c r="E67" s="812"/>
    </row>
    <row r="69" spans="1:20" x14ac:dyDescent="0.25">
      <c r="E69" s="812"/>
    </row>
  </sheetData>
  <mergeCells count="10">
    <mergeCell ref="D7:F7"/>
    <mergeCell ref="G7:I7"/>
    <mergeCell ref="B7:B9"/>
    <mergeCell ref="A7:A9"/>
    <mergeCell ref="C7:C9"/>
    <mergeCell ref="P7:Q7"/>
    <mergeCell ref="R7:S7"/>
    <mergeCell ref="T7:T9"/>
    <mergeCell ref="J7:L7"/>
    <mergeCell ref="M7:O7"/>
  </mergeCells>
  <conditionalFormatting sqref="A65:XFD65">
    <cfRule type="containsText" dxfId="1" priority="1" operator="containsText" text="False">
      <formula>NOT(ISERROR(SEARCH("False",A65)))</formula>
    </cfRule>
  </conditionalFormatting>
  <pageMargins left="0.35433070866141736" right="0.19685039370078741" top="0.47244094488188981" bottom="0.31496062992125984" header="0.23622047244094491" footer="0.23622047244094491"/>
  <pageSetup paperSize="9" scale="40" fitToHeight="2" orientation="landscape" r:id="rId1"/>
  <headerFooter alignWithMargins="0">
    <oddHeader>&amp;F</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39"/>
  <sheetViews>
    <sheetView showGridLines="0" view="pageBreakPreview" zoomScale="86" zoomScaleNormal="75" workbookViewId="0">
      <selection activeCell="A27" sqref="A27"/>
    </sheetView>
  </sheetViews>
  <sheetFormatPr defaultColWidth="9.1796875" defaultRowHeight="14" x14ac:dyDescent="0.25"/>
  <cols>
    <col min="1" max="1" width="6.81640625" style="15" customWidth="1"/>
    <col min="2" max="2" width="8.1796875" style="15" customWidth="1"/>
    <col min="3" max="3" width="32.26953125" style="15" customWidth="1"/>
    <col min="4" max="9" width="11.08984375" style="15" bestFit="1" customWidth="1"/>
    <col min="10" max="248" width="9.1796875" style="15"/>
    <col min="249" max="249" width="6.81640625" style="15" customWidth="1"/>
    <col min="250" max="250" width="7" style="15" customWidth="1"/>
    <col min="251" max="251" width="17.81640625" style="15" bestFit="1" customWidth="1"/>
    <col min="252" max="252" width="12.81640625" style="15" customWidth="1"/>
    <col min="253" max="253" width="24" style="15" customWidth="1"/>
    <col min="254" max="254" width="13.453125" style="15" bestFit="1" customWidth="1"/>
    <col min="255" max="255" width="13.81640625" style="15" customWidth="1"/>
    <col min="256" max="256" width="13.1796875" style="15" customWidth="1"/>
    <col min="257" max="257" width="22.453125" style="15" customWidth="1"/>
    <col min="258" max="258" width="18.453125" style="15" customWidth="1"/>
    <col min="259" max="259" width="22" style="15" customWidth="1"/>
    <col min="260" max="260" width="21.26953125" style="15" customWidth="1"/>
    <col min="261" max="261" width="23" style="15" customWidth="1"/>
    <col min="262" max="504" width="9.1796875" style="15"/>
    <col min="505" max="505" width="6.81640625" style="15" customWidth="1"/>
    <col min="506" max="506" width="7" style="15" customWidth="1"/>
    <col min="507" max="507" width="17.81640625" style="15" bestFit="1" customWidth="1"/>
    <col min="508" max="508" width="12.81640625" style="15" customWidth="1"/>
    <col min="509" max="509" width="24" style="15" customWidth="1"/>
    <col min="510" max="510" width="13.453125" style="15" bestFit="1" customWidth="1"/>
    <col min="511" max="511" width="13.81640625" style="15" customWidth="1"/>
    <col min="512" max="512" width="13.1796875" style="15" customWidth="1"/>
    <col min="513" max="513" width="22.453125" style="15" customWidth="1"/>
    <col min="514" max="514" width="18.453125" style="15" customWidth="1"/>
    <col min="515" max="515" width="22" style="15" customWidth="1"/>
    <col min="516" max="516" width="21.26953125" style="15" customWidth="1"/>
    <col min="517" max="517" width="23" style="15" customWidth="1"/>
    <col min="518" max="760" width="9.1796875" style="15"/>
    <col min="761" max="761" width="6.81640625" style="15" customWidth="1"/>
    <col min="762" max="762" width="7" style="15" customWidth="1"/>
    <col min="763" max="763" width="17.81640625" style="15" bestFit="1" customWidth="1"/>
    <col min="764" max="764" width="12.81640625" style="15" customWidth="1"/>
    <col min="765" max="765" width="24" style="15" customWidth="1"/>
    <col min="766" max="766" width="13.453125" style="15" bestFit="1" customWidth="1"/>
    <col min="767" max="767" width="13.81640625" style="15" customWidth="1"/>
    <col min="768" max="768" width="13.1796875" style="15" customWidth="1"/>
    <col min="769" max="769" width="22.453125" style="15" customWidth="1"/>
    <col min="770" max="770" width="18.453125" style="15" customWidth="1"/>
    <col min="771" max="771" width="22" style="15" customWidth="1"/>
    <col min="772" max="772" width="21.26953125" style="15" customWidth="1"/>
    <col min="773" max="773" width="23" style="15" customWidth="1"/>
    <col min="774" max="1016" width="9.1796875" style="15"/>
    <col min="1017" max="1017" width="6.81640625" style="15" customWidth="1"/>
    <col min="1018" max="1018" width="7" style="15" customWidth="1"/>
    <col min="1019" max="1019" width="17.81640625" style="15" bestFit="1" customWidth="1"/>
    <col min="1020" max="1020" width="12.81640625" style="15" customWidth="1"/>
    <col min="1021" max="1021" width="24" style="15" customWidth="1"/>
    <col min="1022" max="1022" width="13.453125" style="15" bestFit="1" customWidth="1"/>
    <col min="1023" max="1023" width="13.81640625" style="15" customWidth="1"/>
    <col min="1024" max="1024" width="13.1796875" style="15" customWidth="1"/>
    <col min="1025" max="1025" width="22.453125" style="15" customWidth="1"/>
    <col min="1026" max="1026" width="18.453125" style="15" customWidth="1"/>
    <col min="1027" max="1027" width="22" style="15" customWidth="1"/>
    <col min="1028" max="1028" width="21.26953125" style="15" customWidth="1"/>
    <col min="1029" max="1029" width="23" style="15" customWidth="1"/>
    <col min="1030" max="1272" width="9.1796875" style="15"/>
    <col min="1273" max="1273" width="6.81640625" style="15" customWidth="1"/>
    <col min="1274" max="1274" width="7" style="15" customWidth="1"/>
    <col min="1275" max="1275" width="17.81640625" style="15" bestFit="1" customWidth="1"/>
    <col min="1276" max="1276" width="12.81640625" style="15" customWidth="1"/>
    <col min="1277" max="1277" width="24" style="15" customWidth="1"/>
    <col min="1278" max="1278" width="13.453125" style="15" bestFit="1" customWidth="1"/>
    <col min="1279" max="1279" width="13.81640625" style="15" customWidth="1"/>
    <col min="1280" max="1280" width="13.1796875" style="15" customWidth="1"/>
    <col min="1281" max="1281" width="22.453125" style="15" customWidth="1"/>
    <col min="1282" max="1282" width="18.453125" style="15" customWidth="1"/>
    <col min="1283" max="1283" width="22" style="15" customWidth="1"/>
    <col min="1284" max="1284" width="21.26953125" style="15" customWidth="1"/>
    <col min="1285" max="1285" width="23" style="15" customWidth="1"/>
    <col min="1286" max="1528" width="9.1796875" style="15"/>
    <col min="1529" max="1529" width="6.81640625" style="15" customWidth="1"/>
    <col min="1530" max="1530" width="7" style="15" customWidth="1"/>
    <col min="1531" max="1531" width="17.81640625" style="15" bestFit="1" customWidth="1"/>
    <col min="1532" max="1532" width="12.81640625" style="15" customWidth="1"/>
    <col min="1533" max="1533" width="24" style="15" customWidth="1"/>
    <col min="1534" max="1534" width="13.453125" style="15" bestFit="1" customWidth="1"/>
    <col min="1535" max="1535" width="13.81640625" style="15" customWidth="1"/>
    <col min="1536" max="1536" width="13.1796875" style="15" customWidth="1"/>
    <col min="1537" max="1537" width="22.453125" style="15" customWidth="1"/>
    <col min="1538" max="1538" width="18.453125" style="15" customWidth="1"/>
    <col min="1539" max="1539" width="22" style="15" customWidth="1"/>
    <col min="1540" max="1540" width="21.26953125" style="15" customWidth="1"/>
    <col min="1541" max="1541" width="23" style="15" customWidth="1"/>
    <col min="1542" max="1784" width="9.1796875" style="15"/>
    <col min="1785" max="1785" width="6.81640625" style="15" customWidth="1"/>
    <col min="1786" max="1786" width="7" style="15" customWidth="1"/>
    <col min="1787" max="1787" width="17.81640625" style="15" bestFit="1" customWidth="1"/>
    <col min="1788" max="1788" width="12.81640625" style="15" customWidth="1"/>
    <col min="1789" max="1789" width="24" style="15" customWidth="1"/>
    <col min="1790" max="1790" width="13.453125" style="15" bestFit="1" customWidth="1"/>
    <col min="1791" max="1791" width="13.81640625" style="15" customWidth="1"/>
    <col min="1792" max="1792" width="13.1796875" style="15" customWidth="1"/>
    <col min="1793" max="1793" width="22.453125" style="15" customWidth="1"/>
    <col min="1794" max="1794" width="18.453125" style="15" customWidth="1"/>
    <col min="1795" max="1795" width="22" style="15" customWidth="1"/>
    <col min="1796" max="1796" width="21.26953125" style="15" customWidth="1"/>
    <col min="1797" max="1797" width="23" style="15" customWidth="1"/>
    <col min="1798" max="2040" width="9.1796875" style="15"/>
    <col min="2041" max="2041" width="6.81640625" style="15" customWidth="1"/>
    <col min="2042" max="2042" width="7" style="15" customWidth="1"/>
    <col min="2043" max="2043" width="17.81640625" style="15" bestFit="1" customWidth="1"/>
    <col min="2044" max="2044" width="12.81640625" style="15" customWidth="1"/>
    <col min="2045" max="2045" width="24" style="15" customWidth="1"/>
    <col min="2046" max="2046" width="13.453125" style="15" bestFit="1" customWidth="1"/>
    <col min="2047" max="2047" width="13.81640625" style="15" customWidth="1"/>
    <col min="2048" max="2048" width="13.1796875" style="15" customWidth="1"/>
    <col min="2049" max="2049" width="22.453125" style="15" customWidth="1"/>
    <col min="2050" max="2050" width="18.453125" style="15" customWidth="1"/>
    <col min="2051" max="2051" width="22" style="15" customWidth="1"/>
    <col min="2052" max="2052" width="21.26953125" style="15" customWidth="1"/>
    <col min="2053" max="2053" width="23" style="15" customWidth="1"/>
    <col min="2054" max="2296" width="9.1796875" style="15"/>
    <col min="2297" max="2297" width="6.81640625" style="15" customWidth="1"/>
    <col min="2298" max="2298" width="7" style="15" customWidth="1"/>
    <col min="2299" max="2299" width="17.81640625" style="15" bestFit="1" customWidth="1"/>
    <col min="2300" max="2300" width="12.81640625" style="15" customWidth="1"/>
    <col min="2301" max="2301" width="24" style="15" customWidth="1"/>
    <col min="2302" max="2302" width="13.453125" style="15" bestFit="1" customWidth="1"/>
    <col min="2303" max="2303" width="13.81640625" style="15" customWidth="1"/>
    <col min="2304" max="2304" width="13.1796875" style="15" customWidth="1"/>
    <col min="2305" max="2305" width="22.453125" style="15" customWidth="1"/>
    <col min="2306" max="2306" width="18.453125" style="15" customWidth="1"/>
    <col min="2307" max="2307" width="22" style="15" customWidth="1"/>
    <col min="2308" max="2308" width="21.26953125" style="15" customWidth="1"/>
    <col min="2309" max="2309" width="23" style="15" customWidth="1"/>
    <col min="2310" max="2552" width="9.1796875" style="15"/>
    <col min="2553" max="2553" width="6.81640625" style="15" customWidth="1"/>
    <col min="2554" max="2554" width="7" style="15" customWidth="1"/>
    <col min="2555" max="2555" width="17.81640625" style="15" bestFit="1" customWidth="1"/>
    <col min="2556" max="2556" width="12.81640625" style="15" customWidth="1"/>
    <col min="2557" max="2557" width="24" style="15" customWidth="1"/>
    <col min="2558" max="2558" width="13.453125" style="15" bestFit="1" customWidth="1"/>
    <col min="2559" max="2559" width="13.81640625" style="15" customWidth="1"/>
    <col min="2560" max="2560" width="13.1796875" style="15" customWidth="1"/>
    <col min="2561" max="2561" width="22.453125" style="15" customWidth="1"/>
    <col min="2562" max="2562" width="18.453125" style="15" customWidth="1"/>
    <col min="2563" max="2563" width="22" style="15" customWidth="1"/>
    <col min="2564" max="2564" width="21.26953125" style="15" customWidth="1"/>
    <col min="2565" max="2565" width="23" style="15" customWidth="1"/>
    <col min="2566" max="2808" width="9.1796875" style="15"/>
    <col min="2809" max="2809" width="6.81640625" style="15" customWidth="1"/>
    <col min="2810" max="2810" width="7" style="15" customWidth="1"/>
    <col min="2811" max="2811" width="17.81640625" style="15" bestFit="1" customWidth="1"/>
    <col min="2812" max="2812" width="12.81640625" style="15" customWidth="1"/>
    <col min="2813" max="2813" width="24" style="15" customWidth="1"/>
    <col min="2814" max="2814" width="13.453125" style="15" bestFit="1" customWidth="1"/>
    <col min="2815" max="2815" width="13.81640625" style="15" customWidth="1"/>
    <col min="2816" max="2816" width="13.1796875" style="15" customWidth="1"/>
    <col min="2817" max="2817" width="22.453125" style="15" customWidth="1"/>
    <col min="2818" max="2818" width="18.453125" style="15" customWidth="1"/>
    <col min="2819" max="2819" width="22" style="15" customWidth="1"/>
    <col min="2820" max="2820" width="21.26953125" style="15" customWidth="1"/>
    <col min="2821" max="2821" width="23" style="15" customWidth="1"/>
    <col min="2822" max="3064" width="9.1796875" style="15"/>
    <col min="3065" max="3065" width="6.81640625" style="15" customWidth="1"/>
    <col min="3066" max="3066" width="7" style="15" customWidth="1"/>
    <col min="3067" max="3067" width="17.81640625" style="15" bestFit="1" customWidth="1"/>
    <col min="3068" max="3068" width="12.81640625" style="15" customWidth="1"/>
    <col min="3069" max="3069" width="24" style="15" customWidth="1"/>
    <col min="3070" max="3070" width="13.453125" style="15" bestFit="1" customWidth="1"/>
    <col min="3071" max="3071" width="13.81640625" style="15" customWidth="1"/>
    <col min="3072" max="3072" width="13.1796875" style="15" customWidth="1"/>
    <col min="3073" max="3073" width="22.453125" style="15" customWidth="1"/>
    <col min="3074" max="3074" width="18.453125" style="15" customWidth="1"/>
    <col min="3075" max="3075" width="22" style="15" customWidth="1"/>
    <col min="3076" max="3076" width="21.26953125" style="15" customWidth="1"/>
    <col min="3077" max="3077" width="23" style="15" customWidth="1"/>
    <col min="3078" max="3320" width="9.1796875" style="15"/>
    <col min="3321" max="3321" width="6.81640625" style="15" customWidth="1"/>
    <col min="3322" max="3322" width="7" style="15" customWidth="1"/>
    <col min="3323" max="3323" width="17.81640625" style="15" bestFit="1" customWidth="1"/>
    <col min="3324" max="3324" width="12.81640625" style="15" customWidth="1"/>
    <col min="3325" max="3325" width="24" style="15" customWidth="1"/>
    <col min="3326" max="3326" width="13.453125" style="15" bestFit="1" customWidth="1"/>
    <col min="3327" max="3327" width="13.81640625" style="15" customWidth="1"/>
    <col min="3328" max="3328" width="13.1796875" style="15" customWidth="1"/>
    <col min="3329" max="3329" width="22.453125" style="15" customWidth="1"/>
    <col min="3330" max="3330" width="18.453125" style="15" customWidth="1"/>
    <col min="3331" max="3331" width="22" style="15" customWidth="1"/>
    <col min="3332" max="3332" width="21.26953125" style="15" customWidth="1"/>
    <col min="3333" max="3333" width="23" style="15" customWidth="1"/>
    <col min="3334" max="3576" width="9.1796875" style="15"/>
    <col min="3577" max="3577" width="6.81640625" style="15" customWidth="1"/>
    <col min="3578" max="3578" width="7" style="15" customWidth="1"/>
    <col min="3579" max="3579" width="17.81640625" style="15" bestFit="1" customWidth="1"/>
    <col min="3580" max="3580" width="12.81640625" style="15" customWidth="1"/>
    <col min="3581" max="3581" width="24" style="15" customWidth="1"/>
    <col min="3582" max="3582" width="13.453125" style="15" bestFit="1" customWidth="1"/>
    <col min="3583" max="3583" width="13.81640625" style="15" customWidth="1"/>
    <col min="3584" max="3584" width="13.1796875" style="15" customWidth="1"/>
    <col min="3585" max="3585" width="22.453125" style="15" customWidth="1"/>
    <col min="3586" max="3586" width="18.453125" style="15" customWidth="1"/>
    <col min="3587" max="3587" width="22" style="15" customWidth="1"/>
    <col min="3588" max="3588" width="21.26953125" style="15" customWidth="1"/>
    <col min="3589" max="3589" width="23" style="15" customWidth="1"/>
    <col min="3590" max="3832" width="9.1796875" style="15"/>
    <col min="3833" max="3833" width="6.81640625" style="15" customWidth="1"/>
    <col min="3834" max="3834" width="7" style="15" customWidth="1"/>
    <col min="3835" max="3835" width="17.81640625" style="15" bestFit="1" customWidth="1"/>
    <col min="3836" max="3836" width="12.81640625" style="15" customWidth="1"/>
    <col min="3837" max="3837" width="24" style="15" customWidth="1"/>
    <col min="3838" max="3838" width="13.453125" style="15" bestFit="1" customWidth="1"/>
    <col min="3839" max="3839" width="13.81640625" style="15" customWidth="1"/>
    <col min="3840" max="3840" width="13.1796875" style="15" customWidth="1"/>
    <col min="3841" max="3841" width="22.453125" style="15" customWidth="1"/>
    <col min="3842" max="3842" width="18.453125" style="15" customWidth="1"/>
    <col min="3843" max="3843" width="22" style="15" customWidth="1"/>
    <col min="3844" max="3844" width="21.26953125" style="15" customWidth="1"/>
    <col min="3845" max="3845" width="23" style="15" customWidth="1"/>
    <col min="3846" max="4088" width="9.1796875" style="15"/>
    <col min="4089" max="4089" width="6.81640625" style="15" customWidth="1"/>
    <col min="4090" max="4090" width="7" style="15" customWidth="1"/>
    <col min="4091" max="4091" width="17.81640625" style="15" bestFit="1" customWidth="1"/>
    <col min="4092" max="4092" width="12.81640625" style="15" customWidth="1"/>
    <col min="4093" max="4093" width="24" style="15" customWidth="1"/>
    <col min="4094" max="4094" width="13.453125" style="15" bestFit="1" customWidth="1"/>
    <col min="4095" max="4095" width="13.81640625" style="15" customWidth="1"/>
    <col min="4096" max="4096" width="13.1796875" style="15" customWidth="1"/>
    <col min="4097" max="4097" width="22.453125" style="15" customWidth="1"/>
    <col min="4098" max="4098" width="18.453125" style="15" customWidth="1"/>
    <col min="4099" max="4099" width="22" style="15" customWidth="1"/>
    <col min="4100" max="4100" width="21.26953125" style="15" customWidth="1"/>
    <col min="4101" max="4101" width="23" style="15" customWidth="1"/>
    <col min="4102" max="4344" width="9.1796875" style="15"/>
    <col min="4345" max="4345" width="6.81640625" style="15" customWidth="1"/>
    <col min="4346" max="4346" width="7" style="15" customWidth="1"/>
    <col min="4347" max="4347" width="17.81640625" style="15" bestFit="1" customWidth="1"/>
    <col min="4348" max="4348" width="12.81640625" style="15" customWidth="1"/>
    <col min="4349" max="4349" width="24" style="15" customWidth="1"/>
    <col min="4350" max="4350" width="13.453125" style="15" bestFit="1" customWidth="1"/>
    <col min="4351" max="4351" width="13.81640625" style="15" customWidth="1"/>
    <col min="4352" max="4352" width="13.1796875" style="15" customWidth="1"/>
    <col min="4353" max="4353" width="22.453125" style="15" customWidth="1"/>
    <col min="4354" max="4354" width="18.453125" style="15" customWidth="1"/>
    <col min="4355" max="4355" width="22" style="15" customWidth="1"/>
    <col min="4356" max="4356" width="21.26953125" style="15" customWidth="1"/>
    <col min="4357" max="4357" width="23" style="15" customWidth="1"/>
    <col min="4358" max="4600" width="9.1796875" style="15"/>
    <col min="4601" max="4601" width="6.81640625" style="15" customWidth="1"/>
    <col min="4602" max="4602" width="7" style="15" customWidth="1"/>
    <col min="4603" max="4603" width="17.81640625" style="15" bestFit="1" customWidth="1"/>
    <col min="4604" max="4604" width="12.81640625" style="15" customWidth="1"/>
    <col min="4605" max="4605" width="24" style="15" customWidth="1"/>
    <col min="4606" max="4606" width="13.453125" style="15" bestFit="1" customWidth="1"/>
    <col min="4607" max="4607" width="13.81640625" style="15" customWidth="1"/>
    <col min="4608" max="4608" width="13.1796875" style="15" customWidth="1"/>
    <col min="4609" max="4609" width="22.453125" style="15" customWidth="1"/>
    <col min="4610" max="4610" width="18.453125" style="15" customWidth="1"/>
    <col min="4611" max="4611" width="22" style="15" customWidth="1"/>
    <col min="4612" max="4612" width="21.26953125" style="15" customWidth="1"/>
    <col min="4613" max="4613" width="23" style="15" customWidth="1"/>
    <col min="4614" max="4856" width="9.1796875" style="15"/>
    <col min="4857" max="4857" width="6.81640625" style="15" customWidth="1"/>
    <col min="4858" max="4858" width="7" style="15" customWidth="1"/>
    <col min="4859" max="4859" width="17.81640625" style="15" bestFit="1" customWidth="1"/>
    <col min="4860" max="4860" width="12.81640625" style="15" customWidth="1"/>
    <col min="4861" max="4861" width="24" style="15" customWidth="1"/>
    <col min="4862" max="4862" width="13.453125" style="15" bestFit="1" customWidth="1"/>
    <col min="4863" max="4863" width="13.81640625" style="15" customWidth="1"/>
    <col min="4864" max="4864" width="13.1796875" style="15" customWidth="1"/>
    <col min="4865" max="4865" width="22.453125" style="15" customWidth="1"/>
    <col min="4866" max="4866" width="18.453125" style="15" customWidth="1"/>
    <col min="4867" max="4867" width="22" style="15" customWidth="1"/>
    <col min="4868" max="4868" width="21.26953125" style="15" customWidth="1"/>
    <col min="4869" max="4869" width="23" style="15" customWidth="1"/>
    <col min="4870" max="5112" width="9.1796875" style="15"/>
    <col min="5113" max="5113" width="6.81640625" style="15" customWidth="1"/>
    <col min="5114" max="5114" width="7" style="15" customWidth="1"/>
    <col min="5115" max="5115" width="17.81640625" style="15" bestFit="1" customWidth="1"/>
    <col min="5116" max="5116" width="12.81640625" style="15" customWidth="1"/>
    <col min="5117" max="5117" width="24" style="15" customWidth="1"/>
    <col min="5118" max="5118" width="13.453125" style="15" bestFit="1" customWidth="1"/>
    <col min="5119" max="5119" width="13.81640625" style="15" customWidth="1"/>
    <col min="5120" max="5120" width="13.1796875" style="15" customWidth="1"/>
    <col min="5121" max="5121" width="22.453125" style="15" customWidth="1"/>
    <col min="5122" max="5122" width="18.453125" style="15" customWidth="1"/>
    <col min="5123" max="5123" width="22" style="15" customWidth="1"/>
    <col min="5124" max="5124" width="21.26953125" style="15" customWidth="1"/>
    <col min="5125" max="5125" width="23" style="15" customWidth="1"/>
    <col min="5126" max="5368" width="9.1796875" style="15"/>
    <col min="5369" max="5369" width="6.81640625" style="15" customWidth="1"/>
    <col min="5370" max="5370" width="7" style="15" customWidth="1"/>
    <col min="5371" max="5371" width="17.81640625" style="15" bestFit="1" customWidth="1"/>
    <col min="5372" max="5372" width="12.81640625" style="15" customWidth="1"/>
    <col min="5373" max="5373" width="24" style="15" customWidth="1"/>
    <col min="5374" max="5374" width="13.453125" style="15" bestFit="1" customWidth="1"/>
    <col min="5375" max="5375" width="13.81640625" style="15" customWidth="1"/>
    <col min="5376" max="5376" width="13.1796875" style="15" customWidth="1"/>
    <col min="5377" max="5377" width="22.453125" style="15" customWidth="1"/>
    <col min="5378" max="5378" width="18.453125" style="15" customWidth="1"/>
    <col min="5379" max="5379" width="22" style="15" customWidth="1"/>
    <col min="5380" max="5380" width="21.26953125" style="15" customWidth="1"/>
    <col min="5381" max="5381" width="23" style="15" customWidth="1"/>
    <col min="5382" max="5624" width="9.1796875" style="15"/>
    <col min="5625" max="5625" width="6.81640625" style="15" customWidth="1"/>
    <col min="5626" max="5626" width="7" style="15" customWidth="1"/>
    <col min="5627" max="5627" width="17.81640625" style="15" bestFit="1" customWidth="1"/>
    <col min="5628" max="5628" width="12.81640625" style="15" customWidth="1"/>
    <col min="5629" max="5629" width="24" style="15" customWidth="1"/>
    <col min="5630" max="5630" width="13.453125" style="15" bestFit="1" customWidth="1"/>
    <col min="5631" max="5631" width="13.81640625" style="15" customWidth="1"/>
    <col min="5632" max="5632" width="13.1796875" style="15" customWidth="1"/>
    <col min="5633" max="5633" width="22.453125" style="15" customWidth="1"/>
    <col min="5634" max="5634" width="18.453125" style="15" customWidth="1"/>
    <col min="5635" max="5635" width="22" style="15" customWidth="1"/>
    <col min="5636" max="5636" width="21.26953125" style="15" customWidth="1"/>
    <col min="5637" max="5637" width="23" style="15" customWidth="1"/>
    <col min="5638" max="5880" width="9.1796875" style="15"/>
    <col min="5881" max="5881" width="6.81640625" style="15" customWidth="1"/>
    <col min="5882" max="5882" width="7" style="15" customWidth="1"/>
    <col min="5883" max="5883" width="17.81640625" style="15" bestFit="1" customWidth="1"/>
    <col min="5884" max="5884" width="12.81640625" style="15" customWidth="1"/>
    <col min="5885" max="5885" width="24" style="15" customWidth="1"/>
    <col min="5886" max="5886" width="13.453125" style="15" bestFit="1" customWidth="1"/>
    <col min="5887" max="5887" width="13.81640625" style="15" customWidth="1"/>
    <col min="5888" max="5888" width="13.1796875" style="15" customWidth="1"/>
    <col min="5889" max="5889" width="22.453125" style="15" customWidth="1"/>
    <col min="5890" max="5890" width="18.453125" style="15" customWidth="1"/>
    <col min="5891" max="5891" width="22" style="15" customWidth="1"/>
    <col min="5892" max="5892" width="21.26953125" style="15" customWidth="1"/>
    <col min="5893" max="5893" width="23" style="15" customWidth="1"/>
    <col min="5894" max="6136" width="9.1796875" style="15"/>
    <col min="6137" max="6137" width="6.81640625" style="15" customWidth="1"/>
    <col min="6138" max="6138" width="7" style="15" customWidth="1"/>
    <col min="6139" max="6139" width="17.81640625" style="15" bestFit="1" customWidth="1"/>
    <col min="6140" max="6140" width="12.81640625" style="15" customWidth="1"/>
    <col min="6141" max="6141" width="24" style="15" customWidth="1"/>
    <col min="6142" max="6142" width="13.453125" style="15" bestFit="1" customWidth="1"/>
    <col min="6143" max="6143" width="13.81640625" style="15" customWidth="1"/>
    <col min="6144" max="6144" width="13.1796875" style="15" customWidth="1"/>
    <col min="6145" max="6145" width="22.453125" style="15" customWidth="1"/>
    <col min="6146" max="6146" width="18.453125" style="15" customWidth="1"/>
    <col min="6147" max="6147" width="22" style="15" customWidth="1"/>
    <col min="6148" max="6148" width="21.26953125" style="15" customWidth="1"/>
    <col min="6149" max="6149" width="23" style="15" customWidth="1"/>
    <col min="6150" max="6392" width="9.1796875" style="15"/>
    <col min="6393" max="6393" width="6.81640625" style="15" customWidth="1"/>
    <col min="6394" max="6394" width="7" style="15" customWidth="1"/>
    <col min="6395" max="6395" width="17.81640625" style="15" bestFit="1" customWidth="1"/>
    <col min="6396" max="6396" width="12.81640625" style="15" customWidth="1"/>
    <col min="6397" max="6397" width="24" style="15" customWidth="1"/>
    <col min="6398" max="6398" width="13.453125" style="15" bestFit="1" customWidth="1"/>
    <col min="6399" max="6399" width="13.81640625" style="15" customWidth="1"/>
    <col min="6400" max="6400" width="13.1796875" style="15" customWidth="1"/>
    <col min="6401" max="6401" width="22.453125" style="15" customWidth="1"/>
    <col min="6402" max="6402" width="18.453125" style="15" customWidth="1"/>
    <col min="6403" max="6403" width="22" style="15" customWidth="1"/>
    <col min="6404" max="6404" width="21.26953125" style="15" customWidth="1"/>
    <col min="6405" max="6405" width="23" style="15" customWidth="1"/>
    <col min="6406" max="6648" width="9.1796875" style="15"/>
    <col min="6649" max="6649" width="6.81640625" style="15" customWidth="1"/>
    <col min="6650" max="6650" width="7" style="15" customWidth="1"/>
    <col min="6651" max="6651" width="17.81640625" style="15" bestFit="1" customWidth="1"/>
    <col min="6652" max="6652" width="12.81640625" style="15" customWidth="1"/>
    <col min="6653" max="6653" width="24" style="15" customWidth="1"/>
    <col min="6654" max="6654" width="13.453125" style="15" bestFit="1" customWidth="1"/>
    <col min="6655" max="6655" width="13.81640625" style="15" customWidth="1"/>
    <col min="6656" max="6656" width="13.1796875" style="15" customWidth="1"/>
    <col min="6657" max="6657" width="22.453125" style="15" customWidth="1"/>
    <col min="6658" max="6658" width="18.453125" style="15" customWidth="1"/>
    <col min="6659" max="6659" width="22" style="15" customWidth="1"/>
    <col min="6660" max="6660" width="21.26953125" style="15" customWidth="1"/>
    <col min="6661" max="6661" width="23" style="15" customWidth="1"/>
    <col min="6662" max="6904" width="9.1796875" style="15"/>
    <col min="6905" max="6905" width="6.81640625" style="15" customWidth="1"/>
    <col min="6906" max="6906" width="7" style="15" customWidth="1"/>
    <col min="6907" max="6907" width="17.81640625" style="15" bestFit="1" customWidth="1"/>
    <col min="6908" max="6908" width="12.81640625" style="15" customWidth="1"/>
    <col min="6909" max="6909" width="24" style="15" customWidth="1"/>
    <col min="6910" max="6910" width="13.453125" style="15" bestFit="1" customWidth="1"/>
    <col min="6911" max="6911" width="13.81640625" style="15" customWidth="1"/>
    <col min="6912" max="6912" width="13.1796875" style="15" customWidth="1"/>
    <col min="6913" max="6913" width="22.453125" style="15" customWidth="1"/>
    <col min="6914" max="6914" width="18.453125" style="15" customWidth="1"/>
    <col min="6915" max="6915" width="22" style="15" customWidth="1"/>
    <col min="6916" max="6916" width="21.26953125" style="15" customWidth="1"/>
    <col min="6917" max="6917" width="23" style="15" customWidth="1"/>
    <col min="6918" max="7160" width="9.1796875" style="15"/>
    <col min="7161" max="7161" width="6.81640625" style="15" customWidth="1"/>
    <col min="7162" max="7162" width="7" style="15" customWidth="1"/>
    <col min="7163" max="7163" width="17.81640625" style="15" bestFit="1" customWidth="1"/>
    <col min="7164" max="7164" width="12.81640625" style="15" customWidth="1"/>
    <col min="7165" max="7165" width="24" style="15" customWidth="1"/>
    <col min="7166" max="7166" width="13.453125" style="15" bestFit="1" customWidth="1"/>
    <col min="7167" max="7167" width="13.81640625" style="15" customWidth="1"/>
    <col min="7168" max="7168" width="13.1796875" style="15" customWidth="1"/>
    <col min="7169" max="7169" width="22.453125" style="15" customWidth="1"/>
    <col min="7170" max="7170" width="18.453125" style="15" customWidth="1"/>
    <col min="7171" max="7171" width="22" style="15" customWidth="1"/>
    <col min="7172" max="7172" width="21.26953125" style="15" customWidth="1"/>
    <col min="7173" max="7173" width="23" style="15" customWidth="1"/>
    <col min="7174" max="7416" width="9.1796875" style="15"/>
    <col min="7417" max="7417" width="6.81640625" style="15" customWidth="1"/>
    <col min="7418" max="7418" width="7" style="15" customWidth="1"/>
    <col min="7419" max="7419" width="17.81640625" style="15" bestFit="1" customWidth="1"/>
    <col min="7420" max="7420" width="12.81640625" style="15" customWidth="1"/>
    <col min="7421" max="7421" width="24" style="15" customWidth="1"/>
    <col min="7422" max="7422" width="13.453125" style="15" bestFit="1" customWidth="1"/>
    <col min="7423" max="7423" width="13.81640625" style="15" customWidth="1"/>
    <col min="7424" max="7424" width="13.1796875" style="15" customWidth="1"/>
    <col min="7425" max="7425" width="22.453125" style="15" customWidth="1"/>
    <col min="7426" max="7426" width="18.453125" style="15" customWidth="1"/>
    <col min="7427" max="7427" width="22" style="15" customWidth="1"/>
    <col min="7428" max="7428" width="21.26953125" style="15" customWidth="1"/>
    <col min="7429" max="7429" width="23" style="15" customWidth="1"/>
    <col min="7430" max="7672" width="9.1796875" style="15"/>
    <col min="7673" max="7673" width="6.81640625" style="15" customWidth="1"/>
    <col min="7674" max="7674" width="7" style="15" customWidth="1"/>
    <col min="7675" max="7675" width="17.81640625" style="15" bestFit="1" customWidth="1"/>
    <col min="7676" max="7676" width="12.81640625" style="15" customWidth="1"/>
    <col min="7677" max="7677" width="24" style="15" customWidth="1"/>
    <col min="7678" max="7678" width="13.453125" style="15" bestFit="1" customWidth="1"/>
    <col min="7679" max="7679" width="13.81640625" style="15" customWidth="1"/>
    <col min="7680" max="7680" width="13.1796875" style="15" customWidth="1"/>
    <col min="7681" max="7681" width="22.453125" style="15" customWidth="1"/>
    <col min="7682" max="7682" width="18.453125" style="15" customWidth="1"/>
    <col min="7683" max="7683" width="22" style="15" customWidth="1"/>
    <col min="7684" max="7684" width="21.26953125" style="15" customWidth="1"/>
    <col min="7685" max="7685" width="23" style="15" customWidth="1"/>
    <col min="7686" max="7928" width="9.1796875" style="15"/>
    <col min="7929" max="7929" width="6.81640625" style="15" customWidth="1"/>
    <col min="7930" max="7930" width="7" style="15" customWidth="1"/>
    <col min="7931" max="7931" width="17.81640625" style="15" bestFit="1" customWidth="1"/>
    <col min="7932" max="7932" width="12.81640625" style="15" customWidth="1"/>
    <col min="7933" max="7933" width="24" style="15" customWidth="1"/>
    <col min="7934" max="7934" width="13.453125" style="15" bestFit="1" customWidth="1"/>
    <col min="7935" max="7935" width="13.81640625" style="15" customWidth="1"/>
    <col min="7936" max="7936" width="13.1796875" style="15" customWidth="1"/>
    <col min="7937" max="7937" width="22.453125" style="15" customWidth="1"/>
    <col min="7938" max="7938" width="18.453125" style="15" customWidth="1"/>
    <col min="7939" max="7939" width="22" style="15" customWidth="1"/>
    <col min="7940" max="7940" width="21.26953125" style="15" customWidth="1"/>
    <col min="7941" max="7941" width="23" style="15" customWidth="1"/>
    <col min="7942" max="8184" width="9.1796875" style="15"/>
    <col min="8185" max="8185" width="6.81640625" style="15" customWidth="1"/>
    <col min="8186" max="8186" width="7" style="15" customWidth="1"/>
    <col min="8187" max="8187" width="17.81640625" style="15" bestFit="1" customWidth="1"/>
    <col min="8188" max="8188" width="12.81640625" style="15" customWidth="1"/>
    <col min="8189" max="8189" width="24" style="15" customWidth="1"/>
    <col min="8190" max="8190" width="13.453125" style="15" bestFit="1" customWidth="1"/>
    <col min="8191" max="8191" width="13.81640625" style="15" customWidth="1"/>
    <col min="8192" max="8192" width="13.1796875" style="15" customWidth="1"/>
    <col min="8193" max="8193" width="22.453125" style="15" customWidth="1"/>
    <col min="8194" max="8194" width="18.453125" style="15" customWidth="1"/>
    <col min="8195" max="8195" width="22" style="15" customWidth="1"/>
    <col min="8196" max="8196" width="21.26953125" style="15" customWidth="1"/>
    <col min="8197" max="8197" width="23" style="15" customWidth="1"/>
    <col min="8198" max="8440" width="9.1796875" style="15"/>
    <col min="8441" max="8441" width="6.81640625" style="15" customWidth="1"/>
    <col min="8442" max="8442" width="7" style="15" customWidth="1"/>
    <col min="8443" max="8443" width="17.81640625" style="15" bestFit="1" customWidth="1"/>
    <col min="8444" max="8444" width="12.81640625" style="15" customWidth="1"/>
    <col min="8445" max="8445" width="24" style="15" customWidth="1"/>
    <col min="8446" max="8446" width="13.453125" style="15" bestFit="1" customWidth="1"/>
    <col min="8447" max="8447" width="13.81640625" style="15" customWidth="1"/>
    <col min="8448" max="8448" width="13.1796875" style="15" customWidth="1"/>
    <col min="8449" max="8449" width="22.453125" style="15" customWidth="1"/>
    <col min="8450" max="8450" width="18.453125" style="15" customWidth="1"/>
    <col min="8451" max="8451" width="22" style="15" customWidth="1"/>
    <col min="8452" max="8452" width="21.26953125" style="15" customWidth="1"/>
    <col min="8453" max="8453" width="23" style="15" customWidth="1"/>
    <col min="8454" max="8696" width="9.1796875" style="15"/>
    <col min="8697" max="8697" width="6.81640625" style="15" customWidth="1"/>
    <col min="8698" max="8698" width="7" style="15" customWidth="1"/>
    <col min="8699" max="8699" width="17.81640625" style="15" bestFit="1" customWidth="1"/>
    <col min="8700" max="8700" width="12.81640625" style="15" customWidth="1"/>
    <col min="8701" max="8701" width="24" style="15" customWidth="1"/>
    <col min="8702" max="8702" width="13.453125" style="15" bestFit="1" customWidth="1"/>
    <col min="8703" max="8703" width="13.81640625" style="15" customWidth="1"/>
    <col min="8704" max="8704" width="13.1796875" style="15" customWidth="1"/>
    <col min="8705" max="8705" width="22.453125" style="15" customWidth="1"/>
    <col min="8706" max="8706" width="18.453125" style="15" customWidth="1"/>
    <col min="8707" max="8707" width="22" style="15" customWidth="1"/>
    <col min="8708" max="8708" width="21.26953125" style="15" customWidth="1"/>
    <col min="8709" max="8709" width="23" style="15" customWidth="1"/>
    <col min="8710" max="8952" width="9.1796875" style="15"/>
    <col min="8953" max="8953" width="6.81640625" style="15" customWidth="1"/>
    <col min="8954" max="8954" width="7" style="15" customWidth="1"/>
    <col min="8955" max="8955" width="17.81640625" style="15" bestFit="1" customWidth="1"/>
    <col min="8956" max="8956" width="12.81640625" style="15" customWidth="1"/>
    <col min="8957" max="8957" width="24" style="15" customWidth="1"/>
    <col min="8958" max="8958" width="13.453125" style="15" bestFit="1" customWidth="1"/>
    <col min="8959" max="8959" width="13.81640625" style="15" customWidth="1"/>
    <col min="8960" max="8960" width="13.1796875" style="15" customWidth="1"/>
    <col min="8961" max="8961" width="22.453125" style="15" customWidth="1"/>
    <col min="8962" max="8962" width="18.453125" style="15" customWidth="1"/>
    <col min="8963" max="8963" width="22" style="15" customWidth="1"/>
    <col min="8964" max="8964" width="21.26953125" style="15" customWidth="1"/>
    <col min="8965" max="8965" width="23" style="15" customWidth="1"/>
    <col min="8966" max="9208" width="9.1796875" style="15"/>
    <col min="9209" max="9209" width="6.81640625" style="15" customWidth="1"/>
    <col min="9210" max="9210" width="7" style="15" customWidth="1"/>
    <col min="9211" max="9211" width="17.81640625" style="15" bestFit="1" customWidth="1"/>
    <col min="9212" max="9212" width="12.81640625" style="15" customWidth="1"/>
    <col min="9213" max="9213" width="24" style="15" customWidth="1"/>
    <col min="9214" max="9214" width="13.453125" style="15" bestFit="1" customWidth="1"/>
    <col min="9215" max="9215" width="13.81640625" style="15" customWidth="1"/>
    <col min="9216" max="9216" width="13.1796875" style="15" customWidth="1"/>
    <col min="9217" max="9217" width="22.453125" style="15" customWidth="1"/>
    <col min="9218" max="9218" width="18.453125" style="15" customWidth="1"/>
    <col min="9219" max="9219" width="22" style="15" customWidth="1"/>
    <col min="9220" max="9220" width="21.26953125" style="15" customWidth="1"/>
    <col min="9221" max="9221" width="23" style="15" customWidth="1"/>
    <col min="9222" max="9464" width="9.1796875" style="15"/>
    <col min="9465" max="9465" width="6.81640625" style="15" customWidth="1"/>
    <col min="9466" max="9466" width="7" style="15" customWidth="1"/>
    <col min="9467" max="9467" width="17.81640625" style="15" bestFit="1" customWidth="1"/>
    <col min="9468" max="9468" width="12.81640625" style="15" customWidth="1"/>
    <col min="9469" max="9469" width="24" style="15" customWidth="1"/>
    <col min="9470" max="9470" width="13.453125" style="15" bestFit="1" customWidth="1"/>
    <col min="9471" max="9471" width="13.81640625" style="15" customWidth="1"/>
    <col min="9472" max="9472" width="13.1796875" style="15" customWidth="1"/>
    <col min="9473" max="9473" width="22.453125" style="15" customWidth="1"/>
    <col min="9474" max="9474" width="18.453125" style="15" customWidth="1"/>
    <col min="9475" max="9475" width="22" style="15" customWidth="1"/>
    <col min="9476" max="9476" width="21.26953125" style="15" customWidth="1"/>
    <col min="9477" max="9477" width="23" style="15" customWidth="1"/>
    <col min="9478" max="9720" width="9.1796875" style="15"/>
    <col min="9721" max="9721" width="6.81640625" style="15" customWidth="1"/>
    <col min="9722" max="9722" width="7" style="15" customWidth="1"/>
    <col min="9723" max="9723" width="17.81640625" style="15" bestFit="1" customWidth="1"/>
    <col min="9724" max="9724" width="12.81640625" style="15" customWidth="1"/>
    <col min="9725" max="9725" width="24" style="15" customWidth="1"/>
    <col min="9726" max="9726" width="13.453125" style="15" bestFit="1" customWidth="1"/>
    <col min="9727" max="9727" width="13.81640625" style="15" customWidth="1"/>
    <col min="9728" max="9728" width="13.1796875" style="15" customWidth="1"/>
    <col min="9729" max="9729" width="22.453125" style="15" customWidth="1"/>
    <col min="9730" max="9730" width="18.453125" style="15" customWidth="1"/>
    <col min="9731" max="9731" width="22" style="15" customWidth="1"/>
    <col min="9732" max="9732" width="21.26953125" style="15" customWidth="1"/>
    <col min="9733" max="9733" width="23" style="15" customWidth="1"/>
    <col min="9734" max="9976" width="9.1796875" style="15"/>
    <col min="9977" max="9977" width="6.81640625" style="15" customWidth="1"/>
    <col min="9978" max="9978" width="7" style="15" customWidth="1"/>
    <col min="9979" max="9979" width="17.81640625" style="15" bestFit="1" customWidth="1"/>
    <col min="9980" max="9980" width="12.81640625" style="15" customWidth="1"/>
    <col min="9981" max="9981" width="24" style="15" customWidth="1"/>
    <col min="9982" max="9982" width="13.453125" style="15" bestFit="1" customWidth="1"/>
    <col min="9983" max="9983" width="13.81640625" style="15" customWidth="1"/>
    <col min="9984" max="9984" width="13.1796875" style="15" customWidth="1"/>
    <col min="9985" max="9985" width="22.453125" style="15" customWidth="1"/>
    <col min="9986" max="9986" width="18.453125" style="15" customWidth="1"/>
    <col min="9987" max="9987" width="22" style="15" customWidth="1"/>
    <col min="9988" max="9988" width="21.26953125" style="15" customWidth="1"/>
    <col min="9989" max="9989" width="23" style="15" customWidth="1"/>
    <col min="9990" max="10232" width="9.1796875" style="15"/>
    <col min="10233" max="10233" width="6.81640625" style="15" customWidth="1"/>
    <col min="10234" max="10234" width="7" style="15" customWidth="1"/>
    <col min="10235" max="10235" width="17.81640625" style="15" bestFit="1" customWidth="1"/>
    <col min="10236" max="10236" width="12.81640625" style="15" customWidth="1"/>
    <col min="10237" max="10237" width="24" style="15" customWidth="1"/>
    <col min="10238" max="10238" width="13.453125" style="15" bestFit="1" customWidth="1"/>
    <col min="10239" max="10239" width="13.81640625" style="15" customWidth="1"/>
    <col min="10240" max="10240" width="13.1796875" style="15" customWidth="1"/>
    <col min="10241" max="10241" width="22.453125" style="15" customWidth="1"/>
    <col min="10242" max="10242" width="18.453125" style="15" customWidth="1"/>
    <col min="10243" max="10243" width="22" style="15" customWidth="1"/>
    <col min="10244" max="10244" width="21.26953125" style="15" customWidth="1"/>
    <col min="10245" max="10245" width="23" style="15" customWidth="1"/>
    <col min="10246" max="10488" width="9.1796875" style="15"/>
    <col min="10489" max="10489" width="6.81640625" style="15" customWidth="1"/>
    <col min="10490" max="10490" width="7" style="15" customWidth="1"/>
    <col min="10491" max="10491" width="17.81640625" style="15" bestFit="1" customWidth="1"/>
    <col min="10492" max="10492" width="12.81640625" style="15" customWidth="1"/>
    <col min="10493" max="10493" width="24" style="15" customWidth="1"/>
    <col min="10494" max="10494" width="13.453125" style="15" bestFit="1" customWidth="1"/>
    <col min="10495" max="10495" width="13.81640625" style="15" customWidth="1"/>
    <col min="10496" max="10496" width="13.1796875" style="15" customWidth="1"/>
    <col min="10497" max="10497" width="22.453125" style="15" customWidth="1"/>
    <col min="10498" max="10498" width="18.453125" style="15" customWidth="1"/>
    <col min="10499" max="10499" width="22" style="15" customWidth="1"/>
    <col min="10500" max="10500" width="21.26953125" style="15" customWidth="1"/>
    <col min="10501" max="10501" width="23" style="15" customWidth="1"/>
    <col min="10502" max="10744" width="9.1796875" style="15"/>
    <col min="10745" max="10745" width="6.81640625" style="15" customWidth="1"/>
    <col min="10746" max="10746" width="7" style="15" customWidth="1"/>
    <col min="10747" max="10747" width="17.81640625" style="15" bestFit="1" customWidth="1"/>
    <col min="10748" max="10748" width="12.81640625" style="15" customWidth="1"/>
    <col min="10749" max="10749" width="24" style="15" customWidth="1"/>
    <col min="10750" max="10750" width="13.453125" style="15" bestFit="1" customWidth="1"/>
    <col min="10751" max="10751" width="13.81640625" style="15" customWidth="1"/>
    <col min="10752" max="10752" width="13.1796875" style="15" customWidth="1"/>
    <col min="10753" max="10753" width="22.453125" style="15" customWidth="1"/>
    <col min="10754" max="10754" width="18.453125" style="15" customWidth="1"/>
    <col min="10755" max="10755" width="22" style="15" customWidth="1"/>
    <col min="10756" max="10756" width="21.26953125" style="15" customWidth="1"/>
    <col min="10757" max="10757" width="23" style="15" customWidth="1"/>
    <col min="10758" max="11000" width="9.1796875" style="15"/>
    <col min="11001" max="11001" width="6.81640625" style="15" customWidth="1"/>
    <col min="11002" max="11002" width="7" style="15" customWidth="1"/>
    <col min="11003" max="11003" width="17.81640625" style="15" bestFit="1" customWidth="1"/>
    <col min="11004" max="11004" width="12.81640625" style="15" customWidth="1"/>
    <col min="11005" max="11005" width="24" style="15" customWidth="1"/>
    <col min="11006" max="11006" width="13.453125" style="15" bestFit="1" customWidth="1"/>
    <col min="11007" max="11007" width="13.81640625" style="15" customWidth="1"/>
    <col min="11008" max="11008" width="13.1796875" style="15" customWidth="1"/>
    <col min="11009" max="11009" width="22.453125" style="15" customWidth="1"/>
    <col min="11010" max="11010" width="18.453125" style="15" customWidth="1"/>
    <col min="11011" max="11011" width="22" style="15" customWidth="1"/>
    <col min="11012" max="11012" width="21.26953125" style="15" customWidth="1"/>
    <col min="11013" max="11013" width="23" style="15" customWidth="1"/>
    <col min="11014" max="11256" width="9.1796875" style="15"/>
    <col min="11257" max="11257" width="6.81640625" style="15" customWidth="1"/>
    <col min="11258" max="11258" width="7" style="15" customWidth="1"/>
    <col min="11259" max="11259" width="17.81640625" style="15" bestFit="1" customWidth="1"/>
    <col min="11260" max="11260" width="12.81640625" style="15" customWidth="1"/>
    <col min="11261" max="11261" width="24" style="15" customWidth="1"/>
    <col min="11262" max="11262" width="13.453125" style="15" bestFit="1" customWidth="1"/>
    <col min="11263" max="11263" width="13.81640625" style="15" customWidth="1"/>
    <col min="11264" max="11264" width="13.1796875" style="15" customWidth="1"/>
    <col min="11265" max="11265" width="22.453125" style="15" customWidth="1"/>
    <col min="11266" max="11266" width="18.453125" style="15" customWidth="1"/>
    <col min="11267" max="11267" width="22" style="15" customWidth="1"/>
    <col min="11268" max="11268" width="21.26953125" style="15" customWidth="1"/>
    <col min="11269" max="11269" width="23" style="15" customWidth="1"/>
    <col min="11270" max="11512" width="9.1796875" style="15"/>
    <col min="11513" max="11513" width="6.81640625" style="15" customWidth="1"/>
    <col min="11514" max="11514" width="7" style="15" customWidth="1"/>
    <col min="11515" max="11515" width="17.81640625" style="15" bestFit="1" customWidth="1"/>
    <col min="11516" max="11516" width="12.81640625" style="15" customWidth="1"/>
    <col min="11517" max="11517" width="24" style="15" customWidth="1"/>
    <col min="11518" max="11518" width="13.453125" style="15" bestFit="1" customWidth="1"/>
    <col min="11519" max="11519" width="13.81640625" style="15" customWidth="1"/>
    <col min="11520" max="11520" width="13.1796875" style="15" customWidth="1"/>
    <col min="11521" max="11521" width="22.453125" style="15" customWidth="1"/>
    <col min="11522" max="11522" width="18.453125" style="15" customWidth="1"/>
    <col min="11523" max="11523" width="22" style="15" customWidth="1"/>
    <col min="11524" max="11524" width="21.26953125" style="15" customWidth="1"/>
    <col min="11525" max="11525" width="23" style="15" customWidth="1"/>
    <col min="11526" max="11768" width="9.1796875" style="15"/>
    <col min="11769" max="11769" width="6.81640625" style="15" customWidth="1"/>
    <col min="11770" max="11770" width="7" style="15" customWidth="1"/>
    <col min="11771" max="11771" width="17.81640625" style="15" bestFit="1" customWidth="1"/>
    <col min="11772" max="11772" width="12.81640625" style="15" customWidth="1"/>
    <col min="11773" max="11773" width="24" style="15" customWidth="1"/>
    <col min="11774" max="11774" width="13.453125" style="15" bestFit="1" customWidth="1"/>
    <col min="11775" max="11775" width="13.81640625" style="15" customWidth="1"/>
    <col min="11776" max="11776" width="13.1796875" style="15" customWidth="1"/>
    <col min="11777" max="11777" width="22.453125" style="15" customWidth="1"/>
    <col min="11778" max="11778" width="18.453125" style="15" customWidth="1"/>
    <col min="11779" max="11779" width="22" style="15" customWidth="1"/>
    <col min="11780" max="11780" width="21.26953125" style="15" customWidth="1"/>
    <col min="11781" max="11781" width="23" style="15" customWidth="1"/>
    <col min="11782" max="12024" width="9.1796875" style="15"/>
    <col min="12025" max="12025" width="6.81640625" style="15" customWidth="1"/>
    <col min="12026" max="12026" width="7" style="15" customWidth="1"/>
    <col min="12027" max="12027" width="17.81640625" style="15" bestFit="1" customWidth="1"/>
    <col min="12028" max="12028" width="12.81640625" style="15" customWidth="1"/>
    <col min="12029" max="12029" width="24" style="15" customWidth="1"/>
    <col min="12030" max="12030" width="13.453125" style="15" bestFit="1" customWidth="1"/>
    <col min="12031" max="12031" width="13.81640625" style="15" customWidth="1"/>
    <col min="12032" max="12032" width="13.1796875" style="15" customWidth="1"/>
    <col min="12033" max="12033" width="22.453125" style="15" customWidth="1"/>
    <col min="12034" max="12034" width="18.453125" style="15" customWidth="1"/>
    <col min="12035" max="12035" width="22" style="15" customWidth="1"/>
    <col min="12036" max="12036" width="21.26953125" style="15" customWidth="1"/>
    <col min="12037" max="12037" width="23" style="15" customWidth="1"/>
    <col min="12038" max="12280" width="9.1796875" style="15"/>
    <col min="12281" max="12281" width="6.81640625" style="15" customWidth="1"/>
    <col min="12282" max="12282" width="7" style="15" customWidth="1"/>
    <col min="12283" max="12283" width="17.81640625" style="15" bestFit="1" customWidth="1"/>
    <col min="12284" max="12284" width="12.81640625" style="15" customWidth="1"/>
    <col min="12285" max="12285" width="24" style="15" customWidth="1"/>
    <col min="12286" max="12286" width="13.453125" style="15" bestFit="1" customWidth="1"/>
    <col min="12287" max="12287" width="13.81640625" style="15" customWidth="1"/>
    <col min="12288" max="12288" width="13.1796875" style="15" customWidth="1"/>
    <col min="12289" max="12289" width="22.453125" style="15" customWidth="1"/>
    <col min="12290" max="12290" width="18.453125" style="15" customWidth="1"/>
    <col min="12291" max="12291" width="22" style="15" customWidth="1"/>
    <col min="12292" max="12292" width="21.26953125" style="15" customWidth="1"/>
    <col min="12293" max="12293" width="23" style="15" customWidth="1"/>
    <col min="12294" max="12536" width="9.1796875" style="15"/>
    <col min="12537" max="12537" width="6.81640625" style="15" customWidth="1"/>
    <col min="12538" max="12538" width="7" style="15" customWidth="1"/>
    <col min="12539" max="12539" width="17.81640625" style="15" bestFit="1" customWidth="1"/>
    <col min="12540" max="12540" width="12.81640625" style="15" customWidth="1"/>
    <col min="12541" max="12541" width="24" style="15" customWidth="1"/>
    <col min="12542" max="12542" width="13.453125" style="15" bestFit="1" customWidth="1"/>
    <col min="12543" max="12543" width="13.81640625" style="15" customWidth="1"/>
    <col min="12544" max="12544" width="13.1796875" style="15" customWidth="1"/>
    <col min="12545" max="12545" width="22.453125" style="15" customWidth="1"/>
    <col min="12546" max="12546" width="18.453125" style="15" customWidth="1"/>
    <col min="12547" max="12547" width="22" style="15" customWidth="1"/>
    <col min="12548" max="12548" width="21.26953125" style="15" customWidth="1"/>
    <col min="12549" max="12549" width="23" style="15" customWidth="1"/>
    <col min="12550" max="12792" width="9.1796875" style="15"/>
    <col min="12793" max="12793" width="6.81640625" style="15" customWidth="1"/>
    <col min="12794" max="12794" width="7" style="15" customWidth="1"/>
    <col min="12795" max="12795" width="17.81640625" style="15" bestFit="1" customWidth="1"/>
    <col min="12796" max="12796" width="12.81640625" style="15" customWidth="1"/>
    <col min="12797" max="12797" width="24" style="15" customWidth="1"/>
    <col min="12798" max="12798" width="13.453125" style="15" bestFit="1" customWidth="1"/>
    <col min="12799" max="12799" width="13.81640625" style="15" customWidth="1"/>
    <col min="12800" max="12800" width="13.1796875" style="15" customWidth="1"/>
    <col min="12801" max="12801" width="22.453125" style="15" customWidth="1"/>
    <col min="12802" max="12802" width="18.453125" style="15" customWidth="1"/>
    <col min="12803" max="12803" width="22" style="15" customWidth="1"/>
    <col min="12804" max="12804" width="21.26953125" style="15" customWidth="1"/>
    <col min="12805" max="12805" width="23" style="15" customWidth="1"/>
    <col min="12806" max="13048" width="9.1796875" style="15"/>
    <col min="13049" max="13049" width="6.81640625" style="15" customWidth="1"/>
    <col min="13050" max="13050" width="7" style="15" customWidth="1"/>
    <col min="13051" max="13051" width="17.81640625" style="15" bestFit="1" customWidth="1"/>
    <col min="13052" max="13052" width="12.81640625" style="15" customWidth="1"/>
    <col min="13053" max="13053" width="24" style="15" customWidth="1"/>
    <col min="13054" max="13054" width="13.453125" style="15" bestFit="1" customWidth="1"/>
    <col min="13055" max="13055" width="13.81640625" style="15" customWidth="1"/>
    <col min="13056" max="13056" width="13.1796875" style="15" customWidth="1"/>
    <col min="13057" max="13057" width="22.453125" style="15" customWidth="1"/>
    <col min="13058" max="13058" width="18.453125" style="15" customWidth="1"/>
    <col min="13059" max="13059" width="22" style="15" customWidth="1"/>
    <col min="13060" max="13060" width="21.26953125" style="15" customWidth="1"/>
    <col min="13061" max="13061" width="23" style="15" customWidth="1"/>
    <col min="13062" max="13304" width="9.1796875" style="15"/>
    <col min="13305" max="13305" width="6.81640625" style="15" customWidth="1"/>
    <col min="13306" max="13306" width="7" style="15" customWidth="1"/>
    <col min="13307" max="13307" width="17.81640625" style="15" bestFit="1" customWidth="1"/>
    <col min="13308" max="13308" width="12.81640625" style="15" customWidth="1"/>
    <col min="13309" max="13309" width="24" style="15" customWidth="1"/>
    <col min="13310" max="13310" width="13.453125" style="15" bestFit="1" customWidth="1"/>
    <col min="13311" max="13311" width="13.81640625" style="15" customWidth="1"/>
    <col min="13312" max="13312" width="13.1796875" style="15" customWidth="1"/>
    <col min="13313" max="13313" width="22.453125" style="15" customWidth="1"/>
    <col min="13314" max="13314" width="18.453125" style="15" customWidth="1"/>
    <col min="13315" max="13315" width="22" style="15" customWidth="1"/>
    <col min="13316" max="13316" width="21.26953125" style="15" customWidth="1"/>
    <col min="13317" max="13317" width="23" style="15" customWidth="1"/>
    <col min="13318" max="13560" width="9.1796875" style="15"/>
    <col min="13561" max="13561" width="6.81640625" style="15" customWidth="1"/>
    <col min="13562" max="13562" width="7" style="15" customWidth="1"/>
    <col min="13563" max="13563" width="17.81640625" style="15" bestFit="1" customWidth="1"/>
    <col min="13564" max="13564" width="12.81640625" style="15" customWidth="1"/>
    <col min="13565" max="13565" width="24" style="15" customWidth="1"/>
    <col min="13566" max="13566" width="13.453125" style="15" bestFit="1" customWidth="1"/>
    <col min="13567" max="13567" width="13.81640625" style="15" customWidth="1"/>
    <col min="13568" max="13568" width="13.1796875" style="15" customWidth="1"/>
    <col min="13569" max="13569" width="22.453125" style="15" customWidth="1"/>
    <col min="13570" max="13570" width="18.453125" style="15" customWidth="1"/>
    <col min="13571" max="13571" width="22" style="15" customWidth="1"/>
    <col min="13572" max="13572" width="21.26953125" style="15" customWidth="1"/>
    <col min="13573" max="13573" width="23" style="15" customWidth="1"/>
    <col min="13574" max="13816" width="9.1796875" style="15"/>
    <col min="13817" max="13817" width="6.81640625" style="15" customWidth="1"/>
    <col min="13818" max="13818" width="7" style="15" customWidth="1"/>
    <col min="13819" max="13819" width="17.81640625" style="15" bestFit="1" customWidth="1"/>
    <col min="13820" max="13820" width="12.81640625" style="15" customWidth="1"/>
    <col min="13821" max="13821" width="24" style="15" customWidth="1"/>
    <col min="13822" max="13822" width="13.453125" style="15" bestFit="1" customWidth="1"/>
    <col min="13823" max="13823" width="13.81640625" style="15" customWidth="1"/>
    <col min="13824" max="13824" width="13.1796875" style="15" customWidth="1"/>
    <col min="13825" max="13825" width="22.453125" style="15" customWidth="1"/>
    <col min="13826" max="13826" width="18.453125" style="15" customWidth="1"/>
    <col min="13827" max="13827" width="22" style="15" customWidth="1"/>
    <col min="13828" max="13828" width="21.26953125" style="15" customWidth="1"/>
    <col min="13829" max="13829" width="23" style="15" customWidth="1"/>
    <col min="13830" max="14072" width="9.1796875" style="15"/>
    <col min="14073" max="14073" width="6.81640625" style="15" customWidth="1"/>
    <col min="14074" max="14074" width="7" style="15" customWidth="1"/>
    <col min="14075" max="14075" width="17.81640625" style="15" bestFit="1" customWidth="1"/>
    <col min="14076" max="14076" width="12.81640625" style="15" customWidth="1"/>
    <col min="14077" max="14077" width="24" style="15" customWidth="1"/>
    <col min="14078" max="14078" width="13.453125" style="15" bestFit="1" customWidth="1"/>
    <col min="14079" max="14079" width="13.81640625" style="15" customWidth="1"/>
    <col min="14080" max="14080" width="13.1796875" style="15" customWidth="1"/>
    <col min="14081" max="14081" width="22.453125" style="15" customWidth="1"/>
    <col min="14082" max="14082" width="18.453125" style="15" customWidth="1"/>
    <col min="14083" max="14083" width="22" style="15" customWidth="1"/>
    <col min="14084" max="14084" width="21.26953125" style="15" customWidth="1"/>
    <col min="14085" max="14085" width="23" style="15" customWidth="1"/>
    <col min="14086" max="14328" width="9.1796875" style="15"/>
    <col min="14329" max="14329" width="6.81640625" style="15" customWidth="1"/>
    <col min="14330" max="14330" width="7" style="15" customWidth="1"/>
    <col min="14331" max="14331" width="17.81640625" style="15" bestFit="1" customWidth="1"/>
    <col min="14332" max="14332" width="12.81640625" style="15" customWidth="1"/>
    <col min="14333" max="14333" width="24" style="15" customWidth="1"/>
    <col min="14334" max="14334" width="13.453125" style="15" bestFit="1" customWidth="1"/>
    <col min="14335" max="14335" width="13.81640625" style="15" customWidth="1"/>
    <col min="14336" max="14336" width="13.1796875" style="15" customWidth="1"/>
    <col min="14337" max="14337" width="22.453125" style="15" customWidth="1"/>
    <col min="14338" max="14338" width="18.453125" style="15" customWidth="1"/>
    <col min="14339" max="14339" width="22" style="15" customWidth="1"/>
    <col min="14340" max="14340" width="21.26953125" style="15" customWidth="1"/>
    <col min="14341" max="14341" width="23" style="15" customWidth="1"/>
    <col min="14342" max="14584" width="9.1796875" style="15"/>
    <col min="14585" max="14585" width="6.81640625" style="15" customWidth="1"/>
    <col min="14586" max="14586" width="7" style="15" customWidth="1"/>
    <col min="14587" max="14587" width="17.81640625" style="15" bestFit="1" customWidth="1"/>
    <col min="14588" max="14588" width="12.81640625" style="15" customWidth="1"/>
    <col min="14589" max="14589" width="24" style="15" customWidth="1"/>
    <col min="14590" max="14590" width="13.453125" style="15" bestFit="1" customWidth="1"/>
    <col min="14591" max="14591" width="13.81640625" style="15" customWidth="1"/>
    <col min="14592" max="14592" width="13.1796875" style="15" customWidth="1"/>
    <col min="14593" max="14593" width="22.453125" style="15" customWidth="1"/>
    <col min="14594" max="14594" width="18.453125" style="15" customWidth="1"/>
    <col min="14595" max="14595" width="22" style="15" customWidth="1"/>
    <col min="14596" max="14596" width="21.26953125" style="15" customWidth="1"/>
    <col min="14597" max="14597" width="23" style="15" customWidth="1"/>
    <col min="14598" max="14840" width="9.1796875" style="15"/>
    <col min="14841" max="14841" width="6.81640625" style="15" customWidth="1"/>
    <col min="14842" max="14842" width="7" style="15" customWidth="1"/>
    <col min="14843" max="14843" width="17.81640625" style="15" bestFit="1" customWidth="1"/>
    <col min="14844" max="14844" width="12.81640625" style="15" customWidth="1"/>
    <col min="14845" max="14845" width="24" style="15" customWidth="1"/>
    <col min="14846" max="14846" width="13.453125" style="15" bestFit="1" customWidth="1"/>
    <col min="14847" max="14847" width="13.81640625" style="15" customWidth="1"/>
    <col min="14848" max="14848" width="13.1796875" style="15" customWidth="1"/>
    <col min="14849" max="14849" width="22.453125" style="15" customWidth="1"/>
    <col min="14850" max="14850" width="18.453125" style="15" customWidth="1"/>
    <col min="14851" max="14851" width="22" style="15" customWidth="1"/>
    <col min="14852" max="14852" width="21.26953125" style="15" customWidth="1"/>
    <col min="14853" max="14853" width="23" style="15" customWidth="1"/>
    <col min="14854" max="15096" width="9.1796875" style="15"/>
    <col min="15097" max="15097" width="6.81640625" style="15" customWidth="1"/>
    <col min="15098" max="15098" width="7" style="15" customWidth="1"/>
    <col min="15099" max="15099" width="17.81640625" style="15" bestFit="1" customWidth="1"/>
    <col min="15100" max="15100" width="12.81640625" style="15" customWidth="1"/>
    <col min="15101" max="15101" width="24" style="15" customWidth="1"/>
    <col min="15102" max="15102" width="13.453125" style="15" bestFit="1" customWidth="1"/>
    <col min="15103" max="15103" width="13.81640625" style="15" customWidth="1"/>
    <col min="15104" max="15104" width="13.1796875" style="15" customWidth="1"/>
    <col min="15105" max="15105" width="22.453125" style="15" customWidth="1"/>
    <col min="15106" max="15106" width="18.453125" style="15" customWidth="1"/>
    <col min="15107" max="15107" width="22" style="15" customWidth="1"/>
    <col min="15108" max="15108" width="21.26953125" style="15" customWidth="1"/>
    <col min="15109" max="15109" width="23" style="15" customWidth="1"/>
    <col min="15110" max="15352" width="9.1796875" style="15"/>
    <col min="15353" max="15353" width="6.81640625" style="15" customWidth="1"/>
    <col min="15354" max="15354" width="7" style="15" customWidth="1"/>
    <col min="15355" max="15355" width="17.81640625" style="15" bestFit="1" customWidth="1"/>
    <col min="15356" max="15356" width="12.81640625" style="15" customWidth="1"/>
    <col min="15357" max="15357" width="24" style="15" customWidth="1"/>
    <col min="15358" max="15358" width="13.453125" style="15" bestFit="1" customWidth="1"/>
    <col min="15359" max="15359" width="13.81640625" style="15" customWidth="1"/>
    <col min="15360" max="15360" width="13.1796875" style="15" customWidth="1"/>
    <col min="15361" max="15361" width="22.453125" style="15" customWidth="1"/>
    <col min="15362" max="15362" width="18.453125" style="15" customWidth="1"/>
    <col min="15363" max="15363" width="22" style="15" customWidth="1"/>
    <col min="15364" max="15364" width="21.26953125" style="15" customWidth="1"/>
    <col min="15365" max="15365" width="23" style="15" customWidth="1"/>
    <col min="15366" max="15608" width="9.1796875" style="15"/>
    <col min="15609" max="15609" width="6.81640625" style="15" customWidth="1"/>
    <col min="15610" max="15610" width="7" style="15" customWidth="1"/>
    <col min="15611" max="15611" width="17.81640625" style="15" bestFit="1" customWidth="1"/>
    <col min="15612" max="15612" width="12.81640625" style="15" customWidth="1"/>
    <col min="15613" max="15613" width="24" style="15" customWidth="1"/>
    <col min="15614" max="15614" width="13.453125" style="15" bestFit="1" customWidth="1"/>
    <col min="15615" max="15615" width="13.81640625" style="15" customWidth="1"/>
    <col min="15616" max="15616" width="13.1796875" style="15" customWidth="1"/>
    <col min="15617" max="15617" width="22.453125" style="15" customWidth="1"/>
    <col min="15618" max="15618" width="18.453125" style="15" customWidth="1"/>
    <col min="15619" max="15619" width="22" style="15" customWidth="1"/>
    <col min="15620" max="15620" width="21.26953125" style="15" customWidth="1"/>
    <col min="15621" max="15621" width="23" style="15" customWidth="1"/>
    <col min="15622" max="15864" width="9.1796875" style="15"/>
    <col min="15865" max="15865" width="6.81640625" style="15" customWidth="1"/>
    <col min="15866" max="15866" width="7" style="15" customWidth="1"/>
    <col min="15867" max="15867" width="17.81640625" style="15" bestFit="1" customWidth="1"/>
    <col min="15868" max="15868" width="12.81640625" style="15" customWidth="1"/>
    <col min="15869" max="15869" width="24" style="15" customWidth="1"/>
    <col min="15870" max="15870" width="13.453125" style="15" bestFit="1" customWidth="1"/>
    <col min="15871" max="15871" width="13.81640625" style="15" customWidth="1"/>
    <col min="15872" max="15872" width="13.1796875" style="15" customWidth="1"/>
    <col min="15873" max="15873" width="22.453125" style="15" customWidth="1"/>
    <col min="15874" max="15874" width="18.453125" style="15" customWidth="1"/>
    <col min="15875" max="15875" width="22" style="15" customWidth="1"/>
    <col min="15876" max="15876" width="21.26953125" style="15" customWidth="1"/>
    <col min="15877" max="15877" width="23" style="15" customWidth="1"/>
    <col min="15878" max="16120" width="9.1796875" style="15"/>
    <col min="16121" max="16121" width="6.81640625" style="15" customWidth="1"/>
    <col min="16122" max="16122" width="7" style="15" customWidth="1"/>
    <col min="16123" max="16123" width="17.81640625" style="15" bestFit="1" customWidth="1"/>
    <col min="16124" max="16124" width="12.81640625" style="15" customWidth="1"/>
    <col min="16125" max="16125" width="24" style="15" customWidth="1"/>
    <col min="16126" max="16126" width="13.453125" style="15" bestFit="1" customWidth="1"/>
    <col min="16127" max="16127" width="13.81640625" style="15" customWidth="1"/>
    <col min="16128" max="16128" width="13.1796875" style="15" customWidth="1"/>
    <col min="16129" max="16129" width="22.453125" style="15" customWidth="1"/>
    <col min="16130" max="16130" width="18.453125" style="15" customWidth="1"/>
    <col min="16131" max="16131" width="22" style="15" customWidth="1"/>
    <col min="16132" max="16132" width="21.26953125" style="15" customWidth="1"/>
    <col min="16133" max="16133" width="23" style="15" customWidth="1"/>
    <col min="16134" max="16384" width="9.1796875" style="15"/>
  </cols>
  <sheetData>
    <row r="3" spans="2:9" x14ac:dyDescent="0.25">
      <c r="B3" s="2202" t="s">
        <v>1027</v>
      </c>
      <c r="C3" s="2140"/>
      <c r="D3" s="2140"/>
      <c r="E3" s="2140"/>
      <c r="F3" s="2140"/>
      <c r="G3" s="2140"/>
      <c r="H3" s="2140"/>
      <c r="I3" s="2140"/>
    </row>
    <row r="4" spans="2:9" x14ac:dyDescent="0.25">
      <c r="B4" s="2202" t="s">
        <v>826</v>
      </c>
      <c r="C4" s="2140"/>
      <c r="D4" s="2140"/>
      <c r="E4" s="2140"/>
      <c r="F4" s="2140"/>
      <c r="G4" s="2140"/>
      <c r="H4" s="2140"/>
      <c r="I4" s="2140"/>
    </row>
    <row r="5" spans="2:9" x14ac:dyDescent="0.25">
      <c r="B5" s="2202" t="s">
        <v>612</v>
      </c>
      <c r="C5" s="2140"/>
      <c r="D5" s="2140"/>
      <c r="E5" s="2140"/>
      <c r="F5" s="2140"/>
      <c r="G5" s="2140"/>
      <c r="H5" s="2140"/>
      <c r="I5" s="2140"/>
    </row>
    <row r="6" spans="2:9" x14ac:dyDescent="0.25">
      <c r="B6" s="131"/>
      <c r="C6" s="120"/>
      <c r="D6" s="120"/>
      <c r="E6" s="17"/>
      <c r="F6" s="17"/>
      <c r="G6" s="18"/>
      <c r="H6" s="17"/>
      <c r="I6" s="17"/>
    </row>
    <row r="7" spans="2:9" ht="15" customHeight="1" x14ac:dyDescent="0.25">
      <c r="B7" s="2180" t="s">
        <v>187</v>
      </c>
      <c r="C7" s="2180" t="s">
        <v>50</v>
      </c>
      <c r="D7" s="265" t="s">
        <v>179</v>
      </c>
      <c r="E7" s="199" t="s">
        <v>186</v>
      </c>
      <c r="F7" s="308" t="s">
        <v>426</v>
      </c>
      <c r="G7" s="199" t="s">
        <v>427</v>
      </c>
      <c r="H7" s="265" t="s">
        <v>428</v>
      </c>
      <c r="I7" s="265" t="s">
        <v>429</v>
      </c>
    </row>
    <row r="8" spans="2:9" x14ac:dyDescent="0.25">
      <c r="B8" s="2180"/>
      <c r="C8" s="2180"/>
      <c r="D8" s="266" t="s">
        <v>12</v>
      </c>
      <c r="E8" s="200" t="s">
        <v>12</v>
      </c>
      <c r="F8" s="309" t="s">
        <v>12</v>
      </c>
      <c r="G8" s="199" t="s">
        <v>22</v>
      </c>
      <c r="H8" s="265" t="s">
        <v>14</v>
      </c>
      <c r="I8" s="265" t="s">
        <v>14</v>
      </c>
    </row>
    <row r="9" spans="2:9" x14ac:dyDescent="0.25">
      <c r="B9" s="755" t="s">
        <v>83</v>
      </c>
      <c r="C9" s="756" t="s">
        <v>420</v>
      </c>
      <c r="D9" s="124"/>
      <c r="E9" s="212"/>
      <c r="F9" s="212"/>
      <c r="G9" s="33"/>
      <c r="H9" s="33"/>
      <c r="I9" s="33"/>
    </row>
    <row r="10" spans="2:9" x14ac:dyDescent="0.25">
      <c r="B10" s="757">
        <v>1</v>
      </c>
      <c r="C10" s="805" t="s">
        <v>1436</v>
      </c>
      <c r="D10" s="413">
        <v>392.95600082627556</v>
      </c>
      <c r="E10" s="413">
        <v>355.16422226812642</v>
      </c>
      <c r="F10" s="413">
        <v>367.08324726296223</v>
      </c>
      <c r="G10" s="413">
        <v>393</v>
      </c>
      <c r="H10" s="413">
        <v>401</v>
      </c>
      <c r="I10" s="413">
        <v>409</v>
      </c>
    </row>
    <row r="11" spans="2:9" x14ac:dyDescent="0.25">
      <c r="B11" s="757">
        <v>2</v>
      </c>
      <c r="C11" s="805" t="s">
        <v>1437</v>
      </c>
      <c r="D11" s="413">
        <v>957.89902499483594</v>
      </c>
      <c r="E11" s="413">
        <v>746.23258004544539</v>
      </c>
      <c r="F11" s="413">
        <v>804.08860667630654</v>
      </c>
      <c r="G11" s="413">
        <v>905</v>
      </c>
      <c r="H11" s="413">
        <v>923</v>
      </c>
      <c r="I11" s="413">
        <v>942</v>
      </c>
    </row>
    <row r="12" spans="2:9" x14ac:dyDescent="0.25">
      <c r="B12" s="757"/>
      <c r="C12" s="758"/>
      <c r="D12" s="413"/>
      <c r="E12" s="413"/>
      <c r="F12" s="413"/>
      <c r="G12" s="413"/>
      <c r="H12" s="413"/>
      <c r="I12" s="413"/>
    </row>
    <row r="13" spans="2:9" x14ac:dyDescent="0.25">
      <c r="B13" s="755" t="s">
        <v>89</v>
      </c>
      <c r="C13" s="758" t="s">
        <v>421</v>
      </c>
      <c r="D13" s="413"/>
      <c r="E13" s="413"/>
      <c r="F13" s="413"/>
      <c r="G13" s="413"/>
      <c r="H13" s="413"/>
      <c r="I13" s="413"/>
    </row>
    <row r="14" spans="2:9" x14ac:dyDescent="0.25">
      <c r="B14" s="757"/>
      <c r="C14" s="758"/>
      <c r="D14" s="413"/>
      <c r="E14" s="413"/>
      <c r="F14" s="413"/>
      <c r="G14" s="413"/>
      <c r="H14" s="413"/>
      <c r="I14" s="413"/>
    </row>
    <row r="15" spans="2:9" x14ac:dyDescent="0.25">
      <c r="B15" s="755">
        <v>1</v>
      </c>
      <c r="C15" s="758" t="s">
        <v>1377</v>
      </c>
      <c r="D15" s="413"/>
      <c r="E15" s="413"/>
      <c r="F15" s="413"/>
      <c r="G15" s="413"/>
      <c r="H15" s="413"/>
      <c r="I15" s="413"/>
    </row>
    <row r="16" spans="2:9" x14ac:dyDescent="0.25">
      <c r="B16" s="757">
        <v>1.1000000000000001</v>
      </c>
      <c r="C16" s="748" t="s">
        <v>922</v>
      </c>
      <c r="D16" s="413">
        <v>676.68590000000006</v>
      </c>
      <c r="E16" s="413">
        <v>676.68590000000006</v>
      </c>
      <c r="F16" s="413">
        <v>676.68590000000006</v>
      </c>
      <c r="G16" s="413">
        <v>676.68590000000006</v>
      </c>
      <c r="H16" s="413">
        <v>676.68590000000006</v>
      </c>
      <c r="I16" s="413">
        <v>228.73</v>
      </c>
    </row>
    <row r="17" spans="2:9" ht="28" x14ac:dyDescent="0.25">
      <c r="B17" s="757">
        <f>B16+0.1</f>
        <v>1.2000000000000002</v>
      </c>
      <c r="C17" s="748" t="s">
        <v>1332</v>
      </c>
      <c r="D17" s="413">
        <v>20</v>
      </c>
      <c r="E17" s="413">
        <v>20</v>
      </c>
      <c r="F17" s="413">
        <v>20</v>
      </c>
      <c r="G17" s="413">
        <v>20</v>
      </c>
      <c r="H17" s="413">
        <v>20</v>
      </c>
      <c r="I17" s="413">
        <v>20</v>
      </c>
    </row>
    <row r="18" spans="2:9" x14ac:dyDescent="0.25">
      <c r="B18" s="759">
        <f>B17+0.1</f>
        <v>1.3000000000000003</v>
      </c>
      <c r="C18" s="760" t="s">
        <v>1378</v>
      </c>
      <c r="D18" s="413">
        <v>0</v>
      </c>
      <c r="E18" s="413">
        <v>0</v>
      </c>
      <c r="F18" s="413">
        <v>0</v>
      </c>
      <c r="G18" s="413">
        <v>0</v>
      </c>
      <c r="H18" s="413">
        <v>0</v>
      </c>
      <c r="I18" s="413">
        <v>0</v>
      </c>
    </row>
    <row r="19" spans="2:9" x14ac:dyDescent="0.25">
      <c r="B19" s="759">
        <f>B18+0.1</f>
        <v>1.4000000000000004</v>
      </c>
      <c r="C19" s="760" t="s">
        <v>1379</v>
      </c>
      <c r="D19" s="413">
        <v>12</v>
      </c>
      <c r="E19" s="413">
        <v>0</v>
      </c>
      <c r="F19" s="413">
        <v>0</v>
      </c>
      <c r="G19" s="413">
        <v>0</v>
      </c>
      <c r="H19" s="413">
        <v>0</v>
      </c>
      <c r="I19" s="413">
        <v>0</v>
      </c>
    </row>
    <row r="20" spans="2:9" x14ac:dyDescent="0.25">
      <c r="B20" s="757">
        <v>1.7</v>
      </c>
      <c r="C20" s="748" t="s">
        <v>933</v>
      </c>
      <c r="D20" s="413">
        <v>100</v>
      </c>
      <c r="E20" s="413">
        <v>100</v>
      </c>
      <c r="F20" s="413">
        <v>100</v>
      </c>
      <c r="G20" s="413">
        <v>100</v>
      </c>
      <c r="H20" s="413">
        <v>100</v>
      </c>
      <c r="I20" s="413">
        <v>100</v>
      </c>
    </row>
    <row r="21" spans="2:9" x14ac:dyDescent="0.25">
      <c r="B21" s="757">
        <v>1.8</v>
      </c>
      <c r="C21" s="748" t="s">
        <v>1630</v>
      </c>
      <c r="D21" s="413"/>
      <c r="E21" s="413"/>
      <c r="F21" s="413"/>
      <c r="G21" s="413"/>
      <c r="H21" s="413">
        <v>100</v>
      </c>
      <c r="I21" s="413">
        <v>100</v>
      </c>
    </row>
    <row r="22" spans="2:9" x14ac:dyDescent="0.25">
      <c r="B22" s="761"/>
      <c r="C22" s="758" t="s">
        <v>145</v>
      </c>
      <c r="D22" s="418">
        <f t="shared" ref="D22:I22" si="0">SUM(D16:D21)</f>
        <v>808.68590000000006</v>
      </c>
      <c r="E22" s="418">
        <f t="shared" si="0"/>
        <v>796.68590000000006</v>
      </c>
      <c r="F22" s="418">
        <f t="shared" si="0"/>
        <v>796.68590000000006</v>
      </c>
      <c r="G22" s="418">
        <f t="shared" si="0"/>
        <v>796.68590000000006</v>
      </c>
      <c r="H22" s="418">
        <f t="shared" si="0"/>
        <v>896.68590000000006</v>
      </c>
      <c r="I22" s="418">
        <f t="shared" si="0"/>
        <v>448.73</v>
      </c>
    </row>
    <row r="23" spans="2:9" x14ac:dyDescent="0.25">
      <c r="B23" s="757"/>
      <c r="C23" s="748"/>
      <c r="D23" s="413"/>
      <c r="E23" s="485"/>
      <c r="F23" s="485"/>
      <c r="G23" s="353"/>
      <c r="H23" s="353"/>
      <c r="I23" s="353"/>
    </row>
    <row r="24" spans="2:9" x14ac:dyDescent="0.25">
      <c r="B24" s="755">
        <v>2</v>
      </c>
      <c r="C24" s="762" t="s">
        <v>425</v>
      </c>
      <c r="D24" s="413">
        <f t="shared" ref="D24:I24" si="1">D22</f>
        <v>808.68590000000006</v>
      </c>
      <c r="E24" s="413">
        <f t="shared" si="1"/>
        <v>796.68590000000006</v>
      </c>
      <c r="F24" s="413">
        <f t="shared" si="1"/>
        <v>796.68590000000006</v>
      </c>
      <c r="G24" s="413">
        <f t="shared" si="1"/>
        <v>796.68590000000006</v>
      </c>
      <c r="H24" s="413">
        <f t="shared" si="1"/>
        <v>896.68590000000006</v>
      </c>
      <c r="I24" s="413">
        <f t="shared" si="1"/>
        <v>448.73</v>
      </c>
    </row>
    <row r="25" spans="2:9" x14ac:dyDescent="0.25">
      <c r="B25" s="757"/>
      <c r="C25" s="748"/>
      <c r="D25" s="413"/>
      <c r="E25" s="485"/>
      <c r="F25" s="485"/>
      <c r="G25" s="353"/>
      <c r="H25" s="353"/>
      <c r="I25" s="353"/>
    </row>
    <row r="26" spans="2:9" ht="28" x14ac:dyDescent="0.25">
      <c r="B26" s="755" t="s">
        <v>90</v>
      </c>
      <c r="C26" s="758" t="s">
        <v>542</v>
      </c>
      <c r="D26" s="498">
        <f t="shared" ref="D26:I26" si="2">D11-D24</f>
        <v>149.21312499483588</v>
      </c>
      <c r="E26" s="498">
        <f t="shared" si="2"/>
        <v>-50.453319954554672</v>
      </c>
      <c r="F26" s="498">
        <f t="shared" si="2"/>
        <v>7.4027066763064795</v>
      </c>
      <c r="G26" s="498">
        <f t="shared" si="2"/>
        <v>108.31409999999994</v>
      </c>
      <c r="H26" s="498">
        <f t="shared" si="2"/>
        <v>26.314099999999939</v>
      </c>
      <c r="I26" s="498">
        <f t="shared" si="2"/>
        <v>493.27</v>
      </c>
    </row>
    <row r="34" spans="1:2" ht="14.5" x14ac:dyDescent="0.25">
      <c r="A34" s="731"/>
    </row>
    <row r="39" spans="1:2" ht="14.5" x14ac:dyDescent="0.25">
      <c r="B39" s="731"/>
    </row>
  </sheetData>
  <mergeCells count="5">
    <mergeCell ref="B3:I3"/>
    <mergeCell ref="B4:I4"/>
    <mergeCell ref="B5:I5"/>
    <mergeCell ref="B7:B8"/>
    <mergeCell ref="C7:C8"/>
  </mergeCells>
  <pageMargins left="0.35433070866141736" right="0.19685039370078741" top="0.47244094488188981" bottom="0.31496062992125984" header="0.23622047244094491" footer="0.23622047244094491"/>
  <pageSetup paperSize="9" fitToHeight="2" orientation="landscape" r:id="rId1"/>
  <headerFooter alignWithMargins="0">
    <oddHeader>&amp;F</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22"/>
  <sheetViews>
    <sheetView showGridLines="0" workbookViewId="0">
      <selection activeCell="A15" sqref="A15"/>
    </sheetView>
  </sheetViews>
  <sheetFormatPr defaultRowHeight="12.5" x14ac:dyDescent="0.25"/>
  <cols>
    <col min="1" max="2" width="8.7265625" style="1746"/>
    <col min="3" max="3" width="17.90625" style="1746" bestFit="1" customWidth="1"/>
    <col min="4" max="4" width="20.26953125" style="1746" bestFit="1" customWidth="1"/>
    <col min="5" max="5" width="10.36328125" style="1746" bestFit="1" customWidth="1"/>
    <col min="6" max="16384" width="8.7265625" style="1746"/>
  </cols>
  <sheetData>
    <row r="1" spans="3:7" x14ac:dyDescent="0.25">
      <c r="D1" s="1747" t="s">
        <v>1824</v>
      </c>
      <c r="E1" s="1747" t="s">
        <v>1825</v>
      </c>
      <c r="F1" s="1747" t="s">
        <v>1826</v>
      </c>
    </row>
    <row r="2" spans="3:7" x14ac:dyDescent="0.25">
      <c r="C2" s="1747" t="s">
        <v>1827</v>
      </c>
      <c r="D2" s="1747">
        <v>116</v>
      </c>
      <c r="E2" s="1747">
        <v>116</v>
      </c>
    </row>
    <row r="3" spans="3:7" x14ac:dyDescent="0.25">
      <c r="C3" s="1747" t="s">
        <v>1828</v>
      </c>
      <c r="D3" s="1747">
        <v>143.80000000000001</v>
      </c>
      <c r="E3" s="1747">
        <v>143.80000000000001</v>
      </c>
    </row>
    <row r="4" spans="3:7" x14ac:dyDescent="0.25">
      <c r="D4" s="1748">
        <f>D3/D2-1</f>
        <v>0.23965517241379319</v>
      </c>
      <c r="E4" s="1748">
        <f>E3/E2-1</f>
        <v>0.23965517241379319</v>
      </c>
    </row>
    <row r="5" spans="3:7" x14ac:dyDescent="0.25">
      <c r="C5" s="1747" t="s">
        <v>1829</v>
      </c>
      <c r="D5" s="1749">
        <v>0.2</v>
      </c>
      <c r="E5" s="1749">
        <v>0.5</v>
      </c>
    </row>
    <row r="6" spans="3:7" x14ac:dyDescent="0.25">
      <c r="C6" s="1747" t="s">
        <v>1830</v>
      </c>
      <c r="D6" s="467">
        <f>D4*D5</f>
        <v>4.7931034482758643E-2</v>
      </c>
      <c r="E6" s="467">
        <f>E4*E5</f>
        <v>0.1198275862068966</v>
      </c>
    </row>
    <row r="7" spans="3:7" x14ac:dyDescent="0.25">
      <c r="C7" s="1747" t="s">
        <v>1831</v>
      </c>
      <c r="D7" s="1750">
        <v>1.97</v>
      </c>
      <c r="E7" s="1750">
        <v>1.97</v>
      </c>
    </row>
    <row r="8" spans="3:7" x14ac:dyDescent="0.25">
      <c r="C8" s="1751" t="s">
        <v>1832</v>
      </c>
      <c r="D8" s="1752">
        <f>D7*(1+D6)</f>
        <v>2.0644241379310344</v>
      </c>
      <c r="E8" s="1752">
        <f>E7*(1+E6)</f>
        <v>2.2060603448275864</v>
      </c>
      <c r="F8" s="1750">
        <f>SUM(D8:E8)</f>
        <v>4.2704844827586204</v>
      </c>
    </row>
    <row r="10" spans="3:7" x14ac:dyDescent="0.25">
      <c r="C10" s="1747" t="s">
        <v>1833</v>
      </c>
      <c r="D10" s="1753">
        <f>D3*(1+$G$10)</f>
        <v>150.46210066530818</v>
      </c>
      <c r="E10" s="1753">
        <f>D10</f>
        <v>150.46210066530818</v>
      </c>
      <c r="G10" s="1754">
        <f>'OnM esc rate'!$C$90</f>
        <v>4.6328933694771646E-2</v>
      </c>
    </row>
    <row r="11" spans="3:7" x14ac:dyDescent="0.25">
      <c r="D11" s="1748">
        <f>D10/D2-1</f>
        <v>0.29708707470093265</v>
      </c>
      <c r="E11" s="1748">
        <f>E10/E2-1</f>
        <v>0.29708707470093265</v>
      </c>
    </row>
    <row r="12" spans="3:7" x14ac:dyDescent="0.25">
      <c r="C12" s="1747" t="s">
        <v>1829</v>
      </c>
      <c r="D12" s="1749">
        <v>0.2</v>
      </c>
      <c r="E12" s="1749">
        <v>0.5</v>
      </c>
    </row>
    <row r="13" spans="3:7" x14ac:dyDescent="0.25">
      <c r="C13" s="1747" t="s">
        <v>1830</v>
      </c>
      <c r="D13" s="467">
        <f>D11*D12</f>
        <v>5.9417414940186535E-2</v>
      </c>
      <c r="E13" s="467">
        <f>E11*E12</f>
        <v>0.14854353735046633</v>
      </c>
    </row>
    <row r="14" spans="3:7" x14ac:dyDescent="0.25">
      <c r="C14" s="1747" t="s">
        <v>1831</v>
      </c>
      <c r="D14" s="1750">
        <v>1.97</v>
      </c>
      <c r="E14" s="1750">
        <v>1.97</v>
      </c>
    </row>
    <row r="15" spans="3:7" x14ac:dyDescent="0.25">
      <c r="C15" s="1751" t="s">
        <v>1834</v>
      </c>
      <c r="D15" s="1752">
        <f>D14*(1+D13)</f>
        <v>2.0870523074321672</v>
      </c>
      <c r="E15" s="1752">
        <f>E14*(1+E13)</f>
        <v>2.262630768580419</v>
      </c>
      <c r="F15" s="1750">
        <f>SUM(D15:E15)</f>
        <v>4.3496830760125862</v>
      </c>
    </row>
    <row r="17" spans="3:6" x14ac:dyDescent="0.25">
      <c r="C17" s="1747" t="s">
        <v>1835</v>
      </c>
      <c r="D17" s="1753">
        <f>D10*(1+$G$10)</f>
        <v>157.43284935060731</v>
      </c>
      <c r="E17" s="1753">
        <f>D17</f>
        <v>157.43284935060731</v>
      </c>
    </row>
    <row r="18" spans="3:6" x14ac:dyDescent="0.25">
      <c r="D18" s="1748">
        <f>D17/D2-1</f>
        <v>0.35717973578109752</v>
      </c>
      <c r="E18" s="1748">
        <f>E17/E2-1</f>
        <v>0.35717973578109752</v>
      </c>
    </row>
    <row r="19" spans="3:6" x14ac:dyDescent="0.25">
      <c r="C19" s="1747" t="s">
        <v>1829</v>
      </c>
      <c r="D19" s="1749">
        <v>0.2</v>
      </c>
      <c r="E19" s="1749">
        <v>0.5</v>
      </c>
    </row>
    <row r="20" spans="3:6" x14ac:dyDescent="0.25">
      <c r="C20" s="1747" t="s">
        <v>1830</v>
      </c>
      <c r="D20" s="467">
        <f>D18*D19</f>
        <v>7.1435947156219509E-2</v>
      </c>
      <c r="E20" s="467">
        <f>E18*E19</f>
        <v>0.17858986789054876</v>
      </c>
    </row>
    <row r="21" spans="3:6" x14ac:dyDescent="0.25">
      <c r="C21" s="1747" t="s">
        <v>1831</v>
      </c>
      <c r="D21" s="1750">
        <v>1.97</v>
      </c>
      <c r="E21" s="1750">
        <v>1.97</v>
      </c>
    </row>
    <row r="22" spans="3:6" x14ac:dyDescent="0.25">
      <c r="C22" s="1751" t="s">
        <v>1836</v>
      </c>
      <c r="D22" s="1752">
        <f>D21*(1+D20)</f>
        <v>2.1107288158977524</v>
      </c>
      <c r="E22" s="1752">
        <f>E21*(1+E20)</f>
        <v>2.3218220397443812</v>
      </c>
      <c r="F22" s="1750">
        <f>SUM(D22:E22)</f>
        <v>4.432550855642134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D413"/>
  <sheetViews>
    <sheetView showGridLines="0" view="pageBreakPreview" topLeftCell="A392" zoomScale="57" zoomScaleNormal="76" zoomScaleSheetLayoutView="62" workbookViewId="0">
      <pane xSplit="1" topLeftCell="C1" activePane="topRight" state="frozen"/>
      <selection activeCell="B18" sqref="B18:B20"/>
      <selection pane="topRight" activeCell="S1" sqref="S1"/>
    </sheetView>
  </sheetViews>
  <sheetFormatPr defaultColWidth="8.81640625" defaultRowHeight="14" x14ac:dyDescent="0.3"/>
  <cols>
    <col min="1" max="1" width="6.7265625" style="965" customWidth="1"/>
    <col min="2" max="2" width="40.08984375" style="1133" customWidth="1"/>
    <col min="3" max="5" width="12.7265625" style="965" customWidth="1"/>
    <col min="6" max="6" width="17.453125" style="965" customWidth="1"/>
    <col min="7" max="11" width="12.7265625" style="965" customWidth="1"/>
    <col min="12" max="12" width="17.453125" style="965" customWidth="1"/>
    <col min="13" max="13" width="19.08984375" style="965" customWidth="1"/>
    <col min="14" max="14" width="17.453125" style="965" customWidth="1"/>
    <col min="15" max="15" width="15.1796875" style="965" customWidth="1"/>
    <col min="16" max="18" width="17.453125" style="965" customWidth="1"/>
    <col min="19" max="20" width="9.453125" style="129" bestFit="1" customWidth="1"/>
    <col min="21" max="16384" width="8.81640625" style="129"/>
  </cols>
  <sheetData>
    <row r="2" spans="1:18" x14ac:dyDescent="0.3">
      <c r="B2" s="1125"/>
      <c r="C2" s="954"/>
      <c r="D2" s="954"/>
      <c r="E2" s="954"/>
      <c r="G2" s="954"/>
      <c r="H2" s="954"/>
      <c r="I2" s="954"/>
      <c r="J2" s="954"/>
      <c r="K2" s="953" t="s">
        <v>1027</v>
      </c>
      <c r="L2" s="954"/>
    </row>
    <row r="3" spans="1:18" x14ac:dyDescent="0.3">
      <c r="B3" s="1125"/>
      <c r="C3" s="954"/>
      <c r="D3" s="954"/>
      <c r="E3" s="954"/>
      <c r="G3" s="954"/>
      <c r="H3" s="954"/>
      <c r="I3" s="954"/>
      <c r="J3" s="954"/>
      <c r="K3" s="952" t="s">
        <v>827</v>
      </c>
      <c r="L3" s="954"/>
    </row>
    <row r="4" spans="1:18" x14ac:dyDescent="0.3">
      <c r="B4" s="1125"/>
      <c r="C4" s="954"/>
      <c r="D4" s="954"/>
      <c r="E4" s="954"/>
      <c r="G4" s="954"/>
      <c r="H4" s="954"/>
      <c r="I4" s="954"/>
      <c r="J4" s="954"/>
      <c r="K4" s="952" t="s">
        <v>573</v>
      </c>
      <c r="L4" s="954"/>
    </row>
    <row r="5" spans="1:18" x14ac:dyDescent="0.3">
      <c r="A5" s="1354"/>
      <c r="B5" s="1125"/>
      <c r="C5" s="954"/>
      <c r="D5" s="954"/>
      <c r="E5" s="954"/>
      <c r="F5" s="954"/>
      <c r="G5" s="954"/>
      <c r="H5" s="954"/>
      <c r="I5" s="954"/>
      <c r="J5" s="954"/>
      <c r="K5" s="954"/>
      <c r="L5" s="954"/>
    </row>
    <row r="6" spans="1:18" x14ac:dyDescent="0.3">
      <c r="B6" s="2211" t="s">
        <v>284</v>
      </c>
      <c r="C6" s="2211"/>
    </row>
    <row r="7" spans="1:18" x14ac:dyDescent="0.3">
      <c r="B7" s="1126"/>
      <c r="C7" s="966"/>
    </row>
    <row r="8" spans="1:18" x14ac:dyDescent="0.3">
      <c r="B8" s="1126" t="s">
        <v>889</v>
      </c>
      <c r="C8" s="966"/>
    </row>
    <row r="10" spans="1:18" s="146" customFormat="1" ht="56" x14ac:dyDescent="0.25">
      <c r="A10" s="961" t="s">
        <v>263</v>
      </c>
      <c r="B10" s="1127" t="s">
        <v>264</v>
      </c>
      <c r="C10" s="961" t="s">
        <v>309</v>
      </c>
      <c r="D10" s="961" t="s">
        <v>265</v>
      </c>
      <c r="E10" s="961" t="s">
        <v>266</v>
      </c>
      <c r="F10" s="961" t="s">
        <v>267</v>
      </c>
      <c r="G10" s="961" t="s">
        <v>268</v>
      </c>
      <c r="H10" s="961" t="s">
        <v>310</v>
      </c>
      <c r="I10" s="961" t="s">
        <v>269</v>
      </c>
      <c r="J10" s="961" t="s">
        <v>311</v>
      </c>
      <c r="K10" s="961" t="s">
        <v>270</v>
      </c>
      <c r="L10" s="961" t="s">
        <v>271</v>
      </c>
      <c r="M10" s="961" t="s">
        <v>312</v>
      </c>
      <c r="N10" s="961" t="s">
        <v>272</v>
      </c>
      <c r="O10" s="961" t="s">
        <v>273</v>
      </c>
      <c r="P10" s="961" t="s">
        <v>274</v>
      </c>
      <c r="Q10" s="961" t="s">
        <v>431</v>
      </c>
      <c r="R10" s="961" t="s">
        <v>432</v>
      </c>
    </row>
    <row r="11" spans="1:18" x14ac:dyDescent="0.3">
      <c r="A11" s="961">
        <v>1</v>
      </c>
      <c r="B11" s="1127">
        <v>2</v>
      </c>
      <c r="C11" s="961">
        <v>3</v>
      </c>
      <c r="D11" s="961">
        <v>4</v>
      </c>
      <c r="E11" s="961">
        <v>5</v>
      </c>
      <c r="F11" s="961">
        <v>6</v>
      </c>
      <c r="G11" s="961">
        <v>7</v>
      </c>
      <c r="H11" s="961">
        <v>8</v>
      </c>
      <c r="I11" s="961">
        <v>9</v>
      </c>
      <c r="J11" s="961">
        <v>10</v>
      </c>
      <c r="K11" s="961">
        <v>11</v>
      </c>
      <c r="L11" s="961">
        <v>12</v>
      </c>
      <c r="M11" s="961">
        <v>13</v>
      </c>
      <c r="N11" s="961">
        <v>14</v>
      </c>
      <c r="O11" s="961">
        <v>15</v>
      </c>
      <c r="P11" s="961">
        <v>16</v>
      </c>
      <c r="Q11" s="961">
        <v>17</v>
      </c>
      <c r="R11" s="961">
        <v>18</v>
      </c>
    </row>
    <row r="12" spans="1:18" x14ac:dyDescent="0.3">
      <c r="A12" s="752"/>
      <c r="B12" s="1128" t="s">
        <v>313</v>
      </c>
      <c r="C12" s="962"/>
      <c r="D12" s="962"/>
      <c r="E12" s="962"/>
      <c r="F12" s="963"/>
      <c r="G12" s="963"/>
      <c r="H12" s="963"/>
      <c r="I12" s="963"/>
      <c r="J12" s="963"/>
      <c r="K12" s="963"/>
      <c r="L12" s="963"/>
      <c r="M12" s="963"/>
      <c r="N12" s="963"/>
      <c r="O12" s="963"/>
      <c r="P12" s="967"/>
      <c r="Q12" s="752"/>
      <c r="R12" s="752"/>
    </row>
    <row r="13" spans="1:18" x14ac:dyDescent="0.3">
      <c r="A13" s="751"/>
      <c r="B13" s="1129" t="s">
        <v>922</v>
      </c>
      <c r="C13" s="485">
        <v>1377</v>
      </c>
      <c r="D13" s="968">
        <v>0.4914</v>
      </c>
      <c r="E13" s="485">
        <v>679.69</v>
      </c>
      <c r="F13" s="969">
        <v>3521.45</v>
      </c>
      <c r="G13" s="969">
        <f>F13</f>
        <v>3521.45</v>
      </c>
      <c r="H13" s="969"/>
      <c r="I13" s="969"/>
      <c r="J13" s="969"/>
      <c r="K13" s="969">
        <v>492.62</v>
      </c>
      <c r="L13" s="969">
        <v>0</v>
      </c>
      <c r="M13" s="969">
        <f>N13/G13*10</f>
        <v>2.9447102755967003</v>
      </c>
      <c r="N13" s="969">
        <v>1036.9649999999999</v>
      </c>
      <c r="O13" s="970">
        <v>0</v>
      </c>
      <c r="P13" s="970">
        <v>0</v>
      </c>
      <c r="Q13" s="969">
        <f>K13+L13+N13+O13+P13</f>
        <v>1529.585</v>
      </c>
      <c r="R13" s="969">
        <f>Q13/G13*10</f>
        <v>4.3436226554402309</v>
      </c>
    </row>
    <row r="14" spans="1:18" x14ac:dyDescent="0.3">
      <c r="A14" s="752"/>
      <c r="B14" s="1130" t="s">
        <v>923</v>
      </c>
      <c r="C14" s="485">
        <v>20</v>
      </c>
      <c r="D14" s="972">
        <v>1</v>
      </c>
      <c r="E14" s="485">
        <v>20</v>
      </c>
      <c r="F14" s="969">
        <v>31.5</v>
      </c>
      <c r="G14" s="969">
        <f>F14</f>
        <v>31.5</v>
      </c>
      <c r="H14" s="969"/>
      <c r="I14" s="969"/>
      <c r="J14" s="969"/>
      <c r="K14" s="969">
        <v>0</v>
      </c>
      <c r="L14" s="969">
        <v>0</v>
      </c>
      <c r="M14" s="969">
        <f>N14/G14*10</f>
        <v>8.5571428571428569</v>
      </c>
      <c r="N14" s="969">
        <v>26.954999999999998</v>
      </c>
      <c r="O14" s="970">
        <v>0</v>
      </c>
      <c r="P14" s="970">
        <v>0</v>
      </c>
      <c r="Q14" s="969">
        <f>K14+L14+N14+O14+P14</f>
        <v>26.954999999999998</v>
      </c>
      <c r="R14" s="969">
        <f>Q14/G14*10</f>
        <v>8.5571428571428569</v>
      </c>
    </row>
    <row r="15" spans="1:18" x14ac:dyDescent="0.3">
      <c r="A15" s="752"/>
      <c r="B15" s="1128" t="s">
        <v>314</v>
      </c>
      <c r="C15" s="485"/>
      <c r="D15" s="485"/>
      <c r="E15" s="485"/>
      <c r="F15" s="969"/>
      <c r="G15" s="969"/>
      <c r="H15" s="969"/>
      <c r="I15" s="969"/>
      <c r="J15" s="969"/>
      <c r="K15" s="969">
        <v>0</v>
      </c>
      <c r="L15" s="969">
        <v>0</v>
      </c>
      <c r="M15" s="969"/>
      <c r="N15" s="969"/>
      <c r="O15" s="969"/>
      <c r="P15" s="970"/>
      <c r="Q15" s="969"/>
      <c r="R15" s="969"/>
    </row>
    <row r="16" spans="1:18" x14ac:dyDescent="0.3">
      <c r="A16" s="752"/>
      <c r="B16" s="1129" t="s">
        <v>924</v>
      </c>
      <c r="C16" s="485"/>
      <c r="D16" s="485"/>
      <c r="E16" s="485"/>
      <c r="F16" s="969">
        <v>1418.5</v>
      </c>
      <c r="G16" s="969">
        <f>F16</f>
        <v>1418.5</v>
      </c>
      <c r="H16" s="969"/>
      <c r="I16" s="969"/>
      <c r="J16" s="969"/>
      <c r="K16" s="969">
        <v>0</v>
      </c>
      <c r="L16" s="969">
        <v>0</v>
      </c>
      <c r="M16" s="969">
        <f>N16/G16*10</f>
        <v>3.9999999999999996</v>
      </c>
      <c r="N16" s="969">
        <v>567.4</v>
      </c>
      <c r="O16" s="970">
        <v>0</v>
      </c>
      <c r="P16" s="970">
        <v>0</v>
      </c>
      <c r="Q16" s="969">
        <f t="shared" ref="Q16:Q23" si="0">K16+L16+N16+O16+P16</f>
        <v>567.4</v>
      </c>
      <c r="R16" s="969">
        <f>Q16/G16*10</f>
        <v>3.9999999999999996</v>
      </c>
    </row>
    <row r="17" spans="1:30" x14ac:dyDescent="0.3">
      <c r="A17" s="752"/>
      <c r="B17" s="1130" t="s">
        <v>925</v>
      </c>
      <c r="C17" s="485"/>
      <c r="D17" s="485"/>
      <c r="E17" s="485"/>
      <c r="F17" s="969">
        <v>68</v>
      </c>
      <c r="G17" s="969">
        <f>F17</f>
        <v>68</v>
      </c>
      <c r="H17" s="970"/>
      <c r="I17" s="970"/>
      <c r="J17" s="970"/>
      <c r="K17" s="969">
        <v>0</v>
      </c>
      <c r="L17" s="969">
        <v>0</v>
      </c>
      <c r="M17" s="969">
        <f>N17/G17*10</f>
        <v>6.9705882352941178</v>
      </c>
      <c r="N17" s="969">
        <v>47.4</v>
      </c>
      <c r="O17" s="970">
        <v>0</v>
      </c>
      <c r="P17" s="970">
        <v>0</v>
      </c>
      <c r="Q17" s="969">
        <f t="shared" si="0"/>
        <v>47.4</v>
      </c>
      <c r="R17" s="969">
        <f>Q17/G17*10</f>
        <v>6.9705882352941178</v>
      </c>
    </row>
    <row r="18" spans="1:30" x14ac:dyDescent="0.3">
      <c r="A18" s="752"/>
      <c r="B18" s="1130" t="s">
        <v>928</v>
      </c>
      <c r="C18" s="485"/>
      <c r="D18" s="485"/>
      <c r="E18" s="485"/>
      <c r="F18" s="969">
        <v>144.41</v>
      </c>
      <c r="G18" s="969">
        <f>F18</f>
        <v>144.41</v>
      </c>
      <c r="H18" s="970"/>
      <c r="I18" s="970"/>
      <c r="J18" s="970"/>
      <c r="K18" s="969">
        <v>0</v>
      </c>
      <c r="L18" s="969">
        <v>0</v>
      </c>
      <c r="M18" s="969">
        <f>N18/G18*10</f>
        <v>2.7117235648500793</v>
      </c>
      <c r="N18" s="969">
        <v>39.159999999999997</v>
      </c>
      <c r="O18" s="970">
        <v>0</v>
      </c>
      <c r="P18" s="970">
        <v>0</v>
      </c>
      <c r="Q18" s="969">
        <f t="shared" si="0"/>
        <v>39.159999999999997</v>
      </c>
      <c r="R18" s="969">
        <f>Q18/G18*10</f>
        <v>2.7117235648500793</v>
      </c>
    </row>
    <row r="19" spans="1:30" x14ac:dyDescent="0.3">
      <c r="A19" s="752"/>
      <c r="B19" s="1130" t="s">
        <v>929</v>
      </c>
      <c r="C19" s="485"/>
      <c r="D19" s="485"/>
      <c r="E19" s="485"/>
      <c r="F19" s="969">
        <v>504.65</v>
      </c>
      <c r="G19" s="969">
        <f>F19</f>
        <v>504.65</v>
      </c>
      <c r="H19" s="970"/>
      <c r="I19" s="970"/>
      <c r="J19" s="970"/>
      <c r="K19" s="969">
        <v>0</v>
      </c>
      <c r="L19" s="969">
        <v>0</v>
      </c>
      <c r="M19" s="969">
        <f>N19/G19*10</f>
        <v>2.8300802536411371</v>
      </c>
      <c r="N19" s="969">
        <v>142.82</v>
      </c>
      <c r="O19" s="970">
        <v>0</v>
      </c>
      <c r="P19" s="970">
        <v>0</v>
      </c>
      <c r="Q19" s="969">
        <f t="shared" si="0"/>
        <v>142.82</v>
      </c>
      <c r="R19" s="969">
        <f>Q19/G19*10</f>
        <v>2.8300802536411371</v>
      </c>
    </row>
    <row r="20" spans="1:30" x14ac:dyDescent="0.3">
      <c r="A20" s="752"/>
      <c r="B20" s="1131" t="s">
        <v>926</v>
      </c>
      <c r="C20" s="485"/>
      <c r="D20" s="485"/>
      <c r="E20" s="485"/>
      <c r="F20" s="969"/>
      <c r="G20" s="969"/>
      <c r="H20" s="970"/>
      <c r="I20" s="970"/>
      <c r="J20" s="970"/>
      <c r="K20" s="969"/>
      <c r="L20" s="969"/>
      <c r="M20" s="970"/>
      <c r="N20" s="970"/>
      <c r="O20" s="970"/>
      <c r="P20" s="970"/>
      <c r="Q20" s="969"/>
      <c r="R20" s="969"/>
    </row>
    <row r="21" spans="1:30" ht="28" x14ac:dyDescent="0.3">
      <c r="A21" s="752"/>
      <c r="B21" s="1129" t="s">
        <v>930</v>
      </c>
      <c r="C21" s="485"/>
      <c r="D21" s="485"/>
      <c r="E21" s="485"/>
      <c r="F21" s="969">
        <v>0</v>
      </c>
      <c r="G21" s="969">
        <f>F21</f>
        <v>0</v>
      </c>
      <c r="H21" s="970"/>
      <c r="I21" s="970"/>
      <c r="J21" s="970"/>
      <c r="K21" s="969"/>
      <c r="L21" s="969"/>
      <c r="M21" s="970">
        <v>0</v>
      </c>
      <c r="N21" s="970">
        <v>0</v>
      </c>
      <c r="O21" s="970">
        <v>0</v>
      </c>
      <c r="P21" s="970">
        <v>2.78</v>
      </c>
      <c r="Q21" s="969">
        <f t="shared" si="0"/>
        <v>2.78</v>
      </c>
      <c r="R21" s="969">
        <v>0</v>
      </c>
    </row>
    <row r="22" spans="1:30" ht="28" x14ac:dyDescent="0.3">
      <c r="A22" s="752"/>
      <c r="B22" s="1129" t="s">
        <v>931</v>
      </c>
      <c r="C22" s="485"/>
      <c r="D22" s="485"/>
      <c r="E22" s="485"/>
      <c r="F22" s="969">
        <v>0</v>
      </c>
      <c r="G22" s="969">
        <f>F22</f>
        <v>0</v>
      </c>
      <c r="H22" s="970"/>
      <c r="I22" s="970"/>
      <c r="J22" s="970"/>
      <c r="K22" s="969"/>
      <c r="L22" s="969"/>
      <c r="M22" s="970">
        <v>0</v>
      </c>
      <c r="N22" s="970">
        <v>0</v>
      </c>
      <c r="O22" s="970">
        <v>0</v>
      </c>
      <c r="P22" s="970">
        <v>77.3</v>
      </c>
      <c r="Q22" s="969">
        <f t="shared" si="0"/>
        <v>77.3</v>
      </c>
      <c r="R22" s="969">
        <v>0</v>
      </c>
    </row>
    <row r="23" spans="1:30" x14ac:dyDescent="0.3">
      <c r="A23" s="752"/>
      <c r="B23" s="1130" t="s">
        <v>927</v>
      </c>
      <c r="C23" s="485"/>
      <c r="D23" s="485"/>
      <c r="E23" s="485"/>
      <c r="F23" s="969">
        <v>0</v>
      </c>
      <c r="G23" s="969">
        <f>F23</f>
        <v>0</v>
      </c>
      <c r="H23" s="970"/>
      <c r="I23" s="970"/>
      <c r="J23" s="970"/>
      <c r="K23" s="969">
        <v>0</v>
      </c>
      <c r="L23" s="969">
        <v>0</v>
      </c>
      <c r="M23" s="970">
        <v>0</v>
      </c>
      <c r="N23" s="970">
        <v>0</v>
      </c>
      <c r="O23" s="970">
        <v>0</v>
      </c>
      <c r="P23" s="970">
        <v>102.64</v>
      </c>
      <c r="Q23" s="969">
        <f t="shared" si="0"/>
        <v>102.64</v>
      </c>
      <c r="R23" s="969">
        <v>0</v>
      </c>
    </row>
    <row r="24" spans="1:30" x14ac:dyDescent="0.3">
      <c r="A24" s="752"/>
      <c r="B24" s="1130"/>
      <c r="C24" s="485"/>
      <c r="D24" s="485"/>
      <c r="E24" s="485"/>
      <c r="F24" s="969"/>
      <c r="G24" s="969"/>
      <c r="H24" s="970"/>
      <c r="I24" s="970"/>
      <c r="J24" s="970"/>
      <c r="K24" s="970"/>
      <c r="L24" s="970"/>
      <c r="M24" s="970"/>
      <c r="N24" s="970"/>
      <c r="O24" s="970"/>
      <c r="P24" s="970"/>
      <c r="Q24" s="969"/>
      <c r="R24" s="969"/>
    </row>
    <row r="25" spans="1:30" s="336" customFormat="1" ht="16" x14ac:dyDescent="0.3">
      <c r="A25" s="963"/>
      <c r="B25" s="1132" t="s">
        <v>145</v>
      </c>
      <c r="C25" s="340"/>
      <c r="D25" s="340"/>
      <c r="E25" s="340"/>
      <c r="F25" s="959">
        <f>SUM(F13:F23)-SUM(F18:F19)</f>
        <v>5039.4499999999989</v>
      </c>
      <c r="G25" s="959">
        <f>SUM(G13:G23)-SUM(G18:G19)</f>
        <v>5039.4499999999989</v>
      </c>
      <c r="H25" s="973"/>
      <c r="I25" s="973"/>
      <c r="J25" s="973"/>
      <c r="K25" s="959">
        <f>SUM(K13:K23)-SUM(K18:K19)</f>
        <v>492.62</v>
      </c>
      <c r="L25" s="959">
        <f>SUM(L13:L23)</f>
        <v>0</v>
      </c>
      <c r="M25" s="974">
        <f>N25/G25*10</f>
        <v>3.6922680054371018</v>
      </c>
      <c r="N25" s="959">
        <f>SUM(N13:N23)</f>
        <v>1860.6999999999998</v>
      </c>
      <c r="O25" s="959">
        <f>SUM(O13:O23)</f>
        <v>0</v>
      </c>
      <c r="P25" s="959">
        <f>SUM(P13:P23)</f>
        <v>182.72</v>
      </c>
      <c r="Q25" s="959">
        <f>SUM(Q13:Q23)</f>
        <v>2536.0400000000004</v>
      </c>
      <c r="R25" s="974">
        <f>Q25/G25*10</f>
        <v>5.0323745646846394</v>
      </c>
    </row>
    <row r="26" spans="1:30" x14ac:dyDescent="0.3">
      <c r="A26" s="68"/>
    </row>
    <row r="27" spans="1:30" x14ac:dyDescent="0.3">
      <c r="A27" s="68"/>
      <c r="AD27" s="129">
        <f>394.46+135.4+55.01</f>
        <v>584.87</v>
      </c>
    </row>
    <row r="28" spans="1:30" x14ac:dyDescent="0.3">
      <c r="B28" s="1126" t="s">
        <v>828</v>
      </c>
      <c r="C28" s="966"/>
    </row>
    <row r="29" spans="1:30" x14ac:dyDescent="0.3">
      <c r="L29" s="606"/>
    </row>
    <row r="30" spans="1:30" s="146" customFormat="1" ht="56" x14ac:dyDescent="0.25">
      <c r="A30" s="961" t="s">
        <v>263</v>
      </c>
      <c r="B30" s="1127" t="s">
        <v>264</v>
      </c>
      <c r="C30" s="961" t="s">
        <v>309</v>
      </c>
      <c r="D30" s="961" t="s">
        <v>265</v>
      </c>
      <c r="E30" s="961" t="s">
        <v>266</v>
      </c>
      <c r="F30" s="961" t="s">
        <v>267</v>
      </c>
      <c r="G30" s="961" t="s">
        <v>268</v>
      </c>
      <c r="H30" s="961" t="s">
        <v>310</v>
      </c>
      <c r="I30" s="961" t="s">
        <v>269</v>
      </c>
      <c r="J30" s="961" t="s">
        <v>311</v>
      </c>
      <c r="K30" s="961" t="s">
        <v>270</v>
      </c>
      <c r="L30" s="961" t="s">
        <v>271</v>
      </c>
      <c r="M30" s="961" t="s">
        <v>312</v>
      </c>
      <c r="N30" s="961" t="s">
        <v>272</v>
      </c>
      <c r="O30" s="961" t="s">
        <v>273</v>
      </c>
      <c r="P30" s="961" t="s">
        <v>274</v>
      </c>
      <c r="Q30" s="961" t="s">
        <v>431</v>
      </c>
      <c r="R30" s="961" t="s">
        <v>432</v>
      </c>
    </row>
    <row r="31" spans="1:30" x14ac:dyDescent="0.3">
      <c r="A31" s="961">
        <v>1</v>
      </c>
      <c r="B31" s="1127">
        <v>2</v>
      </c>
      <c r="C31" s="961">
        <v>3</v>
      </c>
      <c r="D31" s="961">
        <v>4</v>
      </c>
      <c r="E31" s="961">
        <v>5</v>
      </c>
      <c r="F31" s="961">
        <v>6</v>
      </c>
      <c r="G31" s="961">
        <v>7</v>
      </c>
      <c r="H31" s="961">
        <v>8</v>
      </c>
      <c r="I31" s="961">
        <v>9</v>
      </c>
      <c r="J31" s="961">
        <v>10</v>
      </c>
      <c r="K31" s="961">
        <v>11</v>
      </c>
      <c r="L31" s="961">
        <v>12</v>
      </c>
      <c r="M31" s="961">
        <v>13</v>
      </c>
      <c r="N31" s="961">
        <v>14</v>
      </c>
      <c r="O31" s="961">
        <v>15</v>
      </c>
      <c r="P31" s="961">
        <v>16</v>
      </c>
      <c r="Q31" s="961">
        <v>17</v>
      </c>
      <c r="R31" s="961">
        <v>18</v>
      </c>
    </row>
    <row r="32" spans="1:30" x14ac:dyDescent="0.3">
      <c r="A32" s="751">
        <v>1</v>
      </c>
      <c r="B32" s="1134" t="s">
        <v>313</v>
      </c>
      <c r="C32" s="962"/>
      <c r="D32" s="962"/>
      <c r="E32" s="962"/>
      <c r="F32" s="963"/>
      <c r="G32" s="963"/>
      <c r="H32" s="963"/>
      <c r="I32" s="963"/>
      <c r="J32" s="963"/>
      <c r="K32" s="347"/>
      <c r="L32" s="963"/>
      <c r="M32" s="963"/>
      <c r="N32" s="963"/>
      <c r="O32" s="963"/>
      <c r="P32" s="963"/>
      <c r="Q32" s="752"/>
      <c r="R32" s="752"/>
    </row>
    <row r="33" spans="1:18" x14ac:dyDescent="0.3">
      <c r="A33" s="752">
        <v>1.1000000000000001</v>
      </c>
      <c r="B33" s="1135" t="s">
        <v>922</v>
      </c>
      <c r="C33" s="485">
        <v>1377</v>
      </c>
      <c r="D33" s="972">
        <v>0.49142040668119102</v>
      </c>
      <c r="E33" s="960">
        <f>D33*C33</f>
        <v>676.68590000000006</v>
      </c>
      <c r="F33" s="969">
        <f>F2.1!Q20</f>
        <v>3446.560628745</v>
      </c>
      <c r="G33" s="969">
        <f>F33</f>
        <v>3446.560628745</v>
      </c>
      <c r="H33" s="969">
        <v>0</v>
      </c>
      <c r="I33" s="969">
        <v>0</v>
      </c>
      <c r="J33" s="969">
        <v>0</v>
      </c>
      <c r="K33" s="969">
        <v>492.61947179599997</v>
      </c>
      <c r="L33" s="969">
        <v>0</v>
      </c>
      <c r="M33" s="969">
        <f>IFERROR(N33/G33*10,0)</f>
        <v>2.8914563745970656</v>
      </c>
      <c r="N33" s="969">
        <v>996.55797004200008</v>
      </c>
      <c r="O33" s="969">
        <v>-7.5999999959996956E-8</v>
      </c>
      <c r="P33" s="969">
        <v>0</v>
      </c>
      <c r="Q33" s="975">
        <f>N33+K33+L33+O33+P33</f>
        <v>1489.1774417619999</v>
      </c>
      <c r="R33" s="964">
        <f>IFERROR(Q33/F33*10,0)</f>
        <v>4.3207638053483359</v>
      </c>
    </row>
    <row r="34" spans="1:18" ht="28" x14ac:dyDescent="0.3">
      <c r="A34" s="752">
        <v>1.2</v>
      </c>
      <c r="B34" s="1136" t="s">
        <v>1332</v>
      </c>
      <c r="C34" s="485">
        <v>20</v>
      </c>
      <c r="D34" s="972">
        <v>1</v>
      </c>
      <c r="E34" s="960">
        <f>D34*C34</f>
        <v>20</v>
      </c>
      <c r="F34" s="969">
        <f>F2.1!Q21</f>
        <v>32.250000119999996</v>
      </c>
      <c r="G34" s="969">
        <f t="shared" ref="G34:G62" si="1">F34</f>
        <v>32.250000119999996</v>
      </c>
      <c r="H34" s="969">
        <v>0</v>
      </c>
      <c r="I34" s="969">
        <v>0</v>
      </c>
      <c r="J34" s="969">
        <v>0</v>
      </c>
      <c r="K34" s="969">
        <v>0</v>
      </c>
      <c r="L34" s="969">
        <v>0</v>
      </c>
      <c r="M34" s="969">
        <f t="shared" ref="M34:M62" si="2">IFERROR(N34/G34*10,0)</f>
        <v>8.3609302585019663</v>
      </c>
      <c r="N34" s="969">
        <v>26.964000184</v>
      </c>
      <c r="O34" s="969">
        <v>0</v>
      </c>
      <c r="P34" s="969">
        <v>0</v>
      </c>
      <c r="Q34" s="975">
        <f t="shared" ref="Q34:Q62" si="3">N34+K34+L34+O34+P34</f>
        <v>26.964000184</v>
      </c>
      <c r="R34" s="964">
        <f t="shared" ref="R34:R62" si="4">IFERROR(Q34/F34*10,0)</f>
        <v>8.3609302585019663</v>
      </c>
    </row>
    <row r="35" spans="1:18" x14ac:dyDescent="0.3">
      <c r="A35" s="752">
        <v>1.3</v>
      </c>
      <c r="B35" s="1136" t="s">
        <v>933</v>
      </c>
      <c r="C35" s="485">
        <v>100</v>
      </c>
      <c r="D35" s="972">
        <v>1</v>
      </c>
      <c r="E35" s="960">
        <f t="shared" ref="E35:E62" si="5">D35*C35</f>
        <v>100</v>
      </c>
      <c r="F35" s="969">
        <f>F2.1!Q24</f>
        <v>64.206000000000003</v>
      </c>
      <c r="G35" s="969">
        <f t="shared" si="1"/>
        <v>64.206000000000003</v>
      </c>
      <c r="H35" s="969">
        <v>0</v>
      </c>
      <c r="I35" s="969">
        <v>0</v>
      </c>
      <c r="J35" s="969">
        <v>0</v>
      </c>
      <c r="K35" s="969">
        <v>12.521520000000001</v>
      </c>
      <c r="L35" s="969">
        <v>0</v>
      </c>
      <c r="M35" s="969">
        <f t="shared" si="2"/>
        <v>2</v>
      </c>
      <c r="N35" s="969">
        <v>12.841200000000001</v>
      </c>
      <c r="O35" s="969">
        <v>9.5633999999999997E-2</v>
      </c>
      <c r="P35" s="969">
        <v>0</v>
      </c>
      <c r="Q35" s="975">
        <f t="shared" si="3"/>
        <v>25.458354000000003</v>
      </c>
      <c r="R35" s="964">
        <f t="shared" si="4"/>
        <v>3.9651051303616485</v>
      </c>
    </row>
    <row r="36" spans="1:18" x14ac:dyDescent="0.3">
      <c r="A36" s="752"/>
      <c r="B36" s="1137"/>
      <c r="C36" s="485"/>
      <c r="D36" s="485"/>
      <c r="E36" s="960"/>
      <c r="F36" s="969"/>
      <c r="G36" s="969">
        <f t="shared" si="1"/>
        <v>0</v>
      </c>
      <c r="H36" s="969"/>
      <c r="I36" s="969"/>
      <c r="J36" s="969"/>
      <c r="K36" s="969"/>
      <c r="L36" s="969"/>
      <c r="M36" s="969"/>
      <c r="N36" s="969"/>
      <c r="O36" s="969"/>
      <c r="P36" s="969"/>
      <c r="Q36" s="975"/>
      <c r="R36" s="964">
        <f t="shared" si="4"/>
        <v>0</v>
      </c>
    </row>
    <row r="37" spans="1:18" x14ac:dyDescent="0.3">
      <c r="A37" s="751">
        <v>2</v>
      </c>
      <c r="B37" s="1134" t="s">
        <v>314</v>
      </c>
      <c r="C37" s="485"/>
      <c r="D37" s="485"/>
      <c r="E37" s="960"/>
      <c r="F37" s="969"/>
      <c r="G37" s="969">
        <f t="shared" si="1"/>
        <v>0</v>
      </c>
      <c r="H37" s="969"/>
      <c r="I37" s="969"/>
      <c r="J37" s="969"/>
      <c r="K37" s="969"/>
      <c r="L37" s="969"/>
      <c r="M37" s="969"/>
      <c r="N37" s="969"/>
      <c r="O37" s="969"/>
      <c r="P37" s="969"/>
      <c r="Q37" s="975"/>
      <c r="R37" s="964">
        <f t="shared" si="4"/>
        <v>0</v>
      </c>
    </row>
    <row r="38" spans="1:18" x14ac:dyDescent="0.3">
      <c r="A38" s="752">
        <v>2.1</v>
      </c>
      <c r="B38" s="1136" t="s">
        <v>924</v>
      </c>
      <c r="C38" s="485"/>
      <c r="D38" s="485"/>
      <c r="E38" s="960"/>
      <c r="F38" s="969"/>
      <c r="G38" s="969">
        <f t="shared" si="1"/>
        <v>0</v>
      </c>
      <c r="H38" s="969"/>
      <c r="I38" s="969"/>
      <c r="J38" s="969"/>
      <c r="K38" s="969"/>
      <c r="L38" s="969"/>
      <c r="M38" s="969"/>
      <c r="N38" s="969"/>
      <c r="O38" s="969"/>
      <c r="P38" s="969"/>
      <c r="Q38" s="975">
        <f t="shared" si="3"/>
        <v>0</v>
      </c>
      <c r="R38" s="964">
        <f t="shared" si="4"/>
        <v>0</v>
      </c>
    </row>
    <row r="39" spans="1:18" x14ac:dyDescent="0.3">
      <c r="A39" s="752" t="s">
        <v>1343</v>
      </c>
      <c r="B39" s="1136" t="s">
        <v>1344</v>
      </c>
      <c r="C39" s="485">
        <v>0</v>
      </c>
      <c r="D39" s="485">
        <v>0</v>
      </c>
      <c r="E39" s="960">
        <f t="shared" si="5"/>
        <v>0</v>
      </c>
      <c r="F39" s="969">
        <f>F2.1!Q27</f>
        <v>211.47348300000002</v>
      </c>
      <c r="G39" s="969">
        <f t="shared" si="1"/>
        <v>211.47348300000002</v>
      </c>
      <c r="H39" s="969">
        <v>0</v>
      </c>
      <c r="I39" s="969">
        <v>0</v>
      </c>
      <c r="J39" s="969">
        <v>0</v>
      </c>
      <c r="K39" s="969">
        <v>0</v>
      </c>
      <c r="L39" s="969">
        <v>0</v>
      </c>
      <c r="M39" s="969">
        <f t="shared" si="2"/>
        <v>4.9018291409140877</v>
      </c>
      <c r="N39" s="969">
        <v>103.66068815</v>
      </c>
      <c r="O39" s="969">
        <v>0</v>
      </c>
      <c r="P39" s="969">
        <v>0</v>
      </c>
      <c r="Q39" s="975">
        <f t="shared" si="3"/>
        <v>103.66068815</v>
      </c>
      <c r="R39" s="964">
        <f t="shared" si="4"/>
        <v>4.9018291409140877</v>
      </c>
    </row>
    <row r="40" spans="1:18" x14ac:dyDescent="0.3">
      <c r="A40" s="752" t="s">
        <v>1345</v>
      </c>
      <c r="B40" s="1136" t="s">
        <v>1336</v>
      </c>
      <c r="C40" s="485">
        <v>0</v>
      </c>
      <c r="D40" s="485">
        <v>0</v>
      </c>
      <c r="E40" s="960">
        <f t="shared" si="5"/>
        <v>0</v>
      </c>
      <c r="F40" s="969">
        <f>F2.1!Q28</f>
        <v>437.59874899999988</v>
      </c>
      <c r="G40" s="969">
        <f t="shared" si="1"/>
        <v>437.59874899999988</v>
      </c>
      <c r="H40" s="969">
        <v>0</v>
      </c>
      <c r="I40" s="969">
        <v>0</v>
      </c>
      <c r="J40" s="969">
        <v>0</v>
      </c>
      <c r="K40" s="969">
        <v>0</v>
      </c>
      <c r="L40" s="969">
        <v>0</v>
      </c>
      <c r="M40" s="969">
        <f t="shared" si="2"/>
        <v>3.3564921328385706</v>
      </c>
      <c r="N40" s="969">
        <v>146.87967583584998</v>
      </c>
      <c r="O40" s="969">
        <v>0</v>
      </c>
      <c r="P40" s="969">
        <v>0</v>
      </c>
      <c r="Q40" s="975">
        <f t="shared" si="3"/>
        <v>146.87967583584998</v>
      </c>
      <c r="R40" s="964">
        <f t="shared" si="4"/>
        <v>3.3564921328385706</v>
      </c>
    </row>
    <row r="41" spans="1:18" x14ac:dyDescent="0.3">
      <c r="A41" s="752" t="s">
        <v>1346</v>
      </c>
      <c r="B41" s="1136" t="s">
        <v>1338</v>
      </c>
      <c r="C41" s="485">
        <v>0</v>
      </c>
      <c r="D41" s="485">
        <v>0</v>
      </c>
      <c r="E41" s="960">
        <f t="shared" si="5"/>
        <v>0</v>
      </c>
      <c r="F41" s="969">
        <f>F2.1!Q29</f>
        <v>-1.9196675000000001</v>
      </c>
      <c r="G41" s="969">
        <f t="shared" si="1"/>
        <v>-1.9196675000000001</v>
      </c>
      <c r="H41" s="969">
        <v>0</v>
      </c>
      <c r="I41" s="969">
        <v>0</v>
      </c>
      <c r="J41" s="969">
        <v>0</v>
      </c>
      <c r="K41" s="969">
        <v>0</v>
      </c>
      <c r="L41" s="969">
        <v>0</v>
      </c>
      <c r="M41" s="969">
        <f t="shared" si="2"/>
        <v>2.9060297139999496</v>
      </c>
      <c r="N41" s="969">
        <v>-0.55786107959999987</v>
      </c>
      <c r="O41" s="969">
        <v>0</v>
      </c>
      <c r="P41" s="969">
        <v>0</v>
      </c>
      <c r="Q41" s="975">
        <f t="shared" si="3"/>
        <v>-0.55786107959999987</v>
      </c>
      <c r="R41" s="964">
        <f t="shared" si="4"/>
        <v>2.9060297139999496</v>
      </c>
    </row>
    <row r="42" spans="1:18" x14ac:dyDescent="0.3">
      <c r="A42" s="752" t="s">
        <v>1347</v>
      </c>
      <c r="B42" s="1136" t="s">
        <v>1348</v>
      </c>
      <c r="C42" s="485">
        <v>0</v>
      </c>
      <c r="D42" s="485">
        <v>0</v>
      </c>
      <c r="E42" s="960">
        <f t="shared" si="5"/>
        <v>0</v>
      </c>
      <c r="F42" s="969">
        <v>0</v>
      </c>
      <c r="G42" s="969">
        <f t="shared" si="1"/>
        <v>0</v>
      </c>
      <c r="H42" s="969">
        <v>0</v>
      </c>
      <c r="I42" s="969">
        <v>0</v>
      </c>
      <c r="J42" s="969">
        <v>0</v>
      </c>
      <c r="K42" s="969">
        <v>0</v>
      </c>
      <c r="L42" s="969">
        <v>0</v>
      </c>
      <c r="M42" s="969">
        <f t="shared" si="2"/>
        <v>0</v>
      </c>
      <c r="N42" s="969">
        <v>8.9999999999999993E-3</v>
      </c>
      <c r="O42" s="969">
        <v>0</v>
      </c>
      <c r="P42" s="969">
        <v>0</v>
      </c>
      <c r="Q42" s="975">
        <f t="shared" si="3"/>
        <v>8.9999999999999993E-3</v>
      </c>
      <c r="R42" s="964">
        <f t="shared" si="4"/>
        <v>0</v>
      </c>
    </row>
    <row r="43" spans="1:18" x14ac:dyDescent="0.3">
      <c r="A43" s="752">
        <v>2.2000000000000002</v>
      </c>
      <c r="B43" s="1138" t="s">
        <v>1339</v>
      </c>
      <c r="C43" s="485">
        <v>0</v>
      </c>
      <c r="D43" s="485">
        <v>0</v>
      </c>
      <c r="E43" s="960">
        <f t="shared" si="5"/>
        <v>0</v>
      </c>
      <c r="F43" s="969">
        <f>F2.1!Q30</f>
        <v>58.9526106422</v>
      </c>
      <c r="G43" s="969">
        <f t="shared" si="1"/>
        <v>58.9526106422</v>
      </c>
      <c r="H43" s="969">
        <v>0</v>
      </c>
      <c r="I43" s="969">
        <v>0</v>
      </c>
      <c r="J43" s="969">
        <v>0</v>
      </c>
      <c r="K43" s="969">
        <v>0</v>
      </c>
      <c r="L43" s="969">
        <v>0</v>
      </c>
      <c r="M43" s="969">
        <f t="shared" si="2"/>
        <v>6.9733132675845608</v>
      </c>
      <c r="N43" s="969">
        <v>41.109502195000005</v>
      </c>
      <c r="O43" s="969">
        <v>0</v>
      </c>
      <c r="P43" s="969">
        <v>0</v>
      </c>
      <c r="Q43" s="975">
        <f t="shared" si="3"/>
        <v>41.109502195000005</v>
      </c>
      <c r="R43" s="964">
        <f t="shared" si="4"/>
        <v>6.9733132675845608</v>
      </c>
    </row>
    <row r="44" spans="1:18" x14ac:dyDescent="0.3">
      <c r="A44" s="752">
        <v>2.2999999999999998</v>
      </c>
      <c r="B44" s="1138" t="s">
        <v>1340</v>
      </c>
      <c r="C44" s="485">
        <v>0</v>
      </c>
      <c r="D44" s="485">
        <v>0</v>
      </c>
      <c r="E44" s="960">
        <f t="shared" si="5"/>
        <v>0</v>
      </c>
      <c r="F44" s="969">
        <f>F2.1!Q31</f>
        <v>5.5475000000000003</v>
      </c>
      <c r="G44" s="969">
        <f t="shared" si="1"/>
        <v>5.5475000000000003</v>
      </c>
      <c r="H44" s="969">
        <v>0</v>
      </c>
      <c r="I44" s="969">
        <v>0</v>
      </c>
      <c r="J44" s="969">
        <v>0</v>
      </c>
      <c r="K44" s="969">
        <v>0</v>
      </c>
      <c r="L44" s="969">
        <v>0</v>
      </c>
      <c r="M44" s="969">
        <f t="shared" si="2"/>
        <v>0</v>
      </c>
      <c r="N44" s="969">
        <v>0</v>
      </c>
      <c r="O44" s="969">
        <v>0</v>
      </c>
      <c r="P44" s="969">
        <v>0</v>
      </c>
      <c r="Q44" s="975">
        <f t="shared" si="3"/>
        <v>0</v>
      </c>
      <c r="R44" s="964">
        <f t="shared" si="4"/>
        <v>0</v>
      </c>
    </row>
    <row r="45" spans="1:18" x14ac:dyDescent="0.3">
      <c r="A45" s="933">
        <v>2.4</v>
      </c>
      <c r="B45" s="1138" t="s">
        <v>1349</v>
      </c>
      <c r="C45" s="395">
        <v>0</v>
      </c>
      <c r="D45" s="395">
        <v>0</v>
      </c>
      <c r="E45" s="1350">
        <f t="shared" si="5"/>
        <v>0</v>
      </c>
      <c r="F45" s="1351">
        <f>F2.1!Q32</f>
        <v>694.06204467514681</v>
      </c>
      <c r="G45" s="1351">
        <f t="shared" si="1"/>
        <v>694.06204467514681</v>
      </c>
      <c r="H45" s="1351">
        <v>0</v>
      </c>
      <c r="I45" s="1351">
        <v>0</v>
      </c>
      <c r="J45" s="1351">
        <v>0</v>
      </c>
      <c r="K45" s="1351">
        <v>0</v>
      </c>
      <c r="L45" s="1351">
        <v>0</v>
      </c>
      <c r="M45" s="1351">
        <f t="shared" si="2"/>
        <v>0</v>
      </c>
      <c r="N45" s="1351">
        <v>0</v>
      </c>
      <c r="O45" s="1351">
        <v>0</v>
      </c>
      <c r="P45" s="1351">
        <v>0</v>
      </c>
      <c r="Q45" s="1351">
        <f t="shared" si="3"/>
        <v>0</v>
      </c>
      <c r="R45" s="964">
        <f t="shared" si="4"/>
        <v>0</v>
      </c>
    </row>
    <row r="46" spans="1:18" x14ac:dyDescent="0.3">
      <c r="A46" s="752">
        <v>2.4</v>
      </c>
      <c r="B46" s="1138" t="s">
        <v>1350</v>
      </c>
      <c r="C46" s="485">
        <v>0</v>
      </c>
      <c r="D46" s="485">
        <v>0</v>
      </c>
      <c r="E46" s="960">
        <f t="shared" si="5"/>
        <v>0</v>
      </c>
      <c r="F46" s="969">
        <v>136.69</v>
      </c>
      <c r="G46" s="969">
        <f t="shared" si="1"/>
        <v>136.69</v>
      </c>
      <c r="H46" s="969">
        <v>0</v>
      </c>
      <c r="I46" s="969">
        <v>0</v>
      </c>
      <c r="J46" s="969">
        <v>0</v>
      </c>
      <c r="K46" s="969">
        <v>0</v>
      </c>
      <c r="L46" s="969">
        <v>0</v>
      </c>
      <c r="M46" s="969">
        <f t="shared" si="2"/>
        <v>2.5256525949228181</v>
      </c>
      <c r="N46" s="969">
        <v>34.523145319999998</v>
      </c>
      <c r="O46" s="969">
        <v>0</v>
      </c>
      <c r="P46" s="969">
        <v>0</v>
      </c>
      <c r="Q46" s="975">
        <f t="shared" si="3"/>
        <v>34.523145319999998</v>
      </c>
      <c r="R46" s="964">
        <f t="shared" si="4"/>
        <v>2.5256525949228181</v>
      </c>
    </row>
    <row r="47" spans="1:18" x14ac:dyDescent="0.3">
      <c r="A47" s="752">
        <v>2.4</v>
      </c>
      <c r="B47" s="1138" t="s">
        <v>1351</v>
      </c>
      <c r="C47" s="485">
        <v>0</v>
      </c>
      <c r="D47" s="485">
        <v>0</v>
      </c>
      <c r="E47" s="960">
        <f t="shared" si="5"/>
        <v>0</v>
      </c>
      <c r="F47" s="969">
        <v>513</v>
      </c>
      <c r="G47" s="969">
        <f t="shared" si="1"/>
        <v>513</v>
      </c>
      <c r="H47" s="969">
        <v>0</v>
      </c>
      <c r="I47" s="969">
        <v>0</v>
      </c>
      <c r="J47" s="969">
        <v>0</v>
      </c>
      <c r="K47" s="969">
        <v>0</v>
      </c>
      <c r="L47" s="969">
        <v>0</v>
      </c>
      <c r="M47" s="969">
        <f t="shared" si="2"/>
        <v>1.9403708382066278</v>
      </c>
      <c r="N47" s="969">
        <v>99.541024000000007</v>
      </c>
      <c r="O47" s="969">
        <v>0</v>
      </c>
      <c r="P47" s="969">
        <v>0</v>
      </c>
      <c r="Q47" s="975">
        <f t="shared" si="3"/>
        <v>99.541024000000007</v>
      </c>
      <c r="R47" s="964">
        <f t="shared" si="4"/>
        <v>1.9403708382066278</v>
      </c>
    </row>
    <row r="48" spans="1:18" x14ac:dyDescent="0.3">
      <c r="A48" s="752"/>
      <c r="B48" s="1138"/>
      <c r="C48" s="485"/>
      <c r="D48" s="485"/>
      <c r="E48" s="960"/>
      <c r="F48" s="969"/>
      <c r="G48" s="969">
        <f t="shared" si="1"/>
        <v>0</v>
      </c>
      <c r="H48" s="969"/>
      <c r="I48" s="969"/>
      <c r="J48" s="969"/>
      <c r="K48" s="969"/>
      <c r="L48" s="969"/>
      <c r="M48" s="969"/>
      <c r="N48" s="969"/>
      <c r="O48" s="969"/>
      <c r="P48" s="969"/>
      <c r="Q48" s="975"/>
      <c r="R48" s="964">
        <f t="shared" si="4"/>
        <v>0</v>
      </c>
    </row>
    <row r="49" spans="1:18" x14ac:dyDescent="0.3">
      <c r="A49" s="751">
        <v>3</v>
      </c>
      <c r="B49" s="1139" t="s">
        <v>926</v>
      </c>
      <c r="C49" s="485"/>
      <c r="D49" s="485"/>
      <c r="E49" s="960"/>
      <c r="F49" s="969"/>
      <c r="G49" s="969">
        <f t="shared" si="1"/>
        <v>0</v>
      </c>
      <c r="H49" s="969"/>
      <c r="I49" s="969"/>
      <c r="J49" s="969"/>
      <c r="K49" s="969"/>
      <c r="L49" s="969"/>
      <c r="M49" s="969"/>
      <c r="N49" s="969"/>
      <c r="O49" s="969"/>
      <c r="P49" s="969"/>
      <c r="Q49" s="975"/>
      <c r="R49" s="964">
        <f t="shared" si="4"/>
        <v>0</v>
      </c>
    </row>
    <row r="50" spans="1:18" ht="28" x14ac:dyDescent="0.3">
      <c r="A50" s="752">
        <v>3.1</v>
      </c>
      <c r="B50" s="1140" t="s">
        <v>1352</v>
      </c>
      <c r="C50" s="485">
        <v>0</v>
      </c>
      <c r="D50" s="485">
        <v>0</v>
      </c>
      <c r="E50" s="960">
        <f t="shared" si="5"/>
        <v>0</v>
      </c>
      <c r="F50" s="969">
        <v>0</v>
      </c>
      <c r="G50" s="969">
        <f t="shared" si="1"/>
        <v>0</v>
      </c>
      <c r="H50" s="969">
        <v>0</v>
      </c>
      <c r="I50" s="969">
        <v>0</v>
      </c>
      <c r="J50" s="969">
        <v>0</v>
      </c>
      <c r="K50" s="969">
        <v>0</v>
      </c>
      <c r="L50" s="969">
        <v>0</v>
      </c>
      <c r="M50" s="969">
        <f t="shared" si="2"/>
        <v>0</v>
      </c>
      <c r="N50" s="969">
        <v>0</v>
      </c>
      <c r="O50" s="969">
        <v>0</v>
      </c>
      <c r="P50" s="969">
        <v>0</v>
      </c>
      <c r="Q50" s="975">
        <f t="shared" si="3"/>
        <v>0</v>
      </c>
      <c r="R50" s="964">
        <f t="shared" si="4"/>
        <v>0</v>
      </c>
    </row>
    <row r="51" spans="1:18" ht="28" x14ac:dyDescent="0.3">
      <c r="A51" s="752">
        <v>3.2</v>
      </c>
      <c r="B51" s="1140" t="s">
        <v>1353</v>
      </c>
      <c r="C51" s="485">
        <v>0</v>
      </c>
      <c r="D51" s="485">
        <v>0</v>
      </c>
      <c r="E51" s="960">
        <f t="shared" si="5"/>
        <v>0</v>
      </c>
      <c r="F51" s="969">
        <v>0</v>
      </c>
      <c r="G51" s="969">
        <f t="shared" si="1"/>
        <v>0</v>
      </c>
      <c r="H51" s="969">
        <v>0</v>
      </c>
      <c r="I51" s="969">
        <v>0</v>
      </c>
      <c r="J51" s="969">
        <v>0</v>
      </c>
      <c r="K51" s="969">
        <v>0</v>
      </c>
      <c r="L51" s="969">
        <v>0</v>
      </c>
      <c r="M51" s="969">
        <f t="shared" si="2"/>
        <v>0</v>
      </c>
      <c r="N51" s="969">
        <v>1.6127526000000001</v>
      </c>
      <c r="O51" s="969">
        <v>0</v>
      </c>
      <c r="P51" s="969">
        <v>0</v>
      </c>
      <c r="Q51" s="975">
        <f t="shared" si="3"/>
        <v>1.6127526000000001</v>
      </c>
      <c r="R51" s="964">
        <f t="shared" si="4"/>
        <v>0</v>
      </c>
    </row>
    <row r="52" spans="1:18" ht="56" x14ac:dyDescent="0.3">
      <c r="A52" s="752" t="s">
        <v>1354</v>
      </c>
      <c r="B52" s="1140" t="s">
        <v>1355</v>
      </c>
      <c r="C52" s="485">
        <v>0</v>
      </c>
      <c r="D52" s="485">
        <v>0</v>
      </c>
      <c r="E52" s="960">
        <f t="shared" si="5"/>
        <v>0</v>
      </c>
      <c r="F52" s="969">
        <v>0</v>
      </c>
      <c r="G52" s="969">
        <f t="shared" si="1"/>
        <v>0</v>
      </c>
      <c r="H52" s="969">
        <v>0</v>
      </c>
      <c r="I52" s="969">
        <v>0</v>
      </c>
      <c r="J52" s="969">
        <v>0</v>
      </c>
      <c r="K52" s="969">
        <v>0</v>
      </c>
      <c r="L52" s="969">
        <v>0</v>
      </c>
      <c r="M52" s="969">
        <f t="shared" si="2"/>
        <v>0</v>
      </c>
      <c r="N52" s="969">
        <v>22.53</v>
      </c>
      <c r="O52" s="969">
        <v>0</v>
      </c>
      <c r="P52" s="969">
        <v>0</v>
      </c>
      <c r="Q52" s="975">
        <f t="shared" si="3"/>
        <v>22.53</v>
      </c>
      <c r="R52" s="964">
        <f t="shared" si="4"/>
        <v>0</v>
      </c>
    </row>
    <row r="53" spans="1:18" ht="28" x14ac:dyDescent="0.3">
      <c r="A53" s="752" t="s">
        <v>1356</v>
      </c>
      <c r="B53" s="1140" t="s">
        <v>1357</v>
      </c>
      <c r="C53" s="485">
        <v>0</v>
      </c>
      <c r="D53" s="485">
        <v>0</v>
      </c>
      <c r="E53" s="960">
        <f t="shared" si="5"/>
        <v>0</v>
      </c>
      <c r="F53" s="969">
        <v>0</v>
      </c>
      <c r="G53" s="969">
        <f t="shared" si="1"/>
        <v>0</v>
      </c>
      <c r="H53" s="969">
        <v>0</v>
      </c>
      <c r="I53" s="969">
        <v>0</v>
      </c>
      <c r="J53" s="969">
        <v>0</v>
      </c>
      <c r="K53" s="969">
        <v>0</v>
      </c>
      <c r="L53" s="969">
        <v>0</v>
      </c>
      <c r="M53" s="969">
        <f t="shared" si="2"/>
        <v>0</v>
      </c>
      <c r="N53" s="969">
        <v>92.545987200000013</v>
      </c>
      <c r="O53" s="969">
        <v>0</v>
      </c>
      <c r="P53" s="969">
        <v>0</v>
      </c>
      <c r="Q53" s="975">
        <f t="shared" si="3"/>
        <v>92.545987200000013</v>
      </c>
      <c r="R53" s="964">
        <f t="shared" si="4"/>
        <v>0</v>
      </c>
    </row>
    <row r="54" spans="1:18" ht="42" x14ac:dyDescent="0.3">
      <c r="A54" s="752" t="s">
        <v>1358</v>
      </c>
      <c r="B54" s="1140" t="s">
        <v>1359</v>
      </c>
      <c r="C54" s="485">
        <v>0</v>
      </c>
      <c r="D54" s="485">
        <v>0</v>
      </c>
      <c r="E54" s="960">
        <f t="shared" si="5"/>
        <v>0</v>
      </c>
      <c r="F54" s="969">
        <v>0</v>
      </c>
      <c r="G54" s="969">
        <f t="shared" si="1"/>
        <v>0</v>
      </c>
      <c r="H54" s="969">
        <v>0</v>
      </c>
      <c r="I54" s="969">
        <v>0</v>
      </c>
      <c r="J54" s="969">
        <v>0</v>
      </c>
      <c r="K54" s="969">
        <v>0</v>
      </c>
      <c r="L54" s="969">
        <v>0</v>
      </c>
      <c r="M54" s="969">
        <f t="shared" si="2"/>
        <v>0</v>
      </c>
      <c r="N54" s="969">
        <v>10.773829099999999</v>
      </c>
      <c r="O54" s="969">
        <v>0</v>
      </c>
      <c r="P54" s="969">
        <v>0</v>
      </c>
      <c r="Q54" s="975">
        <f t="shared" si="3"/>
        <v>10.773829099999999</v>
      </c>
      <c r="R54" s="964">
        <f t="shared" si="4"/>
        <v>0</v>
      </c>
    </row>
    <row r="55" spans="1:18" ht="42" x14ac:dyDescent="0.3">
      <c r="A55" s="752" t="s">
        <v>1360</v>
      </c>
      <c r="B55" s="648" t="s">
        <v>1361</v>
      </c>
      <c r="C55" s="485">
        <v>0</v>
      </c>
      <c r="D55" s="485">
        <v>0</v>
      </c>
      <c r="E55" s="960">
        <f t="shared" si="5"/>
        <v>0</v>
      </c>
      <c r="F55" s="969">
        <v>0</v>
      </c>
      <c r="G55" s="969">
        <f t="shared" si="1"/>
        <v>0</v>
      </c>
      <c r="H55" s="969">
        <v>0</v>
      </c>
      <c r="I55" s="969">
        <v>0</v>
      </c>
      <c r="J55" s="969">
        <v>0</v>
      </c>
      <c r="K55" s="969">
        <v>0</v>
      </c>
      <c r="L55" s="969">
        <v>0</v>
      </c>
      <c r="M55" s="969">
        <f t="shared" si="2"/>
        <v>0</v>
      </c>
      <c r="N55" s="969">
        <v>-5.4773489</v>
      </c>
      <c r="O55" s="969">
        <v>0</v>
      </c>
      <c r="P55" s="969">
        <v>0</v>
      </c>
      <c r="Q55" s="975">
        <f t="shared" si="3"/>
        <v>-5.4773489</v>
      </c>
      <c r="R55" s="964">
        <f t="shared" si="4"/>
        <v>0</v>
      </c>
    </row>
    <row r="56" spans="1:18" x14ac:dyDescent="0.3">
      <c r="A56" s="752">
        <v>3.3</v>
      </c>
      <c r="B56" s="1140" t="s">
        <v>1362</v>
      </c>
      <c r="C56" s="485">
        <v>0</v>
      </c>
      <c r="D56" s="485">
        <v>0</v>
      </c>
      <c r="E56" s="960">
        <f t="shared" si="5"/>
        <v>0</v>
      </c>
      <c r="F56" s="969">
        <v>0</v>
      </c>
      <c r="G56" s="969">
        <f t="shared" si="1"/>
        <v>0</v>
      </c>
      <c r="H56" s="969">
        <v>0</v>
      </c>
      <c r="I56" s="969">
        <v>0</v>
      </c>
      <c r="J56" s="969">
        <v>0</v>
      </c>
      <c r="K56" s="969">
        <v>0</v>
      </c>
      <c r="L56" s="969">
        <v>0</v>
      </c>
      <c r="M56" s="969">
        <f t="shared" si="2"/>
        <v>0</v>
      </c>
      <c r="N56" s="969">
        <v>102.6399996</v>
      </c>
      <c r="O56" s="969">
        <v>0</v>
      </c>
      <c r="P56" s="969">
        <v>0</v>
      </c>
      <c r="Q56" s="975">
        <f t="shared" si="3"/>
        <v>102.6399996</v>
      </c>
      <c r="R56" s="964">
        <f t="shared" si="4"/>
        <v>0</v>
      </c>
    </row>
    <row r="57" spans="1:18" x14ac:dyDescent="0.3">
      <c r="A57" s="752">
        <v>3.4</v>
      </c>
      <c r="B57" s="1141" t="s">
        <v>1363</v>
      </c>
      <c r="C57" s="485">
        <v>0</v>
      </c>
      <c r="D57" s="485">
        <v>0</v>
      </c>
      <c r="E57" s="960">
        <f t="shared" si="5"/>
        <v>0</v>
      </c>
      <c r="F57" s="969">
        <v>0</v>
      </c>
      <c r="G57" s="969">
        <f t="shared" si="1"/>
        <v>0</v>
      </c>
      <c r="H57" s="969">
        <v>0</v>
      </c>
      <c r="I57" s="969">
        <v>0</v>
      </c>
      <c r="J57" s="969">
        <v>0</v>
      </c>
      <c r="K57" s="969">
        <v>0</v>
      </c>
      <c r="L57" s="969">
        <v>0</v>
      </c>
      <c r="M57" s="969">
        <f t="shared" si="2"/>
        <v>0</v>
      </c>
      <c r="N57" s="969">
        <v>-0.14634030000000001</v>
      </c>
      <c r="O57" s="969">
        <v>0</v>
      </c>
      <c r="P57" s="969">
        <v>0</v>
      </c>
      <c r="Q57" s="975">
        <f t="shared" si="3"/>
        <v>-0.14634030000000001</v>
      </c>
      <c r="R57" s="964">
        <f t="shared" si="4"/>
        <v>0</v>
      </c>
    </row>
    <row r="58" spans="1:18" x14ac:dyDescent="0.3">
      <c r="A58" s="752">
        <v>3.5</v>
      </c>
      <c r="B58" s="1141" t="s">
        <v>1364</v>
      </c>
      <c r="C58" s="485">
        <v>0</v>
      </c>
      <c r="D58" s="485">
        <v>0</v>
      </c>
      <c r="E58" s="960">
        <f t="shared" si="5"/>
        <v>0</v>
      </c>
      <c r="F58" s="969">
        <v>0</v>
      </c>
      <c r="G58" s="969">
        <f t="shared" si="1"/>
        <v>0</v>
      </c>
      <c r="H58" s="969">
        <v>0</v>
      </c>
      <c r="I58" s="969">
        <v>0</v>
      </c>
      <c r="J58" s="969">
        <v>0</v>
      </c>
      <c r="K58" s="969">
        <v>0</v>
      </c>
      <c r="L58" s="969">
        <v>0</v>
      </c>
      <c r="M58" s="969">
        <f t="shared" si="2"/>
        <v>0</v>
      </c>
      <c r="N58" s="969">
        <v>-1.0089725</v>
      </c>
      <c r="O58" s="969">
        <v>0</v>
      </c>
      <c r="P58" s="969">
        <v>0</v>
      </c>
      <c r="Q58" s="975">
        <f t="shared" si="3"/>
        <v>-1.0089725</v>
      </c>
      <c r="R58" s="964">
        <f t="shared" si="4"/>
        <v>0</v>
      </c>
    </row>
    <row r="59" spans="1:18" x14ac:dyDescent="0.3">
      <c r="A59" s="752">
        <v>3.6</v>
      </c>
      <c r="B59" s="1141" t="s">
        <v>1365</v>
      </c>
      <c r="C59" s="485">
        <v>0</v>
      </c>
      <c r="D59" s="485">
        <v>0</v>
      </c>
      <c r="E59" s="960">
        <f t="shared" si="5"/>
        <v>0</v>
      </c>
      <c r="F59" s="969">
        <v>0</v>
      </c>
      <c r="G59" s="969">
        <f t="shared" si="1"/>
        <v>0</v>
      </c>
      <c r="H59" s="969">
        <v>0</v>
      </c>
      <c r="I59" s="969">
        <v>0</v>
      </c>
      <c r="J59" s="969">
        <v>0</v>
      </c>
      <c r="K59" s="969">
        <v>0</v>
      </c>
      <c r="L59" s="969">
        <v>0</v>
      </c>
      <c r="M59" s="969">
        <f t="shared" si="2"/>
        <v>0</v>
      </c>
      <c r="N59" s="969">
        <v>-2.061731317</v>
      </c>
      <c r="O59" s="969">
        <v>0</v>
      </c>
      <c r="P59" s="969">
        <v>0</v>
      </c>
      <c r="Q59" s="975">
        <f t="shared" si="3"/>
        <v>-2.061731317</v>
      </c>
      <c r="R59" s="964">
        <f t="shared" si="4"/>
        <v>0</v>
      </c>
    </row>
    <row r="60" spans="1:18" x14ac:dyDescent="0.3">
      <c r="A60" s="752">
        <v>3.7</v>
      </c>
      <c r="B60" s="1141" t="s">
        <v>1366</v>
      </c>
      <c r="C60" s="485">
        <v>0</v>
      </c>
      <c r="D60" s="485">
        <v>0</v>
      </c>
      <c r="E60" s="960">
        <f t="shared" si="5"/>
        <v>0</v>
      </c>
      <c r="F60" s="969">
        <v>0</v>
      </c>
      <c r="G60" s="969">
        <f t="shared" si="1"/>
        <v>0</v>
      </c>
      <c r="H60" s="969">
        <v>0</v>
      </c>
      <c r="I60" s="969">
        <v>0</v>
      </c>
      <c r="J60" s="969">
        <v>0</v>
      </c>
      <c r="K60" s="969">
        <v>0</v>
      </c>
      <c r="L60" s="969">
        <v>0</v>
      </c>
      <c r="M60" s="969">
        <f t="shared" si="2"/>
        <v>0</v>
      </c>
      <c r="N60" s="969">
        <v>-1.128E-2</v>
      </c>
      <c r="O60" s="969">
        <v>0</v>
      </c>
      <c r="P60" s="969">
        <v>0</v>
      </c>
      <c r="Q60" s="975">
        <f t="shared" si="3"/>
        <v>-1.128E-2</v>
      </c>
      <c r="R60" s="964">
        <f t="shared" si="4"/>
        <v>0</v>
      </c>
    </row>
    <row r="61" spans="1:18" ht="28" x14ac:dyDescent="0.3">
      <c r="A61" s="752">
        <v>3.8</v>
      </c>
      <c r="B61" s="1140" t="s">
        <v>1367</v>
      </c>
      <c r="C61" s="485">
        <v>0</v>
      </c>
      <c r="D61" s="485">
        <v>0</v>
      </c>
      <c r="E61" s="960">
        <f t="shared" si="5"/>
        <v>0</v>
      </c>
      <c r="F61" s="969">
        <v>0</v>
      </c>
      <c r="G61" s="969">
        <f t="shared" si="1"/>
        <v>0</v>
      </c>
      <c r="H61" s="969">
        <v>0</v>
      </c>
      <c r="I61" s="969">
        <v>0</v>
      </c>
      <c r="J61" s="969">
        <v>0</v>
      </c>
      <c r="K61" s="969">
        <v>0</v>
      </c>
      <c r="L61" s="969">
        <v>0</v>
      </c>
      <c r="M61" s="969">
        <f t="shared" si="2"/>
        <v>0</v>
      </c>
      <c r="N61" s="969">
        <v>0.77232301299999995</v>
      </c>
      <c r="O61" s="969">
        <v>0</v>
      </c>
      <c r="P61" s="969">
        <v>0</v>
      </c>
      <c r="Q61" s="975">
        <f t="shared" si="3"/>
        <v>0.77232301299999995</v>
      </c>
      <c r="R61" s="964">
        <f t="shared" si="4"/>
        <v>0</v>
      </c>
    </row>
    <row r="62" spans="1:18" x14ac:dyDescent="0.3">
      <c r="A62" s="752">
        <v>3.9</v>
      </c>
      <c r="B62" s="1138" t="s">
        <v>1368</v>
      </c>
      <c r="C62" s="485">
        <v>0</v>
      </c>
      <c r="D62" s="485">
        <v>0</v>
      </c>
      <c r="E62" s="960">
        <f t="shared" si="5"/>
        <v>0</v>
      </c>
      <c r="F62" s="969">
        <v>0</v>
      </c>
      <c r="G62" s="969">
        <f t="shared" si="1"/>
        <v>0</v>
      </c>
      <c r="H62" s="969">
        <v>0</v>
      </c>
      <c r="I62" s="969">
        <v>0</v>
      </c>
      <c r="J62" s="969">
        <v>0</v>
      </c>
      <c r="K62" s="969">
        <v>0</v>
      </c>
      <c r="L62" s="969">
        <v>0</v>
      </c>
      <c r="M62" s="969">
        <f t="shared" si="2"/>
        <v>0</v>
      </c>
      <c r="N62" s="969">
        <v>9.4019999999999992E-2</v>
      </c>
      <c r="O62" s="969">
        <v>0</v>
      </c>
      <c r="P62" s="969">
        <v>0</v>
      </c>
      <c r="Q62" s="975">
        <f t="shared" si="3"/>
        <v>9.4019999999999992E-2</v>
      </c>
      <c r="R62" s="964">
        <f t="shared" si="4"/>
        <v>0</v>
      </c>
    </row>
    <row r="63" spans="1:18" ht="16" x14ac:dyDescent="0.3">
      <c r="A63" s="752"/>
      <c r="B63" s="1137"/>
      <c r="C63" s="751"/>
      <c r="D63" s="751"/>
      <c r="E63" s="974"/>
      <c r="F63" s="974"/>
      <c r="G63" s="976"/>
      <c r="H63" s="976"/>
      <c r="I63" s="976"/>
      <c r="J63" s="976"/>
      <c r="K63" s="976"/>
      <c r="L63" s="976"/>
      <c r="M63" s="976"/>
      <c r="N63" s="976"/>
      <c r="O63" s="976"/>
      <c r="P63" s="976"/>
      <c r="Q63" s="976"/>
      <c r="R63" s="969"/>
    </row>
    <row r="64" spans="1:18" x14ac:dyDescent="0.3">
      <c r="A64" s="752"/>
      <c r="B64" s="1142" t="s">
        <v>145</v>
      </c>
      <c r="C64" s="751"/>
      <c r="D64" s="751"/>
      <c r="E64" s="974"/>
      <c r="F64" s="974">
        <f>SUM(F33:F62)-F46-F47</f>
        <v>4948.7313486823459</v>
      </c>
      <c r="G64" s="974">
        <f>SUM(G33:G62)-G46-G47</f>
        <v>4948.7313486823459</v>
      </c>
      <c r="H64" s="974"/>
      <c r="I64" s="974"/>
      <c r="J64" s="974"/>
      <c r="K64" s="974">
        <f>SUM(K33:K62)</f>
        <v>505.14099179599998</v>
      </c>
      <c r="L64" s="974">
        <f>SUM(L33:L62)</f>
        <v>0</v>
      </c>
      <c r="M64" s="974">
        <f>N64/G64*10</f>
        <v>3.402471188078493</v>
      </c>
      <c r="N64" s="974">
        <f>SUM(N33:N62)</f>
        <v>1683.7915831432504</v>
      </c>
      <c r="O64" s="974">
        <f>SUM(O33:O62)</f>
        <v>9.5633924000000037E-2</v>
      </c>
      <c r="P64" s="974">
        <f>SUM(P33:P62)</f>
        <v>0</v>
      </c>
      <c r="Q64" s="974">
        <f>SUM(Q33:Q63)</f>
        <v>2189.0282088632507</v>
      </c>
      <c r="R64" s="974">
        <f>Q64/F64*10</f>
        <v>4.4234129004519582</v>
      </c>
    </row>
    <row r="65" spans="1:18" ht="16" x14ac:dyDescent="0.3">
      <c r="A65" s="977"/>
      <c r="B65" s="1143"/>
      <c r="C65" s="955"/>
      <c r="D65" s="955"/>
      <c r="E65" s="955"/>
      <c r="F65" s="1714">
        <f>F2.1!Q33-F64</f>
        <v>0</v>
      </c>
      <c r="G65" s="978"/>
      <c r="H65" s="978"/>
      <c r="I65" s="978"/>
      <c r="J65" s="978"/>
      <c r="K65" s="978"/>
      <c r="L65" s="978"/>
      <c r="M65" s="978"/>
      <c r="N65" s="978"/>
      <c r="O65" s="978"/>
      <c r="P65" s="978"/>
      <c r="Q65" s="2114">
        <f>Q64+F2.2!E12+F2.2!E13</f>
        <v>2415.0393405632508</v>
      </c>
      <c r="R65" s="2115">
        <f>Q65/F64*10</f>
        <v>4.8801180957343373</v>
      </c>
    </row>
    <row r="66" spans="1:18" x14ac:dyDescent="0.3">
      <c r="Q66" s="979"/>
    </row>
    <row r="67" spans="1:18" x14ac:dyDescent="0.3">
      <c r="B67" s="1126" t="s">
        <v>829</v>
      </c>
      <c r="C67" s="966"/>
      <c r="Q67" s="979"/>
    </row>
    <row r="69" spans="1:18" s="146" customFormat="1" ht="56" x14ac:dyDescent="0.25">
      <c r="A69" s="961" t="s">
        <v>263</v>
      </c>
      <c r="B69" s="1127" t="s">
        <v>264</v>
      </c>
      <c r="C69" s="961" t="s">
        <v>309</v>
      </c>
      <c r="D69" s="961" t="s">
        <v>265</v>
      </c>
      <c r="E69" s="961" t="s">
        <v>266</v>
      </c>
      <c r="F69" s="961" t="s">
        <v>267</v>
      </c>
      <c r="G69" s="961" t="s">
        <v>268</v>
      </c>
      <c r="H69" s="961" t="s">
        <v>310</v>
      </c>
      <c r="I69" s="961" t="s">
        <v>269</v>
      </c>
      <c r="J69" s="961" t="s">
        <v>311</v>
      </c>
      <c r="K69" s="961" t="s">
        <v>270</v>
      </c>
      <c r="L69" s="961" t="s">
        <v>271</v>
      </c>
      <c r="M69" s="961" t="s">
        <v>312</v>
      </c>
      <c r="N69" s="961" t="s">
        <v>272</v>
      </c>
      <c r="O69" s="961" t="s">
        <v>273</v>
      </c>
      <c r="P69" s="961" t="s">
        <v>274</v>
      </c>
      <c r="Q69" s="961" t="s">
        <v>431</v>
      </c>
      <c r="R69" s="961" t="s">
        <v>432</v>
      </c>
    </row>
    <row r="70" spans="1:18" x14ac:dyDescent="0.3">
      <c r="A70" s="961">
        <v>1</v>
      </c>
      <c r="B70" s="1127">
        <v>2</v>
      </c>
      <c r="C70" s="961">
        <v>3</v>
      </c>
      <c r="D70" s="961">
        <v>4</v>
      </c>
      <c r="E70" s="961">
        <v>5</v>
      </c>
      <c r="F70" s="961">
        <v>6</v>
      </c>
      <c r="G70" s="961">
        <v>7</v>
      </c>
      <c r="H70" s="961">
        <v>8</v>
      </c>
      <c r="I70" s="961">
        <v>9</v>
      </c>
      <c r="J70" s="961">
        <v>10</v>
      </c>
      <c r="K70" s="961">
        <v>11</v>
      </c>
      <c r="L70" s="961">
        <v>12</v>
      </c>
      <c r="M70" s="961">
        <v>13</v>
      </c>
      <c r="N70" s="961">
        <v>14</v>
      </c>
      <c r="O70" s="961">
        <v>15</v>
      </c>
      <c r="P70" s="961">
        <v>16</v>
      </c>
      <c r="Q70" s="961">
        <v>17</v>
      </c>
      <c r="R70" s="961">
        <v>18</v>
      </c>
    </row>
    <row r="71" spans="1:18" x14ac:dyDescent="0.3">
      <c r="A71" s="751">
        <v>1</v>
      </c>
      <c r="B71" s="1128" t="s">
        <v>313</v>
      </c>
      <c r="C71" s="962"/>
      <c r="D71" s="962"/>
      <c r="E71" s="962"/>
      <c r="F71" s="963"/>
      <c r="G71" s="963"/>
      <c r="H71" s="963"/>
      <c r="I71" s="963"/>
      <c r="J71" s="963"/>
      <c r="K71" s="963"/>
      <c r="L71" s="963"/>
      <c r="M71" s="963"/>
      <c r="N71" s="963"/>
      <c r="O71" s="963"/>
      <c r="P71" s="963"/>
      <c r="Q71" s="752"/>
      <c r="R71" s="752"/>
    </row>
    <row r="72" spans="1:18" x14ac:dyDescent="0.3">
      <c r="A72" s="751">
        <f>A71+1</f>
        <v>2</v>
      </c>
      <c r="B72" s="1129" t="s">
        <v>922</v>
      </c>
      <c r="C72" s="485">
        <f>C13</f>
        <v>1377</v>
      </c>
      <c r="D72" s="980">
        <f>E72/C72</f>
        <v>0.49092229484386346</v>
      </c>
      <c r="E72" s="969">
        <v>676</v>
      </c>
      <c r="F72" s="969">
        <v>3588.43</v>
      </c>
      <c r="G72" s="969">
        <f>F72</f>
        <v>3588.43</v>
      </c>
      <c r="H72" s="969"/>
      <c r="I72" s="969"/>
      <c r="J72" s="969"/>
      <c r="K72" s="969">
        <v>439.93</v>
      </c>
      <c r="L72" s="969">
        <v>0</v>
      </c>
      <c r="M72" s="969">
        <f>N72/G72*10</f>
        <v>3.2835390407504121</v>
      </c>
      <c r="N72" s="969">
        <v>1178.2750000000001</v>
      </c>
      <c r="O72" s="969">
        <v>0</v>
      </c>
      <c r="P72" s="969">
        <v>0</v>
      </c>
      <c r="Q72" s="969">
        <f>K72+L72+N72+O72+P72+0.01</f>
        <v>1618.2150000000001</v>
      </c>
      <c r="R72" s="969">
        <f>IFERROR(Q72/G72*10,0)</f>
        <v>4.5095348104881525</v>
      </c>
    </row>
    <row r="73" spans="1:18" x14ac:dyDescent="0.3">
      <c r="A73" s="751">
        <f t="shared" ref="A73:A81" si="6">A72+1</f>
        <v>3</v>
      </c>
      <c r="B73" s="1129" t="s">
        <v>932</v>
      </c>
      <c r="C73" s="485">
        <v>0</v>
      </c>
      <c r="D73" s="485">
        <v>0</v>
      </c>
      <c r="E73" s="969">
        <v>0</v>
      </c>
      <c r="F73" s="969">
        <v>0</v>
      </c>
      <c r="G73" s="969">
        <v>0</v>
      </c>
      <c r="H73" s="969"/>
      <c r="I73" s="969"/>
      <c r="J73" s="969"/>
      <c r="K73" s="969">
        <v>0</v>
      </c>
      <c r="L73" s="969">
        <v>0</v>
      </c>
      <c r="M73" s="969">
        <v>0</v>
      </c>
      <c r="N73" s="969">
        <v>0</v>
      </c>
      <c r="O73" s="969">
        <v>0</v>
      </c>
      <c r="P73" s="969">
        <v>0</v>
      </c>
      <c r="Q73" s="969">
        <v>83.78</v>
      </c>
      <c r="R73" s="969">
        <f>IFERROR(Q73/G73*10,0)</f>
        <v>0</v>
      </c>
    </row>
    <row r="74" spans="1:18" x14ac:dyDescent="0.3">
      <c r="A74" s="751">
        <f t="shared" si="6"/>
        <v>4</v>
      </c>
      <c r="B74" s="1130" t="s">
        <v>923</v>
      </c>
      <c r="C74" s="485">
        <f>C14</f>
        <v>20</v>
      </c>
      <c r="D74" s="972">
        <f>D14</f>
        <v>1</v>
      </c>
      <c r="E74" s="969">
        <f>E14</f>
        <v>20</v>
      </c>
      <c r="F74" s="969">
        <v>31.5</v>
      </c>
      <c r="G74" s="969">
        <f>F74</f>
        <v>31.5</v>
      </c>
      <c r="H74" s="969"/>
      <c r="I74" s="969"/>
      <c r="J74" s="969"/>
      <c r="K74" s="969">
        <v>0</v>
      </c>
      <c r="L74" s="969">
        <v>0</v>
      </c>
      <c r="M74" s="969">
        <f>N74/G74*10</f>
        <v>8.5587301587301585</v>
      </c>
      <c r="N74" s="969">
        <v>26.96</v>
      </c>
      <c r="O74" s="969">
        <v>0</v>
      </c>
      <c r="P74" s="969">
        <v>0</v>
      </c>
      <c r="Q74" s="969">
        <f>K74+L74+N74+O74+P74</f>
        <v>26.96</v>
      </c>
      <c r="R74" s="969">
        <f>IFERROR(Q74/G74*10,0)</f>
        <v>8.5587301587301585</v>
      </c>
    </row>
    <row r="75" spans="1:18" x14ac:dyDescent="0.3">
      <c r="A75" s="751">
        <f t="shared" si="6"/>
        <v>5</v>
      </c>
      <c r="B75" s="1130" t="s">
        <v>933</v>
      </c>
      <c r="C75" s="485">
        <v>100</v>
      </c>
      <c r="D75" s="972">
        <v>1</v>
      </c>
      <c r="E75" s="969">
        <f>C75*D75</f>
        <v>100</v>
      </c>
      <c r="F75" s="969">
        <v>744.6</v>
      </c>
      <c r="G75" s="969">
        <f>F75</f>
        <v>744.6</v>
      </c>
      <c r="H75" s="969"/>
      <c r="I75" s="969"/>
      <c r="J75" s="969"/>
      <c r="K75" s="969">
        <v>174.48</v>
      </c>
      <c r="L75" s="969">
        <v>0</v>
      </c>
      <c r="M75" s="969">
        <f>N75/G75*10</f>
        <v>2.029948965887725</v>
      </c>
      <c r="N75" s="969">
        <v>151.15</v>
      </c>
      <c r="O75" s="969">
        <v>0</v>
      </c>
      <c r="P75" s="969">
        <v>0</v>
      </c>
      <c r="Q75" s="969">
        <f>K75+L75+N75+O75+P75+0.01</f>
        <v>325.64</v>
      </c>
      <c r="R75" s="969">
        <f>Q75/G75*10</f>
        <v>4.373354821380607</v>
      </c>
    </row>
    <row r="76" spans="1:18" x14ac:dyDescent="0.3">
      <c r="A76" s="751">
        <f t="shared" si="6"/>
        <v>6</v>
      </c>
      <c r="B76" s="1128" t="s">
        <v>314</v>
      </c>
      <c r="C76" s="485"/>
      <c r="D76" s="972"/>
      <c r="E76" s="969"/>
      <c r="F76" s="969"/>
      <c r="G76" s="969"/>
      <c r="H76" s="969"/>
      <c r="I76" s="969"/>
      <c r="J76" s="969"/>
      <c r="K76" s="969"/>
      <c r="L76" s="969"/>
      <c r="M76" s="969"/>
      <c r="N76" s="969"/>
      <c r="O76" s="969"/>
      <c r="P76" s="969"/>
      <c r="Q76" s="969"/>
      <c r="R76" s="969"/>
    </row>
    <row r="77" spans="1:18" x14ac:dyDescent="0.3">
      <c r="A77" s="751">
        <f t="shared" si="6"/>
        <v>7</v>
      </c>
      <c r="B77" s="1129" t="s">
        <v>924</v>
      </c>
      <c r="C77" s="485"/>
      <c r="D77" s="972"/>
      <c r="E77" s="969"/>
      <c r="F77" s="969">
        <v>640.79999999999995</v>
      </c>
      <c r="G77" s="969">
        <f>F77</f>
        <v>640.79999999999995</v>
      </c>
      <c r="H77" s="969"/>
      <c r="I77" s="969"/>
      <c r="J77" s="969"/>
      <c r="K77" s="969">
        <v>0</v>
      </c>
      <c r="L77" s="969">
        <v>0</v>
      </c>
      <c r="M77" s="969">
        <f>N77/G77*10</f>
        <v>4</v>
      </c>
      <c r="N77" s="969">
        <v>256.32</v>
      </c>
      <c r="O77" s="969">
        <v>0</v>
      </c>
      <c r="P77" s="969">
        <v>0</v>
      </c>
      <c r="Q77" s="969">
        <f>K77+L77+N77+O77+P77</f>
        <v>256.32</v>
      </c>
      <c r="R77" s="969">
        <f>Q77/G77*10</f>
        <v>4</v>
      </c>
    </row>
    <row r="78" spans="1:18" x14ac:dyDescent="0.3">
      <c r="A78" s="751">
        <f t="shared" si="6"/>
        <v>8</v>
      </c>
      <c r="B78" s="1130" t="s">
        <v>928</v>
      </c>
      <c r="C78" s="485"/>
      <c r="D78" s="972"/>
      <c r="E78" s="969"/>
      <c r="F78" s="969">
        <v>156.33000000000001</v>
      </c>
      <c r="G78" s="969">
        <f>F78</f>
        <v>156.33000000000001</v>
      </c>
      <c r="H78" s="970"/>
      <c r="I78" s="970"/>
      <c r="J78" s="970"/>
      <c r="K78" s="970">
        <v>0</v>
      </c>
      <c r="L78" s="969">
        <v>0</v>
      </c>
      <c r="M78" s="969">
        <f>N78/G78*10</f>
        <v>0.99980809825369399</v>
      </c>
      <c r="N78" s="970">
        <v>15.63</v>
      </c>
      <c r="O78" s="969">
        <v>0</v>
      </c>
      <c r="P78" s="969">
        <v>0</v>
      </c>
      <c r="Q78" s="969">
        <f>K78+L78+N78+O78+P78</f>
        <v>15.63</v>
      </c>
      <c r="R78" s="969">
        <f>Q78/G78*10</f>
        <v>0.99980809825369399</v>
      </c>
    </row>
    <row r="79" spans="1:18" x14ac:dyDescent="0.3">
      <c r="A79" s="751">
        <f t="shared" si="6"/>
        <v>9</v>
      </c>
      <c r="B79" s="1130" t="s">
        <v>929</v>
      </c>
      <c r="C79" s="485"/>
      <c r="D79" s="972"/>
      <c r="E79" s="969"/>
      <c r="F79" s="969">
        <v>490.04</v>
      </c>
      <c r="G79" s="969">
        <f>F79</f>
        <v>490.04</v>
      </c>
      <c r="H79" s="970"/>
      <c r="I79" s="970"/>
      <c r="J79" s="970"/>
      <c r="K79" s="970">
        <v>0</v>
      </c>
      <c r="L79" s="969">
        <v>0</v>
      </c>
      <c r="M79" s="969">
        <f>N79/G79*10</f>
        <v>0.99991837401028483</v>
      </c>
      <c r="N79" s="970">
        <v>49</v>
      </c>
      <c r="O79" s="969">
        <v>0</v>
      </c>
      <c r="P79" s="969">
        <v>0</v>
      </c>
      <c r="Q79" s="969">
        <f>K79+L79+N79+O79+P79</f>
        <v>49</v>
      </c>
      <c r="R79" s="969">
        <f>Q79/G79*10</f>
        <v>0.99991837401028483</v>
      </c>
    </row>
    <row r="80" spans="1:18" x14ac:dyDescent="0.3">
      <c r="A80" s="751">
        <f t="shared" si="6"/>
        <v>10</v>
      </c>
      <c r="B80" s="1131" t="s">
        <v>926</v>
      </c>
      <c r="C80" s="485"/>
      <c r="D80" s="972"/>
      <c r="E80" s="969"/>
      <c r="F80" s="969"/>
      <c r="G80" s="969"/>
      <c r="H80" s="970"/>
      <c r="I80" s="970"/>
      <c r="J80" s="970"/>
      <c r="K80" s="970"/>
      <c r="L80" s="970"/>
      <c r="M80" s="970"/>
      <c r="N80" s="970"/>
      <c r="O80" s="970"/>
      <c r="P80" s="970"/>
      <c r="Q80" s="969"/>
      <c r="R80" s="969"/>
    </row>
    <row r="81" spans="1:19" x14ac:dyDescent="0.3">
      <c r="A81" s="751">
        <f t="shared" si="6"/>
        <v>11</v>
      </c>
      <c r="B81" s="1130" t="s">
        <v>927</v>
      </c>
      <c r="C81" s="485"/>
      <c r="D81" s="972"/>
      <c r="E81" s="969"/>
      <c r="F81" s="969">
        <f t="shared" ref="F81:G81" si="7">E81</f>
        <v>0</v>
      </c>
      <c r="G81" s="969">
        <f t="shared" si="7"/>
        <v>0</v>
      </c>
      <c r="H81" s="970"/>
      <c r="I81" s="970"/>
      <c r="J81" s="970"/>
      <c r="K81" s="970">
        <v>0</v>
      </c>
      <c r="L81" s="969">
        <v>0</v>
      </c>
      <c r="M81" s="969">
        <v>0</v>
      </c>
      <c r="N81" s="970">
        <v>0</v>
      </c>
      <c r="O81" s="969">
        <v>0</v>
      </c>
      <c r="P81" s="970">
        <v>100.28</v>
      </c>
      <c r="Q81" s="969">
        <f>K81+L81+N81+O81+P81</f>
        <v>100.28</v>
      </c>
      <c r="R81" s="969">
        <v>0</v>
      </c>
    </row>
    <row r="82" spans="1:19" x14ac:dyDescent="0.3">
      <c r="A82" s="752"/>
      <c r="B82" s="1130"/>
      <c r="C82" s="485"/>
      <c r="D82" s="485"/>
      <c r="E82" s="969"/>
      <c r="F82" s="969"/>
      <c r="G82" s="969"/>
      <c r="H82" s="970"/>
      <c r="I82" s="970"/>
      <c r="J82" s="970"/>
      <c r="K82" s="970"/>
      <c r="L82" s="970"/>
      <c r="M82" s="970"/>
      <c r="N82" s="970"/>
      <c r="O82" s="970"/>
      <c r="P82" s="970"/>
      <c r="Q82" s="969"/>
      <c r="R82" s="969"/>
    </row>
    <row r="83" spans="1:19" x14ac:dyDescent="0.3">
      <c r="A83" s="752"/>
      <c r="B83" s="1142" t="s">
        <v>145</v>
      </c>
      <c r="C83" s="572"/>
      <c r="D83" s="340"/>
      <c r="E83" s="959"/>
      <c r="F83" s="959">
        <f>SUM(F72:F77)</f>
        <v>5005.33</v>
      </c>
      <c r="G83" s="959">
        <f>SUM(G72:G77)</f>
        <v>5005.33</v>
      </c>
      <c r="H83" s="959"/>
      <c r="I83" s="959"/>
      <c r="J83" s="959"/>
      <c r="K83" s="959">
        <f>SUM(K72:K81)</f>
        <v>614.41</v>
      </c>
      <c r="L83" s="959">
        <f>SUM(L72:L81)</f>
        <v>0</v>
      </c>
      <c r="M83" s="974">
        <f>N83/G83*10</f>
        <v>3.3510977298200122</v>
      </c>
      <c r="N83" s="959">
        <f>SUM(N72:N81)</f>
        <v>1677.3350000000003</v>
      </c>
      <c r="O83" s="959">
        <f>SUM(O72:O81)</f>
        <v>0</v>
      </c>
      <c r="P83" s="959">
        <f>SUM(P72:P81)</f>
        <v>100.28</v>
      </c>
      <c r="Q83" s="959">
        <f>SUM(Q72:Q81)</f>
        <v>2475.8250000000007</v>
      </c>
      <c r="R83" s="974">
        <f>Q83/G83*10</f>
        <v>4.9463771619453674</v>
      </c>
    </row>
    <row r="84" spans="1:19" x14ac:dyDescent="0.3">
      <c r="A84" s="752">
        <f>A81+1</f>
        <v>12</v>
      </c>
      <c r="B84" s="1130" t="s">
        <v>940</v>
      </c>
      <c r="C84" s="485"/>
      <c r="D84" s="485"/>
      <c r="E84" s="969"/>
      <c r="F84" s="969"/>
      <c r="G84" s="969"/>
      <c r="H84" s="970"/>
      <c r="I84" s="970"/>
      <c r="J84" s="970"/>
      <c r="K84" s="970"/>
      <c r="L84" s="970"/>
      <c r="M84" s="970"/>
      <c r="N84" s="970"/>
      <c r="O84" s="970"/>
      <c r="P84" s="970"/>
      <c r="Q84" s="969">
        <v>274.47500000000002</v>
      </c>
      <c r="R84" s="969"/>
    </row>
    <row r="85" spans="1:19" s="2117" customFormat="1" x14ac:dyDescent="0.3">
      <c r="A85" s="751"/>
      <c r="B85" s="1131" t="s">
        <v>985</v>
      </c>
      <c r="C85" s="2116"/>
      <c r="D85" s="2116"/>
      <c r="E85" s="981"/>
      <c r="F85" s="981"/>
      <c r="G85" s="981"/>
      <c r="H85" s="981"/>
      <c r="I85" s="981"/>
      <c r="J85" s="981"/>
      <c r="K85" s="981"/>
      <c r="L85" s="981"/>
      <c r="M85" s="981"/>
      <c r="N85" s="981"/>
      <c r="O85" s="981"/>
      <c r="P85" s="981"/>
      <c r="Q85" s="981">
        <f>Q83+Q84</f>
        <v>2750.3000000000006</v>
      </c>
      <c r="R85" s="981">
        <f>Q85/G83*10</f>
        <v>5.4947426043837275</v>
      </c>
    </row>
    <row r="87" spans="1:19" x14ac:dyDescent="0.3">
      <c r="B87" s="1126" t="s">
        <v>830</v>
      </c>
      <c r="C87" s="966"/>
    </row>
    <row r="89" spans="1:19" s="146" customFormat="1" ht="56" x14ac:dyDescent="0.25">
      <c r="A89" s="961" t="s">
        <v>263</v>
      </c>
      <c r="B89" s="1127" t="s">
        <v>264</v>
      </c>
      <c r="C89" s="961" t="s">
        <v>309</v>
      </c>
      <c r="D89" s="961" t="s">
        <v>265</v>
      </c>
      <c r="E89" s="961" t="s">
        <v>266</v>
      </c>
      <c r="F89" s="961" t="s">
        <v>267</v>
      </c>
      <c r="G89" s="961" t="s">
        <v>268</v>
      </c>
      <c r="H89" s="961" t="s">
        <v>310</v>
      </c>
      <c r="I89" s="961" t="s">
        <v>269</v>
      </c>
      <c r="J89" s="961" t="s">
        <v>311</v>
      </c>
      <c r="K89" s="961" t="s">
        <v>270</v>
      </c>
      <c r="L89" s="961" t="s">
        <v>271</v>
      </c>
      <c r="M89" s="961" t="s">
        <v>312</v>
      </c>
      <c r="N89" s="961" t="s">
        <v>272</v>
      </c>
      <c r="O89" s="961" t="s">
        <v>273</v>
      </c>
      <c r="P89" s="961" t="s">
        <v>274</v>
      </c>
      <c r="Q89" s="961" t="s">
        <v>431</v>
      </c>
      <c r="R89" s="961" t="s">
        <v>432</v>
      </c>
    </row>
    <row r="90" spans="1:19" x14ac:dyDescent="0.3">
      <c r="A90" s="961">
        <v>1</v>
      </c>
      <c r="B90" s="1127">
        <v>2</v>
      </c>
      <c r="C90" s="961">
        <v>3</v>
      </c>
      <c r="D90" s="961">
        <v>4</v>
      </c>
      <c r="E90" s="961">
        <v>5</v>
      </c>
      <c r="F90" s="961">
        <v>6</v>
      </c>
      <c r="G90" s="961">
        <v>7</v>
      </c>
      <c r="H90" s="961">
        <v>8</v>
      </c>
      <c r="I90" s="961">
        <v>9</v>
      </c>
      <c r="J90" s="961">
        <v>10</v>
      </c>
      <c r="K90" s="961">
        <v>11</v>
      </c>
      <c r="L90" s="961">
        <v>12</v>
      </c>
      <c r="M90" s="961">
        <v>13</v>
      </c>
      <c r="N90" s="961">
        <v>14</v>
      </c>
      <c r="O90" s="961">
        <v>15</v>
      </c>
      <c r="P90" s="961">
        <v>16</v>
      </c>
      <c r="Q90" s="961">
        <v>17</v>
      </c>
      <c r="R90" s="961">
        <v>18</v>
      </c>
    </row>
    <row r="91" spans="1:19" x14ac:dyDescent="0.3">
      <c r="A91" s="751">
        <v>1</v>
      </c>
      <c r="B91" s="1134" t="s">
        <v>313</v>
      </c>
      <c r="C91" s="962"/>
      <c r="D91" s="962"/>
      <c r="E91" s="962"/>
      <c r="F91" s="963"/>
      <c r="G91" s="963"/>
      <c r="H91" s="963"/>
      <c r="I91" s="963"/>
      <c r="J91" s="963"/>
      <c r="K91" s="347"/>
      <c r="L91" s="963"/>
      <c r="M91" s="963"/>
      <c r="N91" s="1586"/>
      <c r="O91" s="963"/>
      <c r="P91" s="963"/>
      <c r="Q91" s="752"/>
      <c r="R91" s="752"/>
    </row>
    <row r="92" spans="1:19" x14ac:dyDescent="0.3">
      <c r="A92" s="752">
        <v>1.1000000000000001</v>
      </c>
      <c r="B92" s="1135" t="s">
        <v>922</v>
      </c>
      <c r="C92" s="485">
        <v>1377</v>
      </c>
      <c r="D92" s="972">
        <v>0.49142040668119102</v>
      </c>
      <c r="E92" s="960">
        <f>D92*C92</f>
        <v>676.68590000000006</v>
      </c>
      <c r="F92" s="969">
        <f>F2.1!Q46</f>
        <v>3085.2293190600008</v>
      </c>
      <c r="G92" s="969">
        <f>F92</f>
        <v>3085.2293190600008</v>
      </c>
      <c r="H92" s="969">
        <v>0</v>
      </c>
      <c r="I92" s="969">
        <v>0</v>
      </c>
      <c r="J92" s="969">
        <v>0</v>
      </c>
      <c r="K92" s="969">
        <v>438.15922187408921</v>
      </c>
      <c r="L92" s="969">
        <v>0</v>
      </c>
      <c r="M92" s="969">
        <f>IFERROR(N92/G92*10,0)</f>
        <v>2.4625726865401418</v>
      </c>
      <c r="N92" s="969">
        <v>759.76014528299993</v>
      </c>
      <c r="O92" s="969">
        <v>6.1822477290000002</v>
      </c>
      <c r="P92" s="969">
        <v>1.5432524000000001</v>
      </c>
      <c r="Q92" s="975">
        <f>N92+K92+L92+O92+P92</f>
        <v>1205.6448672860893</v>
      </c>
      <c r="R92" s="964">
        <f>IFERROR(Q92/F92*10,0)</f>
        <v>3.9077966095999046</v>
      </c>
      <c r="S92" s="1482"/>
    </row>
    <row r="93" spans="1:19" x14ac:dyDescent="0.3">
      <c r="A93" s="752">
        <v>1.2</v>
      </c>
      <c r="B93" s="1137" t="s">
        <v>1342</v>
      </c>
      <c r="C93" s="485">
        <v>0</v>
      </c>
      <c r="D93" s="485">
        <v>0</v>
      </c>
      <c r="E93" s="960">
        <f t="shared" ref="E93:E123" si="8">D93*C93</f>
        <v>0</v>
      </c>
      <c r="F93" s="969"/>
      <c r="G93" s="969"/>
      <c r="H93" s="969"/>
      <c r="I93" s="969"/>
      <c r="J93" s="969"/>
      <c r="K93" s="969"/>
      <c r="L93" s="969"/>
      <c r="M93" s="969"/>
      <c r="N93" s="969">
        <v>68.920720824</v>
      </c>
      <c r="O93" s="969"/>
      <c r="P93" s="969"/>
      <c r="Q93" s="975">
        <f t="shared" ref="Q93:Q123" si="9">N93+K93+L93+O93+P93</f>
        <v>68.920720824</v>
      </c>
      <c r="R93" s="964">
        <f t="shared" ref="R93:R123" si="10">IFERROR(Q93/F93*10,0)</f>
        <v>0</v>
      </c>
    </row>
    <row r="94" spans="1:19" ht="28" x14ac:dyDescent="0.3">
      <c r="A94" s="752">
        <v>1.3</v>
      </c>
      <c r="B94" s="1136" t="s">
        <v>1332</v>
      </c>
      <c r="C94" s="485">
        <v>20</v>
      </c>
      <c r="D94" s="972">
        <v>1</v>
      </c>
      <c r="E94" s="960">
        <f t="shared" si="8"/>
        <v>20</v>
      </c>
      <c r="F94" s="969">
        <f>F2.1!Q47</f>
        <v>31.910036020000003</v>
      </c>
      <c r="G94" s="969">
        <f t="shared" ref="G94:G123" si="11">F94</f>
        <v>31.910036020000003</v>
      </c>
      <c r="H94" s="969">
        <v>0</v>
      </c>
      <c r="I94" s="969">
        <v>0</v>
      </c>
      <c r="J94" s="969">
        <v>0</v>
      </c>
      <c r="K94" s="969">
        <v>0</v>
      </c>
      <c r="L94" s="969">
        <v>0</v>
      </c>
      <c r="M94" s="969">
        <f t="shared" ref="M94:M123" si="12">IFERROR(N94/G94*10,0)</f>
        <v>8.450015778766268</v>
      </c>
      <c r="N94" s="969">
        <v>26.964030786999999</v>
      </c>
      <c r="O94" s="969">
        <v>0</v>
      </c>
      <c r="P94" s="969">
        <v>0</v>
      </c>
      <c r="Q94" s="975">
        <f t="shared" si="9"/>
        <v>26.964030786999999</v>
      </c>
      <c r="R94" s="964">
        <f t="shared" si="10"/>
        <v>8.450015778766268</v>
      </c>
    </row>
    <row r="95" spans="1:19" x14ac:dyDescent="0.3">
      <c r="A95" s="752">
        <v>1.4</v>
      </c>
      <c r="B95" s="1136" t="s">
        <v>933</v>
      </c>
      <c r="C95" s="485">
        <v>100</v>
      </c>
      <c r="D95" s="972">
        <v>1</v>
      </c>
      <c r="E95" s="960">
        <f t="shared" si="8"/>
        <v>100</v>
      </c>
      <c r="F95" s="969">
        <f>F2.1!Q49</f>
        <v>846.41312499999992</v>
      </c>
      <c r="G95" s="969">
        <f t="shared" si="11"/>
        <v>846.41312499999992</v>
      </c>
      <c r="H95" s="969">
        <v>0</v>
      </c>
      <c r="I95" s="969">
        <v>0</v>
      </c>
      <c r="J95" s="969">
        <v>0</v>
      </c>
      <c r="K95" s="969">
        <v>148.91999999999999</v>
      </c>
      <c r="L95" s="969">
        <v>0</v>
      </c>
      <c r="M95" s="969">
        <f t="shared" si="12"/>
        <v>2.0300000038397323</v>
      </c>
      <c r="N95" s="969">
        <v>171.82186469999999</v>
      </c>
      <c r="O95" s="969">
        <v>10.181312500000001</v>
      </c>
      <c r="P95" s="969">
        <v>0</v>
      </c>
      <c r="Q95" s="975">
        <f t="shared" si="9"/>
        <v>330.92317719999994</v>
      </c>
      <c r="R95" s="964">
        <f t="shared" si="10"/>
        <v>3.9097122601920899</v>
      </c>
    </row>
    <row r="96" spans="1:19" x14ac:dyDescent="0.3">
      <c r="A96" s="752"/>
      <c r="B96" s="1137"/>
      <c r="C96" s="485"/>
      <c r="D96" s="485"/>
      <c r="E96" s="960"/>
      <c r="F96" s="969"/>
      <c r="G96" s="969"/>
      <c r="H96" s="969"/>
      <c r="I96" s="969"/>
      <c r="J96" s="969"/>
      <c r="K96" s="969"/>
      <c r="L96" s="969"/>
      <c r="M96" s="969"/>
      <c r="N96" s="969"/>
      <c r="O96" s="969"/>
      <c r="P96" s="969"/>
      <c r="Q96" s="975"/>
      <c r="R96" s="964"/>
    </row>
    <row r="97" spans="1:18" x14ac:dyDescent="0.3">
      <c r="A97" s="751">
        <v>2</v>
      </c>
      <c r="B97" s="1134" t="s">
        <v>314</v>
      </c>
      <c r="C97" s="485"/>
      <c r="D97" s="485"/>
      <c r="E97" s="960"/>
      <c r="F97" s="969"/>
      <c r="G97" s="969"/>
      <c r="H97" s="969"/>
      <c r="I97" s="969"/>
      <c r="J97" s="969"/>
      <c r="K97" s="969"/>
      <c r="L97" s="969"/>
      <c r="M97" s="969"/>
      <c r="N97" s="969"/>
      <c r="O97" s="969"/>
      <c r="P97" s="969"/>
      <c r="Q97" s="975"/>
      <c r="R97" s="964"/>
    </row>
    <row r="98" spans="1:18" x14ac:dyDescent="0.3">
      <c r="A98" s="752">
        <v>2.1</v>
      </c>
      <c r="B98" s="1136" t="s">
        <v>924</v>
      </c>
      <c r="C98" s="485"/>
      <c r="D98" s="485"/>
      <c r="E98" s="960"/>
      <c r="F98" s="969"/>
      <c r="G98" s="969"/>
      <c r="H98" s="969"/>
      <c r="I98" s="969"/>
      <c r="J98" s="969"/>
      <c r="K98" s="969"/>
      <c r="L98" s="969"/>
      <c r="M98" s="969"/>
      <c r="N98" s="969"/>
      <c r="O98" s="969"/>
      <c r="P98" s="969"/>
      <c r="Q98" s="975"/>
      <c r="R98" s="964"/>
    </row>
    <row r="99" spans="1:18" x14ac:dyDescent="0.3">
      <c r="A99" s="752" t="s">
        <v>1343</v>
      </c>
      <c r="B99" s="1136" t="s">
        <v>1344</v>
      </c>
      <c r="C99" s="485"/>
      <c r="D99" s="485"/>
      <c r="E99" s="960"/>
      <c r="F99" s="969"/>
      <c r="G99" s="969">
        <f t="shared" si="11"/>
        <v>0</v>
      </c>
      <c r="H99" s="969">
        <v>0</v>
      </c>
      <c r="I99" s="969">
        <v>0</v>
      </c>
      <c r="J99" s="969">
        <v>0</v>
      </c>
      <c r="K99" s="969">
        <v>0</v>
      </c>
      <c r="L99" s="969">
        <v>0</v>
      </c>
      <c r="M99" s="969">
        <f t="shared" si="12"/>
        <v>0</v>
      </c>
      <c r="N99" s="969">
        <v>0</v>
      </c>
      <c r="O99" s="969">
        <v>0</v>
      </c>
      <c r="P99" s="969">
        <v>0</v>
      </c>
      <c r="Q99" s="975">
        <f t="shared" si="9"/>
        <v>0</v>
      </c>
      <c r="R99" s="964">
        <f t="shared" si="10"/>
        <v>0</v>
      </c>
    </row>
    <row r="100" spans="1:18" x14ac:dyDescent="0.3">
      <c r="A100" s="752" t="s">
        <v>1345</v>
      </c>
      <c r="B100" s="1136" t="s">
        <v>1336</v>
      </c>
      <c r="C100" s="485"/>
      <c r="D100" s="485"/>
      <c r="E100" s="960"/>
      <c r="F100" s="969">
        <f>F2.1!Q53</f>
        <v>133.98533105849998</v>
      </c>
      <c r="G100" s="969">
        <f t="shared" si="11"/>
        <v>133.98533105849998</v>
      </c>
      <c r="H100" s="969">
        <v>0</v>
      </c>
      <c r="I100" s="969">
        <v>0</v>
      </c>
      <c r="J100" s="969">
        <v>0</v>
      </c>
      <c r="K100" s="969">
        <v>0</v>
      </c>
      <c r="L100" s="969">
        <v>0</v>
      </c>
      <c r="M100" s="969">
        <f t="shared" si="12"/>
        <v>3.6576723801413435</v>
      </c>
      <c r="N100" s="969">
        <v>49.007444475676948</v>
      </c>
      <c r="O100" s="969">
        <v>0</v>
      </c>
      <c r="P100" s="969">
        <v>0</v>
      </c>
      <c r="Q100" s="975">
        <f t="shared" si="9"/>
        <v>49.007444475676948</v>
      </c>
      <c r="R100" s="964">
        <f t="shared" si="10"/>
        <v>3.6576723801413435</v>
      </c>
    </row>
    <row r="101" spans="1:18" x14ac:dyDescent="0.3">
      <c r="A101" s="752" t="s">
        <v>1346</v>
      </c>
      <c r="B101" s="1136" t="s">
        <v>1338</v>
      </c>
      <c r="C101" s="485"/>
      <c r="D101" s="485"/>
      <c r="E101" s="960"/>
      <c r="F101" s="969">
        <f>F2.1!Q54</f>
        <v>-19.434930000000001</v>
      </c>
      <c r="G101" s="969">
        <f t="shared" si="11"/>
        <v>-19.434930000000001</v>
      </c>
      <c r="H101" s="969">
        <v>0</v>
      </c>
      <c r="I101" s="969">
        <v>0</v>
      </c>
      <c r="J101" s="969">
        <v>0</v>
      </c>
      <c r="K101" s="969">
        <v>0</v>
      </c>
      <c r="L101" s="969">
        <v>0</v>
      </c>
      <c r="M101" s="969">
        <f t="shared" si="12"/>
        <v>2.9178430700588853</v>
      </c>
      <c r="N101" s="969">
        <v>-5.6708075817579537</v>
      </c>
      <c r="O101" s="969">
        <v>0</v>
      </c>
      <c r="P101" s="969">
        <v>0</v>
      </c>
      <c r="Q101" s="975">
        <f t="shared" si="9"/>
        <v>-5.6708075817579537</v>
      </c>
      <c r="R101" s="964">
        <f t="shared" si="10"/>
        <v>2.9178430700588853</v>
      </c>
    </row>
    <row r="102" spans="1:18" x14ac:dyDescent="0.3">
      <c r="A102" s="752" t="s">
        <v>1347</v>
      </c>
      <c r="B102" s="1136" t="s">
        <v>1348</v>
      </c>
      <c r="C102" s="485"/>
      <c r="D102" s="485"/>
      <c r="E102" s="960"/>
      <c r="F102" s="969"/>
      <c r="G102" s="969">
        <f t="shared" si="11"/>
        <v>0</v>
      </c>
      <c r="H102" s="969">
        <v>0</v>
      </c>
      <c r="I102" s="969">
        <v>0</v>
      </c>
      <c r="J102" s="969">
        <v>0</v>
      </c>
      <c r="K102" s="969">
        <v>0</v>
      </c>
      <c r="L102" s="969">
        <v>0</v>
      </c>
      <c r="M102" s="969">
        <f t="shared" si="12"/>
        <v>0</v>
      </c>
      <c r="N102" s="969">
        <v>8.9999999999999993E-3</v>
      </c>
      <c r="O102" s="969">
        <v>0</v>
      </c>
      <c r="P102" s="969">
        <v>0</v>
      </c>
      <c r="Q102" s="975">
        <f t="shared" si="9"/>
        <v>8.9999999999999993E-3</v>
      </c>
      <c r="R102" s="964">
        <f t="shared" si="10"/>
        <v>0</v>
      </c>
    </row>
    <row r="103" spans="1:18" x14ac:dyDescent="0.3">
      <c r="A103" s="752">
        <v>2.2000000000000002</v>
      </c>
      <c r="B103" s="1138" t="s">
        <v>1339</v>
      </c>
      <c r="C103" s="485"/>
      <c r="D103" s="485"/>
      <c r="E103" s="960"/>
      <c r="F103" s="969"/>
      <c r="G103" s="969">
        <f t="shared" si="11"/>
        <v>0</v>
      </c>
      <c r="H103" s="969">
        <v>0</v>
      </c>
      <c r="I103" s="969">
        <v>0</v>
      </c>
      <c r="J103" s="969">
        <v>0</v>
      </c>
      <c r="K103" s="969">
        <v>0</v>
      </c>
      <c r="L103" s="969">
        <v>0</v>
      </c>
      <c r="M103" s="969">
        <f t="shared" si="12"/>
        <v>0</v>
      </c>
      <c r="N103" s="969">
        <v>0</v>
      </c>
      <c r="O103" s="969">
        <v>0</v>
      </c>
      <c r="P103" s="969">
        <v>0</v>
      </c>
      <c r="Q103" s="975">
        <f t="shared" si="9"/>
        <v>0</v>
      </c>
      <c r="R103" s="964">
        <f t="shared" si="10"/>
        <v>0</v>
      </c>
    </row>
    <row r="104" spans="1:18" x14ac:dyDescent="0.3">
      <c r="A104" s="752">
        <v>2.2999999999999998</v>
      </c>
      <c r="B104" s="1138" t="s">
        <v>1340</v>
      </c>
      <c r="C104" s="485"/>
      <c r="D104" s="485"/>
      <c r="E104" s="960"/>
      <c r="F104" s="969">
        <f>F2.1!Q56</f>
        <v>2.8619499999999998</v>
      </c>
      <c r="G104" s="969">
        <f t="shared" si="11"/>
        <v>2.8619499999999998</v>
      </c>
      <c r="H104" s="969">
        <v>0</v>
      </c>
      <c r="I104" s="969">
        <v>0</v>
      </c>
      <c r="J104" s="969">
        <v>0</v>
      </c>
      <c r="K104" s="969">
        <v>0</v>
      </c>
      <c r="L104" s="969">
        <v>0</v>
      </c>
      <c r="M104" s="969">
        <f t="shared" si="12"/>
        <v>0</v>
      </c>
      <c r="N104" s="969">
        <v>0</v>
      </c>
      <c r="O104" s="969">
        <v>0</v>
      </c>
      <c r="P104" s="969">
        <v>0</v>
      </c>
      <c r="Q104" s="975">
        <f t="shared" si="9"/>
        <v>0</v>
      </c>
      <c r="R104" s="964">
        <f t="shared" si="10"/>
        <v>0</v>
      </c>
    </row>
    <row r="105" spans="1:18" x14ac:dyDescent="0.3">
      <c r="A105" s="933">
        <v>2.4</v>
      </c>
      <c r="B105" s="1138" t="s">
        <v>1349</v>
      </c>
      <c r="C105" s="395"/>
      <c r="D105" s="395"/>
      <c r="E105" s="1350"/>
      <c r="F105" s="1351">
        <f>F2.1!Q57</f>
        <v>-30.845915372031556</v>
      </c>
      <c r="G105" s="1351">
        <f t="shared" si="11"/>
        <v>-30.845915372031556</v>
      </c>
      <c r="H105" s="1351">
        <v>0</v>
      </c>
      <c r="I105" s="1351">
        <v>0</v>
      </c>
      <c r="J105" s="1351">
        <v>0</v>
      </c>
      <c r="K105" s="1351">
        <v>0</v>
      </c>
      <c r="L105" s="1351">
        <v>0</v>
      </c>
      <c r="M105" s="1351">
        <f t="shared" si="12"/>
        <v>0</v>
      </c>
      <c r="N105" s="1351">
        <v>0</v>
      </c>
      <c r="O105" s="1351">
        <v>0</v>
      </c>
      <c r="P105" s="1351">
        <v>0</v>
      </c>
      <c r="Q105" s="1351">
        <f t="shared" si="9"/>
        <v>0</v>
      </c>
      <c r="R105" s="964">
        <f t="shared" si="10"/>
        <v>0</v>
      </c>
    </row>
    <row r="106" spans="1:18" x14ac:dyDescent="0.3">
      <c r="A106" s="752">
        <v>2.5</v>
      </c>
      <c r="B106" s="1138" t="s">
        <v>1350</v>
      </c>
      <c r="C106" s="485"/>
      <c r="D106" s="485"/>
      <c r="E106" s="960"/>
      <c r="F106" s="969"/>
      <c r="G106" s="969">
        <f t="shared" si="11"/>
        <v>0</v>
      </c>
      <c r="H106" s="969">
        <v>0</v>
      </c>
      <c r="I106" s="969">
        <v>0</v>
      </c>
      <c r="J106" s="969">
        <v>0</v>
      </c>
      <c r="K106" s="969">
        <v>0</v>
      </c>
      <c r="L106" s="969">
        <v>0</v>
      </c>
      <c r="M106" s="969">
        <f t="shared" si="12"/>
        <v>0</v>
      </c>
      <c r="N106" s="969">
        <v>0</v>
      </c>
      <c r="O106" s="969">
        <v>0</v>
      </c>
      <c r="P106" s="969">
        <v>0</v>
      </c>
      <c r="Q106" s="975">
        <f t="shared" si="9"/>
        <v>0</v>
      </c>
      <c r="R106" s="964">
        <f t="shared" si="10"/>
        <v>0</v>
      </c>
    </row>
    <row r="107" spans="1:18" x14ac:dyDescent="0.3">
      <c r="A107" s="752">
        <v>2.6</v>
      </c>
      <c r="B107" s="1138" t="s">
        <v>1351</v>
      </c>
      <c r="C107" s="485"/>
      <c r="D107" s="485"/>
      <c r="E107" s="960"/>
      <c r="F107" s="969"/>
      <c r="G107" s="969">
        <f t="shared" si="11"/>
        <v>0</v>
      </c>
      <c r="H107" s="969">
        <v>0</v>
      </c>
      <c r="I107" s="969">
        <v>0</v>
      </c>
      <c r="J107" s="969">
        <v>0</v>
      </c>
      <c r="K107" s="969">
        <v>0</v>
      </c>
      <c r="L107" s="969">
        <v>0</v>
      </c>
      <c r="M107" s="969">
        <f t="shared" si="12"/>
        <v>0</v>
      </c>
      <c r="N107" s="969">
        <v>0</v>
      </c>
      <c r="O107" s="969">
        <v>0</v>
      </c>
      <c r="P107" s="969">
        <v>0</v>
      </c>
      <c r="Q107" s="975">
        <f t="shared" si="9"/>
        <v>0</v>
      </c>
      <c r="R107" s="964">
        <f t="shared" si="10"/>
        <v>0</v>
      </c>
    </row>
    <row r="108" spans="1:18" s="754" customFormat="1" x14ac:dyDescent="0.3">
      <c r="A108" s="752"/>
      <c r="B108" s="1138"/>
      <c r="C108" s="485"/>
      <c r="D108" s="485"/>
      <c r="E108" s="960"/>
      <c r="F108" s="969"/>
      <c r="G108" s="969"/>
      <c r="H108" s="969"/>
      <c r="I108" s="969"/>
      <c r="J108" s="969"/>
      <c r="K108" s="969"/>
      <c r="L108" s="969"/>
      <c r="M108" s="969"/>
      <c r="N108" s="969"/>
      <c r="O108" s="969"/>
      <c r="P108" s="969"/>
      <c r="Q108" s="975"/>
      <c r="R108" s="964"/>
    </row>
    <row r="109" spans="1:18" s="754" customFormat="1" x14ac:dyDescent="0.3">
      <c r="A109" s="751">
        <v>3</v>
      </c>
      <c r="B109" s="1139" t="s">
        <v>926</v>
      </c>
      <c r="C109" s="485"/>
      <c r="D109" s="485"/>
      <c r="E109" s="960"/>
      <c r="F109" s="969"/>
      <c r="G109" s="969"/>
      <c r="H109" s="969"/>
      <c r="I109" s="969"/>
      <c r="J109" s="969"/>
      <c r="K109" s="969"/>
      <c r="L109" s="969"/>
      <c r="M109" s="969"/>
      <c r="N109" s="969"/>
      <c r="O109" s="969"/>
      <c r="P109" s="969"/>
      <c r="Q109" s="975"/>
      <c r="R109" s="964"/>
    </row>
    <row r="110" spans="1:18" s="754" customFormat="1" x14ac:dyDescent="0.3">
      <c r="A110" s="752">
        <v>3.3</v>
      </c>
      <c r="B110" s="1140" t="s">
        <v>1362</v>
      </c>
      <c r="C110" s="485">
        <v>0</v>
      </c>
      <c r="D110" s="485">
        <v>0</v>
      </c>
      <c r="E110" s="960">
        <f t="shared" si="8"/>
        <v>0</v>
      </c>
      <c r="F110" s="969">
        <v>0</v>
      </c>
      <c r="G110" s="969">
        <f t="shared" si="11"/>
        <v>0</v>
      </c>
      <c r="H110" s="969">
        <v>0</v>
      </c>
      <c r="I110" s="969">
        <v>0</v>
      </c>
      <c r="J110" s="969">
        <v>0</v>
      </c>
      <c r="K110" s="969">
        <v>0</v>
      </c>
      <c r="L110" s="969">
        <v>0</v>
      </c>
      <c r="M110" s="969">
        <f t="shared" si="12"/>
        <v>0</v>
      </c>
      <c r="N110" s="969">
        <v>100.28000039999999</v>
      </c>
      <c r="O110" s="969">
        <v>0</v>
      </c>
      <c r="P110" s="969">
        <v>0</v>
      </c>
      <c r="Q110" s="975">
        <f t="shared" si="9"/>
        <v>100.28000039999999</v>
      </c>
      <c r="R110" s="964">
        <f t="shared" si="10"/>
        <v>0</v>
      </c>
    </row>
    <row r="111" spans="1:18" s="754" customFormat="1" x14ac:dyDescent="0.3">
      <c r="A111" s="752">
        <v>3.4</v>
      </c>
      <c r="B111" s="1141" t="s">
        <v>1363</v>
      </c>
      <c r="C111" s="485">
        <v>0</v>
      </c>
      <c r="D111" s="485">
        <v>0</v>
      </c>
      <c r="E111" s="960">
        <f t="shared" si="8"/>
        <v>0</v>
      </c>
      <c r="F111" s="969">
        <v>0</v>
      </c>
      <c r="G111" s="969">
        <f t="shared" si="11"/>
        <v>0</v>
      </c>
      <c r="H111" s="969">
        <v>0</v>
      </c>
      <c r="I111" s="969">
        <v>0</v>
      </c>
      <c r="J111" s="969">
        <v>0</v>
      </c>
      <c r="K111" s="969">
        <v>0</v>
      </c>
      <c r="L111" s="969">
        <v>0</v>
      </c>
      <c r="M111" s="969">
        <f t="shared" si="12"/>
        <v>0</v>
      </c>
      <c r="N111" s="969">
        <v>0</v>
      </c>
      <c r="O111" s="969">
        <v>0</v>
      </c>
      <c r="P111" s="969">
        <v>0</v>
      </c>
      <c r="Q111" s="975">
        <f t="shared" si="9"/>
        <v>0</v>
      </c>
      <c r="R111" s="964">
        <f t="shared" si="10"/>
        <v>0</v>
      </c>
    </row>
    <row r="112" spans="1:18" s="754" customFormat="1" x14ac:dyDescent="0.3">
      <c r="A112" s="752">
        <v>3.5</v>
      </c>
      <c r="B112" s="1141" t="s">
        <v>1364</v>
      </c>
      <c r="C112" s="485">
        <v>0</v>
      </c>
      <c r="D112" s="485">
        <v>0</v>
      </c>
      <c r="E112" s="960">
        <f t="shared" si="8"/>
        <v>0</v>
      </c>
      <c r="F112" s="969">
        <v>0</v>
      </c>
      <c r="G112" s="969">
        <f t="shared" si="11"/>
        <v>0</v>
      </c>
      <c r="H112" s="969">
        <v>0</v>
      </c>
      <c r="I112" s="969">
        <v>0</v>
      </c>
      <c r="J112" s="969">
        <v>0</v>
      </c>
      <c r="K112" s="969">
        <v>0</v>
      </c>
      <c r="L112" s="969">
        <v>0</v>
      </c>
      <c r="M112" s="969">
        <f t="shared" si="12"/>
        <v>0</v>
      </c>
      <c r="N112" s="969">
        <v>-0.83538648400000004</v>
      </c>
      <c r="O112" s="969">
        <v>0</v>
      </c>
      <c r="P112" s="969">
        <v>0</v>
      </c>
      <c r="Q112" s="975">
        <f t="shared" si="9"/>
        <v>-0.83538648400000004</v>
      </c>
      <c r="R112" s="964">
        <f t="shared" si="10"/>
        <v>0</v>
      </c>
    </row>
    <row r="113" spans="1:18" s="754" customFormat="1" x14ac:dyDescent="0.3">
      <c r="A113" s="752">
        <v>3.6</v>
      </c>
      <c r="B113" s="1141" t="s">
        <v>1365</v>
      </c>
      <c r="C113" s="485">
        <v>0</v>
      </c>
      <c r="D113" s="485">
        <v>0</v>
      </c>
      <c r="E113" s="960">
        <f t="shared" si="8"/>
        <v>0</v>
      </c>
      <c r="F113" s="969">
        <v>0</v>
      </c>
      <c r="G113" s="969">
        <f t="shared" si="11"/>
        <v>0</v>
      </c>
      <c r="H113" s="969">
        <v>0</v>
      </c>
      <c r="I113" s="969">
        <v>0</v>
      </c>
      <c r="J113" s="969">
        <v>0</v>
      </c>
      <c r="K113" s="969">
        <v>0</v>
      </c>
      <c r="L113" s="969">
        <v>0</v>
      </c>
      <c r="M113" s="969">
        <f t="shared" si="12"/>
        <v>0</v>
      </c>
      <c r="N113" s="969">
        <v>-2.5847686830000001</v>
      </c>
      <c r="O113" s="969">
        <v>0</v>
      </c>
      <c r="P113" s="969">
        <v>0</v>
      </c>
      <c r="Q113" s="975">
        <f t="shared" si="9"/>
        <v>-2.5847686830000001</v>
      </c>
      <c r="R113" s="964">
        <f t="shared" si="10"/>
        <v>0</v>
      </c>
    </row>
    <row r="114" spans="1:18" s="754" customFormat="1" x14ac:dyDescent="0.3">
      <c r="A114" s="752">
        <v>3.7</v>
      </c>
      <c r="B114" s="1141" t="s">
        <v>1366</v>
      </c>
      <c r="C114" s="485">
        <v>0</v>
      </c>
      <c r="D114" s="485">
        <v>0</v>
      </c>
      <c r="E114" s="960">
        <f t="shared" si="8"/>
        <v>0</v>
      </c>
      <c r="F114" s="969">
        <v>0</v>
      </c>
      <c r="G114" s="969">
        <f t="shared" si="11"/>
        <v>0</v>
      </c>
      <c r="H114" s="969">
        <v>0</v>
      </c>
      <c r="I114" s="969">
        <v>0</v>
      </c>
      <c r="J114" s="969">
        <v>0</v>
      </c>
      <c r="K114" s="969">
        <v>0</v>
      </c>
      <c r="L114" s="969">
        <v>0</v>
      </c>
      <c r="M114" s="969">
        <f t="shared" si="12"/>
        <v>0</v>
      </c>
      <c r="N114" s="969">
        <v>-1.2927600000000001E-2</v>
      </c>
      <c r="O114" s="969">
        <v>0</v>
      </c>
      <c r="P114" s="969">
        <v>0</v>
      </c>
      <c r="Q114" s="975">
        <f t="shared" si="9"/>
        <v>-1.2927600000000001E-2</v>
      </c>
      <c r="R114" s="964">
        <f t="shared" si="10"/>
        <v>0</v>
      </c>
    </row>
    <row r="115" spans="1:18" s="754" customFormat="1" ht="28" x14ac:dyDescent="0.3">
      <c r="A115" s="752">
        <v>3.8</v>
      </c>
      <c r="B115" s="1141" t="s">
        <v>1352</v>
      </c>
      <c r="C115" s="485">
        <v>0</v>
      </c>
      <c r="D115" s="485">
        <v>0</v>
      </c>
      <c r="E115" s="960">
        <f t="shared" si="8"/>
        <v>0</v>
      </c>
      <c r="F115" s="969">
        <v>0</v>
      </c>
      <c r="G115" s="969">
        <f t="shared" si="11"/>
        <v>0</v>
      </c>
      <c r="H115" s="969">
        <v>0</v>
      </c>
      <c r="I115" s="969">
        <v>0</v>
      </c>
      <c r="J115" s="969">
        <v>0</v>
      </c>
      <c r="K115" s="969">
        <v>0</v>
      </c>
      <c r="L115" s="969">
        <v>0</v>
      </c>
      <c r="M115" s="969">
        <f t="shared" si="12"/>
        <v>0</v>
      </c>
      <c r="N115" s="969">
        <v>1.2718712000000001</v>
      </c>
      <c r="O115" s="969">
        <v>0</v>
      </c>
      <c r="P115" s="969">
        <v>0</v>
      </c>
      <c r="Q115" s="975">
        <f t="shared" si="9"/>
        <v>1.2718712000000001</v>
      </c>
      <c r="R115" s="964">
        <f t="shared" si="10"/>
        <v>0</v>
      </c>
    </row>
    <row r="116" spans="1:18" s="754" customFormat="1" ht="28" x14ac:dyDescent="0.3">
      <c r="A116" s="752">
        <v>3.9</v>
      </c>
      <c r="B116" s="1140" t="s">
        <v>1370</v>
      </c>
      <c r="C116" s="485">
        <v>0</v>
      </c>
      <c r="D116" s="485">
        <v>0</v>
      </c>
      <c r="E116" s="960">
        <f t="shared" si="8"/>
        <v>0</v>
      </c>
      <c r="F116" s="969">
        <v>0</v>
      </c>
      <c r="G116" s="969">
        <f t="shared" si="11"/>
        <v>0</v>
      </c>
      <c r="H116" s="969">
        <v>0</v>
      </c>
      <c r="I116" s="969">
        <v>0</v>
      </c>
      <c r="J116" s="969">
        <v>0</v>
      </c>
      <c r="K116" s="969">
        <v>0</v>
      </c>
      <c r="L116" s="969">
        <v>0</v>
      </c>
      <c r="M116" s="969">
        <f t="shared" si="12"/>
        <v>0</v>
      </c>
      <c r="N116" s="969">
        <v>0.63973420000000003</v>
      </c>
      <c r="O116" s="969">
        <v>0</v>
      </c>
      <c r="P116" s="969">
        <v>0</v>
      </c>
      <c r="Q116" s="975">
        <f t="shared" si="9"/>
        <v>0.63973420000000003</v>
      </c>
      <c r="R116" s="964">
        <f t="shared" si="10"/>
        <v>0</v>
      </c>
    </row>
    <row r="117" spans="1:18" s="754" customFormat="1" x14ac:dyDescent="0.3">
      <c r="A117" s="752"/>
      <c r="B117" s="1141"/>
      <c r="C117" s="485"/>
      <c r="D117" s="485"/>
      <c r="E117" s="960"/>
      <c r="F117" s="969"/>
      <c r="G117" s="969"/>
      <c r="H117" s="969"/>
      <c r="I117" s="969"/>
      <c r="J117" s="969"/>
      <c r="K117" s="969"/>
      <c r="L117" s="969"/>
      <c r="M117" s="969"/>
      <c r="N117" s="969"/>
      <c r="O117" s="969"/>
      <c r="P117" s="969"/>
      <c r="Q117" s="975"/>
      <c r="R117" s="964"/>
    </row>
    <row r="118" spans="1:18" s="754" customFormat="1" x14ac:dyDescent="0.3">
      <c r="A118" s="752"/>
      <c r="B118" s="1137"/>
      <c r="C118" s="485"/>
      <c r="D118" s="485"/>
      <c r="E118" s="960"/>
      <c r="F118" s="969"/>
      <c r="G118" s="969"/>
      <c r="H118" s="969"/>
      <c r="I118" s="969"/>
      <c r="J118" s="969"/>
      <c r="K118" s="969"/>
      <c r="L118" s="969"/>
      <c r="M118" s="969"/>
      <c r="N118" s="969"/>
      <c r="O118" s="969"/>
      <c r="P118" s="969"/>
      <c r="Q118" s="975"/>
      <c r="R118" s="964"/>
    </row>
    <row r="119" spans="1:18" s="754" customFormat="1" x14ac:dyDescent="0.3">
      <c r="A119" s="751">
        <v>4</v>
      </c>
      <c r="B119" s="1142" t="s">
        <v>1371</v>
      </c>
      <c r="C119" s="485"/>
      <c r="D119" s="485"/>
      <c r="E119" s="960"/>
      <c r="F119" s="969"/>
      <c r="G119" s="969"/>
      <c r="H119" s="969"/>
      <c r="I119" s="969"/>
      <c r="J119" s="969"/>
      <c r="K119" s="969"/>
      <c r="L119" s="969"/>
      <c r="M119" s="969"/>
      <c r="N119" s="969"/>
      <c r="O119" s="969"/>
      <c r="P119" s="969"/>
      <c r="Q119" s="975"/>
      <c r="R119" s="964"/>
    </row>
    <row r="120" spans="1:18" s="754" customFormat="1" ht="28" x14ac:dyDescent="0.3">
      <c r="A120" s="752">
        <v>4.0999999999999996</v>
      </c>
      <c r="B120" s="1140" t="s">
        <v>1372</v>
      </c>
      <c r="C120" s="485">
        <v>0</v>
      </c>
      <c r="D120" s="485">
        <v>0</v>
      </c>
      <c r="E120" s="960">
        <f t="shared" si="8"/>
        <v>0</v>
      </c>
      <c r="F120" s="969">
        <v>0</v>
      </c>
      <c r="G120" s="969">
        <f t="shared" si="11"/>
        <v>0</v>
      </c>
      <c r="H120" s="969">
        <v>0</v>
      </c>
      <c r="I120" s="969">
        <v>0</v>
      </c>
      <c r="J120" s="969">
        <v>0</v>
      </c>
      <c r="K120" s="969">
        <v>0</v>
      </c>
      <c r="L120" s="969">
        <v>0</v>
      </c>
      <c r="M120" s="969">
        <f t="shared" si="12"/>
        <v>0</v>
      </c>
      <c r="N120" s="969">
        <v>11.274562599999999</v>
      </c>
      <c r="O120" s="969">
        <v>0</v>
      </c>
      <c r="P120" s="969">
        <v>0</v>
      </c>
      <c r="Q120" s="975">
        <f t="shared" si="9"/>
        <v>11.274562599999999</v>
      </c>
      <c r="R120" s="964">
        <f t="shared" si="10"/>
        <v>0</v>
      </c>
    </row>
    <row r="121" spans="1:18" s="754" customFormat="1" ht="28" x14ac:dyDescent="0.3">
      <c r="A121" s="752">
        <v>4.2</v>
      </c>
      <c r="B121" s="1140" t="s">
        <v>1373</v>
      </c>
      <c r="C121" s="485">
        <v>0</v>
      </c>
      <c r="D121" s="485">
        <v>0</v>
      </c>
      <c r="E121" s="960">
        <f t="shared" si="8"/>
        <v>0</v>
      </c>
      <c r="F121" s="969">
        <v>0</v>
      </c>
      <c r="G121" s="969">
        <f t="shared" si="11"/>
        <v>0</v>
      </c>
      <c r="H121" s="969">
        <v>0</v>
      </c>
      <c r="I121" s="969">
        <v>0</v>
      </c>
      <c r="J121" s="969">
        <v>0</v>
      </c>
      <c r="K121" s="969">
        <v>0</v>
      </c>
      <c r="L121" s="969">
        <v>0</v>
      </c>
      <c r="M121" s="969">
        <f t="shared" si="12"/>
        <v>0</v>
      </c>
      <c r="N121" s="969">
        <v>178.5</v>
      </c>
      <c r="O121" s="969">
        <v>0</v>
      </c>
      <c r="P121" s="969">
        <v>0</v>
      </c>
      <c r="Q121" s="975">
        <f t="shared" si="9"/>
        <v>178.5</v>
      </c>
      <c r="R121" s="964">
        <f t="shared" si="10"/>
        <v>0</v>
      </c>
    </row>
    <row r="122" spans="1:18" s="754" customFormat="1" ht="42" x14ac:dyDescent="0.3">
      <c r="A122" s="752">
        <v>4.3</v>
      </c>
      <c r="B122" s="1140" t="s">
        <v>1374</v>
      </c>
      <c r="C122" s="485">
        <v>0</v>
      </c>
      <c r="D122" s="485">
        <v>0</v>
      </c>
      <c r="E122" s="960">
        <f t="shared" si="8"/>
        <v>0</v>
      </c>
      <c r="F122" s="969">
        <v>0</v>
      </c>
      <c r="G122" s="969">
        <f t="shared" si="11"/>
        <v>0</v>
      </c>
      <c r="H122" s="969">
        <v>0</v>
      </c>
      <c r="I122" s="969">
        <v>0</v>
      </c>
      <c r="J122" s="969">
        <v>0</v>
      </c>
      <c r="K122" s="969">
        <v>0</v>
      </c>
      <c r="L122" s="969">
        <v>0</v>
      </c>
      <c r="M122" s="969">
        <f t="shared" si="12"/>
        <v>0</v>
      </c>
      <c r="N122" s="969">
        <v>39.818644199999994</v>
      </c>
      <c r="O122" s="969">
        <v>0</v>
      </c>
      <c r="P122" s="969">
        <v>0</v>
      </c>
      <c r="Q122" s="975">
        <f t="shared" si="9"/>
        <v>39.818644199999994</v>
      </c>
      <c r="R122" s="964">
        <f t="shared" si="10"/>
        <v>0</v>
      </c>
    </row>
    <row r="123" spans="1:18" s="754" customFormat="1" ht="42" x14ac:dyDescent="0.3">
      <c r="A123" s="752">
        <v>4.4000000000000004</v>
      </c>
      <c r="B123" s="1140" t="s">
        <v>1375</v>
      </c>
      <c r="C123" s="485">
        <v>0</v>
      </c>
      <c r="D123" s="485">
        <v>0</v>
      </c>
      <c r="E123" s="960">
        <f t="shared" si="8"/>
        <v>0</v>
      </c>
      <c r="F123" s="969">
        <v>0</v>
      </c>
      <c r="G123" s="969">
        <f t="shared" si="11"/>
        <v>0</v>
      </c>
      <c r="H123" s="969">
        <v>0</v>
      </c>
      <c r="I123" s="969">
        <v>0</v>
      </c>
      <c r="J123" s="969">
        <v>0</v>
      </c>
      <c r="K123" s="969">
        <v>0</v>
      </c>
      <c r="L123" s="969">
        <v>0</v>
      </c>
      <c r="M123" s="969">
        <f t="shared" si="12"/>
        <v>0</v>
      </c>
      <c r="N123" s="969">
        <v>26.949808000000001</v>
      </c>
      <c r="O123" s="969">
        <v>0</v>
      </c>
      <c r="P123" s="969">
        <v>0</v>
      </c>
      <c r="Q123" s="975">
        <f t="shared" si="9"/>
        <v>26.949808000000001</v>
      </c>
      <c r="R123" s="964">
        <f t="shared" si="10"/>
        <v>0</v>
      </c>
    </row>
    <row r="124" spans="1:18" s="754" customFormat="1" ht="16" x14ac:dyDescent="0.3">
      <c r="A124" s="751"/>
      <c r="B124" s="1142"/>
      <c r="C124" s="751"/>
      <c r="D124" s="751"/>
      <c r="E124" s="974"/>
      <c r="F124" s="974"/>
      <c r="G124" s="976"/>
      <c r="H124" s="976"/>
      <c r="I124" s="976"/>
      <c r="J124" s="976"/>
      <c r="K124" s="976"/>
      <c r="L124" s="976"/>
      <c r="M124" s="976"/>
      <c r="N124" s="976"/>
      <c r="O124" s="976"/>
      <c r="P124" s="976"/>
      <c r="Q124" s="976"/>
      <c r="R124" s="969"/>
    </row>
    <row r="125" spans="1:18" x14ac:dyDescent="0.3">
      <c r="A125" s="751">
        <v>5</v>
      </c>
      <c r="B125" s="1142" t="s">
        <v>1376</v>
      </c>
      <c r="C125" s="751"/>
      <c r="D125" s="751"/>
      <c r="E125" s="974"/>
      <c r="F125" s="974">
        <f>SUM(F92:F123)-F106-F107</f>
        <v>4050.1189157664694</v>
      </c>
      <c r="G125" s="974">
        <f>SUM(G92:G123)-G106-G107</f>
        <v>4050.1189157664694</v>
      </c>
      <c r="H125" s="974"/>
      <c r="I125" s="974"/>
      <c r="J125" s="974"/>
      <c r="K125" s="974">
        <f>SUM(K92:K123)</f>
        <v>587.07922187408917</v>
      </c>
      <c r="L125" s="974">
        <f>SUM(L95:L123)</f>
        <v>0</v>
      </c>
      <c r="M125" s="974">
        <f>N125/G125*10</f>
        <v>3.5211655903960843</v>
      </c>
      <c r="N125" s="974">
        <f>SUM(N92:N123)</f>
        <v>1426.1139363209188</v>
      </c>
      <c r="O125" s="974">
        <f>SUM(O92:O123)</f>
        <v>16.363560229000001</v>
      </c>
      <c r="P125" s="974">
        <f>SUM(P92:P123)</f>
        <v>1.5432524000000001</v>
      </c>
      <c r="Q125" s="974">
        <f>SUM(Q92:Q124)</f>
        <v>2031.0999708240081</v>
      </c>
      <c r="R125" s="974">
        <f>Q125/F125*10</f>
        <v>5.0149144088516975</v>
      </c>
    </row>
    <row r="126" spans="1:18" x14ac:dyDescent="0.3">
      <c r="A126" s="1355"/>
      <c r="B126" s="1143"/>
      <c r="F126" s="979">
        <f>F2.1!Q58-F125</f>
        <v>0</v>
      </c>
      <c r="Q126" s="2118">
        <f>Q125+SUM(F2.2!H12:H13)</f>
        <v>2290.8695991240079</v>
      </c>
      <c r="R126" s="2119">
        <f>Q126/G125*10</f>
        <v>5.6563020661097543</v>
      </c>
    </row>
    <row r="127" spans="1:18" x14ac:dyDescent="0.3">
      <c r="A127" s="1355"/>
      <c r="B127" s="1143"/>
    </row>
    <row r="128" spans="1:18" x14ac:dyDescent="0.3">
      <c r="B128" s="1126" t="s">
        <v>831</v>
      </c>
      <c r="C128" s="966"/>
      <c r="Q128" s="982"/>
    </row>
    <row r="130" spans="1:18" s="146" customFormat="1" ht="56" x14ac:dyDescent="0.25">
      <c r="A130" s="961" t="s">
        <v>263</v>
      </c>
      <c r="B130" s="1127" t="s">
        <v>264</v>
      </c>
      <c r="C130" s="961" t="s">
        <v>309</v>
      </c>
      <c r="D130" s="961" t="s">
        <v>265</v>
      </c>
      <c r="E130" s="961" t="s">
        <v>266</v>
      </c>
      <c r="F130" s="961" t="s">
        <v>267</v>
      </c>
      <c r="G130" s="961" t="s">
        <v>268</v>
      </c>
      <c r="H130" s="961" t="s">
        <v>310</v>
      </c>
      <c r="I130" s="961" t="s">
        <v>269</v>
      </c>
      <c r="J130" s="961" t="s">
        <v>311</v>
      </c>
      <c r="K130" s="961" t="s">
        <v>270</v>
      </c>
      <c r="L130" s="961" t="s">
        <v>271</v>
      </c>
      <c r="M130" s="961" t="s">
        <v>312</v>
      </c>
      <c r="N130" s="961" t="s">
        <v>272</v>
      </c>
      <c r="O130" s="961" t="s">
        <v>273</v>
      </c>
      <c r="P130" s="961" t="s">
        <v>274</v>
      </c>
      <c r="Q130" s="961" t="s">
        <v>431</v>
      </c>
      <c r="R130" s="961" t="s">
        <v>432</v>
      </c>
    </row>
    <row r="131" spans="1:18" x14ac:dyDescent="0.3">
      <c r="A131" s="961">
        <v>1</v>
      </c>
      <c r="B131" s="1127">
        <v>2</v>
      </c>
      <c r="C131" s="961">
        <v>3</v>
      </c>
      <c r="D131" s="961">
        <v>4</v>
      </c>
      <c r="E131" s="961">
        <v>5</v>
      </c>
      <c r="F131" s="961">
        <v>6</v>
      </c>
      <c r="G131" s="961">
        <v>7</v>
      </c>
      <c r="H131" s="961">
        <v>8</v>
      </c>
      <c r="I131" s="961">
        <v>9</v>
      </c>
      <c r="J131" s="961">
        <v>10</v>
      </c>
      <c r="K131" s="961">
        <v>11</v>
      </c>
      <c r="L131" s="961">
        <v>12</v>
      </c>
      <c r="M131" s="961">
        <v>13</v>
      </c>
      <c r="N131" s="961">
        <v>14</v>
      </c>
      <c r="O131" s="961">
        <v>15</v>
      </c>
      <c r="P131" s="961">
        <v>16</v>
      </c>
      <c r="Q131" s="961">
        <v>17</v>
      </c>
      <c r="R131" s="961">
        <v>18</v>
      </c>
    </row>
    <row r="132" spans="1:18" x14ac:dyDescent="0.3">
      <c r="A132" s="751">
        <v>1</v>
      </c>
      <c r="B132" s="1128" t="s">
        <v>313</v>
      </c>
      <c r="C132" s="962"/>
      <c r="D132" s="962"/>
      <c r="E132" s="962"/>
      <c r="F132" s="963"/>
      <c r="G132" s="963"/>
      <c r="H132" s="963"/>
      <c r="I132" s="963"/>
      <c r="J132" s="963"/>
      <c r="K132" s="963"/>
      <c r="L132" s="963"/>
      <c r="M132" s="963"/>
      <c r="N132" s="963"/>
      <c r="O132" s="963"/>
      <c r="P132" s="963"/>
      <c r="Q132" s="752"/>
      <c r="R132" s="752"/>
    </row>
    <row r="133" spans="1:18" x14ac:dyDescent="0.3">
      <c r="A133" s="751">
        <f>A132+1</f>
        <v>2</v>
      </c>
      <c r="B133" s="1129" t="s">
        <v>922</v>
      </c>
      <c r="C133" s="485">
        <f>C72</f>
        <v>1377</v>
      </c>
      <c r="D133" s="485">
        <f>D72</f>
        <v>0.49092229484386346</v>
      </c>
      <c r="E133" s="485">
        <f>E72</f>
        <v>676</v>
      </c>
      <c r="F133" s="485">
        <v>3656.63</v>
      </c>
      <c r="G133" s="485">
        <f>F133</f>
        <v>3656.63</v>
      </c>
      <c r="H133" s="485"/>
      <c r="I133" s="485"/>
      <c r="J133" s="485"/>
      <c r="K133" s="485">
        <v>441.61</v>
      </c>
      <c r="L133" s="485">
        <v>0</v>
      </c>
      <c r="M133" s="485">
        <f>N133/G133*10</f>
        <v>3.3896784744423143</v>
      </c>
      <c r="N133" s="485">
        <v>1239.48</v>
      </c>
      <c r="O133" s="485">
        <v>0</v>
      </c>
      <c r="P133" s="485">
        <v>0</v>
      </c>
      <c r="Q133" s="485">
        <f>K133+L133+N133+O133+P133</f>
        <v>1681.0900000000001</v>
      </c>
      <c r="R133" s="485">
        <f>Q133/G133*10</f>
        <v>4.597375178784838</v>
      </c>
    </row>
    <row r="134" spans="1:18" x14ac:dyDescent="0.3">
      <c r="A134" s="751">
        <f t="shared" ref="A134:A141" si="13">A133+1</f>
        <v>3</v>
      </c>
      <c r="B134" s="1130" t="s">
        <v>923</v>
      </c>
      <c r="C134" s="485">
        <f t="shared" ref="C134:E135" si="14">C74</f>
        <v>20</v>
      </c>
      <c r="D134" s="485">
        <f t="shared" si="14"/>
        <v>1</v>
      </c>
      <c r="E134" s="485">
        <f t="shared" si="14"/>
        <v>20</v>
      </c>
      <c r="F134" s="485">
        <v>31.5</v>
      </c>
      <c r="G134" s="485">
        <f t="shared" ref="G134:G141" si="15">F134</f>
        <v>31.5</v>
      </c>
      <c r="H134" s="485"/>
      <c r="I134" s="485"/>
      <c r="J134" s="485"/>
      <c r="K134" s="485">
        <v>0</v>
      </c>
      <c r="L134" s="485">
        <v>0</v>
      </c>
      <c r="M134" s="485">
        <f>N134/G134*10</f>
        <v>8.5587301587301585</v>
      </c>
      <c r="N134" s="485">
        <v>26.96</v>
      </c>
      <c r="O134" s="485">
        <v>0</v>
      </c>
      <c r="P134" s="485">
        <v>0</v>
      </c>
      <c r="Q134" s="485">
        <f t="shared" ref="Q134:Q139" si="16">K134+L134+N134+O134+P134</f>
        <v>26.96</v>
      </c>
      <c r="R134" s="485">
        <f>Q134/G134*10</f>
        <v>8.5587301587301585</v>
      </c>
    </row>
    <row r="135" spans="1:18" x14ac:dyDescent="0.3">
      <c r="A135" s="751">
        <f t="shared" si="13"/>
        <v>4</v>
      </c>
      <c r="B135" s="1130" t="s">
        <v>933</v>
      </c>
      <c r="C135" s="485">
        <f t="shared" si="14"/>
        <v>100</v>
      </c>
      <c r="D135" s="485">
        <f t="shared" si="14"/>
        <v>1</v>
      </c>
      <c r="E135" s="485">
        <f t="shared" si="14"/>
        <v>100</v>
      </c>
      <c r="F135" s="485">
        <v>744.6</v>
      </c>
      <c r="G135" s="485">
        <f t="shared" si="15"/>
        <v>744.6</v>
      </c>
      <c r="H135" s="485"/>
      <c r="I135" s="485"/>
      <c r="J135" s="485"/>
      <c r="K135" s="485">
        <v>0</v>
      </c>
      <c r="L135" s="485">
        <v>0</v>
      </c>
      <c r="M135" s="485">
        <f>N135/G135*10</f>
        <v>4.4161966156325541</v>
      </c>
      <c r="N135" s="485">
        <v>328.83</v>
      </c>
      <c r="O135" s="485">
        <v>0</v>
      </c>
      <c r="P135" s="485">
        <v>0</v>
      </c>
      <c r="Q135" s="485">
        <f t="shared" si="16"/>
        <v>328.83</v>
      </c>
      <c r="R135" s="485">
        <f>Q135/G135*10</f>
        <v>4.4161966156325541</v>
      </c>
    </row>
    <row r="136" spans="1:18" x14ac:dyDescent="0.3">
      <c r="A136" s="751">
        <f t="shared" si="13"/>
        <v>5</v>
      </c>
      <c r="B136" s="1128" t="s">
        <v>314</v>
      </c>
      <c r="C136" s="485"/>
      <c r="D136" s="485"/>
      <c r="E136" s="485"/>
      <c r="F136" s="485"/>
      <c r="G136" s="485">
        <f t="shared" si="15"/>
        <v>0</v>
      </c>
      <c r="H136" s="485"/>
      <c r="I136" s="485"/>
      <c r="J136" s="485"/>
      <c r="K136" s="485"/>
      <c r="L136" s="485"/>
      <c r="M136" s="485"/>
      <c r="N136" s="485"/>
      <c r="O136" s="485"/>
      <c r="P136" s="485"/>
      <c r="Q136" s="485"/>
      <c r="R136" s="485"/>
    </row>
    <row r="137" spans="1:18" x14ac:dyDescent="0.3">
      <c r="A137" s="751">
        <f t="shared" si="13"/>
        <v>6</v>
      </c>
      <c r="B137" s="1129" t="s">
        <v>924</v>
      </c>
      <c r="C137" s="485"/>
      <c r="D137" s="485"/>
      <c r="E137" s="485"/>
      <c r="F137" s="485">
        <v>615.84</v>
      </c>
      <c r="G137" s="485">
        <f t="shared" si="15"/>
        <v>615.84</v>
      </c>
      <c r="H137" s="485"/>
      <c r="I137" s="485"/>
      <c r="J137" s="485"/>
      <c r="K137" s="485">
        <v>0</v>
      </c>
      <c r="L137" s="485">
        <v>0</v>
      </c>
      <c r="M137" s="485">
        <f>L137</f>
        <v>0</v>
      </c>
      <c r="N137" s="485">
        <v>246.34</v>
      </c>
      <c r="O137" s="485">
        <v>0</v>
      </c>
      <c r="P137" s="485">
        <v>0</v>
      </c>
      <c r="Q137" s="485">
        <f t="shared" si="16"/>
        <v>246.34</v>
      </c>
      <c r="R137" s="485">
        <f>Q137/G137*10</f>
        <v>4.0000649519355678</v>
      </c>
    </row>
    <row r="138" spans="1:18" x14ac:dyDescent="0.3">
      <c r="A138" s="751">
        <f t="shared" si="13"/>
        <v>7</v>
      </c>
      <c r="B138" s="1130" t="s">
        <v>928</v>
      </c>
      <c r="C138" s="485"/>
      <c r="D138" s="485"/>
      <c r="E138" s="485"/>
      <c r="F138" s="485">
        <v>220.87</v>
      </c>
      <c r="G138" s="485">
        <f t="shared" si="15"/>
        <v>220.87</v>
      </c>
      <c r="H138" s="485"/>
      <c r="I138" s="485"/>
      <c r="J138" s="485"/>
      <c r="K138" s="485">
        <v>0</v>
      </c>
      <c r="L138" s="485">
        <v>0</v>
      </c>
      <c r="M138" s="485">
        <f>L138</f>
        <v>0</v>
      </c>
      <c r="N138" s="485">
        <v>22.09</v>
      </c>
      <c r="O138" s="485">
        <v>0</v>
      </c>
      <c r="P138" s="485">
        <v>0</v>
      </c>
      <c r="Q138" s="485">
        <f t="shared" si="16"/>
        <v>22.09</v>
      </c>
      <c r="R138" s="485">
        <f>Q138/G138*10</f>
        <v>1.0001358265042786</v>
      </c>
    </row>
    <row r="139" spans="1:18" x14ac:dyDescent="0.3">
      <c r="A139" s="751">
        <f t="shared" si="13"/>
        <v>8</v>
      </c>
      <c r="B139" s="1130" t="s">
        <v>929</v>
      </c>
      <c r="C139" s="485"/>
      <c r="D139" s="485"/>
      <c r="E139" s="485"/>
      <c r="F139" s="485">
        <v>495.02</v>
      </c>
      <c r="G139" s="485">
        <f t="shared" si="15"/>
        <v>495.02</v>
      </c>
      <c r="H139" s="967"/>
      <c r="I139" s="967"/>
      <c r="J139" s="967"/>
      <c r="K139" s="485">
        <v>0</v>
      </c>
      <c r="L139" s="485">
        <v>0</v>
      </c>
      <c r="M139" s="485">
        <f>L139</f>
        <v>0</v>
      </c>
      <c r="N139" s="967">
        <v>49.5</v>
      </c>
      <c r="O139" s="485">
        <v>0</v>
      </c>
      <c r="P139" s="967">
        <v>0</v>
      </c>
      <c r="Q139" s="485">
        <f t="shared" si="16"/>
        <v>49.5</v>
      </c>
      <c r="R139" s="485">
        <f>Q139/G139*10</f>
        <v>0.99995959759201658</v>
      </c>
    </row>
    <row r="140" spans="1:18" x14ac:dyDescent="0.3">
      <c r="A140" s="751">
        <f t="shared" si="13"/>
        <v>9</v>
      </c>
      <c r="B140" s="1131" t="s">
        <v>926</v>
      </c>
      <c r="C140" s="485"/>
      <c r="D140" s="485"/>
      <c r="E140" s="485"/>
      <c r="F140" s="485"/>
      <c r="G140" s="485">
        <f t="shared" si="15"/>
        <v>0</v>
      </c>
      <c r="H140" s="967"/>
      <c r="I140" s="967"/>
      <c r="J140" s="967"/>
      <c r="K140" s="485"/>
      <c r="L140" s="485"/>
      <c r="M140" s="967"/>
      <c r="N140" s="967"/>
      <c r="O140" s="485"/>
      <c r="P140" s="967"/>
      <c r="Q140" s="485"/>
      <c r="R140" s="485"/>
    </row>
    <row r="141" spans="1:18" x14ac:dyDescent="0.3">
      <c r="A141" s="751">
        <f t="shared" si="13"/>
        <v>10</v>
      </c>
      <c r="B141" s="1130" t="s">
        <v>927</v>
      </c>
      <c r="C141" s="485"/>
      <c r="D141" s="485"/>
      <c r="E141" s="485"/>
      <c r="F141" s="485"/>
      <c r="G141" s="485">
        <f t="shared" si="15"/>
        <v>0</v>
      </c>
      <c r="H141" s="967"/>
      <c r="I141" s="967"/>
      <c r="J141" s="967"/>
      <c r="K141" s="485">
        <v>0</v>
      </c>
      <c r="L141" s="485">
        <v>0</v>
      </c>
      <c r="M141" s="967">
        <v>0</v>
      </c>
      <c r="N141" s="967"/>
      <c r="O141" s="485">
        <f>N141</f>
        <v>0</v>
      </c>
      <c r="P141" s="967">
        <v>99.4</v>
      </c>
      <c r="Q141" s="485">
        <f>K141+L141+N141+O141+P141</f>
        <v>99.4</v>
      </c>
      <c r="R141" s="485">
        <v>0</v>
      </c>
    </row>
    <row r="142" spans="1:18" x14ac:dyDescent="0.3">
      <c r="A142" s="752"/>
      <c r="B142" s="1130"/>
      <c r="C142" s="485"/>
      <c r="D142" s="485"/>
      <c r="E142" s="485"/>
      <c r="F142" s="485"/>
      <c r="G142" s="485"/>
      <c r="H142" s="967"/>
      <c r="I142" s="967"/>
      <c r="J142" s="967"/>
      <c r="K142" s="967"/>
      <c r="L142" s="967"/>
      <c r="M142" s="967"/>
      <c r="N142" s="967"/>
      <c r="O142" s="967"/>
      <c r="P142" s="967"/>
      <c r="Q142" s="485"/>
      <c r="R142" s="485"/>
    </row>
    <row r="143" spans="1:18" x14ac:dyDescent="0.3">
      <c r="A143" s="752"/>
      <c r="B143" s="1142" t="s">
        <v>145</v>
      </c>
      <c r="C143" s="981"/>
      <c r="D143" s="981"/>
      <c r="E143" s="364"/>
      <c r="F143" s="364">
        <f>SUM(F133:F137)+0.01</f>
        <v>5048.5800000000008</v>
      </c>
      <c r="G143" s="364">
        <f>SUM(G133:G137)+0.01</f>
        <v>5048.5800000000008</v>
      </c>
      <c r="H143" s="364"/>
      <c r="I143" s="364"/>
      <c r="J143" s="364"/>
      <c r="K143" s="364">
        <f>SUM(K133:K142)</f>
        <v>441.61</v>
      </c>
      <c r="L143" s="364">
        <f>SUM(L133:L142)</f>
        <v>0</v>
      </c>
      <c r="M143" s="572">
        <f>N143/G143*10</f>
        <v>3.7895804364791674</v>
      </c>
      <c r="N143" s="364">
        <f>SUM(N133:N142)</f>
        <v>1913.1999999999998</v>
      </c>
      <c r="O143" s="364">
        <f>SUM(O133:O142)</f>
        <v>0</v>
      </c>
      <c r="P143" s="364">
        <f>SUM(P133:P142)</f>
        <v>99.4</v>
      </c>
      <c r="Q143" s="364">
        <f>SUM(Q133:Q142)-0.01</f>
        <v>2454.2000000000003</v>
      </c>
      <c r="R143" s="572">
        <f>Q143/G143*10</f>
        <v>4.8611688831314943</v>
      </c>
    </row>
    <row r="144" spans="1:18" ht="16" x14ac:dyDescent="0.3">
      <c r="B144" s="1143"/>
      <c r="C144" s="955"/>
      <c r="D144" s="955"/>
      <c r="E144" s="955"/>
      <c r="F144" s="955"/>
      <c r="G144" s="978"/>
      <c r="H144" s="978"/>
      <c r="I144" s="978"/>
      <c r="J144" s="978"/>
      <c r="K144" s="978"/>
      <c r="L144" s="978"/>
      <c r="M144" s="978"/>
      <c r="N144" s="978"/>
      <c r="O144" s="978"/>
      <c r="P144" s="978"/>
      <c r="Q144" s="978"/>
      <c r="R144" s="977"/>
    </row>
    <row r="145" spans="1:18" ht="16" x14ac:dyDescent="0.3">
      <c r="A145" s="977"/>
      <c r="B145" s="1143"/>
      <c r="C145" s="955"/>
      <c r="D145" s="955"/>
      <c r="E145" s="955"/>
      <c r="F145" s="955"/>
      <c r="G145" s="978"/>
      <c r="H145" s="978"/>
      <c r="I145" s="978"/>
      <c r="J145" s="978"/>
      <c r="K145" s="978"/>
      <c r="L145" s="978"/>
      <c r="M145" s="978"/>
      <c r="N145" s="978"/>
      <c r="O145" s="978"/>
      <c r="P145" s="978"/>
      <c r="Q145" s="978"/>
      <c r="R145" s="977"/>
    </row>
    <row r="146" spans="1:18" x14ac:dyDescent="0.3">
      <c r="B146" s="1126" t="s">
        <v>832</v>
      </c>
      <c r="C146" s="966"/>
    </row>
    <row r="148" spans="1:18" s="146" customFormat="1" ht="56" x14ac:dyDescent="0.25">
      <c r="A148" s="961" t="s">
        <v>263</v>
      </c>
      <c r="B148" s="1127" t="s">
        <v>264</v>
      </c>
      <c r="C148" s="961" t="s">
        <v>309</v>
      </c>
      <c r="D148" s="961" t="s">
        <v>265</v>
      </c>
      <c r="E148" s="961" t="s">
        <v>266</v>
      </c>
      <c r="F148" s="961" t="s">
        <v>267</v>
      </c>
      <c r="G148" s="961" t="s">
        <v>268</v>
      </c>
      <c r="H148" s="961" t="s">
        <v>310</v>
      </c>
      <c r="I148" s="961" t="s">
        <v>269</v>
      </c>
      <c r="J148" s="961" t="s">
        <v>311</v>
      </c>
      <c r="K148" s="961" t="s">
        <v>270</v>
      </c>
      <c r="L148" s="961" t="s">
        <v>271</v>
      </c>
      <c r="M148" s="961" t="s">
        <v>312</v>
      </c>
      <c r="N148" s="961" t="s">
        <v>272</v>
      </c>
      <c r="O148" s="961" t="s">
        <v>273</v>
      </c>
      <c r="P148" s="961" t="s">
        <v>274</v>
      </c>
      <c r="Q148" s="961" t="s">
        <v>431</v>
      </c>
      <c r="R148" s="961" t="s">
        <v>432</v>
      </c>
    </row>
    <row r="149" spans="1:18" s="1148" customFormat="1" x14ac:dyDescent="0.3">
      <c r="A149" s="961">
        <v>1</v>
      </c>
      <c r="B149" s="1127">
        <v>2</v>
      </c>
      <c r="C149" s="961">
        <v>3</v>
      </c>
      <c r="D149" s="961">
        <v>4</v>
      </c>
      <c r="E149" s="961">
        <v>5</v>
      </c>
      <c r="F149" s="961">
        <v>6</v>
      </c>
      <c r="G149" s="961">
        <v>7</v>
      </c>
      <c r="H149" s="961">
        <v>8</v>
      </c>
      <c r="I149" s="961">
        <v>9</v>
      </c>
      <c r="J149" s="961">
        <v>10</v>
      </c>
      <c r="K149" s="961">
        <v>11</v>
      </c>
      <c r="L149" s="961">
        <v>12</v>
      </c>
      <c r="M149" s="961">
        <v>13</v>
      </c>
      <c r="N149" s="961">
        <v>14</v>
      </c>
      <c r="O149" s="961">
        <v>15</v>
      </c>
      <c r="P149" s="961">
        <v>16</v>
      </c>
      <c r="Q149" s="961">
        <v>17</v>
      </c>
      <c r="R149" s="961">
        <v>18</v>
      </c>
    </row>
    <row r="150" spans="1:18" x14ac:dyDescent="0.3">
      <c r="A150" s="751">
        <v>1</v>
      </c>
      <c r="B150" s="1128" t="s">
        <v>313</v>
      </c>
      <c r="C150" s="962"/>
      <c r="D150" s="962"/>
      <c r="E150" s="962"/>
      <c r="F150" s="963"/>
      <c r="G150" s="963"/>
      <c r="H150" s="963"/>
      <c r="I150" s="963"/>
      <c r="J150" s="963"/>
      <c r="K150" s="347"/>
      <c r="L150" s="963"/>
      <c r="M150" s="963"/>
      <c r="N150" s="963"/>
      <c r="O150" s="963"/>
      <c r="P150" s="963"/>
      <c r="Q150" s="752"/>
      <c r="R150" s="752"/>
    </row>
    <row r="151" spans="1:18" x14ac:dyDescent="0.3">
      <c r="A151" s="752">
        <v>1.1000000000000001</v>
      </c>
      <c r="B151" s="1144" t="s">
        <v>922</v>
      </c>
      <c r="C151" s="485">
        <v>1377</v>
      </c>
      <c r="D151" s="485">
        <v>0.49142040668119102</v>
      </c>
      <c r="E151" s="969">
        <f>C151*D151</f>
        <v>676.68590000000006</v>
      </c>
      <c r="F151" s="969">
        <f>F2.1!Q69</f>
        <v>3284.7378000000008</v>
      </c>
      <c r="G151" s="969">
        <f>F151</f>
        <v>3284.7378000000008</v>
      </c>
      <c r="H151" s="969"/>
      <c r="I151" s="969"/>
      <c r="J151" s="969"/>
      <c r="K151" s="969">
        <v>449.64622559176996</v>
      </c>
      <c r="L151" s="969">
        <v>0</v>
      </c>
      <c r="M151" s="969">
        <f>N151/G151*10</f>
        <v>3.9898479757227494</v>
      </c>
      <c r="N151" s="969">
        <v>1310.560446211</v>
      </c>
      <c r="O151" s="969">
        <v>0</v>
      </c>
      <c r="P151" s="969">
        <v>0</v>
      </c>
      <c r="Q151" s="975">
        <f>N151+K151+L151+O151+P151</f>
        <v>1760.20667180277</v>
      </c>
      <c r="R151" s="964">
        <f>IFERROR(Q151/F151*10,0)</f>
        <v>5.3587433121839112</v>
      </c>
    </row>
    <row r="152" spans="1:18" ht="28" x14ac:dyDescent="0.3">
      <c r="A152" s="752">
        <v>1.2</v>
      </c>
      <c r="B152" s="1136" t="s">
        <v>1332</v>
      </c>
      <c r="C152" s="485">
        <v>20</v>
      </c>
      <c r="D152" s="485">
        <v>1</v>
      </c>
      <c r="E152" s="969">
        <f t="shared" ref="E152:E185" si="17">C152*D152</f>
        <v>20</v>
      </c>
      <c r="F152" s="969">
        <f>F2.1!Q70</f>
        <v>31.616465640000001</v>
      </c>
      <c r="G152" s="969">
        <f t="shared" ref="G152:G169" si="18">F152</f>
        <v>31.616465640000001</v>
      </c>
      <c r="H152" s="969"/>
      <c r="I152" s="969"/>
      <c r="J152" s="969"/>
      <c r="K152" s="969">
        <v>0</v>
      </c>
      <c r="L152" s="969">
        <v>0</v>
      </c>
      <c r="M152" s="969">
        <f>N152/G152*10</f>
        <v>8.5284675257585167</v>
      </c>
      <c r="N152" s="969">
        <v>26.964000048999999</v>
      </c>
      <c r="O152" s="969">
        <v>0</v>
      </c>
      <c r="P152" s="969">
        <v>0</v>
      </c>
      <c r="Q152" s="975">
        <f t="shared" ref="Q152:Q178" si="19">N152+K152+L152+O152+P152</f>
        <v>26.964000048999999</v>
      </c>
      <c r="R152" s="964">
        <f t="shared" ref="R152:R181" si="20">IFERROR(Q152/F152*10,0)</f>
        <v>8.5284675257585167</v>
      </c>
    </row>
    <row r="153" spans="1:18" x14ac:dyDescent="0.3">
      <c r="A153" s="752">
        <v>1.4</v>
      </c>
      <c r="B153" s="1136" t="s">
        <v>933</v>
      </c>
      <c r="C153" s="485">
        <v>100</v>
      </c>
      <c r="D153" s="485">
        <v>1</v>
      </c>
      <c r="E153" s="969">
        <f t="shared" si="17"/>
        <v>100</v>
      </c>
      <c r="F153" s="969">
        <f>F2.1!Q73</f>
        <v>720.08300700000007</v>
      </c>
      <c r="G153" s="969">
        <f t="shared" si="18"/>
        <v>720.08300700000007</v>
      </c>
      <c r="H153" s="969"/>
      <c r="I153" s="969"/>
      <c r="J153" s="969"/>
      <c r="K153" s="969">
        <v>137.04190610000001</v>
      </c>
      <c r="L153" s="969">
        <v>0</v>
      </c>
      <c r="M153" s="969">
        <f>N153/G153*10</f>
        <v>2.0499999981252155</v>
      </c>
      <c r="N153" s="969">
        <v>147.61701629999999</v>
      </c>
      <c r="O153" s="969">
        <v>3.9109573000000002</v>
      </c>
      <c r="P153" s="969">
        <v>5.4362130999999989</v>
      </c>
      <c r="Q153" s="975">
        <f t="shared" si="19"/>
        <v>294.00609279999998</v>
      </c>
      <c r="R153" s="964">
        <f t="shared" si="20"/>
        <v>4.0829472427753029</v>
      </c>
    </row>
    <row r="154" spans="1:18" x14ac:dyDescent="0.3">
      <c r="A154" s="752"/>
      <c r="B154" s="1130"/>
      <c r="C154" s="485"/>
      <c r="D154" s="485"/>
      <c r="E154" s="969"/>
      <c r="F154" s="969"/>
      <c r="G154" s="969"/>
      <c r="H154" s="969"/>
      <c r="I154" s="969"/>
      <c r="J154" s="969"/>
      <c r="K154" s="969"/>
      <c r="L154" s="969"/>
      <c r="M154" s="969"/>
      <c r="N154" s="969"/>
      <c r="O154" s="969"/>
      <c r="P154" s="969"/>
      <c r="Q154" s="975"/>
      <c r="R154" s="964"/>
    </row>
    <row r="155" spans="1:18" x14ac:dyDescent="0.3">
      <c r="A155" s="751">
        <v>2</v>
      </c>
      <c r="B155" s="1128" t="s">
        <v>314</v>
      </c>
      <c r="C155" s="485">
        <v>0</v>
      </c>
      <c r="D155" s="485">
        <v>0</v>
      </c>
      <c r="E155" s="969">
        <f t="shared" si="17"/>
        <v>0</v>
      </c>
      <c r="F155" s="969"/>
      <c r="G155" s="969">
        <f t="shared" si="18"/>
        <v>0</v>
      </c>
      <c r="H155" s="969"/>
      <c r="I155" s="969"/>
      <c r="J155" s="969"/>
      <c r="K155" s="969">
        <v>0</v>
      </c>
      <c r="L155" s="969">
        <v>0</v>
      </c>
      <c r="M155" s="969">
        <v>0</v>
      </c>
      <c r="N155" s="969">
        <v>0</v>
      </c>
      <c r="O155" s="969">
        <v>0</v>
      </c>
      <c r="P155" s="969">
        <v>0</v>
      </c>
      <c r="Q155" s="975">
        <f t="shared" si="19"/>
        <v>0</v>
      </c>
      <c r="R155" s="964">
        <f t="shared" si="20"/>
        <v>0</v>
      </c>
    </row>
    <row r="156" spans="1:18" x14ac:dyDescent="0.3">
      <c r="A156" s="752">
        <v>2.1</v>
      </c>
      <c r="B156" s="1136" t="s">
        <v>924</v>
      </c>
      <c r="C156" s="485">
        <v>0</v>
      </c>
      <c r="D156" s="485">
        <v>0</v>
      </c>
      <c r="E156" s="969">
        <f t="shared" si="17"/>
        <v>0</v>
      </c>
      <c r="F156" s="969"/>
      <c r="G156" s="969">
        <f t="shared" si="18"/>
        <v>0</v>
      </c>
      <c r="H156" s="970"/>
      <c r="I156" s="970"/>
      <c r="J156" s="970"/>
      <c r="K156" s="969">
        <v>0</v>
      </c>
      <c r="L156" s="969">
        <v>0</v>
      </c>
      <c r="M156" s="969">
        <v>0</v>
      </c>
      <c r="N156" s="969">
        <v>0</v>
      </c>
      <c r="O156" s="969">
        <v>0</v>
      </c>
      <c r="P156" s="969">
        <v>0</v>
      </c>
      <c r="Q156" s="975">
        <f t="shared" si="19"/>
        <v>0</v>
      </c>
      <c r="R156" s="964">
        <f t="shared" si="20"/>
        <v>0</v>
      </c>
    </row>
    <row r="157" spans="1:18" x14ac:dyDescent="0.3">
      <c r="A157" s="752" t="s">
        <v>1343</v>
      </c>
      <c r="B157" s="1136" t="s">
        <v>1344</v>
      </c>
      <c r="C157" s="485">
        <v>0</v>
      </c>
      <c r="D157" s="485">
        <v>0</v>
      </c>
      <c r="E157" s="969">
        <f t="shared" si="17"/>
        <v>0</v>
      </c>
      <c r="F157" s="969">
        <f>F2.1!Q77</f>
        <v>42.311408700000008</v>
      </c>
      <c r="G157" s="969">
        <f t="shared" si="18"/>
        <v>42.311408700000008</v>
      </c>
      <c r="H157" s="970"/>
      <c r="I157" s="970"/>
      <c r="J157" s="970"/>
      <c r="K157" s="969">
        <v>0</v>
      </c>
      <c r="L157" s="969">
        <v>0</v>
      </c>
      <c r="M157" s="969">
        <f>N157/G157*10</f>
        <v>6.8182542961752057</v>
      </c>
      <c r="N157" s="969">
        <v>28.848994414600003</v>
      </c>
      <c r="O157" s="969">
        <v>0</v>
      </c>
      <c r="P157" s="969">
        <v>0</v>
      </c>
      <c r="Q157" s="975">
        <f t="shared" si="19"/>
        <v>28.848994414600003</v>
      </c>
      <c r="R157" s="964">
        <f t="shared" si="20"/>
        <v>6.8182542961752057</v>
      </c>
    </row>
    <row r="158" spans="1:18" x14ac:dyDescent="0.3">
      <c r="A158" s="752" t="s">
        <v>1345</v>
      </c>
      <c r="B158" s="1136" t="s">
        <v>1336</v>
      </c>
      <c r="C158" s="485">
        <v>0</v>
      </c>
      <c r="D158" s="485">
        <v>0</v>
      </c>
      <c r="E158" s="969">
        <f t="shared" si="17"/>
        <v>0</v>
      </c>
      <c r="F158" s="969">
        <f>F2.1!Q78</f>
        <v>290.241098185</v>
      </c>
      <c r="G158" s="969">
        <f t="shared" si="18"/>
        <v>290.241098185</v>
      </c>
      <c r="H158" s="970"/>
      <c r="I158" s="970"/>
      <c r="J158" s="970"/>
      <c r="K158" s="969">
        <v>0</v>
      </c>
      <c r="L158" s="969">
        <v>0</v>
      </c>
      <c r="M158" s="969">
        <f>N158/G158*10</f>
        <v>4.5708603828693315</v>
      </c>
      <c r="N158" s="969">
        <v>132.66515371743043</v>
      </c>
      <c r="O158" s="969">
        <v>0</v>
      </c>
      <c r="P158" s="969">
        <v>0</v>
      </c>
      <c r="Q158" s="975">
        <f t="shared" si="19"/>
        <v>132.66515371743043</v>
      </c>
      <c r="R158" s="964">
        <f t="shared" si="20"/>
        <v>4.5708603828693315</v>
      </c>
    </row>
    <row r="159" spans="1:18" x14ac:dyDescent="0.3">
      <c r="A159" s="752" t="s">
        <v>1346</v>
      </c>
      <c r="B159" s="1136" t="s">
        <v>1338</v>
      </c>
      <c r="C159" s="485">
        <v>0</v>
      </c>
      <c r="D159" s="485">
        <v>0</v>
      </c>
      <c r="E159" s="969">
        <f t="shared" si="17"/>
        <v>0</v>
      </c>
      <c r="F159" s="969">
        <f>F2.1!Q79</f>
        <v>-23.480055</v>
      </c>
      <c r="G159" s="969">
        <f t="shared" si="18"/>
        <v>-23.480055</v>
      </c>
      <c r="H159" s="970"/>
      <c r="I159" s="970"/>
      <c r="J159" s="970"/>
      <c r="K159" s="969">
        <v>0</v>
      </c>
      <c r="L159" s="969">
        <v>0</v>
      </c>
      <c r="M159" s="969">
        <f>N159/G159*10</f>
        <v>6.8854988377231221</v>
      </c>
      <c r="N159" s="969">
        <v>-16.167189141217499</v>
      </c>
      <c r="O159" s="969">
        <v>0</v>
      </c>
      <c r="P159" s="969">
        <v>0</v>
      </c>
      <c r="Q159" s="975">
        <f t="shared" si="19"/>
        <v>-16.167189141217499</v>
      </c>
      <c r="R159" s="964">
        <f t="shared" si="20"/>
        <v>6.8854988377231221</v>
      </c>
    </row>
    <row r="160" spans="1:18" x14ac:dyDescent="0.3">
      <c r="A160" s="752" t="s">
        <v>1347</v>
      </c>
      <c r="B160" s="1136" t="s">
        <v>1348</v>
      </c>
      <c r="C160" s="485">
        <v>0</v>
      </c>
      <c r="D160" s="485">
        <v>0</v>
      </c>
      <c r="E160" s="969">
        <f t="shared" si="17"/>
        <v>0</v>
      </c>
      <c r="F160" s="969"/>
      <c r="G160" s="969">
        <f t="shared" si="18"/>
        <v>0</v>
      </c>
      <c r="H160" s="970"/>
      <c r="I160" s="970"/>
      <c r="J160" s="970"/>
      <c r="K160" s="969">
        <v>0</v>
      </c>
      <c r="L160" s="969">
        <v>0</v>
      </c>
      <c r="M160" s="969"/>
      <c r="N160" s="969">
        <v>8.9999999999999993E-3</v>
      </c>
      <c r="O160" s="969">
        <v>0</v>
      </c>
      <c r="P160" s="969">
        <v>0</v>
      </c>
      <c r="Q160" s="975">
        <f t="shared" si="19"/>
        <v>8.9999999999999993E-3</v>
      </c>
      <c r="R160" s="964">
        <f t="shared" si="20"/>
        <v>0</v>
      </c>
    </row>
    <row r="161" spans="1:18" x14ac:dyDescent="0.3">
      <c r="A161" s="752">
        <v>2.2000000000000002</v>
      </c>
      <c r="B161" s="1145" t="s">
        <v>1339</v>
      </c>
      <c r="C161" s="485">
        <v>0</v>
      </c>
      <c r="D161" s="485">
        <v>0</v>
      </c>
      <c r="E161" s="969">
        <f t="shared" si="17"/>
        <v>0</v>
      </c>
      <c r="F161" s="969"/>
      <c r="G161" s="969">
        <f t="shared" si="18"/>
        <v>0</v>
      </c>
      <c r="H161" s="970"/>
      <c r="I161" s="970"/>
      <c r="J161" s="970"/>
      <c r="K161" s="969">
        <v>0</v>
      </c>
      <c r="L161" s="969">
        <v>0</v>
      </c>
      <c r="M161" s="969">
        <v>0</v>
      </c>
      <c r="N161" s="969">
        <v>0</v>
      </c>
      <c r="O161" s="969">
        <v>0</v>
      </c>
      <c r="P161" s="969">
        <v>0</v>
      </c>
      <c r="Q161" s="975">
        <f t="shared" si="19"/>
        <v>0</v>
      </c>
      <c r="R161" s="964">
        <f t="shared" si="20"/>
        <v>0</v>
      </c>
    </row>
    <row r="162" spans="1:18" x14ac:dyDescent="0.3">
      <c r="A162" s="752" t="s">
        <v>1444</v>
      </c>
      <c r="B162" s="1146" t="s">
        <v>1990</v>
      </c>
      <c r="C162" s="485">
        <v>0</v>
      </c>
      <c r="D162" s="485">
        <v>0</v>
      </c>
      <c r="E162" s="969">
        <f t="shared" si="17"/>
        <v>0</v>
      </c>
      <c r="F162" s="969">
        <f>F2.1!Q81</f>
        <v>0.57199</v>
      </c>
      <c r="G162" s="969">
        <f t="shared" si="18"/>
        <v>0.57199</v>
      </c>
      <c r="H162" s="970"/>
      <c r="I162" s="970"/>
      <c r="J162" s="970"/>
      <c r="K162" s="969">
        <v>0</v>
      </c>
      <c r="L162" s="969">
        <v>0</v>
      </c>
      <c r="M162" s="969">
        <f>N162/G162*10</f>
        <v>4.2163305127712025</v>
      </c>
      <c r="N162" s="969">
        <v>0.241169889</v>
      </c>
      <c r="O162" s="969">
        <v>0</v>
      </c>
      <c r="P162" s="969">
        <v>0</v>
      </c>
      <c r="Q162" s="975">
        <f t="shared" si="19"/>
        <v>0.241169889</v>
      </c>
      <c r="R162" s="964">
        <f t="shared" si="20"/>
        <v>4.2163305127712025</v>
      </c>
    </row>
    <row r="163" spans="1:18" ht="16" x14ac:dyDescent="0.3">
      <c r="A163" s="752">
        <v>2.2999999999999998</v>
      </c>
      <c r="B163" s="1145" t="s">
        <v>1440</v>
      </c>
      <c r="C163" s="485">
        <v>0</v>
      </c>
      <c r="D163" s="485">
        <v>0</v>
      </c>
      <c r="E163" s="969">
        <f t="shared" si="17"/>
        <v>0</v>
      </c>
      <c r="F163" s="974"/>
      <c r="G163" s="969">
        <f t="shared" si="18"/>
        <v>0</v>
      </c>
      <c r="H163" s="976"/>
      <c r="I163" s="976"/>
      <c r="J163" s="976"/>
      <c r="K163" s="969">
        <v>0</v>
      </c>
      <c r="L163" s="969">
        <v>0</v>
      </c>
      <c r="M163" s="969">
        <v>0</v>
      </c>
      <c r="N163" s="969">
        <v>0</v>
      </c>
      <c r="O163" s="969">
        <v>0</v>
      </c>
      <c r="P163" s="969">
        <v>0</v>
      </c>
      <c r="Q163" s="975">
        <f t="shared" si="19"/>
        <v>0</v>
      </c>
      <c r="R163" s="964">
        <f t="shared" si="20"/>
        <v>0</v>
      </c>
    </row>
    <row r="164" spans="1:18" ht="16" x14ac:dyDescent="0.3">
      <c r="A164" s="752" t="s">
        <v>1445</v>
      </c>
      <c r="B164" s="1146" t="s">
        <v>1989</v>
      </c>
      <c r="C164" s="485">
        <v>0</v>
      </c>
      <c r="D164" s="485">
        <v>0</v>
      </c>
      <c r="E164" s="969">
        <f t="shared" si="17"/>
        <v>0</v>
      </c>
      <c r="F164" s="969">
        <f>F2.1!Q83</f>
        <v>19.792439999999999</v>
      </c>
      <c r="G164" s="969">
        <f t="shared" si="18"/>
        <v>19.792439999999999</v>
      </c>
      <c r="H164" s="976"/>
      <c r="I164" s="976"/>
      <c r="J164" s="976"/>
      <c r="K164" s="969">
        <v>0</v>
      </c>
      <c r="L164" s="969">
        <v>0</v>
      </c>
      <c r="M164" s="969">
        <v>4.152154872244151</v>
      </c>
      <c r="N164" s="969">
        <v>8.2181276179600022</v>
      </c>
      <c r="O164" s="969">
        <v>0</v>
      </c>
      <c r="P164" s="969">
        <v>0</v>
      </c>
      <c r="Q164" s="975">
        <f t="shared" si="19"/>
        <v>8.2181276179600022</v>
      </c>
      <c r="R164" s="964">
        <f t="shared" si="20"/>
        <v>4.152154872244151</v>
      </c>
    </row>
    <row r="165" spans="1:18" ht="16" x14ac:dyDescent="0.3">
      <c r="A165" s="752">
        <v>2.4</v>
      </c>
      <c r="B165" s="1145" t="s">
        <v>1340</v>
      </c>
      <c r="C165" s="485">
        <v>0</v>
      </c>
      <c r="D165" s="485">
        <v>0</v>
      </c>
      <c r="E165" s="969">
        <f t="shared" si="17"/>
        <v>0</v>
      </c>
      <c r="F165" s="969">
        <f>F2.1!Q84</f>
        <v>3.82925</v>
      </c>
      <c r="G165" s="969">
        <f t="shared" si="18"/>
        <v>3.82925</v>
      </c>
      <c r="H165" s="976"/>
      <c r="I165" s="976"/>
      <c r="J165" s="976"/>
      <c r="K165" s="969">
        <v>0</v>
      </c>
      <c r="L165" s="969">
        <v>0</v>
      </c>
      <c r="M165" s="969">
        <v>0</v>
      </c>
      <c r="N165" s="969">
        <v>0</v>
      </c>
      <c r="O165" s="969">
        <v>0</v>
      </c>
      <c r="P165" s="969">
        <v>0</v>
      </c>
      <c r="Q165" s="975">
        <f t="shared" si="19"/>
        <v>0</v>
      </c>
      <c r="R165" s="964">
        <f t="shared" si="20"/>
        <v>0</v>
      </c>
    </row>
    <row r="166" spans="1:18" ht="16" x14ac:dyDescent="0.3">
      <c r="A166" s="752">
        <v>2.5</v>
      </c>
      <c r="B166" s="1145" t="s">
        <v>1446</v>
      </c>
      <c r="C166" s="485">
        <v>0</v>
      </c>
      <c r="D166" s="485">
        <v>0</v>
      </c>
      <c r="E166" s="969">
        <f t="shared" si="17"/>
        <v>0</v>
      </c>
      <c r="F166" s="974"/>
      <c r="G166" s="969">
        <f t="shared" si="18"/>
        <v>0</v>
      </c>
      <c r="H166" s="976"/>
      <c r="I166" s="976"/>
      <c r="J166" s="976"/>
      <c r="K166" s="969">
        <v>0</v>
      </c>
      <c r="L166" s="969">
        <v>0</v>
      </c>
      <c r="M166" s="969">
        <v>0</v>
      </c>
      <c r="N166" s="969">
        <v>0</v>
      </c>
      <c r="O166" s="969">
        <v>0</v>
      </c>
      <c r="P166" s="969">
        <v>0</v>
      </c>
      <c r="Q166" s="975">
        <f t="shared" si="19"/>
        <v>0</v>
      </c>
      <c r="R166" s="964">
        <f t="shared" si="20"/>
        <v>0</v>
      </c>
    </row>
    <row r="167" spans="1:18" ht="16" x14ac:dyDescent="0.3">
      <c r="A167" s="752" t="s">
        <v>1447</v>
      </c>
      <c r="B167" s="1147" t="s">
        <v>1448</v>
      </c>
      <c r="C167" s="485">
        <v>0</v>
      </c>
      <c r="D167" s="485">
        <v>0</v>
      </c>
      <c r="E167" s="969">
        <f t="shared" si="17"/>
        <v>0</v>
      </c>
      <c r="F167" s="969">
        <f>F2.1!Q85</f>
        <v>2.5057144383660854</v>
      </c>
      <c r="G167" s="969">
        <f t="shared" si="18"/>
        <v>2.5057144383660854</v>
      </c>
      <c r="H167" s="976"/>
      <c r="I167" s="976"/>
      <c r="J167" s="976"/>
      <c r="K167" s="969">
        <v>0</v>
      </c>
      <c r="L167" s="969">
        <v>0</v>
      </c>
      <c r="M167" s="969">
        <v>0</v>
      </c>
      <c r="N167" s="969">
        <v>4.4827174511428574</v>
      </c>
      <c r="O167" s="969">
        <v>0</v>
      </c>
      <c r="P167" s="969">
        <v>0</v>
      </c>
      <c r="Q167" s="975">
        <f t="shared" si="19"/>
        <v>4.4827174511428574</v>
      </c>
      <c r="R167" s="964">
        <f t="shared" si="20"/>
        <v>17.88997733542984</v>
      </c>
    </row>
    <row r="168" spans="1:18" ht="16" x14ac:dyDescent="0.3">
      <c r="A168" s="752" t="s">
        <v>1449</v>
      </c>
      <c r="B168" s="1147" t="s">
        <v>1450</v>
      </c>
      <c r="C168" s="485">
        <v>0</v>
      </c>
      <c r="D168" s="485">
        <v>0</v>
      </c>
      <c r="E168" s="969">
        <f t="shared" si="17"/>
        <v>0</v>
      </c>
      <c r="F168" s="974"/>
      <c r="G168" s="969">
        <f t="shared" si="18"/>
        <v>0</v>
      </c>
      <c r="H168" s="976"/>
      <c r="I168" s="976"/>
      <c r="J168" s="976"/>
      <c r="K168" s="969">
        <v>0</v>
      </c>
      <c r="L168" s="969">
        <v>0</v>
      </c>
      <c r="M168" s="969">
        <v>0</v>
      </c>
      <c r="N168" s="969">
        <v>0</v>
      </c>
      <c r="O168" s="969">
        <v>0</v>
      </c>
      <c r="P168" s="969">
        <v>0</v>
      </c>
      <c r="Q168" s="975">
        <f t="shared" si="19"/>
        <v>0</v>
      </c>
      <c r="R168" s="964">
        <f t="shared" si="20"/>
        <v>0</v>
      </c>
    </row>
    <row r="169" spans="1:18" ht="16" x14ac:dyDescent="0.3">
      <c r="A169" s="933">
        <v>2.6</v>
      </c>
      <c r="B169" s="1145" t="s">
        <v>1349</v>
      </c>
      <c r="C169" s="395">
        <v>0</v>
      </c>
      <c r="D169" s="395">
        <v>0</v>
      </c>
      <c r="E169" s="1351">
        <f t="shared" si="17"/>
        <v>0</v>
      </c>
      <c r="F169" s="1351">
        <f>F2.1!Q86</f>
        <v>34.993244029033349</v>
      </c>
      <c r="G169" s="1351">
        <f t="shared" si="18"/>
        <v>34.993244029033349</v>
      </c>
      <c r="H169" s="1352"/>
      <c r="I169" s="1352"/>
      <c r="J169" s="1352"/>
      <c r="K169" s="1351">
        <v>0</v>
      </c>
      <c r="L169" s="1351">
        <v>0</v>
      </c>
      <c r="M169" s="1351">
        <v>0</v>
      </c>
      <c r="N169" s="1351">
        <v>17.858664599999997</v>
      </c>
      <c r="O169" s="1351">
        <v>0</v>
      </c>
      <c r="P169" s="1351">
        <v>0</v>
      </c>
      <c r="Q169" s="1351">
        <f t="shared" si="19"/>
        <v>17.858664599999997</v>
      </c>
      <c r="R169" s="964">
        <f t="shared" si="20"/>
        <v>5.1034607094966509</v>
      </c>
    </row>
    <row r="170" spans="1:18" ht="16" x14ac:dyDescent="0.3">
      <c r="A170" s="752">
        <v>2.7</v>
      </c>
      <c r="B170" s="1145" t="s">
        <v>1350</v>
      </c>
      <c r="C170" s="485">
        <v>0</v>
      </c>
      <c r="D170" s="485">
        <v>0</v>
      </c>
      <c r="E170" s="969">
        <f t="shared" si="17"/>
        <v>0</v>
      </c>
      <c r="F170" s="974"/>
      <c r="G170" s="976"/>
      <c r="H170" s="976"/>
      <c r="I170" s="976"/>
      <c r="J170" s="976"/>
      <c r="K170" s="969">
        <v>0</v>
      </c>
      <c r="L170" s="969">
        <v>0</v>
      </c>
      <c r="M170" s="969">
        <v>0</v>
      </c>
      <c r="N170" s="969">
        <v>37.422519999999999</v>
      </c>
      <c r="O170" s="969">
        <v>0</v>
      </c>
      <c r="P170" s="969">
        <v>0</v>
      </c>
      <c r="Q170" s="975">
        <f t="shared" si="19"/>
        <v>37.422519999999999</v>
      </c>
      <c r="R170" s="964">
        <f t="shared" si="20"/>
        <v>0</v>
      </c>
    </row>
    <row r="171" spans="1:18" ht="16" x14ac:dyDescent="0.3">
      <c r="A171" s="752">
        <v>2.8</v>
      </c>
      <c r="B171" s="1145" t="s">
        <v>1351</v>
      </c>
      <c r="C171" s="485">
        <v>0</v>
      </c>
      <c r="D171" s="485">
        <v>0</v>
      </c>
      <c r="E171" s="969">
        <f t="shared" si="17"/>
        <v>0</v>
      </c>
      <c r="F171" s="974"/>
      <c r="G171" s="976"/>
      <c r="H171" s="976"/>
      <c r="I171" s="976"/>
      <c r="J171" s="976"/>
      <c r="K171" s="969">
        <v>0</v>
      </c>
      <c r="L171" s="969">
        <v>0</v>
      </c>
      <c r="M171" s="969">
        <v>0</v>
      </c>
      <c r="N171" s="969">
        <v>63.694512000000003</v>
      </c>
      <c r="O171" s="969">
        <v>0</v>
      </c>
      <c r="P171" s="969">
        <v>0</v>
      </c>
      <c r="Q171" s="975">
        <f t="shared" si="19"/>
        <v>63.694512000000003</v>
      </c>
      <c r="R171" s="964">
        <f t="shared" si="20"/>
        <v>0</v>
      </c>
    </row>
    <row r="172" spans="1:18" ht="16" x14ac:dyDescent="0.3">
      <c r="A172" s="752"/>
      <c r="B172" s="1145"/>
      <c r="C172" s="485"/>
      <c r="D172" s="485"/>
      <c r="E172" s="969"/>
      <c r="F172" s="974"/>
      <c r="G172" s="976"/>
      <c r="H172" s="976"/>
      <c r="I172" s="976"/>
      <c r="J172" s="976"/>
      <c r="K172" s="969"/>
      <c r="L172" s="969"/>
      <c r="M172" s="969"/>
      <c r="N172" s="969"/>
      <c r="O172" s="969"/>
      <c r="P172" s="969"/>
      <c r="Q172" s="975"/>
      <c r="R172" s="964"/>
    </row>
    <row r="173" spans="1:18" ht="16" x14ac:dyDescent="0.3">
      <c r="A173" s="751">
        <v>3</v>
      </c>
      <c r="B173" s="1139" t="s">
        <v>926</v>
      </c>
      <c r="C173" s="485">
        <v>0</v>
      </c>
      <c r="D173" s="485">
        <v>0</v>
      </c>
      <c r="E173" s="969">
        <f t="shared" si="17"/>
        <v>0</v>
      </c>
      <c r="F173" s="974"/>
      <c r="G173" s="976"/>
      <c r="H173" s="976"/>
      <c r="I173" s="976"/>
      <c r="J173" s="976"/>
      <c r="K173" s="969">
        <v>0</v>
      </c>
      <c r="L173" s="969">
        <v>0</v>
      </c>
      <c r="M173" s="969">
        <v>0</v>
      </c>
      <c r="N173" s="969">
        <v>0</v>
      </c>
      <c r="O173" s="969">
        <v>0</v>
      </c>
      <c r="P173" s="969">
        <v>0</v>
      </c>
      <c r="Q173" s="975">
        <f t="shared" si="19"/>
        <v>0</v>
      </c>
      <c r="R173" s="964">
        <f t="shared" si="20"/>
        <v>0</v>
      </c>
    </row>
    <row r="174" spans="1:18" ht="16" x14ac:dyDescent="0.3">
      <c r="A174" s="752">
        <v>3.3</v>
      </c>
      <c r="B174" s="1147" t="s">
        <v>1362</v>
      </c>
      <c r="C174" s="485">
        <v>0</v>
      </c>
      <c r="D174" s="485">
        <v>0</v>
      </c>
      <c r="E174" s="969">
        <f t="shared" si="17"/>
        <v>0</v>
      </c>
      <c r="F174" s="974"/>
      <c r="G174" s="976"/>
      <c r="H174" s="976"/>
      <c r="I174" s="976"/>
      <c r="J174" s="976"/>
      <c r="K174" s="969">
        <v>0</v>
      </c>
      <c r="L174" s="969">
        <v>0</v>
      </c>
      <c r="M174" s="969">
        <v>0</v>
      </c>
      <c r="N174" s="969">
        <v>99.399999600000015</v>
      </c>
      <c r="O174" s="969">
        <v>0</v>
      </c>
      <c r="P174" s="969">
        <v>0</v>
      </c>
      <c r="Q174" s="975">
        <f t="shared" si="19"/>
        <v>99.399999600000015</v>
      </c>
      <c r="R174" s="964">
        <f t="shared" si="20"/>
        <v>0</v>
      </c>
    </row>
    <row r="175" spans="1:18" ht="16" x14ac:dyDescent="0.3">
      <c r="A175" s="752">
        <v>3.4</v>
      </c>
      <c r="B175" s="1141" t="s">
        <v>1363</v>
      </c>
      <c r="C175" s="485">
        <v>0</v>
      </c>
      <c r="D175" s="485">
        <v>0</v>
      </c>
      <c r="E175" s="969">
        <f t="shared" si="17"/>
        <v>0</v>
      </c>
      <c r="F175" s="974"/>
      <c r="G175" s="976"/>
      <c r="H175" s="976"/>
      <c r="I175" s="976"/>
      <c r="J175" s="976"/>
      <c r="K175" s="969">
        <v>0</v>
      </c>
      <c r="L175" s="969">
        <v>0</v>
      </c>
      <c r="M175" s="969">
        <v>0</v>
      </c>
      <c r="N175" s="969">
        <v>-5.9962824999999997E-2</v>
      </c>
      <c r="O175" s="969">
        <v>0</v>
      </c>
      <c r="P175" s="969">
        <v>0</v>
      </c>
      <c r="Q175" s="975">
        <f t="shared" si="19"/>
        <v>-5.9962824999999997E-2</v>
      </c>
      <c r="R175" s="964">
        <f t="shared" si="20"/>
        <v>0</v>
      </c>
    </row>
    <row r="176" spans="1:18" ht="16" x14ac:dyDescent="0.3">
      <c r="A176" s="752">
        <v>3.5</v>
      </c>
      <c r="B176" s="1141" t="s">
        <v>1364</v>
      </c>
      <c r="C176" s="485">
        <v>0</v>
      </c>
      <c r="D176" s="485">
        <v>0</v>
      </c>
      <c r="E176" s="969">
        <f t="shared" si="17"/>
        <v>0</v>
      </c>
      <c r="F176" s="974"/>
      <c r="G176" s="976"/>
      <c r="H176" s="976"/>
      <c r="I176" s="976"/>
      <c r="J176" s="976"/>
      <c r="K176" s="969">
        <v>0</v>
      </c>
      <c r="L176" s="969">
        <v>0</v>
      </c>
      <c r="M176" s="969">
        <v>0</v>
      </c>
      <c r="N176" s="969">
        <v>-0.58028180049</v>
      </c>
      <c r="O176" s="969">
        <v>0</v>
      </c>
      <c r="P176" s="969">
        <v>0</v>
      </c>
      <c r="Q176" s="975">
        <f t="shared" si="19"/>
        <v>-0.58028180049</v>
      </c>
      <c r="R176" s="964">
        <f t="shared" si="20"/>
        <v>0</v>
      </c>
    </row>
    <row r="177" spans="1:19" ht="16" x14ac:dyDescent="0.3">
      <c r="A177" s="752">
        <v>3.6</v>
      </c>
      <c r="B177" s="1141" t="s">
        <v>1365</v>
      </c>
      <c r="C177" s="485">
        <v>0</v>
      </c>
      <c r="D177" s="485">
        <v>0</v>
      </c>
      <c r="E177" s="969">
        <f t="shared" si="17"/>
        <v>0</v>
      </c>
      <c r="F177" s="974"/>
      <c r="G177" s="976"/>
      <c r="H177" s="976"/>
      <c r="I177" s="976"/>
      <c r="J177" s="976"/>
      <c r="K177" s="969">
        <v>0</v>
      </c>
      <c r="L177" s="969">
        <v>0</v>
      </c>
      <c r="M177" s="969">
        <v>0</v>
      </c>
      <c r="N177" s="969">
        <v>-2.58</v>
      </c>
      <c r="O177" s="969">
        <v>0</v>
      </c>
      <c r="P177" s="969">
        <v>0</v>
      </c>
      <c r="Q177" s="975">
        <f t="shared" si="19"/>
        <v>-2.58</v>
      </c>
      <c r="R177" s="964">
        <f t="shared" si="20"/>
        <v>0</v>
      </c>
    </row>
    <row r="178" spans="1:19" ht="16" x14ac:dyDescent="0.3">
      <c r="A178" s="752">
        <v>3.7</v>
      </c>
      <c r="B178" s="1141" t="s">
        <v>1366</v>
      </c>
      <c r="C178" s="485">
        <v>0</v>
      </c>
      <c r="D178" s="485">
        <v>0</v>
      </c>
      <c r="E178" s="969">
        <f t="shared" si="17"/>
        <v>0</v>
      </c>
      <c r="F178" s="974"/>
      <c r="G178" s="976"/>
      <c r="H178" s="976"/>
      <c r="I178" s="976"/>
      <c r="J178" s="976"/>
      <c r="K178" s="969">
        <v>0</v>
      </c>
      <c r="L178" s="969">
        <v>0</v>
      </c>
      <c r="M178" s="969">
        <v>0</v>
      </c>
      <c r="N178" s="969">
        <v>-1.19808E-2</v>
      </c>
      <c r="O178" s="969">
        <v>0</v>
      </c>
      <c r="P178" s="969">
        <v>0</v>
      </c>
      <c r="Q178" s="975">
        <f t="shared" si="19"/>
        <v>-1.19808E-2</v>
      </c>
      <c r="R178" s="964">
        <f t="shared" si="20"/>
        <v>0</v>
      </c>
    </row>
    <row r="179" spans="1:19" ht="28" x14ac:dyDescent="0.3">
      <c r="A179" s="752">
        <v>3.8</v>
      </c>
      <c r="B179" s="1147" t="s">
        <v>1451</v>
      </c>
      <c r="C179" s="485">
        <v>0</v>
      </c>
      <c r="D179" s="485">
        <v>0</v>
      </c>
      <c r="E179" s="969">
        <f t="shared" si="17"/>
        <v>0</v>
      </c>
      <c r="F179" s="974"/>
      <c r="G179" s="976"/>
      <c r="H179" s="976"/>
      <c r="I179" s="976"/>
      <c r="J179" s="976"/>
      <c r="K179" s="969">
        <v>0</v>
      </c>
      <c r="L179" s="969">
        <v>0</v>
      </c>
      <c r="M179" s="969">
        <v>0</v>
      </c>
      <c r="N179" s="969">
        <v>0</v>
      </c>
      <c r="O179" s="969">
        <v>0</v>
      </c>
      <c r="P179" s="969">
        <v>0</v>
      </c>
      <c r="Q179" s="975">
        <v>0.35123285900000001</v>
      </c>
      <c r="R179" s="964">
        <f t="shared" si="20"/>
        <v>0</v>
      </c>
    </row>
    <row r="180" spans="1:19" ht="16" x14ac:dyDescent="0.3">
      <c r="A180" s="752"/>
      <c r="B180" s="1130"/>
      <c r="C180" s="485"/>
      <c r="D180" s="485"/>
      <c r="E180" s="969"/>
      <c r="F180" s="974"/>
      <c r="G180" s="976"/>
      <c r="H180" s="976"/>
      <c r="I180" s="976"/>
      <c r="J180" s="976"/>
      <c r="K180" s="976"/>
      <c r="L180" s="976"/>
      <c r="M180" s="976"/>
      <c r="N180" s="976"/>
      <c r="O180" s="976"/>
      <c r="P180" s="976"/>
      <c r="Q180" s="976"/>
      <c r="R180" s="964"/>
    </row>
    <row r="181" spans="1:19" ht="16" x14ac:dyDescent="0.3">
      <c r="A181" s="751">
        <v>4</v>
      </c>
      <c r="B181" s="1142" t="s">
        <v>145</v>
      </c>
      <c r="C181" s="485">
        <v>0</v>
      </c>
      <c r="D181" s="485">
        <v>0</v>
      </c>
      <c r="E181" s="969">
        <f t="shared" si="17"/>
        <v>0</v>
      </c>
      <c r="F181" s="974">
        <f>SUM(F150:F180)</f>
        <v>4407.2023629924006</v>
      </c>
      <c r="G181" s="974">
        <f>SUM(G150:G180)</f>
        <v>4407.2023629924006</v>
      </c>
      <c r="H181" s="976"/>
      <c r="I181" s="976"/>
      <c r="J181" s="976"/>
      <c r="K181" s="974">
        <f>SUM(K150:K180)</f>
        <v>586.68813169176997</v>
      </c>
      <c r="L181" s="974">
        <f t="shared" ref="L181:Q181" si="21">SUM(L150:L180)</f>
        <v>0</v>
      </c>
      <c r="M181" s="974">
        <f t="shared" si="21"/>
        <v>41.211414401389497</v>
      </c>
      <c r="N181" s="974">
        <f t="shared" si="21"/>
        <v>1858.5829072834263</v>
      </c>
      <c r="O181" s="974">
        <f t="shared" si="21"/>
        <v>3.9109573000000002</v>
      </c>
      <c r="P181" s="974">
        <f t="shared" si="21"/>
        <v>5.4362130999999989</v>
      </c>
      <c r="Q181" s="974">
        <f t="shared" si="21"/>
        <v>2454.9694422341959</v>
      </c>
      <c r="R181" s="964">
        <f t="shared" si="20"/>
        <v>5.5703578824715496</v>
      </c>
    </row>
    <row r="182" spans="1:19" ht="16" x14ac:dyDescent="0.3">
      <c r="A182" s="751">
        <v>5</v>
      </c>
      <c r="B182" s="1132" t="s">
        <v>1452</v>
      </c>
      <c r="C182" s="485">
        <v>0</v>
      </c>
      <c r="D182" s="485">
        <v>0</v>
      </c>
      <c r="E182" s="969">
        <f t="shared" si="17"/>
        <v>0</v>
      </c>
      <c r="F182" s="974"/>
      <c r="G182" s="976"/>
      <c r="H182" s="976"/>
      <c r="I182" s="976"/>
      <c r="J182" s="976"/>
      <c r="K182" s="976"/>
      <c r="L182" s="976"/>
      <c r="M182" s="976"/>
      <c r="N182" s="976"/>
      <c r="O182" s="976"/>
      <c r="P182" s="976"/>
      <c r="Q182" s="976"/>
      <c r="R182" s="969"/>
    </row>
    <row r="183" spans="1:19" ht="42" x14ac:dyDescent="0.3">
      <c r="A183" s="752">
        <v>5.0999999999999996</v>
      </c>
      <c r="B183" s="1147" t="s">
        <v>1645</v>
      </c>
      <c r="C183" s="485">
        <v>0</v>
      </c>
      <c r="D183" s="485">
        <v>0</v>
      </c>
      <c r="E183" s="969">
        <f t="shared" si="17"/>
        <v>0</v>
      </c>
      <c r="F183" s="974"/>
      <c r="G183" s="976"/>
      <c r="H183" s="976"/>
      <c r="I183" s="976"/>
      <c r="J183" s="976"/>
      <c r="K183" s="976"/>
      <c r="L183" s="976"/>
      <c r="M183" s="976"/>
      <c r="N183" s="969">
        <v>59.5</v>
      </c>
      <c r="O183" s="976"/>
      <c r="P183" s="976"/>
      <c r="Q183" s="975">
        <f>N183+K183+L183+O183+P183</f>
        <v>59.5</v>
      </c>
      <c r="R183" s="969"/>
    </row>
    <row r="184" spans="1:19" ht="56" x14ac:dyDescent="0.3">
      <c r="A184" s="752">
        <v>5.2</v>
      </c>
      <c r="B184" s="1147" t="s">
        <v>1646</v>
      </c>
      <c r="C184" s="485">
        <v>0</v>
      </c>
      <c r="D184" s="485">
        <v>0</v>
      </c>
      <c r="E184" s="969">
        <f t="shared" si="17"/>
        <v>0</v>
      </c>
      <c r="F184" s="974"/>
      <c r="G184" s="976"/>
      <c r="H184" s="976"/>
      <c r="I184" s="976"/>
      <c r="J184" s="976"/>
      <c r="K184" s="976"/>
      <c r="L184" s="976"/>
      <c r="M184" s="976"/>
      <c r="N184" s="969">
        <v>15.2392482</v>
      </c>
      <c r="O184" s="976"/>
      <c r="P184" s="976"/>
      <c r="Q184" s="975">
        <f>N184+K184+L184+O184+P184</f>
        <v>15.2392482</v>
      </c>
      <c r="R184" s="969"/>
    </row>
    <row r="185" spans="1:19" ht="56" x14ac:dyDescent="0.3">
      <c r="A185" s="752">
        <v>5.3</v>
      </c>
      <c r="B185" s="1147" t="s">
        <v>1647</v>
      </c>
      <c r="C185" s="485">
        <v>0</v>
      </c>
      <c r="D185" s="485">
        <v>0</v>
      </c>
      <c r="E185" s="969">
        <f t="shared" si="17"/>
        <v>0</v>
      </c>
      <c r="F185" s="974"/>
      <c r="G185" s="976"/>
      <c r="H185" s="976"/>
      <c r="I185" s="976"/>
      <c r="J185" s="976"/>
      <c r="K185" s="976"/>
      <c r="L185" s="976"/>
      <c r="M185" s="976"/>
      <c r="N185" s="969">
        <v>1.2505573999999999</v>
      </c>
      <c r="O185" s="976"/>
      <c r="P185" s="976"/>
      <c r="Q185" s="975">
        <f>N185+K185+L185+O185+P185</f>
        <v>1.2505573999999999</v>
      </c>
      <c r="R185" s="969"/>
    </row>
    <row r="186" spans="1:19" x14ac:dyDescent="0.3">
      <c r="A186" s="751">
        <v>6</v>
      </c>
      <c r="B186" s="1142" t="s">
        <v>1376</v>
      </c>
      <c r="C186" s="485">
        <v>0</v>
      </c>
      <c r="D186" s="485">
        <v>0</v>
      </c>
      <c r="E186" s="969">
        <f>C186*D186</f>
        <v>0</v>
      </c>
      <c r="F186" s="974">
        <f>SUM(F181:F185)</f>
        <v>4407.2023629924006</v>
      </c>
      <c r="G186" s="974">
        <f t="shared" ref="G186:N186" si="22">SUM(G181:G185)</f>
        <v>4407.2023629924006</v>
      </c>
      <c r="H186" s="974">
        <f t="shared" si="22"/>
        <v>0</v>
      </c>
      <c r="I186" s="974">
        <f t="shared" si="22"/>
        <v>0</v>
      </c>
      <c r="J186" s="974">
        <f t="shared" si="22"/>
        <v>0</v>
      </c>
      <c r="K186" s="974">
        <f t="shared" si="22"/>
        <v>586.68813169176997</v>
      </c>
      <c r="L186" s="974">
        <f t="shared" si="22"/>
        <v>0</v>
      </c>
      <c r="M186" s="974">
        <f t="shared" si="22"/>
        <v>41.211414401389497</v>
      </c>
      <c r="N186" s="974">
        <f t="shared" si="22"/>
        <v>1934.5727128834262</v>
      </c>
      <c r="O186" s="974">
        <f>SUM(O181:O185)</f>
        <v>3.9109573000000002</v>
      </c>
      <c r="P186" s="974">
        <f>SUM(P181:P185)</f>
        <v>5.4362130999999989</v>
      </c>
      <c r="Q186" s="974">
        <f>SUM(Q181:Q185)</f>
        <v>2530.959247834196</v>
      </c>
      <c r="R186" s="964">
        <f>IFERROR(Q186/F186*10,0)</f>
        <v>5.7427797486379237</v>
      </c>
    </row>
    <row r="187" spans="1:19" x14ac:dyDescent="0.3">
      <c r="F187" s="782">
        <f>F2.1!$Q$88-F186</f>
        <v>0</v>
      </c>
      <c r="G187"/>
      <c r="H187"/>
      <c r="I187"/>
      <c r="J187"/>
      <c r="K187"/>
      <c r="L187"/>
      <c r="M187"/>
      <c r="N187"/>
      <c r="O187"/>
      <c r="P187"/>
      <c r="Q187" s="2120">
        <f>Q186+SUM(F2.2!K12:K13)</f>
        <v>2790.1573278341962</v>
      </c>
      <c r="R187" s="2121">
        <f>Q187/G186*10</f>
        <v>6.3309035937703939</v>
      </c>
      <c r="S187"/>
    </row>
    <row r="188" spans="1:19" ht="16" x14ac:dyDescent="0.3">
      <c r="A188" s="1355"/>
      <c r="B188" s="1143"/>
      <c r="C188" s="955"/>
      <c r="D188" s="955"/>
      <c r="E188" s="983"/>
      <c r="F188" s="983"/>
      <c r="G188" s="984"/>
      <c r="H188" s="984"/>
      <c r="I188" s="984"/>
      <c r="J188" s="984"/>
      <c r="K188" s="984"/>
      <c r="L188" s="984"/>
      <c r="M188" s="984"/>
      <c r="N188" s="984"/>
      <c r="O188" s="984"/>
      <c r="P188" s="984"/>
      <c r="Q188" s="984"/>
      <c r="R188" s="985"/>
    </row>
    <row r="189" spans="1:19" ht="16" x14ac:dyDescent="0.3">
      <c r="A189" s="1355"/>
      <c r="B189" s="1143"/>
      <c r="C189" s="955"/>
      <c r="D189" s="955"/>
      <c r="E189" s="955"/>
      <c r="F189" s="955"/>
      <c r="G189" s="978"/>
      <c r="H189" s="978"/>
      <c r="I189" s="978"/>
      <c r="J189" s="978"/>
      <c r="K189" s="978"/>
      <c r="L189" s="978"/>
      <c r="M189" s="978"/>
      <c r="N189" s="978"/>
      <c r="O189" s="978"/>
      <c r="P189" s="978"/>
      <c r="Q189" s="978"/>
      <c r="R189" s="977"/>
    </row>
    <row r="190" spans="1:19" x14ac:dyDescent="0.3">
      <c r="B190" s="1126" t="s">
        <v>833</v>
      </c>
      <c r="C190" s="966"/>
      <c r="Q190" s="982"/>
    </row>
    <row r="192" spans="1:19" s="146" customFormat="1" ht="56" x14ac:dyDescent="0.25">
      <c r="A192" s="961" t="s">
        <v>263</v>
      </c>
      <c r="B192" s="1127" t="s">
        <v>264</v>
      </c>
      <c r="C192" s="961" t="s">
        <v>309</v>
      </c>
      <c r="D192" s="961" t="s">
        <v>265</v>
      </c>
      <c r="E192" s="961" t="s">
        <v>266</v>
      </c>
      <c r="F192" s="961" t="s">
        <v>267</v>
      </c>
      <c r="G192" s="961" t="s">
        <v>268</v>
      </c>
      <c r="H192" s="961" t="s">
        <v>310</v>
      </c>
      <c r="I192" s="961" t="s">
        <v>269</v>
      </c>
      <c r="J192" s="961" t="s">
        <v>311</v>
      </c>
      <c r="K192" s="961" t="s">
        <v>270</v>
      </c>
      <c r="L192" s="961" t="s">
        <v>271</v>
      </c>
      <c r="M192" s="961" t="s">
        <v>312</v>
      </c>
      <c r="N192" s="961" t="s">
        <v>272</v>
      </c>
      <c r="O192" s="961" t="s">
        <v>273</v>
      </c>
      <c r="P192" s="961" t="s">
        <v>274</v>
      </c>
      <c r="Q192" s="961" t="s">
        <v>431</v>
      </c>
      <c r="R192" s="961" t="s">
        <v>432</v>
      </c>
    </row>
    <row r="193" spans="1:18" s="1148" customFormat="1" x14ac:dyDescent="0.3">
      <c r="A193" s="961">
        <v>1</v>
      </c>
      <c r="B193" s="1127">
        <v>2</v>
      </c>
      <c r="C193" s="961">
        <v>3</v>
      </c>
      <c r="D193" s="961">
        <v>4</v>
      </c>
      <c r="E193" s="961">
        <v>5</v>
      </c>
      <c r="F193" s="961">
        <v>6</v>
      </c>
      <c r="G193" s="961">
        <v>7</v>
      </c>
      <c r="H193" s="961">
        <v>8</v>
      </c>
      <c r="I193" s="961">
        <v>9</v>
      </c>
      <c r="J193" s="961">
        <v>10</v>
      </c>
      <c r="K193" s="961">
        <v>11</v>
      </c>
      <c r="L193" s="961">
        <v>12</v>
      </c>
      <c r="M193" s="961">
        <v>13</v>
      </c>
      <c r="N193" s="961">
        <v>14</v>
      </c>
      <c r="O193" s="961">
        <v>15</v>
      </c>
      <c r="P193" s="961">
        <v>16</v>
      </c>
      <c r="Q193" s="961">
        <v>17</v>
      </c>
      <c r="R193" s="961">
        <v>18</v>
      </c>
    </row>
    <row r="194" spans="1:18" x14ac:dyDescent="0.3">
      <c r="A194" s="485">
        <v>1</v>
      </c>
      <c r="B194" s="1110" t="s">
        <v>313</v>
      </c>
      <c r="C194" s="962"/>
      <c r="D194" s="962"/>
      <c r="E194" s="962"/>
      <c r="F194" s="963"/>
      <c r="G194" s="963"/>
      <c r="H194" s="963"/>
      <c r="I194" s="963"/>
      <c r="J194" s="963"/>
      <c r="K194" s="347"/>
      <c r="L194" s="963"/>
      <c r="M194" s="963"/>
      <c r="N194" s="963"/>
      <c r="O194" s="963"/>
      <c r="P194" s="963"/>
      <c r="Q194" s="752"/>
      <c r="R194" s="752"/>
    </row>
    <row r="195" spans="1:18" x14ac:dyDescent="0.3">
      <c r="A195" s="485">
        <v>1.1000000000000001</v>
      </c>
      <c r="B195" s="1057" t="s">
        <v>922</v>
      </c>
      <c r="C195" s="1113">
        <v>1377</v>
      </c>
      <c r="D195" s="1114">
        <v>0.49142040668119102</v>
      </c>
      <c r="E195" s="1113">
        <f>C195*D195</f>
        <v>676.68590000000006</v>
      </c>
      <c r="F195" s="347">
        <v>3510.9399999999996</v>
      </c>
      <c r="G195" s="347">
        <v>3510.9399999999996</v>
      </c>
      <c r="H195" s="347"/>
      <c r="I195" s="347"/>
      <c r="J195" s="347"/>
      <c r="K195" s="347">
        <v>443.15</v>
      </c>
      <c r="L195" s="485">
        <v>0</v>
      </c>
      <c r="M195" s="499">
        <f>N195/G195*10</f>
        <v>3.4686152426415724</v>
      </c>
      <c r="N195" s="499">
        <v>1217.81</v>
      </c>
      <c r="O195" s="485">
        <v>0</v>
      </c>
      <c r="P195" s="347"/>
      <c r="Q195" s="485">
        <v>1660.96</v>
      </c>
      <c r="R195" s="1119">
        <f>Q195/F195*10</f>
        <v>4.7308128307518791</v>
      </c>
    </row>
    <row r="196" spans="1:18" ht="28" x14ac:dyDescent="0.3">
      <c r="A196" s="485">
        <v>1.2</v>
      </c>
      <c r="B196" s="1057" t="s">
        <v>1332</v>
      </c>
      <c r="C196" s="1113">
        <v>20</v>
      </c>
      <c r="D196" s="1114">
        <v>1</v>
      </c>
      <c r="E196" s="1113">
        <f>C196*D196</f>
        <v>20</v>
      </c>
      <c r="F196" s="347">
        <v>31.5</v>
      </c>
      <c r="G196" s="347">
        <v>31.5</v>
      </c>
      <c r="H196" s="347"/>
      <c r="I196" s="347"/>
      <c r="J196" s="347"/>
      <c r="K196" s="347">
        <v>0</v>
      </c>
      <c r="L196" s="485"/>
      <c r="M196" s="499">
        <f>N196/G196*10</f>
        <v>8.5587301587301585</v>
      </c>
      <c r="N196" s="374">
        <v>26.96</v>
      </c>
      <c r="O196" s="485"/>
      <c r="P196" s="347"/>
      <c r="Q196" s="485">
        <v>26.96</v>
      </c>
      <c r="R196" s="1119">
        <f>Q196/F196*10</f>
        <v>8.5587301587301585</v>
      </c>
    </row>
    <row r="197" spans="1:18" x14ac:dyDescent="0.3">
      <c r="A197" s="485">
        <v>1.3</v>
      </c>
      <c r="B197" s="1057" t="s">
        <v>933</v>
      </c>
      <c r="C197" s="1113">
        <v>100</v>
      </c>
      <c r="D197" s="1114">
        <v>1</v>
      </c>
      <c r="E197" s="1113">
        <f>C197*D197</f>
        <v>100</v>
      </c>
      <c r="F197" s="347">
        <v>744.6</v>
      </c>
      <c r="G197" s="347">
        <v>744.6</v>
      </c>
      <c r="H197" s="347"/>
      <c r="I197" s="347"/>
      <c r="J197" s="347"/>
      <c r="K197" s="347">
        <v>176.41</v>
      </c>
      <c r="L197" s="485"/>
      <c r="M197" s="499">
        <f>N197/G197*10</f>
        <v>2.0899811979586351</v>
      </c>
      <c r="N197" s="374">
        <v>155.61999999999998</v>
      </c>
      <c r="O197" s="485"/>
      <c r="P197" s="347"/>
      <c r="Q197" s="485">
        <v>332.03</v>
      </c>
      <c r="R197" s="1119">
        <f>Q197/F197*10</f>
        <v>4.4591727101799616</v>
      </c>
    </row>
    <row r="198" spans="1:18" x14ac:dyDescent="0.3">
      <c r="A198" s="485"/>
      <c r="B198" s="1057"/>
      <c r="C198" s="962"/>
      <c r="D198" s="962"/>
      <c r="E198" s="1113"/>
      <c r="F198" s="347">
        <v>0</v>
      </c>
      <c r="G198" s="347">
        <v>0</v>
      </c>
      <c r="H198" s="347"/>
      <c r="I198" s="347"/>
      <c r="J198" s="347"/>
      <c r="K198" s="347"/>
      <c r="L198" s="485"/>
      <c r="M198" s="499"/>
      <c r="N198" s="1115">
        <v>0</v>
      </c>
      <c r="O198" s="485"/>
      <c r="P198" s="347"/>
      <c r="Q198" s="485">
        <v>0</v>
      </c>
      <c r="R198" s="1119"/>
    </row>
    <row r="199" spans="1:18" x14ac:dyDescent="0.3">
      <c r="A199" s="572">
        <v>2</v>
      </c>
      <c r="B199" s="1111" t="s">
        <v>314</v>
      </c>
      <c r="C199" s="962"/>
      <c r="D199" s="962"/>
      <c r="E199" s="1113"/>
      <c r="F199" s="347">
        <v>0</v>
      </c>
      <c r="G199" s="347">
        <v>0</v>
      </c>
      <c r="H199" s="347"/>
      <c r="I199" s="347"/>
      <c r="J199" s="347"/>
      <c r="K199" s="347"/>
      <c r="L199" s="485"/>
      <c r="M199" s="499"/>
      <c r="N199" s="1115">
        <v>0</v>
      </c>
      <c r="O199" s="485"/>
      <c r="P199" s="347"/>
      <c r="Q199" s="485">
        <v>0</v>
      </c>
      <c r="R199" s="1119"/>
    </row>
    <row r="200" spans="1:18" x14ac:dyDescent="0.3">
      <c r="A200" s="485">
        <v>2.1</v>
      </c>
      <c r="B200" s="1057" t="s">
        <v>924</v>
      </c>
      <c r="C200" s="962"/>
      <c r="D200" s="962"/>
      <c r="E200" s="1113"/>
      <c r="F200" s="347">
        <v>0</v>
      </c>
      <c r="G200" s="347">
        <v>0</v>
      </c>
      <c r="H200" s="347"/>
      <c r="I200" s="347"/>
      <c r="J200" s="347"/>
      <c r="K200" s="347"/>
      <c r="L200" s="485"/>
      <c r="M200" s="499"/>
      <c r="N200" s="499">
        <v>0</v>
      </c>
      <c r="O200" s="485"/>
      <c r="P200" s="347"/>
      <c r="Q200" s="485">
        <v>0</v>
      </c>
      <c r="R200" s="1119"/>
    </row>
    <row r="201" spans="1:18" x14ac:dyDescent="0.3">
      <c r="A201" s="485" t="s">
        <v>1343</v>
      </c>
      <c r="B201" s="1057" t="s">
        <v>1344</v>
      </c>
      <c r="C201" s="962"/>
      <c r="D201" s="962"/>
      <c r="E201" s="1113"/>
      <c r="F201" s="347">
        <v>0</v>
      </c>
      <c r="G201" s="347">
        <v>0</v>
      </c>
      <c r="H201" s="347"/>
      <c r="I201" s="347"/>
      <c r="J201" s="347"/>
      <c r="K201" s="347"/>
      <c r="L201" s="485"/>
      <c r="M201" s="499"/>
      <c r="N201" s="1115">
        <v>0</v>
      </c>
      <c r="O201" s="485"/>
      <c r="P201" s="347"/>
      <c r="Q201" s="485">
        <v>0</v>
      </c>
      <c r="R201" s="1119"/>
    </row>
    <row r="202" spans="1:18" x14ac:dyDescent="0.3">
      <c r="A202" s="485" t="s">
        <v>1345</v>
      </c>
      <c r="B202" s="1057" t="s">
        <v>1336</v>
      </c>
      <c r="C202" s="962"/>
      <c r="D202" s="962"/>
      <c r="E202" s="1113"/>
      <c r="F202" s="347">
        <v>0</v>
      </c>
      <c r="G202" s="347">
        <v>0</v>
      </c>
      <c r="H202" s="347"/>
      <c r="I202" s="347"/>
      <c r="J202" s="347"/>
      <c r="K202" s="347"/>
      <c r="L202" s="485"/>
      <c r="M202" s="499"/>
      <c r="N202" s="1115">
        <v>0</v>
      </c>
      <c r="O202" s="485"/>
      <c r="P202" s="347"/>
      <c r="Q202" s="485">
        <v>0</v>
      </c>
      <c r="R202" s="1119"/>
    </row>
    <row r="203" spans="1:18" x14ac:dyDescent="0.3">
      <c r="A203" s="485" t="s">
        <v>1346</v>
      </c>
      <c r="B203" s="1057" t="s">
        <v>1338</v>
      </c>
      <c r="C203" s="962"/>
      <c r="D203" s="962"/>
      <c r="E203" s="1113"/>
      <c r="F203" s="347">
        <v>0</v>
      </c>
      <c r="G203" s="347">
        <v>0</v>
      </c>
      <c r="H203" s="347"/>
      <c r="I203" s="347"/>
      <c r="J203" s="347"/>
      <c r="K203" s="347"/>
      <c r="L203" s="485"/>
      <c r="M203" s="499"/>
      <c r="N203" s="1115">
        <v>0</v>
      </c>
      <c r="O203" s="485"/>
      <c r="P203" s="347"/>
      <c r="Q203" s="485">
        <v>0</v>
      </c>
      <c r="R203" s="1119"/>
    </row>
    <row r="204" spans="1:18" x14ac:dyDescent="0.3">
      <c r="A204" s="485">
        <v>2.2000000000000002</v>
      </c>
      <c r="B204" s="1057" t="s">
        <v>1339</v>
      </c>
      <c r="C204" s="962"/>
      <c r="D204" s="962"/>
      <c r="E204" s="1113"/>
      <c r="F204" s="347">
        <v>0</v>
      </c>
      <c r="G204" s="347">
        <v>0</v>
      </c>
      <c r="H204" s="347"/>
      <c r="I204" s="347"/>
      <c r="J204" s="347"/>
      <c r="K204" s="347"/>
      <c r="L204" s="485"/>
      <c r="M204" s="499"/>
      <c r="N204" s="1115">
        <v>0</v>
      </c>
      <c r="O204" s="485"/>
      <c r="P204" s="347"/>
      <c r="Q204" s="485">
        <v>0</v>
      </c>
      <c r="R204" s="1119"/>
    </row>
    <row r="205" spans="1:18" x14ac:dyDescent="0.3">
      <c r="A205" s="485" t="s">
        <v>1444</v>
      </c>
      <c r="B205" s="1057" t="s">
        <v>1439</v>
      </c>
      <c r="C205" s="962"/>
      <c r="D205" s="962"/>
      <c r="E205" s="1113"/>
      <c r="F205" s="347">
        <v>500.37</v>
      </c>
      <c r="G205" s="347">
        <v>500.37</v>
      </c>
      <c r="H205" s="347"/>
      <c r="I205" s="347"/>
      <c r="J205" s="347"/>
      <c r="K205" s="347"/>
      <c r="L205" s="485"/>
      <c r="M205" s="499">
        <f>N205/G205*10</f>
        <v>2.8700761436536966</v>
      </c>
      <c r="N205" s="499">
        <v>143.61000000000001</v>
      </c>
      <c r="O205" s="485"/>
      <c r="P205" s="347"/>
      <c r="Q205" s="485">
        <v>143.61000000000001</v>
      </c>
      <c r="R205" s="1119">
        <f>Q205/F205*10</f>
        <v>2.8700761436536966</v>
      </c>
    </row>
    <row r="206" spans="1:18" x14ac:dyDescent="0.3">
      <c r="A206" s="485">
        <v>2.2999999999999998</v>
      </c>
      <c r="B206" s="1057" t="s">
        <v>1440</v>
      </c>
      <c r="C206" s="962"/>
      <c r="D206" s="962"/>
      <c r="E206" s="1113"/>
      <c r="F206" s="347">
        <v>0</v>
      </c>
      <c r="G206" s="347">
        <v>0</v>
      </c>
      <c r="H206" s="347"/>
      <c r="I206" s="347"/>
      <c r="J206" s="347"/>
      <c r="K206" s="347"/>
      <c r="L206" s="485"/>
      <c r="M206" s="499"/>
      <c r="N206" s="499">
        <v>0</v>
      </c>
      <c r="O206" s="485"/>
      <c r="P206" s="347"/>
      <c r="Q206" s="485">
        <v>0</v>
      </c>
      <c r="R206" s="1119"/>
    </row>
    <row r="207" spans="1:18" x14ac:dyDescent="0.3">
      <c r="A207" s="485" t="s">
        <v>1445</v>
      </c>
      <c r="B207" s="1057" t="s">
        <v>1441</v>
      </c>
      <c r="C207" s="962"/>
      <c r="D207" s="962"/>
      <c r="E207" s="1113"/>
      <c r="F207" s="347">
        <v>307.74</v>
      </c>
      <c r="G207" s="347">
        <v>307.74</v>
      </c>
      <c r="H207" s="347"/>
      <c r="I207" s="347"/>
      <c r="J207" s="347"/>
      <c r="K207" s="347"/>
      <c r="L207" s="485"/>
      <c r="M207" s="499">
        <f>N207/G207*10</f>
        <v>2.9001754728017155</v>
      </c>
      <c r="N207" s="499">
        <v>89.25</v>
      </c>
      <c r="O207" s="485"/>
      <c r="P207" s="347"/>
      <c r="Q207" s="485">
        <v>89.25</v>
      </c>
      <c r="R207" s="1119">
        <f>Q207/F207*10</f>
        <v>2.9001754728017155</v>
      </c>
    </row>
    <row r="208" spans="1:18" x14ac:dyDescent="0.3">
      <c r="A208" s="485">
        <v>2.4</v>
      </c>
      <c r="B208" s="1057" t="s">
        <v>1340</v>
      </c>
      <c r="C208" s="962"/>
      <c r="D208" s="962"/>
      <c r="E208" s="1113"/>
      <c r="F208" s="347">
        <v>0</v>
      </c>
      <c r="G208" s="347">
        <v>0</v>
      </c>
      <c r="H208" s="347"/>
      <c r="I208" s="347"/>
      <c r="J208" s="347"/>
      <c r="K208" s="347"/>
      <c r="L208" s="485"/>
      <c r="M208" s="347"/>
      <c r="N208" s="1115"/>
      <c r="O208" s="485"/>
      <c r="P208" s="347"/>
      <c r="Q208" s="485">
        <v>0</v>
      </c>
      <c r="R208" s="1119"/>
    </row>
    <row r="209" spans="1:18" x14ac:dyDescent="0.3">
      <c r="A209" s="485">
        <v>2.5</v>
      </c>
      <c r="B209" s="1057" t="s">
        <v>1446</v>
      </c>
      <c r="C209" s="962"/>
      <c r="D209" s="962"/>
      <c r="E209" s="1113"/>
      <c r="F209" s="347">
        <v>0</v>
      </c>
      <c r="G209" s="347">
        <v>0</v>
      </c>
      <c r="H209" s="347"/>
      <c r="I209" s="347"/>
      <c r="J209" s="347"/>
      <c r="K209" s="347"/>
      <c r="L209" s="485"/>
      <c r="M209" s="347"/>
      <c r="N209" s="1115"/>
      <c r="O209" s="485"/>
      <c r="P209" s="347"/>
      <c r="Q209" s="485">
        <v>0</v>
      </c>
      <c r="R209" s="1119"/>
    </row>
    <row r="210" spans="1:18" x14ac:dyDescent="0.3">
      <c r="A210" s="485">
        <v>2.6</v>
      </c>
      <c r="B210" s="1057" t="s">
        <v>1349</v>
      </c>
      <c r="C210" s="962"/>
      <c r="D210" s="962"/>
      <c r="E210" s="1113"/>
      <c r="F210" s="347">
        <v>0</v>
      </c>
      <c r="G210" s="347">
        <v>0</v>
      </c>
      <c r="H210" s="347"/>
      <c r="I210" s="347"/>
      <c r="J210" s="347"/>
      <c r="K210" s="347"/>
      <c r="L210" s="485"/>
      <c r="M210" s="347"/>
      <c r="N210" s="1115"/>
      <c r="O210" s="485"/>
      <c r="P210" s="347"/>
      <c r="Q210" s="485">
        <v>0</v>
      </c>
      <c r="R210" s="1119"/>
    </row>
    <row r="211" spans="1:18" x14ac:dyDescent="0.3">
      <c r="A211" s="485">
        <v>2.7</v>
      </c>
      <c r="B211" s="1057" t="s">
        <v>1524</v>
      </c>
      <c r="C211" s="962"/>
      <c r="D211" s="962"/>
      <c r="E211" s="1113"/>
      <c r="F211" s="347">
        <v>0</v>
      </c>
      <c r="G211" s="347">
        <v>0</v>
      </c>
      <c r="H211" s="347"/>
      <c r="I211" s="347"/>
      <c r="J211" s="347"/>
      <c r="K211" s="347"/>
      <c r="L211" s="485"/>
      <c r="M211" s="347"/>
      <c r="N211" s="1115"/>
      <c r="O211" s="485"/>
      <c r="P211" s="347"/>
      <c r="Q211" s="485">
        <v>0</v>
      </c>
      <c r="R211" s="1119"/>
    </row>
    <row r="212" spans="1:18" x14ac:dyDescent="0.3">
      <c r="A212" s="485">
        <v>2.8</v>
      </c>
      <c r="B212" s="1057" t="s">
        <v>1350</v>
      </c>
      <c r="C212" s="962"/>
      <c r="D212" s="962"/>
      <c r="E212" s="1113"/>
      <c r="F212" s="347">
        <v>0</v>
      </c>
      <c r="G212" s="347">
        <v>0</v>
      </c>
      <c r="H212" s="347"/>
      <c r="I212" s="347"/>
      <c r="J212" s="347"/>
      <c r="K212" s="347"/>
      <c r="L212" s="485"/>
      <c r="M212" s="347"/>
      <c r="N212" s="1115"/>
      <c r="O212" s="485"/>
      <c r="P212" s="347"/>
      <c r="Q212" s="485">
        <v>0</v>
      </c>
      <c r="R212" s="1119"/>
    </row>
    <row r="213" spans="1:18" x14ac:dyDescent="0.3">
      <c r="A213" s="485">
        <v>2.9</v>
      </c>
      <c r="B213" s="1057" t="s">
        <v>1351</v>
      </c>
      <c r="C213" s="962"/>
      <c r="D213" s="962"/>
      <c r="E213" s="1113"/>
      <c r="F213" s="347">
        <v>0</v>
      </c>
      <c r="G213" s="347">
        <v>0</v>
      </c>
      <c r="H213" s="347"/>
      <c r="I213" s="347"/>
      <c r="J213" s="347"/>
      <c r="K213" s="347"/>
      <c r="L213" s="485"/>
      <c r="M213" s="347"/>
      <c r="N213" s="1115"/>
      <c r="O213" s="485"/>
      <c r="P213" s="347"/>
      <c r="Q213" s="485">
        <v>0</v>
      </c>
      <c r="R213" s="1119"/>
    </row>
    <row r="214" spans="1:18" x14ac:dyDescent="0.3">
      <c r="A214" s="485"/>
      <c r="B214" s="1057"/>
      <c r="C214" s="962"/>
      <c r="D214" s="962"/>
      <c r="E214" s="1113"/>
      <c r="F214" s="347">
        <v>0</v>
      </c>
      <c r="G214" s="347">
        <v>0</v>
      </c>
      <c r="H214" s="347"/>
      <c r="I214" s="347"/>
      <c r="J214" s="347"/>
      <c r="K214" s="347"/>
      <c r="L214" s="485"/>
      <c r="M214" s="347"/>
      <c r="N214" s="1115"/>
      <c r="O214" s="485"/>
      <c r="P214" s="347"/>
      <c r="Q214" s="485">
        <v>0</v>
      </c>
      <c r="R214" s="1119"/>
    </row>
    <row r="215" spans="1:18" x14ac:dyDescent="0.3">
      <c r="A215" s="572">
        <v>3</v>
      </c>
      <c r="B215" s="1111" t="s">
        <v>926</v>
      </c>
      <c r="C215" s="962"/>
      <c r="D215" s="962"/>
      <c r="E215" s="1113"/>
      <c r="F215" s="347">
        <v>0</v>
      </c>
      <c r="G215" s="347">
        <v>0</v>
      </c>
      <c r="H215" s="347"/>
      <c r="I215" s="347"/>
      <c r="J215" s="347"/>
      <c r="K215" s="347"/>
      <c r="L215" s="485"/>
      <c r="M215" s="347"/>
      <c r="N215" s="1115"/>
      <c r="O215" s="485"/>
      <c r="P215" s="347"/>
      <c r="Q215" s="485">
        <v>0</v>
      </c>
      <c r="R215" s="1119"/>
    </row>
    <row r="216" spans="1:18" x14ac:dyDescent="0.3">
      <c r="A216" s="485">
        <v>3.3</v>
      </c>
      <c r="B216" s="1057" t="s">
        <v>1362</v>
      </c>
      <c r="C216" s="962"/>
      <c r="D216" s="962"/>
      <c r="E216" s="1113"/>
      <c r="F216" s="347">
        <v>0</v>
      </c>
      <c r="G216" s="347">
        <v>0</v>
      </c>
      <c r="H216" s="347"/>
      <c r="I216" s="347"/>
      <c r="J216" s="347"/>
      <c r="K216" s="347"/>
      <c r="L216" s="485"/>
      <c r="M216" s="347"/>
      <c r="N216" s="1115"/>
      <c r="O216" s="485"/>
      <c r="P216" s="347"/>
      <c r="Q216" s="485">
        <v>98.53</v>
      </c>
      <c r="R216" s="1119"/>
    </row>
    <row r="217" spans="1:18" x14ac:dyDescent="0.3">
      <c r="A217" s="485">
        <v>3.4</v>
      </c>
      <c r="B217" s="1057" t="s">
        <v>1363</v>
      </c>
      <c r="C217" s="962"/>
      <c r="D217" s="962"/>
      <c r="E217" s="1113"/>
      <c r="F217" s="347">
        <v>0</v>
      </c>
      <c r="G217" s="347">
        <v>0</v>
      </c>
      <c r="H217" s="347"/>
      <c r="I217" s="347"/>
      <c r="J217" s="347"/>
      <c r="K217" s="347"/>
      <c r="L217" s="485"/>
      <c r="M217" s="347"/>
      <c r="N217" s="1115"/>
      <c r="O217" s="485"/>
      <c r="P217" s="347"/>
      <c r="Q217" s="485">
        <v>0</v>
      </c>
      <c r="R217" s="1119"/>
    </row>
    <row r="218" spans="1:18" x14ac:dyDescent="0.3">
      <c r="A218" s="485">
        <v>3.5</v>
      </c>
      <c r="B218" s="1057" t="s">
        <v>1364</v>
      </c>
      <c r="C218" s="962"/>
      <c r="D218" s="962"/>
      <c r="E218" s="1113"/>
      <c r="F218" s="347">
        <v>0</v>
      </c>
      <c r="G218" s="347">
        <v>0</v>
      </c>
      <c r="H218" s="347"/>
      <c r="I218" s="347"/>
      <c r="J218" s="347"/>
      <c r="K218" s="347"/>
      <c r="L218" s="485"/>
      <c r="M218" s="347"/>
      <c r="N218" s="1115"/>
      <c r="O218" s="485"/>
      <c r="P218" s="347"/>
      <c r="Q218" s="485">
        <v>0</v>
      </c>
      <c r="R218" s="1119"/>
    </row>
    <row r="219" spans="1:18" x14ac:dyDescent="0.3">
      <c r="A219" s="485">
        <v>3.6</v>
      </c>
      <c r="B219" s="1057" t="s">
        <v>1365</v>
      </c>
      <c r="C219" s="962"/>
      <c r="D219" s="962"/>
      <c r="E219" s="1113"/>
      <c r="F219" s="347">
        <v>0</v>
      </c>
      <c r="G219" s="347">
        <v>0</v>
      </c>
      <c r="H219" s="347"/>
      <c r="I219" s="347"/>
      <c r="J219" s="347"/>
      <c r="K219" s="347"/>
      <c r="L219" s="485"/>
      <c r="M219" s="347"/>
      <c r="N219" s="1115"/>
      <c r="O219" s="485"/>
      <c r="P219" s="347"/>
      <c r="Q219" s="485">
        <v>0</v>
      </c>
      <c r="R219" s="1119"/>
    </row>
    <row r="220" spans="1:18" x14ac:dyDescent="0.3">
      <c r="A220" s="485">
        <v>3.7</v>
      </c>
      <c r="B220" s="1057" t="s">
        <v>1366</v>
      </c>
      <c r="C220" s="962"/>
      <c r="D220" s="962"/>
      <c r="E220" s="1113"/>
      <c r="F220" s="347">
        <v>0</v>
      </c>
      <c r="G220" s="347">
        <v>0</v>
      </c>
      <c r="H220" s="347"/>
      <c r="I220" s="347"/>
      <c r="J220" s="347"/>
      <c r="K220" s="485">
        <v>0</v>
      </c>
      <c r="L220" s="485">
        <v>0</v>
      </c>
      <c r="M220" s="347"/>
      <c r="N220" s="1115"/>
      <c r="O220" s="485">
        <v>0</v>
      </c>
      <c r="P220" s="347"/>
      <c r="Q220" s="485">
        <v>0</v>
      </c>
      <c r="R220" s="1119"/>
    </row>
    <row r="221" spans="1:18" x14ac:dyDescent="0.3">
      <c r="A221" s="485"/>
      <c r="B221" s="1057"/>
      <c r="C221" s="962"/>
      <c r="D221" s="962"/>
      <c r="E221" s="1113"/>
      <c r="F221" s="347">
        <v>0</v>
      </c>
      <c r="G221" s="347">
        <v>0</v>
      </c>
      <c r="H221" s="347"/>
      <c r="I221" s="347"/>
      <c r="J221" s="347"/>
      <c r="K221" s="485">
        <v>0</v>
      </c>
      <c r="L221" s="485">
        <v>0</v>
      </c>
      <c r="M221" s="347"/>
      <c r="N221" s="1115"/>
      <c r="O221" s="485">
        <v>0</v>
      </c>
      <c r="P221" s="347"/>
      <c r="Q221" s="485">
        <v>0</v>
      </c>
      <c r="R221" s="1119"/>
    </row>
    <row r="222" spans="1:18" x14ac:dyDescent="0.3">
      <c r="A222" s="572">
        <v>4</v>
      </c>
      <c r="B222" s="1111" t="s">
        <v>145</v>
      </c>
      <c r="C222" s="1116"/>
      <c r="D222" s="1116"/>
      <c r="E222" s="1117"/>
      <c r="F222" s="340">
        <f>SUM(F195:F221)</f>
        <v>5095.1499999999996</v>
      </c>
      <c r="G222" s="340">
        <v>5095.1499999999996</v>
      </c>
      <c r="H222" s="340">
        <f t="shared" ref="H222:Q222" si="23">SUM(H195:H221)</f>
        <v>0</v>
      </c>
      <c r="I222" s="340">
        <f t="shared" si="23"/>
        <v>0</v>
      </c>
      <c r="J222" s="340">
        <f t="shared" si="23"/>
        <v>0</v>
      </c>
      <c r="K222" s="340">
        <f t="shared" si="23"/>
        <v>619.55999999999995</v>
      </c>
      <c r="L222" s="340">
        <f t="shared" si="23"/>
        <v>0</v>
      </c>
      <c r="M222" s="340">
        <f t="shared" si="23"/>
        <v>19.88757821578578</v>
      </c>
      <c r="N222" s="1118">
        <v>0</v>
      </c>
      <c r="O222" s="340">
        <f t="shared" si="23"/>
        <v>0</v>
      </c>
      <c r="P222" s="340">
        <f t="shared" si="23"/>
        <v>0</v>
      </c>
      <c r="Q222" s="340">
        <f t="shared" si="23"/>
        <v>2351.34</v>
      </c>
      <c r="R222" s="1119">
        <f>Q222/F222*10</f>
        <v>4.6148592288745185</v>
      </c>
    </row>
    <row r="223" spans="1:18" x14ac:dyDescent="0.3">
      <c r="A223" s="751">
        <v>5</v>
      </c>
      <c r="B223" s="1112" t="s">
        <v>1371</v>
      </c>
      <c r="C223" s="962"/>
      <c r="D223" s="962"/>
      <c r="E223" s="1113"/>
      <c r="F223" s="347">
        <v>0</v>
      </c>
      <c r="G223" s="347">
        <v>0</v>
      </c>
      <c r="H223" s="347">
        <v>0</v>
      </c>
      <c r="I223" s="347">
        <v>0</v>
      </c>
      <c r="J223" s="347">
        <v>0</v>
      </c>
      <c r="K223" s="347">
        <v>0</v>
      </c>
      <c r="L223" s="347">
        <v>0</v>
      </c>
      <c r="M223" s="347">
        <v>0</v>
      </c>
      <c r="N223" s="347">
        <v>0</v>
      </c>
      <c r="O223" s="347">
        <v>0</v>
      </c>
      <c r="P223" s="347">
        <v>0</v>
      </c>
      <c r="Q223" s="347">
        <v>0</v>
      </c>
      <c r="R223" s="1119"/>
    </row>
    <row r="224" spans="1:18" x14ac:dyDescent="0.3">
      <c r="A224" s="751">
        <v>6</v>
      </c>
      <c r="B224" s="1112" t="s">
        <v>1376</v>
      </c>
      <c r="C224" s="1116"/>
      <c r="D224" s="1116"/>
      <c r="E224" s="1117"/>
      <c r="F224" s="340">
        <f>F222+F223</f>
        <v>5095.1499999999996</v>
      </c>
      <c r="G224" s="340">
        <f t="shared" ref="G224:Q224" si="24">G222+G223</f>
        <v>5095.1499999999996</v>
      </c>
      <c r="H224" s="340">
        <f t="shared" si="24"/>
        <v>0</v>
      </c>
      <c r="I224" s="340">
        <f t="shared" si="24"/>
        <v>0</v>
      </c>
      <c r="J224" s="340">
        <f t="shared" si="24"/>
        <v>0</v>
      </c>
      <c r="K224" s="340">
        <f t="shared" si="24"/>
        <v>619.55999999999995</v>
      </c>
      <c r="L224" s="340">
        <f t="shared" si="24"/>
        <v>0</v>
      </c>
      <c r="M224" s="340">
        <f t="shared" si="24"/>
        <v>19.88757821578578</v>
      </c>
      <c r="N224" s="340">
        <f t="shared" si="24"/>
        <v>0</v>
      </c>
      <c r="O224" s="340">
        <f t="shared" si="24"/>
        <v>0</v>
      </c>
      <c r="P224" s="340">
        <f t="shared" si="24"/>
        <v>0</v>
      </c>
      <c r="Q224" s="340">
        <f t="shared" si="24"/>
        <v>2351.34</v>
      </c>
      <c r="R224" s="1119">
        <f>Q224/F224*10</f>
        <v>4.6148592288745185</v>
      </c>
    </row>
    <row r="225" spans="1:19" x14ac:dyDescent="0.3">
      <c r="A225" s="1355"/>
      <c r="B225" s="1120"/>
      <c r="C225" s="1121"/>
      <c r="D225" s="1121"/>
      <c r="E225" s="1122"/>
      <c r="F225" s="1123"/>
      <c r="G225" s="1123"/>
      <c r="H225" s="1123"/>
      <c r="I225" s="1123"/>
      <c r="J225" s="1123"/>
      <c r="K225" s="1123"/>
      <c r="L225" s="1123"/>
      <c r="M225" s="1123"/>
      <c r="N225" s="1123"/>
      <c r="O225" s="1123"/>
      <c r="P225" s="1123"/>
      <c r="Q225" s="1123"/>
      <c r="R225" s="1124"/>
    </row>
    <row r="226" spans="1:19" x14ac:dyDescent="0.3">
      <c r="A226" s="1355"/>
      <c r="B226" s="1120"/>
      <c r="C226" s="1121"/>
      <c r="D226" s="1121"/>
      <c r="E226" s="1122"/>
      <c r="F226" s="1123"/>
      <c r="G226" s="1123"/>
      <c r="H226" s="1123"/>
      <c r="I226" s="1123"/>
      <c r="J226" s="1123"/>
      <c r="K226" s="1123"/>
      <c r="L226" s="1123"/>
      <c r="M226" s="1123"/>
      <c r="N226" s="1123"/>
      <c r="O226" s="1123"/>
      <c r="P226" s="1123"/>
      <c r="Q226" s="1123"/>
      <c r="R226" s="1124"/>
    </row>
    <row r="227" spans="1:19" x14ac:dyDescent="0.3">
      <c r="A227" s="1355"/>
      <c r="B227" s="1120"/>
      <c r="C227" s="1121"/>
      <c r="D227" s="1121"/>
      <c r="E227" s="1122"/>
      <c r="F227" s="1123"/>
      <c r="G227" s="1123"/>
      <c r="H227" s="1123"/>
      <c r="I227" s="1123"/>
      <c r="J227" s="1123"/>
      <c r="K227" s="1123"/>
      <c r="L227" s="1123"/>
      <c r="M227" s="1123"/>
      <c r="N227" s="1123"/>
      <c r="O227" s="1123"/>
      <c r="P227" s="1123"/>
      <c r="Q227" s="1123"/>
      <c r="R227" s="1124"/>
    </row>
    <row r="228" spans="1:19" x14ac:dyDescent="0.3">
      <c r="B228" s="1126" t="s">
        <v>834</v>
      </c>
      <c r="C228" s="1095"/>
    </row>
    <row r="230" spans="1:19" ht="56" x14ac:dyDescent="0.3">
      <c r="A230" s="961" t="s">
        <v>263</v>
      </c>
      <c r="B230" s="1127" t="s">
        <v>264</v>
      </c>
      <c r="C230" s="961" t="s">
        <v>309</v>
      </c>
      <c r="D230" s="961" t="s">
        <v>265</v>
      </c>
      <c r="E230" s="961" t="s">
        <v>266</v>
      </c>
      <c r="F230" s="961" t="s">
        <v>267</v>
      </c>
      <c r="G230" s="961" t="s">
        <v>268</v>
      </c>
      <c r="H230" s="961" t="s">
        <v>310</v>
      </c>
      <c r="I230" s="961" t="s">
        <v>269</v>
      </c>
      <c r="J230" s="961" t="s">
        <v>311</v>
      </c>
      <c r="K230" s="961" t="s">
        <v>270</v>
      </c>
      <c r="L230" s="961" t="s">
        <v>271</v>
      </c>
      <c r="M230" s="961" t="s">
        <v>312</v>
      </c>
      <c r="N230" s="961" t="s">
        <v>272</v>
      </c>
      <c r="O230" s="961" t="s">
        <v>273</v>
      </c>
      <c r="P230" s="961" t="s">
        <v>274</v>
      </c>
      <c r="Q230" s="961" t="s">
        <v>431</v>
      </c>
      <c r="R230" s="961" t="s">
        <v>432</v>
      </c>
    </row>
    <row r="231" spans="1:19" s="1148" customFormat="1" x14ac:dyDescent="0.3">
      <c r="A231" s="961">
        <v>1</v>
      </c>
      <c r="B231" s="1127">
        <v>2</v>
      </c>
      <c r="C231" s="961">
        <v>3</v>
      </c>
      <c r="D231" s="961">
        <v>4</v>
      </c>
      <c r="E231" s="961">
        <v>5</v>
      </c>
      <c r="F231" s="961">
        <v>6</v>
      </c>
      <c r="G231" s="961">
        <v>7</v>
      </c>
      <c r="H231" s="961">
        <v>8</v>
      </c>
      <c r="I231" s="961">
        <v>9</v>
      </c>
      <c r="J231" s="961">
        <v>10</v>
      </c>
      <c r="K231" s="961">
        <v>11</v>
      </c>
      <c r="L231" s="961">
        <v>12</v>
      </c>
      <c r="M231" s="961">
        <v>13</v>
      </c>
      <c r="N231" s="961">
        <v>14</v>
      </c>
      <c r="O231" s="961">
        <v>15</v>
      </c>
      <c r="P231" s="961">
        <v>16</v>
      </c>
      <c r="Q231" s="961">
        <v>17</v>
      </c>
      <c r="R231" s="961">
        <v>18</v>
      </c>
    </row>
    <row r="232" spans="1:19" x14ac:dyDescent="0.3">
      <c r="A232" s="485"/>
      <c r="B232" s="1110" t="s">
        <v>313</v>
      </c>
      <c r="C232" s="962"/>
      <c r="D232" s="962"/>
      <c r="E232" s="962"/>
      <c r="F232" s="963"/>
      <c r="G232" s="963"/>
      <c r="H232" s="963"/>
      <c r="I232" s="963"/>
      <c r="J232" s="963"/>
      <c r="K232" s="347"/>
      <c r="L232" s="963"/>
      <c r="M232" s="347"/>
      <c r="N232" s="963"/>
      <c r="O232" s="963"/>
      <c r="P232" s="963"/>
      <c r="Q232" s="752"/>
      <c r="R232" s="1437"/>
    </row>
    <row r="233" spans="1:19" x14ac:dyDescent="0.3">
      <c r="A233" s="485">
        <v>1</v>
      </c>
      <c r="B233" s="1057" t="s">
        <v>922</v>
      </c>
      <c r="C233" s="1113">
        <v>1377</v>
      </c>
      <c r="D233" s="1114">
        <v>0.49142040668119102</v>
      </c>
      <c r="E233" s="1113">
        <v>676.68590000000006</v>
      </c>
      <c r="F233" s="347">
        <f>F267+F301</f>
        <v>3247.944926822438</v>
      </c>
      <c r="G233" s="347">
        <f>G267+G301</f>
        <v>3247.944926822438</v>
      </c>
      <c r="H233" s="347">
        <v>0</v>
      </c>
      <c r="I233" s="347">
        <v>0</v>
      </c>
      <c r="J233" s="347">
        <v>0</v>
      </c>
      <c r="K233" s="347">
        <f>K267+K301</f>
        <v>462.75975643073929</v>
      </c>
      <c r="L233" s="347">
        <f>L267+L301</f>
        <v>0</v>
      </c>
      <c r="M233" s="499">
        <f>N233/G233*10</f>
        <v>7.0518759943990696</v>
      </c>
      <c r="N233" s="347">
        <f>N267+N301</f>
        <v>2290.4104860589391</v>
      </c>
      <c r="O233" s="347">
        <f t="shared" ref="O233:P234" si="25">O267+O301</f>
        <v>0</v>
      </c>
      <c r="P233" s="347">
        <f t="shared" si="25"/>
        <v>0</v>
      </c>
      <c r="Q233" s="379">
        <f>SUM(K233,L233,N233,O233,P233)</f>
        <v>2753.1702424896785</v>
      </c>
      <c r="R233" s="1119">
        <f>Q233/G233*10</f>
        <v>8.4766530976348413</v>
      </c>
    </row>
    <row r="234" spans="1:19" x14ac:dyDescent="0.3">
      <c r="A234" s="485">
        <v>2</v>
      </c>
      <c r="B234" s="1057" t="s">
        <v>1624</v>
      </c>
      <c r="C234" s="1113">
        <v>20</v>
      </c>
      <c r="D234" s="1114">
        <v>1</v>
      </c>
      <c r="E234" s="1113">
        <v>20</v>
      </c>
      <c r="F234" s="347">
        <f>F268+F302</f>
        <v>31.496233149999998</v>
      </c>
      <c r="G234" s="347">
        <f>G268+G302</f>
        <v>31.496233149999998</v>
      </c>
      <c r="H234" s="347">
        <v>0</v>
      </c>
      <c r="I234" s="347">
        <v>0</v>
      </c>
      <c r="J234" s="347">
        <v>0</v>
      </c>
      <c r="K234" s="347">
        <f>K268+K302</f>
        <v>0</v>
      </c>
      <c r="L234" s="347">
        <f>L268+L302</f>
        <v>0</v>
      </c>
      <c r="M234" s="499">
        <f>N234/G234*10</f>
        <v>8.5599999990312057</v>
      </c>
      <c r="N234" s="347">
        <f>N268+N302</f>
        <v>26.960775573348659</v>
      </c>
      <c r="O234" s="347">
        <f t="shared" si="25"/>
        <v>0</v>
      </c>
      <c r="P234" s="347">
        <f t="shared" si="25"/>
        <v>0</v>
      </c>
      <c r="Q234" s="379">
        <f>SUM(K234,L234,N234,O234,P234)</f>
        <v>26.960775573348659</v>
      </c>
      <c r="R234" s="1119">
        <f>Q234/G234*10</f>
        <v>8.5599999990312057</v>
      </c>
    </row>
    <row r="235" spans="1:19" x14ac:dyDescent="0.3">
      <c r="A235" s="485"/>
      <c r="B235" s="1057"/>
      <c r="C235" s="1113"/>
      <c r="D235" s="1114"/>
      <c r="E235" s="1113"/>
      <c r="F235" s="347"/>
      <c r="G235" s="347"/>
      <c r="H235" s="347"/>
      <c r="I235" s="347"/>
      <c r="J235" s="347"/>
      <c r="K235" s="347"/>
      <c r="L235" s="485"/>
      <c r="M235" s="499"/>
      <c r="N235" s="374">
        <v>0</v>
      </c>
      <c r="O235" s="485"/>
      <c r="P235" s="1443"/>
      <c r="Q235" s="1444"/>
      <c r="R235" s="1119"/>
    </row>
    <row r="236" spans="1:19" x14ac:dyDescent="0.3">
      <c r="A236" s="485"/>
      <c r="B236" s="1111" t="s">
        <v>1625</v>
      </c>
      <c r="C236" s="1113"/>
      <c r="D236" s="1113"/>
      <c r="E236" s="1113"/>
      <c r="F236" s="347"/>
      <c r="G236" s="347"/>
      <c r="H236" s="347"/>
      <c r="I236" s="347"/>
      <c r="J236" s="347"/>
      <c r="K236" s="347"/>
      <c r="L236" s="485"/>
      <c r="M236" s="499"/>
      <c r="N236" s="1115">
        <v>0</v>
      </c>
      <c r="O236" s="485"/>
      <c r="P236" s="1443"/>
      <c r="Q236" s="1444"/>
      <c r="R236" s="1119"/>
    </row>
    <row r="237" spans="1:19" x14ac:dyDescent="0.3">
      <c r="A237" s="572">
        <v>3</v>
      </c>
      <c r="B237" s="1057" t="s">
        <v>1626</v>
      </c>
      <c r="C237" s="1113">
        <v>100</v>
      </c>
      <c r="D237" s="1113">
        <v>1</v>
      </c>
      <c r="E237" s="1113">
        <v>100</v>
      </c>
      <c r="F237" s="347">
        <f>F271+F305</f>
        <v>744.6</v>
      </c>
      <c r="G237" s="347">
        <f>G271+G305</f>
        <v>744.6</v>
      </c>
      <c r="H237" s="347">
        <v>0</v>
      </c>
      <c r="I237" s="347">
        <v>0</v>
      </c>
      <c r="J237" s="347">
        <v>0</v>
      </c>
      <c r="K237" s="347">
        <f>K271+K305</f>
        <v>151.19244507820966</v>
      </c>
      <c r="L237" s="347">
        <f>L271+L305</f>
        <v>0</v>
      </c>
      <c r="M237" s="499">
        <f>N237/G237*10</f>
        <v>2.2033199561848531</v>
      </c>
      <c r="N237" s="347">
        <f>N271+N305</f>
        <v>164.05920393752416</v>
      </c>
      <c r="O237" s="347">
        <f t="shared" ref="O237:P237" si="26">O271+O305</f>
        <v>1.3037019999999999</v>
      </c>
      <c r="P237" s="347">
        <f t="shared" si="26"/>
        <v>-2.5041380000000002</v>
      </c>
      <c r="Q237" s="379">
        <f>SUM(K237,L237,N237,O237,P237)</f>
        <v>314.05121301573382</v>
      </c>
      <c r="R237" s="1119">
        <f>Q237/G237*10</f>
        <v>4.2177170697788586</v>
      </c>
    </row>
    <row r="238" spans="1:19" x14ac:dyDescent="0.3">
      <c r="A238" s="485"/>
      <c r="B238" s="1057"/>
      <c r="C238" s="1113"/>
      <c r="D238" s="1113"/>
      <c r="E238" s="1113"/>
      <c r="F238" s="347"/>
      <c r="G238" s="347"/>
      <c r="H238" s="347"/>
      <c r="I238" s="347"/>
      <c r="J238" s="347"/>
      <c r="K238" s="347"/>
      <c r="L238" s="485"/>
      <c r="M238" s="499"/>
      <c r="N238" s="499">
        <v>0</v>
      </c>
      <c r="O238" s="485"/>
      <c r="P238" s="1443"/>
      <c r="Q238" s="1444"/>
      <c r="R238" s="1119"/>
    </row>
    <row r="239" spans="1:19" x14ac:dyDescent="0.3">
      <c r="A239" s="485"/>
      <c r="B239" s="1111" t="s">
        <v>314</v>
      </c>
      <c r="C239" s="1113"/>
      <c r="D239" s="1113"/>
      <c r="E239" s="1113"/>
      <c r="F239" s="347"/>
      <c r="G239" s="347"/>
      <c r="H239" s="347"/>
      <c r="I239" s="347"/>
      <c r="J239" s="347"/>
      <c r="K239" s="347"/>
      <c r="L239" s="485"/>
      <c r="M239" s="499"/>
      <c r="N239" s="1115">
        <v>0</v>
      </c>
      <c r="O239" s="485"/>
      <c r="P239" s="1443"/>
      <c r="Q239" s="1444"/>
      <c r="R239" s="1119"/>
      <c r="S239" s="425"/>
    </row>
    <row r="240" spans="1:19" x14ac:dyDescent="0.3">
      <c r="A240" s="485">
        <v>4</v>
      </c>
      <c r="B240" s="1057" t="s">
        <v>924</v>
      </c>
      <c r="C240" s="1113">
        <v>0</v>
      </c>
      <c r="D240" s="1113">
        <v>0</v>
      </c>
      <c r="E240" s="1113">
        <v>0</v>
      </c>
      <c r="F240" s="347">
        <f t="shared" ref="F240:G257" si="27">F274+F308</f>
        <v>220.35999999999999</v>
      </c>
      <c r="G240" s="347">
        <f t="shared" si="27"/>
        <v>220.35999999999999</v>
      </c>
      <c r="H240" s="347">
        <v>0</v>
      </c>
      <c r="I240" s="347">
        <v>0</v>
      </c>
      <c r="J240" s="347">
        <v>0</v>
      </c>
      <c r="K240" s="347">
        <f t="shared" ref="K240:L257" si="28">K274+K308</f>
        <v>0</v>
      </c>
      <c r="L240" s="347">
        <f t="shared" si="28"/>
        <v>0</v>
      </c>
      <c r="M240" s="499">
        <f t="shared" ref="M240:M249" si="29">N240/G240*10</f>
        <v>5.6609285012009112</v>
      </c>
      <c r="N240" s="347">
        <f t="shared" ref="N240:N257" si="30">N274+N308</f>
        <v>124.74422045246328</v>
      </c>
      <c r="O240" s="347">
        <f t="shared" ref="O240:P257" si="31">O274+O308</f>
        <v>0</v>
      </c>
      <c r="P240" s="347">
        <f t="shared" si="31"/>
        <v>0</v>
      </c>
      <c r="Q240" s="379">
        <f t="shared" ref="Q240:Q257" si="32">SUM(K240,L240,N240,O240,P240)</f>
        <v>124.74422045246328</v>
      </c>
      <c r="R240" s="1119">
        <f t="shared" ref="R240:R249" si="33">Q240/G240*10</f>
        <v>5.6609285012009112</v>
      </c>
    </row>
    <row r="241" spans="1:18" x14ac:dyDescent="0.3">
      <c r="A241" s="485">
        <v>5</v>
      </c>
      <c r="B241" s="1057" t="s">
        <v>1344</v>
      </c>
      <c r="C241" s="1113">
        <v>0</v>
      </c>
      <c r="D241" s="1113">
        <v>0</v>
      </c>
      <c r="E241" s="1113">
        <v>0</v>
      </c>
      <c r="F241" s="347">
        <f t="shared" si="27"/>
        <v>77.394939538999992</v>
      </c>
      <c r="G241" s="347">
        <f t="shared" si="27"/>
        <v>77.394939538999992</v>
      </c>
      <c r="H241" s="347">
        <v>0</v>
      </c>
      <c r="I241" s="347">
        <v>0</v>
      </c>
      <c r="J241" s="347">
        <v>0</v>
      </c>
      <c r="K241" s="347">
        <f t="shared" si="28"/>
        <v>0</v>
      </c>
      <c r="L241" s="347">
        <f t="shared" si="28"/>
        <v>0</v>
      </c>
      <c r="M241" s="499">
        <f t="shared" si="29"/>
        <v>5.4935664388109116</v>
      </c>
      <c r="N241" s="347">
        <f t="shared" si="30"/>
        <v>42.517424238525003</v>
      </c>
      <c r="O241" s="347">
        <f t="shared" si="31"/>
        <v>0</v>
      </c>
      <c r="P241" s="347">
        <f t="shared" si="31"/>
        <v>0</v>
      </c>
      <c r="Q241" s="379">
        <f t="shared" si="32"/>
        <v>42.517424238525003</v>
      </c>
      <c r="R241" s="1119">
        <f t="shared" si="33"/>
        <v>5.4935664388109116</v>
      </c>
    </row>
    <row r="242" spans="1:18" x14ac:dyDescent="0.3">
      <c r="A242" s="485">
        <v>6</v>
      </c>
      <c r="B242" s="1057" t="s">
        <v>1336</v>
      </c>
      <c r="C242" s="1113">
        <v>0</v>
      </c>
      <c r="D242" s="1113">
        <v>0</v>
      </c>
      <c r="E242" s="1113">
        <v>0</v>
      </c>
      <c r="F242" s="347">
        <f t="shared" si="27"/>
        <v>452.93200636024994</v>
      </c>
      <c r="G242" s="347">
        <f t="shared" si="27"/>
        <v>452.93200636024994</v>
      </c>
      <c r="H242" s="347">
        <v>0</v>
      </c>
      <c r="I242" s="347">
        <v>0</v>
      </c>
      <c r="J242" s="347">
        <v>0</v>
      </c>
      <c r="K242" s="347">
        <f t="shared" si="28"/>
        <v>0</v>
      </c>
      <c r="L242" s="347">
        <f t="shared" si="28"/>
        <v>0</v>
      </c>
      <c r="M242" s="499">
        <f t="shared" si="29"/>
        <v>5.7530126560645343</v>
      </c>
      <c r="N242" s="347">
        <f t="shared" si="30"/>
        <v>260.57235649272201</v>
      </c>
      <c r="O242" s="347">
        <f t="shared" si="31"/>
        <v>0</v>
      </c>
      <c r="P242" s="347">
        <f t="shared" si="31"/>
        <v>0</v>
      </c>
      <c r="Q242" s="379">
        <f t="shared" si="32"/>
        <v>260.57235649272201</v>
      </c>
      <c r="R242" s="1119">
        <f t="shared" si="33"/>
        <v>5.7530126560645343</v>
      </c>
    </row>
    <row r="243" spans="1:18" x14ac:dyDescent="0.3">
      <c r="A243" s="485">
        <v>7</v>
      </c>
      <c r="B243" s="1057" t="s">
        <v>1338</v>
      </c>
      <c r="C243" s="1113">
        <v>0</v>
      </c>
      <c r="D243" s="1113">
        <v>0</v>
      </c>
      <c r="E243" s="1113">
        <v>0</v>
      </c>
      <c r="F243" s="347">
        <f t="shared" si="27"/>
        <v>-5.2579075</v>
      </c>
      <c r="G243" s="347">
        <f t="shared" si="27"/>
        <v>-5.2579075</v>
      </c>
      <c r="H243" s="347">
        <v>0</v>
      </c>
      <c r="I243" s="347">
        <v>0</v>
      </c>
      <c r="J243" s="347">
        <v>0</v>
      </c>
      <c r="K243" s="347">
        <f t="shared" si="28"/>
        <v>0</v>
      </c>
      <c r="L243" s="347">
        <f t="shared" si="28"/>
        <v>0</v>
      </c>
      <c r="M243" s="499">
        <f t="shared" si="29"/>
        <v>11.138370680731832</v>
      </c>
      <c r="N243" s="347">
        <f t="shared" si="30"/>
        <v>-5.8564522740000005</v>
      </c>
      <c r="O243" s="347">
        <f t="shared" si="31"/>
        <v>0</v>
      </c>
      <c r="P243" s="347">
        <f t="shared" si="31"/>
        <v>0</v>
      </c>
      <c r="Q243" s="379">
        <f t="shared" si="32"/>
        <v>-5.8564522740000005</v>
      </c>
      <c r="R243" s="1119">
        <f t="shared" si="33"/>
        <v>11.138370680731832</v>
      </c>
    </row>
    <row r="244" spans="1:18" x14ac:dyDescent="0.3">
      <c r="A244" s="485">
        <v>8</v>
      </c>
      <c r="B244" s="1057" t="s">
        <v>1990</v>
      </c>
      <c r="C244" s="1113">
        <v>0</v>
      </c>
      <c r="D244" s="1113">
        <v>0</v>
      </c>
      <c r="E244" s="1113">
        <v>0</v>
      </c>
      <c r="F244" s="347">
        <f t="shared" si="27"/>
        <v>20.555253937191047</v>
      </c>
      <c r="G244" s="347">
        <f t="shared" si="27"/>
        <v>20.555253937191047</v>
      </c>
      <c r="H244" s="347">
        <v>0</v>
      </c>
      <c r="I244" s="347">
        <v>0</v>
      </c>
      <c r="J244" s="347">
        <v>0</v>
      </c>
      <c r="K244" s="347">
        <f t="shared" si="28"/>
        <v>0</v>
      </c>
      <c r="L244" s="347">
        <f t="shared" si="28"/>
        <v>0</v>
      </c>
      <c r="M244" s="499">
        <f t="shared" si="29"/>
        <v>4.3287066705756523</v>
      </c>
      <c r="N244" s="347">
        <f t="shared" si="30"/>
        <v>8.8977664833295336</v>
      </c>
      <c r="O244" s="347">
        <f t="shared" si="31"/>
        <v>0</v>
      </c>
      <c r="P244" s="347">
        <f t="shared" si="31"/>
        <v>0</v>
      </c>
      <c r="Q244" s="379">
        <f t="shared" si="32"/>
        <v>8.8977664833295336</v>
      </c>
      <c r="R244" s="1119">
        <f t="shared" si="33"/>
        <v>4.3287066705756523</v>
      </c>
    </row>
    <row r="245" spans="1:18" x14ac:dyDescent="0.3">
      <c r="A245" s="485">
        <v>9</v>
      </c>
      <c r="B245" s="1057" t="s">
        <v>1989</v>
      </c>
      <c r="C245" s="1113">
        <v>0</v>
      </c>
      <c r="D245" s="1113">
        <v>0</v>
      </c>
      <c r="E245" s="1113">
        <v>0</v>
      </c>
      <c r="F245" s="347">
        <f t="shared" si="27"/>
        <v>113.83564606280898</v>
      </c>
      <c r="G245" s="347">
        <f t="shared" si="27"/>
        <v>113.83564606280898</v>
      </c>
      <c r="H245" s="347">
        <v>0</v>
      </c>
      <c r="I245" s="347">
        <v>0</v>
      </c>
      <c r="J245" s="347">
        <v>0</v>
      </c>
      <c r="K245" s="347">
        <f t="shared" si="28"/>
        <v>0</v>
      </c>
      <c r="L245" s="347">
        <f t="shared" si="28"/>
        <v>0</v>
      </c>
      <c r="M245" s="499">
        <f t="shared" si="29"/>
        <v>4.3329461271830265</v>
      </c>
      <c r="N245" s="347">
        <f t="shared" si="30"/>
        <v>49.324372174322583</v>
      </c>
      <c r="O245" s="347">
        <f t="shared" si="31"/>
        <v>0</v>
      </c>
      <c r="P245" s="347">
        <f t="shared" si="31"/>
        <v>0</v>
      </c>
      <c r="Q245" s="379">
        <f t="shared" si="32"/>
        <v>49.324372174322583</v>
      </c>
      <c r="R245" s="1119">
        <f t="shared" si="33"/>
        <v>4.3329461271830265</v>
      </c>
    </row>
    <row r="246" spans="1:18" x14ac:dyDescent="0.3">
      <c r="A246" s="485">
        <v>10</v>
      </c>
      <c r="B246" s="1057" t="s">
        <v>1340</v>
      </c>
      <c r="C246" s="1113">
        <v>0</v>
      </c>
      <c r="D246" s="1113">
        <v>0</v>
      </c>
      <c r="E246" s="1113">
        <v>0</v>
      </c>
      <c r="F246" s="347">
        <f t="shared" si="27"/>
        <v>7.1011532500000003</v>
      </c>
      <c r="G246" s="347">
        <f t="shared" si="27"/>
        <v>7.1011532500000003</v>
      </c>
      <c r="H246" s="347">
        <v>0</v>
      </c>
      <c r="I246" s="347">
        <v>0</v>
      </c>
      <c r="J246" s="347">
        <v>0</v>
      </c>
      <c r="K246" s="347">
        <f t="shared" si="28"/>
        <v>0</v>
      </c>
      <c r="L246" s="347">
        <f t="shared" si="28"/>
        <v>0</v>
      </c>
      <c r="M246" s="499">
        <f t="shared" si="29"/>
        <v>0</v>
      </c>
      <c r="N246" s="347">
        <f t="shared" si="30"/>
        <v>0</v>
      </c>
      <c r="O246" s="347">
        <f t="shared" si="31"/>
        <v>0</v>
      </c>
      <c r="P246" s="347">
        <f t="shared" si="31"/>
        <v>0</v>
      </c>
      <c r="Q246" s="379">
        <f t="shared" si="32"/>
        <v>0</v>
      </c>
      <c r="R246" s="1119">
        <f t="shared" si="33"/>
        <v>0</v>
      </c>
    </row>
    <row r="247" spans="1:18" x14ac:dyDescent="0.3">
      <c r="A247" s="485">
        <v>11</v>
      </c>
      <c r="B247" s="1057" t="s">
        <v>1446</v>
      </c>
      <c r="C247" s="1113">
        <v>0</v>
      </c>
      <c r="D247" s="1113">
        <v>0</v>
      </c>
      <c r="E247" s="1113">
        <v>0</v>
      </c>
      <c r="F247" s="347">
        <f t="shared" si="27"/>
        <v>-20.128032842228563</v>
      </c>
      <c r="G247" s="347">
        <f t="shared" si="27"/>
        <v>-20.128032842228563</v>
      </c>
      <c r="H247" s="347">
        <v>0</v>
      </c>
      <c r="I247" s="347">
        <v>0</v>
      </c>
      <c r="J247" s="347">
        <v>0</v>
      </c>
      <c r="K247" s="347">
        <f t="shared" si="28"/>
        <v>0</v>
      </c>
      <c r="L247" s="347">
        <f t="shared" si="28"/>
        <v>0</v>
      </c>
      <c r="M247" s="499">
        <f t="shared" si="29"/>
        <v>-2.5446740687502007</v>
      </c>
      <c r="N247" s="347">
        <f t="shared" si="30"/>
        <v>5.1219283228571424</v>
      </c>
      <c r="O247" s="347">
        <f t="shared" si="31"/>
        <v>0</v>
      </c>
      <c r="P247" s="347">
        <f t="shared" si="31"/>
        <v>0</v>
      </c>
      <c r="Q247" s="379">
        <f t="shared" si="32"/>
        <v>5.1219283228571424</v>
      </c>
      <c r="R247" s="1119">
        <f t="shared" si="33"/>
        <v>-2.5446740687502007</v>
      </c>
    </row>
    <row r="248" spans="1:18" x14ac:dyDescent="0.3">
      <c r="A248" s="485">
        <v>12</v>
      </c>
      <c r="B248" s="1057" t="s">
        <v>1349</v>
      </c>
      <c r="C248" s="1113">
        <v>0</v>
      </c>
      <c r="D248" s="1113">
        <v>0</v>
      </c>
      <c r="E248" s="1113">
        <v>0</v>
      </c>
      <c r="F248" s="347">
        <f t="shared" si="27"/>
        <v>19.725877840684689</v>
      </c>
      <c r="G248" s="347">
        <f t="shared" si="27"/>
        <v>19.725877840684689</v>
      </c>
      <c r="H248" s="347">
        <v>0</v>
      </c>
      <c r="I248" s="347">
        <v>0</v>
      </c>
      <c r="J248" s="347">
        <v>0</v>
      </c>
      <c r="K248" s="347">
        <f t="shared" si="28"/>
        <v>0</v>
      </c>
      <c r="L248" s="347">
        <f t="shared" si="28"/>
        <v>0</v>
      </c>
      <c r="M248" s="499">
        <f t="shared" si="29"/>
        <v>0</v>
      </c>
      <c r="N248" s="347">
        <f t="shared" si="30"/>
        <v>0</v>
      </c>
      <c r="O248" s="347">
        <f t="shared" si="31"/>
        <v>0</v>
      </c>
      <c r="P248" s="347">
        <f t="shared" si="31"/>
        <v>0</v>
      </c>
      <c r="Q248" s="379">
        <f t="shared" si="32"/>
        <v>0</v>
      </c>
      <c r="R248" s="1119">
        <f t="shared" si="33"/>
        <v>0</v>
      </c>
    </row>
    <row r="249" spans="1:18" x14ac:dyDescent="0.3">
      <c r="A249" s="485">
        <v>13</v>
      </c>
      <c r="B249" s="1057" t="s">
        <v>1524</v>
      </c>
      <c r="C249" s="1113">
        <v>0</v>
      </c>
      <c r="D249" s="1113">
        <v>0</v>
      </c>
      <c r="E249" s="1113">
        <v>0</v>
      </c>
      <c r="F249" s="347">
        <f t="shared" si="27"/>
        <v>-1.1441940000000002</v>
      </c>
      <c r="G249" s="347">
        <f t="shared" si="27"/>
        <v>-1.1441940000000002</v>
      </c>
      <c r="H249" s="347">
        <v>0</v>
      </c>
      <c r="I249" s="347">
        <v>0</v>
      </c>
      <c r="J249" s="347">
        <v>0</v>
      </c>
      <c r="K249" s="347">
        <f t="shared" si="28"/>
        <v>0</v>
      </c>
      <c r="L249" s="347">
        <f t="shared" si="28"/>
        <v>0</v>
      </c>
      <c r="M249" s="499">
        <f t="shared" si="29"/>
        <v>11.981215598054174</v>
      </c>
      <c r="N249" s="347">
        <f t="shared" si="30"/>
        <v>-1.3708834999999999</v>
      </c>
      <c r="O249" s="347">
        <f t="shared" si="31"/>
        <v>0</v>
      </c>
      <c r="P249" s="347">
        <f t="shared" si="31"/>
        <v>0</v>
      </c>
      <c r="Q249" s="379">
        <f t="shared" si="32"/>
        <v>-1.3708834999999999</v>
      </c>
      <c r="R249" s="1119">
        <f t="shared" si="33"/>
        <v>11.981215598054174</v>
      </c>
    </row>
    <row r="250" spans="1:18" x14ac:dyDescent="0.3">
      <c r="A250" s="485">
        <v>14</v>
      </c>
      <c r="B250" s="1057" t="s">
        <v>927</v>
      </c>
      <c r="C250" s="1113"/>
      <c r="D250" s="1113"/>
      <c r="E250" s="1113"/>
      <c r="F250" s="347">
        <f t="shared" si="27"/>
        <v>0</v>
      </c>
      <c r="G250" s="347">
        <f t="shared" si="27"/>
        <v>0</v>
      </c>
      <c r="H250" s="347">
        <v>0</v>
      </c>
      <c r="I250" s="347">
        <v>0</v>
      </c>
      <c r="J250" s="347">
        <v>0</v>
      </c>
      <c r="K250" s="347">
        <f t="shared" si="28"/>
        <v>0</v>
      </c>
      <c r="L250" s="347">
        <f t="shared" si="28"/>
        <v>0</v>
      </c>
      <c r="M250" s="499"/>
      <c r="N250" s="347">
        <f t="shared" si="30"/>
        <v>0</v>
      </c>
      <c r="O250" s="347">
        <f t="shared" si="31"/>
        <v>0</v>
      </c>
      <c r="P250" s="347">
        <f t="shared" si="31"/>
        <v>98.53</v>
      </c>
      <c r="Q250" s="379">
        <f t="shared" si="32"/>
        <v>98.53</v>
      </c>
      <c r="R250" s="1119"/>
    </row>
    <row r="251" spans="1:18" x14ac:dyDescent="0.3">
      <c r="A251" s="572">
        <v>17</v>
      </c>
      <c r="B251" s="1111" t="s">
        <v>1363</v>
      </c>
      <c r="C251" s="1113"/>
      <c r="D251" s="1113"/>
      <c r="E251" s="1113"/>
      <c r="F251" s="347">
        <f t="shared" si="27"/>
        <v>0</v>
      </c>
      <c r="G251" s="347">
        <f t="shared" si="27"/>
        <v>0</v>
      </c>
      <c r="H251" s="347">
        <v>0</v>
      </c>
      <c r="I251" s="347">
        <v>0</v>
      </c>
      <c r="J251" s="347">
        <v>0</v>
      </c>
      <c r="K251" s="347">
        <f t="shared" si="28"/>
        <v>0</v>
      </c>
      <c r="L251" s="347">
        <f t="shared" si="28"/>
        <v>0</v>
      </c>
      <c r="M251" s="499"/>
      <c r="N251" s="347">
        <f t="shared" si="30"/>
        <v>0</v>
      </c>
      <c r="O251" s="347">
        <f t="shared" si="31"/>
        <v>0</v>
      </c>
      <c r="P251" s="347">
        <f t="shared" si="31"/>
        <v>0</v>
      </c>
      <c r="Q251" s="379">
        <f t="shared" si="32"/>
        <v>0</v>
      </c>
      <c r="R251" s="1119"/>
    </row>
    <row r="252" spans="1:18" x14ac:dyDescent="0.3">
      <c r="A252" s="485">
        <v>18</v>
      </c>
      <c r="B252" s="1057" t="s">
        <v>1364</v>
      </c>
      <c r="C252" s="1113"/>
      <c r="D252" s="1113"/>
      <c r="E252" s="1113"/>
      <c r="F252" s="347">
        <f t="shared" si="27"/>
        <v>0</v>
      </c>
      <c r="G252" s="347">
        <f t="shared" si="27"/>
        <v>0</v>
      </c>
      <c r="H252" s="347">
        <v>0</v>
      </c>
      <c r="I252" s="347">
        <v>0</v>
      </c>
      <c r="J252" s="347">
        <v>0</v>
      </c>
      <c r="K252" s="347">
        <f t="shared" si="28"/>
        <v>0</v>
      </c>
      <c r="L252" s="347">
        <f t="shared" si="28"/>
        <v>0</v>
      </c>
      <c r="M252" s="499"/>
      <c r="N252" s="347">
        <f t="shared" si="30"/>
        <v>-0.21186464894999998</v>
      </c>
      <c r="O252" s="347">
        <f t="shared" si="31"/>
        <v>0</v>
      </c>
      <c r="P252" s="347">
        <f t="shared" si="31"/>
        <v>0</v>
      </c>
      <c r="Q252" s="379">
        <f t="shared" si="32"/>
        <v>-0.21186464894999998</v>
      </c>
      <c r="R252" s="1119"/>
    </row>
    <row r="253" spans="1:18" x14ac:dyDescent="0.3">
      <c r="A253" s="485">
        <v>19</v>
      </c>
      <c r="B253" s="1057" t="s">
        <v>1365</v>
      </c>
      <c r="C253" s="1113"/>
      <c r="D253" s="1113"/>
      <c r="E253" s="1113"/>
      <c r="F253" s="347">
        <f t="shared" si="27"/>
        <v>0</v>
      </c>
      <c r="G253" s="347">
        <f t="shared" si="27"/>
        <v>0</v>
      </c>
      <c r="H253" s="347">
        <v>0</v>
      </c>
      <c r="I253" s="347">
        <v>0</v>
      </c>
      <c r="J253" s="347">
        <v>0</v>
      </c>
      <c r="K253" s="347">
        <f t="shared" si="28"/>
        <v>0</v>
      </c>
      <c r="L253" s="347">
        <f t="shared" si="28"/>
        <v>0</v>
      </c>
      <c r="M253" s="499"/>
      <c r="N253" s="347">
        <f t="shared" si="30"/>
        <v>-1.2835999979999999</v>
      </c>
      <c r="O253" s="347">
        <f t="shared" si="31"/>
        <v>0</v>
      </c>
      <c r="P253" s="347">
        <f t="shared" si="31"/>
        <v>0</v>
      </c>
      <c r="Q253" s="379">
        <f t="shared" si="32"/>
        <v>-1.2835999979999999</v>
      </c>
      <c r="R253" s="1119"/>
    </row>
    <row r="254" spans="1:18" x14ac:dyDescent="0.3">
      <c r="A254" s="485">
        <v>20</v>
      </c>
      <c r="B254" s="1057" t="s">
        <v>1366</v>
      </c>
      <c r="C254" s="1113"/>
      <c r="D254" s="1113"/>
      <c r="E254" s="1113"/>
      <c r="F254" s="347">
        <f t="shared" si="27"/>
        <v>0</v>
      </c>
      <c r="G254" s="347">
        <f t="shared" si="27"/>
        <v>0</v>
      </c>
      <c r="H254" s="347">
        <v>0</v>
      </c>
      <c r="I254" s="347">
        <v>0</v>
      </c>
      <c r="J254" s="347">
        <v>0</v>
      </c>
      <c r="K254" s="347">
        <f t="shared" si="28"/>
        <v>0</v>
      </c>
      <c r="L254" s="347">
        <f t="shared" si="28"/>
        <v>0</v>
      </c>
      <c r="M254" s="499"/>
      <c r="N254" s="347">
        <f t="shared" si="30"/>
        <v>-6.3629999999999997E-3</v>
      </c>
      <c r="O254" s="347">
        <f t="shared" si="31"/>
        <v>0</v>
      </c>
      <c r="P254" s="347">
        <f t="shared" si="31"/>
        <v>0</v>
      </c>
      <c r="Q254" s="379">
        <f t="shared" si="32"/>
        <v>-6.3629999999999997E-3</v>
      </c>
      <c r="R254" s="1119"/>
    </row>
    <row r="255" spans="1:18" ht="28" x14ac:dyDescent="0.3">
      <c r="A255" s="485">
        <v>21</v>
      </c>
      <c r="B255" s="1057" t="s">
        <v>1525</v>
      </c>
      <c r="C255" s="1113"/>
      <c r="D255" s="1113"/>
      <c r="E255" s="1113"/>
      <c r="F255" s="347">
        <f t="shared" si="27"/>
        <v>0</v>
      </c>
      <c r="G255" s="347">
        <f t="shared" si="27"/>
        <v>0</v>
      </c>
      <c r="H255" s="347">
        <v>0</v>
      </c>
      <c r="I255" s="347">
        <v>0</v>
      </c>
      <c r="J255" s="347">
        <v>0</v>
      </c>
      <c r="K255" s="347">
        <f t="shared" si="28"/>
        <v>0</v>
      </c>
      <c r="L255" s="347">
        <f t="shared" si="28"/>
        <v>0</v>
      </c>
      <c r="M255" s="499"/>
      <c r="N255" s="347">
        <f t="shared" si="30"/>
        <v>1.1646564E-2</v>
      </c>
      <c r="O255" s="347">
        <f t="shared" si="31"/>
        <v>0</v>
      </c>
      <c r="P255" s="347">
        <f t="shared" si="31"/>
        <v>0</v>
      </c>
      <c r="Q255" s="379">
        <f t="shared" si="32"/>
        <v>1.1646564E-2</v>
      </c>
      <c r="R255" s="1119"/>
    </row>
    <row r="256" spans="1:18" x14ac:dyDescent="0.3">
      <c r="A256" s="485">
        <v>22</v>
      </c>
      <c r="B256" s="1057" t="s">
        <v>1526</v>
      </c>
      <c r="C256" s="1113"/>
      <c r="D256" s="1113"/>
      <c r="E256" s="1113"/>
      <c r="F256" s="347">
        <f t="shared" si="27"/>
        <v>0</v>
      </c>
      <c r="G256" s="347">
        <f t="shared" si="27"/>
        <v>0</v>
      </c>
      <c r="H256" s="347">
        <v>0</v>
      </c>
      <c r="I256" s="347">
        <v>0</v>
      </c>
      <c r="J256" s="347">
        <v>0</v>
      </c>
      <c r="K256" s="347">
        <f t="shared" si="28"/>
        <v>0</v>
      </c>
      <c r="L256" s="347">
        <f t="shared" si="28"/>
        <v>0</v>
      </c>
      <c r="M256" s="499"/>
      <c r="N256" s="347">
        <f t="shared" si="30"/>
        <v>5.3528649999998509E-3</v>
      </c>
      <c r="O256" s="347">
        <f t="shared" si="31"/>
        <v>0</v>
      </c>
      <c r="P256" s="347">
        <f t="shared" si="31"/>
        <v>0</v>
      </c>
      <c r="Q256" s="379">
        <f t="shared" si="32"/>
        <v>5.3528649999998509E-3</v>
      </c>
      <c r="R256" s="1119"/>
    </row>
    <row r="257" spans="1:18" x14ac:dyDescent="0.3">
      <c r="A257" s="485">
        <v>23</v>
      </c>
      <c r="B257" s="1057" t="s">
        <v>1527</v>
      </c>
      <c r="C257" s="1113"/>
      <c r="D257" s="1113"/>
      <c r="E257" s="1113"/>
      <c r="F257" s="347">
        <f t="shared" si="27"/>
        <v>0</v>
      </c>
      <c r="G257" s="347">
        <f t="shared" si="27"/>
        <v>0</v>
      </c>
      <c r="H257" s="347">
        <v>0</v>
      </c>
      <c r="I257" s="347">
        <v>0</v>
      </c>
      <c r="J257" s="347">
        <v>0</v>
      </c>
      <c r="K257" s="347">
        <f t="shared" si="28"/>
        <v>0</v>
      </c>
      <c r="L257" s="347">
        <f t="shared" si="28"/>
        <v>0</v>
      </c>
      <c r="M257" s="499"/>
      <c r="N257" s="347">
        <f t="shared" si="30"/>
        <v>-0.34870539999999994</v>
      </c>
      <c r="O257" s="347">
        <f t="shared" si="31"/>
        <v>0</v>
      </c>
      <c r="P257" s="347">
        <f t="shared" si="31"/>
        <v>0</v>
      </c>
      <c r="Q257" s="379">
        <f t="shared" si="32"/>
        <v>-0.34870539999999994</v>
      </c>
      <c r="R257" s="1119"/>
    </row>
    <row r="258" spans="1:18" x14ac:dyDescent="0.3">
      <c r="A258" s="485"/>
      <c r="B258" s="1057"/>
      <c r="C258" s="1113"/>
      <c r="D258" s="1113"/>
      <c r="E258" s="1113"/>
      <c r="F258" s="347"/>
      <c r="G258" s="347"/>
      <c r="H258" s="347"/>
      <c r="I258" s="347"/>
      <c r="J258" s="347"/>
      <c r="K258" s="485"/>
      <c r="L258" s="485"/>
      <c r="M258" s="347"/>
      <c r="N258" s="1115"/>
      <c r="O258" s="485"/>
      <c r="P258" s="1443"/>
      <c r="Q258" s="1444"/>
      <c r="R258" s="1119"/>
    </row>
    <row r="259" spans="1:18" x14ac:dyDescent="0.3">
      <c r="A259" s="572">
        <v>24</v>
      </c>
      <c r="B259" s="1111" t="s">
        <v>145</v>
      </c>
      <c r="C259" s="1117"/>
      <c r="D259" s="1117"/>
      <c r="E259" s="1117">
        <f t="shared" ref="E259:N259" si="34">SUM(E233:E258)</f>
        <v>796.68590000000006</v>
      </c>
      <c r="F259" s="1117">
        <f t="shared" si="34"/>
        <v>4909.4159026201432</v>
      </c>
      <c r="G259" s="1117">
        <f t="shared" si="34"/>
        <v>4909.4159026201432</v>
      </c>
      <c r="H259" s="1117">
        <f t="shared" si="34"/>
        <v>0</v>
      </c>
      <c r="I259" s="1117">
        <f t="shared" si="34"/>
        <v>0</v>
      </c>
      <c r="J259" s="1117">
        <f t="shared" si="34"/>
        <v>0</v>
      </c>
      <c r="K259" s="1117">
        <f t="shared" si="34"/>
        <v>613.95220150894897</v>
      </c>
      <c r="L259" s="1117">
        <f t="shared" si="34"/>
        <v>0</v>
      </c>
      <c r="M259" s="1117">
        <f t="shared" si="34"/>
        <v>63.95926855348597</v>
      </c>
      <c r="N259" s="1117">
        <f t="shared" si="34"/>
        <v>2963.5476643420811</v>
      </c>
      <c r="O259" s="1117"/>
      <c r="P259" s="1117">
        <f>SUM(P233:P258)</f>
        <v>96.025862000000004</v>
      </c>
      <c r="Q259" s="1117">
        <v>3674.8371542762816</v>
      </c>
      <c r="R259" s="1119">
        <f>Q259/G259*10</f>
        <v>7.4852838446932761</v>
      </c>
    </row>
    <row r="260" spans="1:18" x14ac:dyDescent="0.3">
      <c r="A260" s="1355"/>
      <c r="B260" s="1120"/>
      <c r="C260" s="1121"/>
      <c r="D260" s="1121"/>
      <c r="E260" s="1122"/>
      <c r="F260" s="1123">
        <f>F2.1!Q122-F259</f>
        <v>0</v>
      </c>
      <c r="G260" s="1123"/>
      <c r="H260" s="1123"/>
      <c r="I260" s="1123"/>
      <c r="J260" s="1123"/>
      <c r="K260" s="1123"/>
      <c r="L260" s="1123"/>
      <c r="M260" s="1123"/>
      <c r="N260" s="1123"/>
      <c r="O260" s="1123"/>
      <c r="P260" s="1123"/>
      <c r="Q260" s="1123"/>
      <c r="R260" s="1124"/>
    </row>
    <row r="261" spans="1:18" x14ac:dyDescent="0.3">
      <c r="A261" s="1620"/>
      <c r="B261" s="1120"/>
      <c r="C261" s="1121"/>
      <c r="D261" s="1121"/>
      <c r="E261" s="1122"/>
      <c r="F261" s="1123"/>
      <c r="G261" s="1123"/>
      <c r="H261" s="1123"/>
      <c r="I261" s="1123"/>
      <c r="J261" s="1123"/>
      <c r="K261" s="1123"/>
      <c r="L261" s="1123"/>
      <c r="M261" s="1123"/>
      <c r="N261" s="1123"/>
      <c r="O261" s="1123"/>
      <c r="P261" s="1123"/>
      <c r="Q261" s="1123"/>
      <c r="R261" s="1124"/>
    </row>
    <row r="262" spans="1:18" x14ac:dyDescent="0.3">
      <c r="B262" s="1126" t="s">
        <v>1786</v>
      </c>
      <c r="C262" s="1619"/>
    </row>
    <row r="264" spans="1:18" ht="56" x14ac:dyDescent="0.3">
      <c r="A264" s="961" t="s">
        <v>263</v>
      </c>
      <c r="B264" s="1127" t="s">
        <v>264</v>
      </c>
      <c r="C264" s="961" t="s">
        <v>309</v>
      </c>
      <c r="D264" s="961" t="s">
        <v>265</v>
      </c>
      <c r="E264" s="961" t="s">
        <v>266</v>
      </c>
      <c r="F264" s="961" t="s">
        <v>267</v>
      </c>
      <c r="G264" s="961" t="s">
        <v>268</v>
      </c>
      <c r="H264" s="961" t="s">
        <v>310</v>
      </c>
      <c r="I264" s="961" t="s">
        <v>269</v>
      </c>
      <c r="J264" s="961" t="s">
        <v>311</v>
      </c>
      <c r="K264" s="961" t="s">
        <v>270</v>
      </c>
      <c r="L264" s="961" t="s">
        <v>271</v>
      </c>
      <c r="M264" s="961" t="s">
        <v>312</v>
      </c>
      <c r="N264" s="961" t="s">
        <v>272</v>
      </c>
      <c r="O264" s="961" t="s">
        <v>273</v>
      </c>
      <c r="P264" s="961" t="s">
        <v>274</v>
      </c>
      <c r="Q264" s="961" t="s">
        <v>431</v>
      </c>
      <c r="R264" s="961" t="s">
        <v>432</v>
      </c>
    </row>
    <row r="265" spans="1:18" x14ac:dyDescent="0.3">
      <c r="A265" s="961">
        <v>1</v>
      </c>
      <c r="B265" s="1127">
        <v>2</v>
      </c>
      <c r="C265" s="961">
        <v>3</v>
      </c>
      <c r="D265" s="961">
        <v>4</v>
      </c>
      <c r="E265" s="961">
        <v>5</v>
      </c>
      <c r="F265" s="961">
        <v>6</v>
      </c>
      <c r="G265" s="961">
        <v>7</v>
      </c>
      <c r="H265" s="961">
        <v>8</v>
      </c>
      <c r="I265" s="961">
        <v>9</v>
      </c>
      <c r="J265" s="961">
        <v>10</v>
      </c>
      <c r="K265" s="961">
        <v>11</v>
      </c>
      <c r="L265" s="961">
        <v>12</v>
      </c>
      <c r="M265" s="961">
        <v>13</v>
      </c>
      <c r="N265" s="961">
        <v>14</v>
      </c>
      <c r="O265" s="961">
        <v>15</v>
      </c>
      <c r="P265" s="961">
        <v>16</v>
      </c>
      <c r="Q265" s="961">
        <v>17</v>
      </c>
      <c r="R265" s="961">
        <v>18</v>
      </c>
    </row>
    <row r="266" spans="1:18" x14ac:dyDescent="0.3">
      <c r="A266" s="485"/>
      <c r="B266" s="1110" t="s">
        <v>313</v>
      </c>
      <c r="C266" s="962"/>
      <c r="D266" s="962"/>
      <c r="E266" s="962"/>
      <c r="F266" s="963"/>
      <c r="G266" s="963"/>
      <c r="H266" s="963"/>
      <c r="I266" s="963"/>
      <c r="J266" s="963"/>
      <c r="K266" s="347"/>
      <c r="L266" s="963"/>
      <c r="M266" s="347"/>
      <c r="N266" s="963"/>
      <c r="O266" s="963"/>
      <c r="P266" s="963"/>
      <c r="Q266" s="752"/>
      <c r="R266" s="1437"/>
    </row>
    <row r="267" spans="1:18" x14ac:dyDescent="0.3">
      <c r="A267" s="485">
        <v>1</v>
      </c>
      <c r="B267" s="1057" t="s">
        <v>922</v>
      </c>
      <c r="C267" s="1113">
        <f t="shared" ref="C267:E268" si="35">C233</f>
        <v>1377</v>
      </c>
      <c r="D267" s="1114">
        <f t="shared" si="35"/>
        <v>0.49142040668119102</v>
      </c>
      <c r="E267" s="1113">
        <f t="shared" si="35"/>
        <v>676.68590000000006</v>
      </c>
      <c r="F267" s="347">
        <f>SUM(F2.1!E103:J103)</f>
        <v>1667.074028</v>
      </c>
      <c r="G267" s="347">
        <f>F267</f>
        <v>1667.074028</v>
      </c>
      <c r="H267" s="347"/>
      <c r="I267" s="347"/>
      <c r="J267" s="347"/>
      <c r="K267" s="347">
        <v>221.57878199961064</v>
      </c>
      <c r="L267" s="485"/>
      <c r="M267" s="499">
        <f>IFERROR(N267/G267*10,0)</f>
        <v>7.1086986344675998</v>
      </c>
      <c r="N267" s="499">
        <v>1185.07268664</v>
      </c>
      <c r="O267" s="485"/>
      <c r="P267" s="347">
        <v>0</v>
      </c>
      <c r="Q267" s="379">
        <f>SUM(K267,L267,N267,O267,P267)</f>
        <v>1406.6514686396106</v>
      </c>
      <c r="R267" s="928">
        <f>IFERROR(Q267/G267*10,0)</f>
        <v>8.4378464604069201</v>
      </c>
    </row>
    <row r="268" spans="1:18" x14ac:dyDescent="0.3">
      <c r="A268" s="485">
        <v>2</v>
      </c>
      <c r="B268" s="1057" t="s">
        <v>1624</v>
      </c>
      <c r="C268" s="1113">
        <f t="shared" si="35"/>
        <v>20</v>
      </c>
      <c r="D268" s="1114">
        <f t="shared" si="35"/>
        <v>1</v>
      </c>
      <c r="E268" s="1113">
        <f t="shared" si="35"/>
        <v>20</v>
      </c>
      <c r="F268" s="347">
        <f>SUM(F2.1!E104:J104)</f>
        <v>14.45095315</v>
      </c>
      <c r="G268" s="347">
        <f t="shared" ref="G268:G292" si="36">F268</f>
        <v>14.45095315</v>
      </c>
      <c r="H268" s="347"/>
      <c r="I268" s="347"/>
      <c r="J268" s="347"/>
      <c r="K268" s="347"/>
      <c r="L268" s="485"/>
      <c r="M268" s="499">
        <f t="shared" ref="M268:M292" si="37">IFERROR(N268/G268*10,0)</f>
        <v>8.5599999990312057</v>
      </c>
      <c r="N268" s="374">
        <v>12.370015894999998</v>
      </c>
      <c r="O268" s="485">
        <v>0</v>
      </c>
      <c r="P268" s="1443">
        <v>0</v>
      </c>
      <c r="Q268" s="379">
        <f>SUM(K268,L268,N268,O268,P268)</f>
        <v>12.370015894999998</v>
      </c>
      <c r="R268" s="928">
        <f t="shared" ref="R268:R292" si="38">IFERROR(Q268/G268*10,0)</f>
        <v>8.5599999990312057</v>
      </c>
    </row>
    <row r="269" spans="1:18" x14ac:dyDescent="0.3">
      <c r="A269" s="485"/>
      <c r="B269" s="1057"/>
      <c r="C269" s="1113"/>
      <c r="D269" s="1114"/>
      <c r="E269" s="1113"/>
      <c r="F269" s="347"/>
      <c r="G269" s="347"/>
      <c r="H269" s="347"/>
      <c r="I269" s="347"/>
      <c r="J269" s="347"/>
      <c r="K269" s="347"/>
      <c r="L269" s="485"/>
      <c r="M269" s="499">
        <f t="shared" si="37"/>
        <v>0</v>
      </c>
      <c r="N269" s="374"/>
      <c r="O269" s="485"/>
      <c r="P269" s="1443"/>
      <c r="Q269" s="379">
        <f t="shared" ref="Q269:Q292" si="39">SUM(K269,L269,N269,O269,P269)</f>
        <v>0</v>
      </c>
      <c r="R269" s="928">
        <f t="shared" si="38"/>
        <v>0</v>
      </c>
    </row>
    <row r="270" spans="1:18" x14ac:dyDescent="0.3">
      <c r="A270" s="485"/>
      <c r="B270" s="1111" t="s">
        <v>1625</v>
      </c>
      <c r="C270" s="1113"/>
      <c r="D270" s="1113"/>
      <c r="E270" s="1113"/>
      <c r="F270" s="347"/>
      <c r="G270" s="347"/>
      <c r="H270" s="347"/>
      <c r="I270" s="347"/>
      <c r="J270" s="347"/>
      <c r="K270" s="347"/>
      <c r="L270" s="485"/>
      <c r="M270" s="499">
        <f t="shared" si="37"/>
        <v>0</v>
      </c>
      <c r="N270" s="1115"/>
      <c r="O270" s="485"/>
      <c r="P270" s="1443"/>
      <c r="Q270" s="379">
        <f t="shared" si="39"/>
        <v>0</v>
      </c>
      <c r="R270" s="928">
        <f t="shared" si="38"/>
        <v>0</v>
      </c>
    </row>
    <row r="271" spans="1:18" x14ac:dyDescent="0.3">
      <c r="A271" s="572">
        <v>3</v>
      </c>
      <c r="B271" s="1057" t="s">
        <v>1626</v>
      </c>
      <c r="C271" s="1113">
        <f>C237</f>
        <v>100</v>
      </c>
      <c r="D271" s="1114">
        <f>D237</f>
        <v>1</v>
      </c>
      <c r="E271" s="1113">
        <f>E237</f>
        <v>100</v>
      </c>
      <c r="F271" s="347">
        <f>SUM(F2.1!E107:J107)</f>
        <v>336.69562399999995</v>
      </c>
      <c r="G271" s="347">
        <f t="shared" si="36"/>
        <v>336.69562399999995</v>
      </c>
      <c r="H271" s="347"/>
      <c r="I271" s="347"/>
      <c r="J271" s="347"/>
      <c r="K271" s="347">
        <v>66.983681099999998</v>
      </c>
      <c r="L271" s="485"/>
      <c r="M271" s="499">
        <f t="shared" si="37"/>
        <v>2.1999999946539255</v>
      </c>
      <c r="N271" s="1115">
        <v>74.073037099999993</v>
      </c>
      <c r="O271" s="485">
        <v>1.3037019999999999</v>
      </c>
      <c r="P271" s="1443">
        <v>-2.5041380000000002</v>
      </c>
      <c r="Q271" s="379">
        <f t="shared" si="39"/>
        <v>139.85628219999995</v>
      </c>
      <c r="R271" s="928">
        <f t="shared" si="38"/>
        <v>4.1537897207716599</v>
      </c>
    </row>
    <row r="272" spans="1:18" x14ac:dyDescent="0.3">
      <c r="A272" s="485"/>
      <c r="B272" s="1057"/>
      <c r="C272" s="1113"/>
      <c r="D272" s="1113"/>
      <c r="E272" s="1113"/>
      <c r="F272" s="347"/>
      <c r="G272" s="347"/>
      <c r="H272" s="347"/>
      <c r="I272" s="347"/>
      <c r="J272" s="347"/>
      <c r="K272" s="347"/>
      <c r="L272" s="485"/>
      <c r="M272" s="499">
        <f t="shared" si="37"/>
        <v>0</v>
      </c>
      <c r="N272" s="499"/>
      <c r="O272" s="485"/>
      <c r="P272" s="1443"/>
      <c r="Q272" s="379">
        <f t="shared" si="39"/>
        <v>0</v>
      </c>
      <c r="R272" s="928">
        <f t="shared" si="38"/>
        <v>0</v>
      </c>
    </row>
    <row r="273" spans="1:19" x14ac:dyDescent="0.3">
      <c r="A273" s="485"/>
      <c r="B273" s="1111" t="s">
        <v>314</v>
      </c>
      <c r="C273" s="1113"/>
      <c r="D273" s="1113"/>
      <c r="E273" s="1113"/>
      <c r="F273" s="347"/>
      <c r="G273" s="347"/>
      <c r="H273" s="347"/>
      <c r="I273" s="347"/>
      <c r="J273" s="347"/>
      <c r="K273" s="347"/>
      <c r="L273" s="485"/>
      <c r="M273" s="499">
        <f t="shared" si="37"/>
        <v>0</v>
      </c>
      <c r="N273" s="1115"/>
      <c r="O273" s="485"/>
      <c r="P273" s="1443"/>
      <c r="Q273" s="379">
        <f t="shared" si="39"/>
        <v>0</v>
      </c>
      <c r="R273" s="928">
        <f t="shared" si="38"/>
        <v>0</v>
      </c>
    </row>
    <row r="274" spans="1:19" x14ac:dyDescent="0.3">
      <c r="A274" s="485">
        <v>4</v>
      </c>
      <c r="B274" s="1057" t="s">
        <v>924</v>
      </c>
      <c r="C274" s="1113">
        <f t="shared" ref="C274:D291" si="40">C240</f>
        <v>0</v>
      </c>
      <c r="D274" s="1113">
        <f t="shared" si="40"/>
        <v>0</v>
      </c>
      <c r="E274" s="1113">
        <f t="shared" ref="E274" si="41">E240</f>
        <v>0</v>
      </c>
      <c r="F274" s="347">
        <f>SUM(F2.1!E110:J110)</f>
        <v>0</v>
      </c>
      <c r="G274" s="347">
        <f t="shared" si="36"/>
        <v>0</v>
      </c>
      <c r="H274" s="347"/>
      <c r="I274" s="347"/>
      <c r="J274" s="347"/>
      <c r="K274" s="347"/>
      <c r="L274" s="485"/>
      <c r="M274" s="499">
        <f t="shared" si="37"/>
        <v>0</v>
      </c>
      <c r="N274" s="1115"/>
      <c r="O274" s="485"/>
      <c r="P274" s="1443"/>
      <c r="Q274" s="379">
        <f t="shared" si="39"/>
        <v>0</v>
      </c>
      <c r="R274" s="928">
        <f t="shared" si="38"/>
        <v>0</v>
      </c>
    </row>
    <row r="275" spans="1:19" x14ac:dyDescent="0.3">
      <c r="A275" s="485">
        <v>5</v>
      </c>
      <c r="B275" s="1057" t="s">
        <v>1344</v>
      </c>
      <c r="C275" s="1113">
        <f t="shared" si="40"/>
        <v>0</v>
      </c>
      <c r="D275" s="1113">
        <f t="shared" si="40"/>
        <v>0</v>
      </c>
      <c r="E275" s="1113">
        <f t="shared" ref="E275" si="42">E241</f>
        <v>0</v>
      </c>
      <c r="F275" s="347">
        <f>SUM(F2.1!E111:J111)</f>
        <v>77.394939538999992</v>
      </c>
      <c r="G275" s="347">
        <f t="shared" si="36"/>
        <v>77.394939538999992</v>
      </c>
      <c r="H275" s="347"/>
      <c r="I275" s="347"/>
      <c r="J275" s="347"/>
      <c r="K275" s="347"/>
      <c r="L275" s="485"/>
      <c r="M275" s="499">
        <f t="shared" si="37"/>
        <v>5.4935664388109116</v>
      </c>
      <c r="N275" s="1115">
        <v>42.517424238525003</v>
      </c>
      <c r="O275" s="485">
        <v>0</v>
      </c>
      <c r="P275" s="1443">
        <v>0</v>
      </c>
      <c r="Q275" s="379">
        <f t="shared" si="39"/>
        <v>42.517424238525003</v>
      </c>
      <c r="R275" s="928">
        <f t="shared" si="38"/>
        <v>5.4935664388109116</v>
      </c>
    </row>
    <row r="276" spans="1:19" x14ac:dyDescent="0.3">
      <c r="A276" s="485">
        <v>6</v>
      </c>
      <c r="B276" s="1057" t="s">
        <v>1336</v>
      </c>
      <c r="C276" s="1113">
        <f t="shared" si="40"/>
        <v>0</v>
      </c>
      <c r="D276" s="1113">
        <f t="shared" si="40"/>
        <v>0</v>
      </c>
      <c r="E276" s="1113">
        <f t="shared" ref="E276" si="43">E242</f>
        <v>0</v>
      </c>
      <c r="F276" s="347">
        <f>SUM(F2.1!E112:J112)</f>
        <v>452.93200636024994</v>
      </c>
      <c r="G276" s="347">
        <f t="shared" si="36"/>
        <v>452.93200636024994</v>
      </c>
      <c r="H276" s="347"/>
      <c r="I276" s="347"/>
      <c r="J276" s="347"/>
      <c r="K276" s="347"/>
      <c r="L276" s="485"/>
      <c r="M276" s="499">
        <f t="shared" si="37"/>
        <v>5.7530126560645343</v>
      </c>
      <c r="N276" s="1115">
        <v>260.57235649272201</v>
      </c>
      <c r="O276" s="485">
        <v>0</v>
      </c>
      <c r="P276" s="1443">
        <v>0</v>
      </c>
      <c r="Q276" s="379">
        <f t="shared" si="39"/>
        <v>260.57235649272201</v>
      </c>
      <c r="R276" s="928">
        <f t="shared" si="38"/>
        <v>5.7530126560645343</v>
      </c>
    </row>
    <row r="277" spans="1:19" x14ac:dyDescent="0.3">
      <c r="A277" s="485">
        <v>7</v>
      </c>
      <c r="B277" s="1057" t="s">
        <v>1338</v>
      </c>
      <c r="C277" s="1113">
        <f t="shared" si="40"/>
        <v>0</v>
      </c>
      <c r="D277" s="1113">
        <f t="shared" si="40"/>
        <v>0</v>
      </c>
      <c r="E277" s="1113">
        <f t="shared" ref="E277" si="44">E243</f>
        <v>0</v>
      </c>
      <c r="F277" s="347">
        <f>SUM(F2.1!E113:J113)</f>
        <v>-5.2579075</v>
      </c>
      <c r="G277" s="347">
        <f t="shared" si="36"/>
        <v>-5.2579075</v>
      </c>
      <c r="H277" s="347"/>
      <c r="I277" s="347"/>
      <c r="J277" s="347"/>
      <c r="K277" s="347"/>
      <c r="L277" s="485"/>
      <c r="M277" s="499">
        <f t="shared" si="37"/>
        <v>11.138370680731832</v>
      </c>
      <c r="N277" s="499">
        <v>-5.8564522740000005</v>
      </c>
      <c r="O277" s="485">
        <v>0</v>
      </c>
      <c r="P277" s="1443">
        <v>0</v>
      </c>
      <c r="Q277" s="379">
        <f t="shared" si="39"/>
        <v>-5.8564522740000005</v>
      </c>
      <c r="R277" s="928">
        <f t="shared" si="38"/>
        <v>11.138370680731832</v>
      </c>
    </row>
    <row r="278" spans="1:19" x14ac:dyDescent="0.3">
      <c r="A278" s="485">
        <v>8</v>
      </c>
      <c r="B278" s="1057" t="s">
        <v>1990</v>
      </c>
      <c r="C278" s="1113">
        <f t="shared" si="40"/>
        <v>0</v>
      </c>
      <c r="D278" s="1113">
        <f t="shared" si="40"/>
        <v>0</v>
      </c>
      <c r="E278" s="1113">
        <f t="shared" ref="E278" si="45">E244</f>
        <v>0</v>
      </c>
      <c r="F278" s="347">
        <f>SUM(F2.1!E115:J115)</f>
        <v>5.2601100000000001</v>
      </c>
      <c r="G278" s="347">
        <f t="shared" si="36"/>
        <v>5.2601100000000001</v>
      </c>
      <c r="H278" s="347"/>
      <c r="I278" s="347"/>
      <c r="J278" s="347"/>
      <c r="K278" s="347"/>
      <c r="L278" s="485"/>
      <c r="M278" s="499">
        <f t="shared" si="37"/>
        <v>4.3182648229640916</v>
      </c>
      <c r="N278" s="499">
        <v>2.2714547977921651</v>
      </c>
      <c r="O278" s="485">
        <v>0</v>
      </c>
      <c r="P278" s="1443">
        <v>0</v>
      </c>
      <c r="Q278" s="379">
        <f t="shared" si="39"/>
        <v>2.2714547977921651</v>
      </c>
      <c r="R278" s="928">
        <f t="shared" si="38"/>
        <v>4.3182648229640916</v>
      </c>
    </row>
    <row r="279" spans="1:19" x14ac:dyDescent="0.3">
      <c r="A279" s="485">
        <v>9</v>
      </c>
      <c r="B279" s="1057" t="s">
        <v>1989</v>
      </c>
      <c r="C279" s="1113">
        <f t="shared" si="40"/>
        <v>0</v>
      </c>
      <c r="D279" s="1113">
        <f t="shared" si="40"/>
        <v>0</v>
      </c>
      <c r="E279" s="1113">
        <f t="shared" ref="E279" si="46">E245</f>
        <v>0</v>
      </c>
      <c r="F279" s="347">
        <f>SUM(F2.1!E117:J117)</f>
        <v>29.130790000000001</v>
      </c>
      <c r="G279" s="347">
        <f t="shared" si="36"/>
        <v>29.130790000000001</v>
      </c>
      <c r="H279" s="347"/>
      <c r="I279" s="347"/>
      <c r="J279" s="347"/>
      <c r="K279" s="347"/>
      <c r="L279" s="485"/>
      <c r="M279" s="499">
        <f t="shared" si="37"/>
        <v>4.3348315954383096</v>
      </c>
      <c r="N279" s="499">
        <v>12.627706889207834</v>
      </c>
      <c r="O279" s="485">
        <v>0</v>
      </c>
      <c r="P279" s="1443">
        <v>0</v>
      </c>
      <c r="Q279" s="379">
        <f t="shared" si="39"/>
        <v>12.627706889207834</v>
      </c>
      <c r="R279" s="928">
        <f t="shared" si="38"/>
        <v>4.3348315954383096</v>
      </c>
    </row>
    <row r="280" spans="1:19" x14ac:dyDescent="0.3">
      <c r="A280" s="485">
        <v>10</v>
      </c>
      <c r="B280" s="1057" t="s">
        <v>1340</v>
      </c>
      <c r="C280" s="1113">
        <f t="shared" si="40"/>
        <v>0</v>
      </c>
      <c r="D280" s="1113">
        <f t="shared" si="40"/>
        <v>0</v>
      </c>
      <c r="E280" s="1113">
        <f t="shared" ref="E280" si="47">E246</f>
        <v>0</v>
      </c>
      <c r="F280" s="347">
        <f>SUM(F2.1!E118:J118)</f>
        <v>7.1011532500000003</v>
      </c>
      <c r="G280" s="347">
        <f t="shared" si="36"/>
        <v>7.1011532500000003</v>
      </c>
      <c r="H280" s="347"/>
      <c r="I280" s="347"/>
      <c r="J280" s="347"/>
      <c r="K280" s="347"/>
      <c r="L280" s="485"/>
      <c r="M280" s="499">
        <f t="shared" si="37"/>
        <v>0</v>
      </c>
      <c r="N280" s="1115"/>
      <c r="O280" s="485"/>
      <c r="P280" s="1443"/>
      <c r="Q280" s="379">
        <f t="shared" si="39"/>
        <v>0</v>
      </c>
      <c r="R280" s="928">
        <f t="shared" si="38"/>
        <v>0</v>
      </c>
    </row>
    <row r="281" spans="1:19" x14ac:dyDescent="0.3">
      <c r="A281" s="485">
        <v>11</v>
      </c>
      <c r="B281" s="1057" t="s">
        <v>1446</v>
      </c>
      <c r="C281" s="1113">
        <f t="shared" si="40"/>
        <v>0</v>
      </c>
      <c r="D281" s="1113">
        <f t="shared" si="40"/>
        <v>0</v>
      </c>
      <c r="E281" s="1113">
        <f t="shared" ref="E281" si="48">E247</f>
        <v>0</v>
      </c>
      <c r="F281" s="347">
        <f>SUM(F2.1!E119:J119)</f>
        <v>-20.128032842228563</v>
      </c>
      <c r="G281" s="347">
        <f t="shared" si="36"/>
        <v>-20.128032842228563</v>
      </c>
      <c r="H281" s="347"/>
      <c r="I281" s="347"/>
      <c r="J281" s="347"/>
      <c r="K281" s="347"/>
      <c r="L281" s="485"/>
      <c r="M281" s="499">
        <f t="shared" si="37"/>
        <v>-2.5446740687502007</v>
      </c>
      <c r="N281" s="1115">
        <v>5.1219283228571424</v>
      </c>
      <c r="O281" s="485">
        <v>0</v>
      </c>
      <c r="P281" s="1443">
        <v>0</v>
      </c>
      <c r="Q281" s="379">
        <f t="shared" si="39"/>
        <v>5.1219283228571424</v>
      </c>
      <c r="R281" s="928">
        <f t="shared" si="38"/>
        <v>-2.5446740687502007</v>
      </c>
    </row>
    <row r="282" spans="1:19" x14ac:dyDescent="0.3">
      <c r="A282" s="485">
        <v>12</v>
      </c>
      <c r="B282" s="1057" t="s">
        <v>1349</v>
      </c>
      <c r="C282" s="1113">
        <f t="shared" si="40"/>
        <v>0</v>
      </c>
      <c r="D282" s="1113">
        <f t="shared" si="40"/>
        <v>0</v>
      </c>
      <c r="E282" s="1113">
        <f t="shared" ref="E282" si="49">E248</f>
        <v>0</v>
      </c>
      <c r="F282" s="347">
        <f>SUM(F2.1!E120:J120)</f>
        <v>19.725877840684689</v>
      </c>
      <c r="G282" s="347">
        <f t="shared" si="36"/>
        <v>19.725877840684689</v>
      </c>
      <c r="H282" s="347"/>
      <c r="I282" s="347"/>
      <c r="J282" s="347"/>
      <c r="K282" s="347"/>
      <c r="L282" s="485"/>
      <c r="M282" s="499">
        <f t="shared" si="37"/>
        <v>0</v>
      </c>
      <c r="N282" s="1115"/>
      <c r="O282" s="485"/>
      <c r="P282" s="1443"/>
      <c r="Q282" s="379">
        <f t="shared" si="39"/>
        <v>0</v>
      </c>
      <c r="R282" s="928">
        <f t="shared" si="38"/>
        <v>0</v>
      </c>
    </row>
    <row r="283" spans="1:19" x14ac:dyDescent="0.3">
      <c r="A283" s="485">
        <v>13</v>
      </c>
      <c r="B283" s="1057" t="s">
        <v>1524</v>
      </c>
      <c r="C283" s="1113">
        <f t="shared" si="40"/>
        <v>0</v>
      </c>
      <c r="D283" s="1113">
        <f t="shared" si="40"/>
        <v>0</v>
      </c>
      <c r="E283" s="1113">
        <f t="shared" ref="E283" si="50">E249</f>
        <v>0</v>
      </c>
      <c r="F283" s="347">
        <f>SUM(F2.1!E121:J121)</f>
        <v>-1.1441940000000002</v>
      </c>
      <c r="G283" s="347">
        <f t="shared" si="36"/>
        <v>-1.1441940000000002</v>
      </c>
      <c r="H283" s="347"/>
      <c r="I283" s="347"/>
      <c r="J283" s="347"/>
      <c r="K283" s="347"/>
      <c r="L283" s="485"/>
      <c r="M283" s="499">
        <f t="shared" si="37"/>
        <v>11.981215598054174</v>
      </c>
      <c r="N283" s="1115">
        <v>-1.3708834999999999</v>
      </c>
      <c r="O283" s="485">
        <v>0</v>
      </c>
      <c r="P283" s="1443">
        <v>0</v>
      </c>
      <c r="Q283" s="379">
        <f t="shared" si="39"/>
        <v>-1.3708834999999999</v>
      </c>
      <c r="R283" s="928">
        <f t="shared" si="38"/>
        <v>11.981215598054174</v>
      </c>
    </row>
    <row r="284" spans="1:19" x14ac:dyDescent="0.3">
      <c r="A284" s="485">
        <v>14</v>
      </c>
      <c r="B284" s="1057" t="s">
        <v>927</v>
      </c>
      <c r="C284" s="1113">
        <f t="shared" si="40"/>
        <v>0</v>
      </c>
      <c r="D284" s="1113">
        <f t="shared" si="40"/>
        <v>0</v>
      </c>
      <c r="E284" s="1113">
        <f t="shared" ref="E284" si="51">E250</f>
        <v>0</v>
      </c>
      <c r="F284" s="347"/>
      <c r="G284" s="347">
        <f t="shared" si="36"/>
        <v>0</v>
      </c>
      <c r="H284" s="347"/>
      <c r="I284" s="347"/>
      <c r="J284" s="347"/>
      <c r="K284" s="347"/>
      <c r="L284" s="485"/>
      <c r="M284" s="499">
        <f t="shared" si="37"/>
        <v>0</v>
      </c>
      <c r="N284" s="1115"/>
      <c r="O284" s="485">
        <v>0</v>
      </c>
      <c r="P284" s="1115">
        <v>49.269500399999998</v>
      </c>
      <c r="Q284" s="379">
        <f t="shared" si="39"/>
        <v>49.269500399999998</v>
      </c>
      <c r="R284" s="928">
        <f t="shared" si="38"/>
        <v>0</v>
      </c>
      <c r="S284" s="1575"/>
    </row>
    <row r="285" spans="1:19" x14ac:dyDescent="0.3">
      <c r="A285" s="572">
        <v>17</v>
      </c>
      <c r="B285" s="1111" t="s">
        <v>1363</v>
      </c>
      <c r="C285" s="1113">
        <f t="shared" si="40"/>
        <v>0</v>
      </c>
      <c r="D285" s="1113">
        <f t="shared" si="40"/>
        <v>0</v>
      </c>
      <c r="E285" s="1113">
        <f t="shared" ref="E285" si="52">E251</f>
        <v>0</v>
      </c>
      <c r="F285" s="347"/>
      <c r="G285" s="347">
        <f t="shared" si="36"/>
        <v>0</v>
      </c>
      <c r="H285" s="347"/>
      <c r="I285" s="347"/>
      <c r="J285" s="347"/>
      <c r="K285" s="347"/>
      <c r="L285" s="485"/>
      <c r="M285" s="499">
        <f t="shared" si="37"/>
        <v>0</v>
      </c>
      <c r="N285" s="1115">
        <v>0</v>
      </c>
      <c r="O285" s="485">
        <v>0</v>
      </c>
      <c r="P285" s="1443">
        <v>0</v>
      </c>
      <c r="Q285" s="379">
        <f t="shared" si="39"/>
        <v>0</v>
      </c>
      <c r="R285" s="928">
        <f t="shared" si="38"/>
        <v>0</v>
      </c>
    </row>
    <row r="286" spans="1:19" x14ac:dyDescent="0.3">
      <c r="A286" s="485">
        <v>18</v>
      </c>
      <c r="B286" s="1057" t="s">
        <v>1364</v>
      </c>
      <c r="C286" s="1113">
        <f t="shared" si="40"/>
        <v>0</v>
      </c>
      <c r="D286" s="1113">
        <f t="shared" si="40"/>
        <v>0</v>
      </c>
      <c r="E286" s="1113">
        <f t="shared" ref="E286" si="53">E252</f>
        <v>0</v>
      </c>
      <c r="F286" s="347"/>
      <c r="G286" s="347">
        <f t="shared" si="36"/>
        <v>0</v>
      </c>
      <c r="H286" s="347"/>
      <c r="I286" s="347"/>
      <c r="J286" s="347"/>
      <c r="K286" s="347"/>
      <c r="L286" s="485"/>
      <c r="M286" s="499">
        <f t="shared" si="37"/>
        <v>0</v>
      </c>
      <c r="N286" s="1115">
        <v>-0.21186464894999998</v>
      </c>
      <c r="O286" s="485">
        <v>0</v>
      </c>
      <c r="P286" s="1443">
        <v>0</v>
      </c>
      <c r="Q286" s="379">
        <f t="shared" si="39"/>
        <v>-0.21186464894999998</v>
      </c>
      <c r="R286" s="928">
        <f t="shared" si="38"/>
        <v>0</v>
      </c>
    </row>
    <row r="287" spans="1:19" x14ac:dyDescent="0.3">
      <c r="A287" s="485">
        <v>19</v>
      </c>
      <c r="B287" s="1057" t="s">
        <v>1365</v>
      </c>
      <c r="C287" s="1113">
        <f t="shared" si="40"/>
        <v>0</v>
      </c>
      <c r="D287" s="1113">
        <f t="shared" si="40"/>
        <v>0</v>
      </c>
      <c r="E287" s="1113">
        <f t="shared" ref="E287" si="54">E253</f>
        <v>0</v>
      </c>
      <c r="F287" s="347"/>
      <c r="G287" s="347">
        <f t="shared" si="36"/>
        <v>0</v>
      </c>
      <c r="H287" s="347"/>
      <c r="I287" s="347"/>
      <c r="J287" s="347"/>
      <c r="K287" s="347"/>
      <c r="L287" s="485"/>
      <c r="M287" s="499">
        <f t="shared" si="37"/>
        <v>0</v>
      </c>
      <c r="N287" s="1115">
        <v>-1.2835999979999999</v>
      </c>
      <c r="O287" s="485">
        <v>0</v>
      </c>
      <c r="P287" s="1443">
        <v>0</v>
      </c>
      <c r="Q287" s="379">
        <f t="shared" si="39"/>
        <v>-1.2835999979999999</v>
      </c>
      <c r="R287" s="928">
        <f t="shared" si="38"/>
        <v>0</v>
      </c>
    </row>
    <row r="288" spans="1:19" x14ac:dyDescent="0.3">
      <c r="A288" s="485">
        <v>20</v>
      </c>
      <c r="B288" s="1057" t="s">
        <v>1366</v>
      </c>
      <c r="C288" s="1113">
        <f t="shared" si="40"/>
        <v>0</v>
      </c>
      <c r="D288" s="1113">
        <f t="shared" si="40"/>
        <v>0</v>
      </c>
      <c r="E288" s="1113">
        <f t="shared" ref="E288" si="55">E254</f>
        <v>0</v>
      </c>
      <c r="F288" s="347"/>
      <c r="G288" s="347">
        <f t="shared" si="36"/>
        <v>0</v>
      </c>
      <c r="H288" s="347"/>
      <c r="I288" s="347"/>
      <c r="J288" s="347"/>
      <c r="K288" s="347"/>
      <c r="L288" s="485"/>
      <c r="M288" s="499">
        <f t="shared" si="37"/>
        <v>0</v>
      </c>
      <c r="N288" s="1115">
        <v>-6.3629999999999997E-3</v>
      </c>
      <c r="O288" s="485">
        <v>0</v>
      </c>
      <c r="P288" s="1443">
        <v>0</v>
      </c>
      <c r="Q288" s="379">
        <f t="shared" si="39"/>
        <v>-6.3629999999999997E-3</v>
      </c>
      <c r="R288" s="928">
        <f t="shared" si="38"/>
        <v>0</v>
      </c>
    </row>
    <row r="289" spans="1:19" ht="28" x14ac:dyDescent="0.3">
      <c r="A289" s="485">
        <v>21</v>
      </c>
      <c r="B289" s="1057" t="s">
        <v>1525</v>
      </c>
      <c r="C289" s="1113">
        <f t="shared" si="40"/>
        <v>0</v>
      </c>
      <c r="D289" s="1113">
        <f t="shared" si="40"/>
        <v>0</v>
      </c>
      <c r="E289" s="1113">
        <f t="shared" ref="E289" si="56">E255</f>
        <v>0</v>
      </c>
      <c r="F289" s="347"/>
      <c r="G289" s="347">
        <f t="shared" si="36"/>
        <v>0</v>
      </c>
      <c r="H289" s="347"/>
      <c r="I289" s="347"/>
      <c r="J289" s="347"/>
      <c r="K289" s="347"/>
      <c r="L289" s="485"/>
      <c r="M289" s="499">
        <f t="shared" si="37"/>
        <v>0</v>
      </c>
      <c r="N289" s="1115">
        <v>1.1646564E-2</v>
      </c>
      <c r="O289" s="485">
        <v>0</v>
      </c>
      <c r="P289" s="1443">
        <v>0</v>
      </c>
      <c r="Q289" s="379">
        <f t="shared" si="39"/>
        <v>1.1646564E-2</v>
      </c>
      <c r="R289" s="928">
        <f t="shared" si="38"/>
        <v>0</v>
      </c>
    </row>
    <row r="290" spans="1:19" x14ac:dyDescent="0.3">
      <c r="A290" s="485">
        <v>22</v>
      </c>
      <c r="B290" s="1057" t="s">
        <v>1526</v>
      </c>
      <c r="C290" s="1113">
        <f t="shared" si="40"/>
        <v>0</v>
      </c>
      <c r="D290" s="1113">
        <f t="shared" si="40"/>
        <v>0</v>
      </c>
      <c r="E290" s="1113">
        <f t="shared" ref="E290" si="57">E256</f>
        <v>0</v>
      </c>
      <c r="F290" s="347"/>
      <c r="G290" s="347">
        <f t="shared" si="36"/>
        <v>0</v>
      </c>
      <c r="H290" s="347"/>
      <c r="I290" s="347"/>
      <c r="J290" s="347"/>
      <c r="K290" s="485"/>
      <c r="L290" s="485"/>
      <c r="M290" s="499">
        <f t="shared" si="37"/>
        <v>0</v>
      </c>
      <c r="N290" s="1115">
        <v>5.3528649999998509E-3</v>
      </c>
      <c r="O290" s="485">
        <v>0</v>
      </c>
      <c r="P290" s="1443">
        <v>0</v>
      </c>
      <c r="Q290" s="379">
        <f t="shared" si="39"/>
        <v>5.3528649999998509E-3</v>
      </c>
      <c r="R290" s="928">
        <f t="shared" si="38"/>
        <v>0</v>
      </c>
    </row>
    <row r="291" spans="1:19" x14ac:dyDescent="0.3">
      <c r="A291" s="485">
        <v>23</v>
      </c>
      <c r="B291" s="1057" t="s">
        <v>1527</v>
      </c>
      <c r="C291" s="1113">
        <f t="shared" si="40"/>
        <v>0</v>
      </c>
      <c r="D291" s="1113">
        <f t="shared" si="40"/>
        <v>0</v>
      </c>
      <c r="E291" s="1113">
        <f t="shared" ref="E291" si="58">E257</f>
        <v>0</v>
      </c>
      <c r="F291" s="347"/>
      <c r="G291" s="347">
        <f t="shared" si="36"/>
        <v>0</v>
      </c>
      <c r="H291" s="347"/>
      <c r="I291" s="347"/>
      <c r="J291" s="347"/>
      <c r="K291" s="485"/>
      <c r="L291" s="485"/>
      <c r="M291" s="499">
        <f t="shared" si="37"/>
        <v>0</v>
      </c>
      <c r="N291" s="1115">
        <v>-0.34870539999999994</v>
      </c>
      <c r="O291" s="485">
        <v>0</v>
      </c>
      <c r="P291" s="1443">
        <v>0</v>
      </c>
      <c r="Q291" s="379">
        <f t="shared" si="39"/>
        <v>-0.34870539999999994</v>
      </c>
      <c r="R291" s="928">
        <f t="shared" si="38"/>
        <v>0</v>
      </c>
    </row>
    <row r="292" spans="1:19" x14ac:dyDescent="0.3">
      <c r="A292" s="485"/>
      <c r="B292" s="1057"/>
      <c r="C292" s="1113"/>
      <c r="D292" s="1113"/>
      <c r="E292" s="1113"/>
      <c r="F292" s="347"/>
      <c r="G292" s="347">
        <f t="shared" si="36"/>
        <v>0</v>
      </c>
      <c r="H292" s="347"/>
      <c r="I292" s="347"/>
      <c r="J292" s="347"/>
      <c r="K292" s="485"/>
      <c r="L292" s="485"/>
      <c r="M292" s="499">
        <f t="shared" si="37"/>
        <v>0</v>
      </c>
      <c r="N292" s="1115"/>
      <c r="O292" s="485"/>
      <c r="P292" s="1443"/>
      <c r="Q292" s="379">
        <f t="shared" si="39"/>
        <v>0</v>
      </c>
      <c r="R292" s="928">
        <f t="shared" si="38"/>
        <v>0</v>
      </c>
    </row>
    <row r="293" spans="1:19" x14ac:dyDescent="0.3">
      <c r="A293" s="572">
        <v>24</v>
      </c>
      <c r="B293" s="1111" t="s">
        <v>145</v>
      </c>
      <c r="C293" s="1117"/>
      <c r="D293" s="1117"/>
      <c r="E293" s="1117">
        <f t="shared" ref="E293" si="59">SUM(E267:E292)</f>
        <v>796.68590000000006</v>
      </c>
      <c r="F293" s="1117">
        <f t="shared" ref="F293" si="60">SUM(F267:F292)</f>
        <v>2583.2353477977063</v>
      </c>
      <c r="G293" s="1117">
        <f t="shared" ref="G293" si="61">SUM(G267:G292)</f>
        <v>2583.2353477977063</v>
      </c>
      <c r="H293" s="1117">
        <f t="shared" ref="H293" si="62">SUM(H267:H292)</f>
        <v>0</v>
      </c>
      <c r="I293" s="1117">
        <f t="shared" ref="I293" si="63">SUM(I267:I292)</f>
        <v>0</v>
      </c>
      <c r="J293" s="1117">
        <f t="shared" ref="J293" si="64">SUM(J267:J292)</f>
        <v>0</v>
      </c>
      <c r="K293" s="1117">
        <f t="shared" ref="K293" si="65">SUM(K267:K292)</f>
        <v>288.56246309961062</v>
      </c>
      <c r="L293" s="1117">
        <f t="shared" ref="L293" si="66">SUM(L267:L292)</f>
        <v>0</v>
      </c>
      <c r="M293" s="1117">
        <f t="shared" ref="M293" si="67">SUM(M267:M292)</f>
        <v>58.343286351466389</v>
      </c>
      <c r="N293" s="1117">
        <f t="shared" ref="N293" si="68">SUM(N267:N292)</f>
        <v>1585.5657409841544</v>
      </c>
      <c r="O293" s="1117">
        <f>SUM(O267:O292)</f>
        <v>1.3037019999999999</v>
      </c>
      <c r="P293" s="1117">
        <f>SUM(P267:P292)</f>
        <v>46.765362400000001</v>
      </c>
      <c r="Q293" s="1117">
        <f>SUM(Q267:Q292)</f>
        <v>1922.1972684837649</v>
      </c>
      <c r="R293" s="928">
        <f>IFERROR(Q293/G293*10,0)</f>
        <v>7.4410458579490326</v>
      </c>
    </row>
    <row r="294" spans="1:19" x14ac:dyDescent="0.3">
      <c r="A294" s="1620"/>
      <c r="B294" s="1120"/>
      <c r="C294" s="1121"/>
      <c r="D294" s="1121"/>
      <c r="E294" s="1122"/>
      <c r="F294" s="1123"/>
      <c r="G294" s="1123"/>
      <c r="H294" s="1123"/>
      <c r="I294" s="1123"/>
      <c r="J294" s="1123"/>
      <c r="K294" s="1123"/>
      <c r="L294" s="1123"/>
      <c r="M294" s="1123"/>
      <c r="N294" s="1123"/>
      <c r="O294" s="1123"/>
      <c r="P294" s="1123"/>
      <c r="Q294" s="1123"/>
      <c r="R294" s="1124"/>
    </row>
    <row r="295" spans="1:19" x14ac:dyDescent="0.3">
      <c r="A295" s="1620"/>
      <c r="B295" s="1120"/>
      <c r="C295" s="1121"/>
      <c r="D295" s="1121"/>
      <c r="E295" s="1122"/>
      <c r="F295" s="1123"/>
      <c r="G295" s="1123"/>
      <c r="H295" s="1123"/>
      <c r="I295" s="1123"/>
      <c r="J295" s="1123"/>
      <c r="K295" s="1123"/>
      <c r="L295" s="1123"/>
      <c r="M295" s="1123"/>
      <c r="N295" s="1123"/>
      <c r="O295" s="1123"/>
      <c r="P295" s="1123"/>
      <c r="Q295" s="1123"/>
      <c r="R295" s="1124"/>
    </row>
    <row r="296" spans="1:19" x14ac:dyDescent="0.3">
      <c r="B296" s="1126" t="s">
        <v>1795</v>
      </c>
      <c r="C296" s="1619"/>
    </row>
    <row r="298" spans="1:19" ht="56" x14ac:dyDescent="0.3">
      <c r="A298" s="961" t="s">
        <v>263</v>
      </c>
      <c r="B298" s="1127" t="s">
        <v>264</v>
      </c>
      <c r="C298" s="961" t="s">
        <v>309</v>
      </c>
      <c r="D298" s="961" t="s">
        <v>265</v>
      </c>
      <c r="E298" s="961" t="s">
        <v>266</v>
      </c>
      <c r="F298" s="961" t="s">
        <v>267</v>
      </c>
      <c r="G298" s="961" t="s">
        <v>268</v>
      </c>
      <c r="H298" s="961" t="s">
        <v>310</v>
      </c>
      <c r="I298" s="961" t="s">
        <v>269</v>
      </c>
      <c r="J298" s="961" t="s">
        <v>311</v>
      </c>
      <c r="K298" s="961" t="s">
        <v>270</v>
      </c>
      <c r="L298" s="961" t="s">
        <v>271</v>
      </c>
      <c r="M298" s="961" t="s">
        <v>312</v>
      </c>
      <c r="N298" s="961" t="s">
        <v>272</v>
      </c>
      <c r="O298" s="961" t="s">
        <v>273</v>
      </c>
      <c r="P298" s="961" t="s">
        <v>274</v>
      </c>
      <c r="Q298" s="961" t="s">
        <v>431</v>
      </c>
      <c r="R298" s="961" t="s">
        <v>432</v>
      </c>
    </row>
    <row r="299" spans="1:19" x14ac:dyDescent="0.3">
      <c r="A299" s="961">
        <v>1</v>
      </c>
      <c r="B299" s="1127">
        <v>2</v>
      </c>
      <c r="C299" s="961">
        <v>3</v>
      </c>
      <c r="D299" s="961">
        <v>4</v>
      </c>
      <c r="E299" s="961">
        <v>5</v>
      </c>
      <c r="F299" s="961">
        <v>6</v>
      </c>
      <c r="G299" s="961">
        <v>7</v>
      </c>
      <c r="H299" s="961">
        <v>8</v>
      </c>
      <c r="I299" s="961">
        <v>9</v>
      </c>
      <c r="J299" s="961">
        <v>10</v>
      </c>
      <c r="K299" s="961">
        <v>11</v>
      </c>
      <c r="L299" s="961">
        <v>12</v>
      </c>
      <c r="M299" s="961">
        <v>13</v>
      </c>
      <c r="N299" s="961">
        <v>14</v>
      </c>
      <c r="O299" s="961">
        <v>15</v>
      </c>
      <c r="P299" s="961">
        <v>16</v>
      </c>
      <c r="Q299" s="961">
        <v>17</v>
      </c>
      <c r="R299" s="961">
        <v>18</v>
      </c>
    </row>
    <row r="300" spans="1:19" x14ac:dyDescent="0.3">
      <c r="A300" s="485"/>
      <c r="B300" s="1110" t="s">
        <v>313</v>
      </c>
      <c r="C300" s="962"/>
      <c r="D300" s="962"/>
      <c r="E300" s="962"/>
      <c r="F300" s="963"/>
      <c r="G300" s="963"/>
      <c r="H300" s="963"/>
      <c r="I300" s="963"/>
      <c r="J300" s="963"/>
      <c r="K300" s="347"/>
      <c r="L300" s="963"/>
      <c r="M300" s="347"/>
      <c r="N300" s="963"/>
      <c r="O300" s="963"/>
      <c r="P300" s="963"/>
      <c r="Q300" s="752"/>
      <c r="R300" s="1437"/>
    </row>
    <row r="301" spans="1:19" x14ac:dyDescent="0.3">
      <c r="A301" s="485">
        <v>1</v>
      </c>
      <c r="B301" s="1057" t="s">
        <v>922</v>
      </c>
      <c r="C301" s="1113">
        <f>C267</f>
        <v>1377</v>
      </c>
      <c r="D301" s="1114">
        <f t="shared" ref="D301:E301" si="69">D267</f>
        <v>0.49142040668119102</v>
      </c>
      <c r="E301" s="1113">
        <f t="shared" si="69"/>
        <v>676.68590000000006</v>
      </c>
      <c r="F301" s="347">
        <f>SUM(F2.1!K103:P103)</f>
        <v>1580.870898822438</v>
      </c>
      <c r="G301" s="347">
        <f>F301</f>
        <v>1580.870898822438</v>
      </c>
      <c r="H301" s="347"/>
      <c r="I301" s="347"/>
      <c r="J301" s="347"/>
      <c r="K301" s="347">
        <v>241.18097443112865</v>
      </c>
      <c r="L301" s="485"/>
      <c r="M301" s="499">
        <f>N301/G301*10</f>
        <v>6.9919548790624528</v>
      </c>
      <c r="N301" s="374">
        <v>1105.3377994189391</v>
      </c>
      <c r="O301" s="485"/>
      <c r="P301" s="347"/>
      <c r="Q301" s="379">
        <f>SUM(K301,L301,N301,O301,P301)</f>
        <v>1346.5187738500676</v>
      </c>
      <c r="R301" s="928">
        <f t="shared" ref="R301:R327" si="70">IFERROR(Q301/G301*10,0)</f>
        <v>8.5175758175640084</v>
      </c>
      <c r="S301" s="1575">
        <v>0</v>
      </c>
    </row>
    <row r="302" spans="1:19" x14ac:dyDescent="0.3">
      <c r="A302" s="485">
        <v>2</v>
      </c>
      <c r="B302" s="1057" t="s">
        <v>1624</v>
      </c>
      <c r="C302" s="1113">
        <f t="shared" ref="C302:E325" si="71">C268</f>
        <v>20</v>
      </c>
      <c r="D302" s="1114">
        <f t="shared" si="71"/>
        <v>1</v>
      </c>
      <c r="E302" s="1113">
        <f t="shared" si="71"/>
        <v>20</v>
      </c>
      <c r="F302" s="347">
        <f>SUM(F2.1!K104:P104)</f>
        <v>17.045279999999998</v>
      </c>
      <c r="G302" s="347">
        <f t="shared" ref="G302:G326" si="72">F302</f>
        <v>17.045279999999998</v>
      </c>
      <c r="H302" s="347"/>
      <c r="I302" s="347"/>
      <c r="J302" s="347"/>
      <c r="K302" s="347"/>
      <c r="L302" s="485"/>
      <c r="M302" s="499">
        <f>M268</f>
        <v>8.5599999990312057</v>
      </c>
      <c r="N302" s="374">
        <f>M302*G302/10</f>
        <v>14.590759678348661</v>
      </c>
      <c r="O302" s="485"/>
      <c r="P302" s="1443"/>
      <c r="Q302" s="379">
        <f>SUM(K302,L302,N302,O302,P302)</f>
        <v>14.590759678348661</v>
      </c>
      <c r="R302" s="928">
        <f t="shared" si="70"/>
        <v>8.5599999990312057</v>
      </c>
    </row>
    <row r="303" spans="1:19" x14ac:dyDescent="0.3">
      <c r="A303" s="485"/>
      <c r="B303" s="1057"/>
      <c r="C303" s="1113">
        <f t="shared" si="71"/>
        <v>0</v>
      </c>
      <c r="D303" s="1114">
        <f t="shared" si="71"/>
        <v>0</v>
      </c>
      <c r="E303" s="1113">
        <f t="shared" si="71"/>
        <v>0</v>
      </c>
      <c r="F303" s="347"/>
      <c r="G303" s="347">
        <f t="shared" si="72"/>
        <v>0</v>
      </c>
      <c r="H303" s="347"/>
      <c r="I303" s="347"/>
      <c r="J303" s="347"/>
      <c r="K303" s="347"/>
      <c r="L303" s="485"/>
      <c r="M303" s="499">
        <f t="shared" ref="M303:M326" si="73">IFERROR(N303/G303*10,0)</f>
        <v>0</v>
      </c>
      <c r="N303" s="374"/>
      <c r="O303" s="485"/>
      <c r="P303" s="1443"/>
      <c r="Q303" s="379">
        <f t="shared" ref="Q303:Q326" si="74">SUM(K303,L303,N303,O303,P303)</f>
        <v>0</v>
      </c>
      <c r="R303" s="928">
        <f t="shared" si="70"/>
        <v>0</v>
      </c>
    </row>
    <row r="304" spans="1:19" x14ac:dyDescent="0.3">
      <c r="A304" s="485"/>
      <c r="B304" s="1111" t="s">
        <v>1625</v>
      </c>
      <c r="C304" s="1113">
        <f t="shared" si="71"/>
        <v>0</v>
      </c>
      <c r="D304" s="1113">
        <f t="shared" si="71"/>
        <v>0</v>
      </c>
      <c r="E304" s="1113">
        <f t="shared" si="71"/>
        <v>0</v>
      </c>
      <c r="F304" s="347"/>
      <c r="G304" s="347">
        <f t="shared" si="72"/>
        <v>0</v>
      </c>
      <c r="H304" s="347"/>
      <c r="I304" s="347"/>
      <c r="J304" s="347"/>
      <c r="K304" s="347"/>
      <c r="L304" s="485"/>
      <c r="M304" s="499">
        <f t="shared" si="73"/>
        <v>0</v>
      </c>
      <c r="N304" s="1115"/>
      <c r="O304" s="485"/>
      <c r="P304" s="1443"/>
      <c r="Q304" s="379">
        <f t="shared" si="74"/>
        <v>0</v>
      </c>
      <c r="R304" s="928">
        <f t="shared" si="70"/>
        <v>0</v>
      </c>
    </row>
    <row r="305" spans="1:18" x14ac:dyDescent="0.3">
      <c r="A305" s="572">
        <v>3</v>
      </c>
      <c r="B305" s="1057" t="s">
        <v>1626</v>
      </c>
      <c r="C305" s="1113">
        <f t="shared" si="71"/>
        <v>100</v>
      </c>
      <c r="D305" s="1113">
        <f t="shared" si="71"/>
        <v>1</v>
      </c>
      <c r="E305" s="1113">
        <f t="shared" si="71"/>
        <v>100</v>
      </c>
      <c r="F305" s="347">
        <f>SUM(F2.1!K107:P107)</f>
        <v>407.90437600000007</v>
      </c>
      <c r="G305" s="347">
        <f t="shared" si="72"/>
        <v>407.90437600000007</v>
      </c>
      <c r="H305" s="347"/>
      <c r="I305" s="347"/>
      <c r="J305" s="347"/>
      <c r="K305" s="347">
        <f>'Manikaran rate'!$D$8*G305/10</f>
        <v>84.20876397820966</v>
      </c>
      <c r="L305" s="485"/>
      <c r="M305" s="499">
        <f>'Manikaran rate'!$E$8</f>
        <v>2.2060603448275864</v>
      </c>
      <c r="N305" s="374">
        <f>M305*G305/10</f>
        <v>89.986166837524166</v>
      </c>
      <c r="O305" s="485"/>
      <c r="P305" s="1443"/>
      <c r="Q305" s="379">
        <f t="shared" si="74"/>
        <v>174.19493081573381</v>
      </c>
      <c r="R305" s="928">
        <f t="shared" si="70"/>
        <v>4.2704844827586204</v>
      </c>
    </row>
    <row r="306" spans="1:18" x14ac:dyDescent="0.3">
      <c r="A306" s="485"/>
      <c r="B306" s="1057"/>
      <c r="C306" s="1113">
        <f t="shared" si="71"/>
        <v>0</v>
      </c>
      <c r="D306" s="1113">
        <f t="shared" si="71"/>
        <v>0</v>
      </c>
      <c r="E306" s="1113">
        <f t="shared" si="71"/>
        <v>0</v>
      </c>
      <c r="F306" s="347"/>
      <c r="G306" s="347">
        <f t="shared" si="72"/>
        <v>0</v>
      </c>
      <c r="H306" s="347"/>
      <c r="I306" s="347"/>
      <c r="J306" s="347"/>
      <c r="K306" s="347"/>
      <c r="L306" s="485"/>
      <c r="M306" s="499">
        <f t="shared" si="73"/>
        <v>0</v>
      </c>
      <c r="N306" s="499"/>
      <c r="O306" s="485"/>
      <c r="P306" s="1443"/>
      <c r="Q306" s="379">
        <f t="shared" si="74"/>
        <v>0</v>
      </c>
      <c r="R306" s="928">
        <f t="shared" si="70"/>
        <v>0</v>
      </c>
    </row>
    <row r="307" spans="1:18" x14ac:dyDescent="0.3">
      <c r="A307" s="485"/>
      <c r="B307" s="1111" t="s">
        <v>314</v>
      </c>
      <c r="C307" s="1113">
        <f t="shared" si="71"/>
        <v>0</v>
      </c>
      <c r="D307" s="1113">
        <f t="shared" si="71"/>
        <v>0</v>
      </c>
      <c r="E307" s="1113">
        <f t="shared" si="71"/>
        <v>0</v>
      </c>
      <c r="F307" s="347"/>
      <c r="G307" s="347">
        <f t="shared" si="72"/>
        <v>0</v>
      </c>
      <c r="H307" s="347"/>
      <c r="I307" s="347"/>
      <c r="J307" s="347"/>
      <c r="K307" s="347"/>
      <c r="L307" s="485"/>
      <c r="M307" s="499">
        <f t="shared" si="73"/>
        <v>0</v>
      </c>
      <c r="N307" s="1115"/>
      <c r="O307" s="485"/>
      <c r="P307" s="1443"/>
      <c r="Q307" s="379">
        <f t="shared" si="74"/>
        <v>0</v>
      </c>
      <c r="R307" s="928">
        <f t="shared" si="70"/>
        <v>0</v>
      </c>
    </row>
    <row r="308" spans="1:18" x14ac:dyDescent="0.3">
      <c r="A308" s="485">
        <v>4</v>
      </c>
      <c r="B308" s="1057" t="s">
        <v>1819</v>
      </c>
      <c r="C308" s="1113">
        <f t="shared" si="71"/>
        <v>0</v>
      </c>
      <c r="D308" s="1113">
        <f t="shared" si="71"/>
        <v>0</v>
      </c>
      <c r="E308" s="1113">
        <f t="shared" si="71"/>
        <v>0</v>
      </c>
      <c r="F308" s="347">
        <f>SUM(F2.1!K111:P111)</f>
        <v>220.35999999999999</v>
      </c>
      <c r="G308" s="347">
        <f t="shared" si="72"/>
        <v>220.35999999999999</v>
      </c>
      <c r="H308" s="347"/>
      <c r="I308" s="347"/>
      <c r="J308" s="347"/>
      <c r="K308" s="347"/>
      <c r="L308" s="485"/>
      <c r="M308" s="499">
        <v>5.6609285012009121</v>
      </c>
      <c r="N308" s="374">
        <f>M308*G308/10</f>
        <v>124.74422045246328</v>
      </c>
      <c r="O308" s="485"/>
      <c r="P308" s="1443"/>
      <c r="Q308" s="379">
        <f t="shared" si="74"/>
        <v>124.74422045246328</v>
      </c>
      <c r="R308" s="928">
        <f t="shared" si="70"/>
        <v>5.6609285012009112</v>
      </c>
    </row>
    <row r="309" spans="1:18" x14ac:dyDescent="0.3">
      <c r="A309" s="485">
        <v>5</v>
      </c>
      <c r="B309" s="1057" t="s">
        <v>1344</v>
      </c>
      <c r="C309" s="1113">
        <f t="shared" si="71"/>
        <v>0</v>
      </c>
      <c r="D309" s="1113">
        <f t="shared" si="71"/>
        <v>0</v>
      </c>
      <c r="E309" s="1113">
        <f t="shared" si="71"/>
        <v>0</v>
      </c>
      <c r="F309" s="347"/>
      <c r="G309" s="347">
        <f t="shared" si="72"/>
        <v>0</v>
      </c>
      <c r="H309" s="347"/>
      <c r="I309" s="347"/>
      <c r="J309" s="347"/>
      <c r="K309" s="347"/>
      <c r="L309" s="485"/>
      <c r="M309" s="499">
        <f t="shared" si="73"/>
        <v>0</v>
      </c>
      <c r="N309" s="1115"/>
      <c r="O309" s="485"/>
      <c r="P309" s="1443"/>
      <c r="Q309" s="379">
        <f t="shared" si="74"/>
        <v>0</v>
      </c>
      <c r="R309" s="928">
        <f t="shared" si="70"/>
        <v>0</v>
      </c>
    </row>
    <row r="310" spans="1:18" x14ac:dyDescent="0.3">
      <c r="A310" s="485">
        <v>6</v>
      </c>
      <c r="B310" s="1057" t="s">
        <v>1336</v>
      </c>
      <c r="C310" s="1113">
        <f t="shared" si="71"/>
        <v>0</v>
      </c>
      <c r="D310" s="1113">
        <f t="shared" si="71"/>
        <v>0</v>
      </c>
      <c r="E310" s="1113">
        <f t="shared" si="71"/>
        <v>0</v>
      </c>
      <c r="F310" s="347">
        <f>SUM(F2.1!K112:P112)</f>
        <v>0</v>
      </c>
      <c r="G310" s="347">
        <f t="shared" si="72"/>
        <v>0</v>
      </c>
      <c r="H310" s="347"/>
      <c r="I310" s="347"/>
      <c r="J310" s="347"/>
      <c r="K310" s="347"/>
      <c r="L310" s="485"/>
      <c r="M310" s="499">
        <f t="shared" si="73"/>
        <v>0</v>
      </c>
      <c r="N310" s="1115"/>
      <c r="O310" s="485"/>
      <c r="P310" s="1443"/>
      <c r="Q310" s="379">
        <f t="shared" si="74"/>
        <v>0</v>
      </c>
      <c r="R310" s="928">
        <f t="shared" si="70"/>
        <v>0</v>
      </c>
    </row>
    <row r="311" spans="1:18" x14ac:dyDescent="0.3">
      <c r="A311" s="485">
        <v>7</v>
      </c>
      <c r="B311" s="1057" t="s">
        <v>1338</v>
      </c>
      <c r="C311" s="1113">
        <f t="shared" si="71"/>
        <v>0</v>
      </c>
      <c r="D311" s="1113">
        <f t="shared" si="71"/>
        <v>0</v>
      </c>
      <c r="E311" s="1113">
        <f t="shared" si="71"/>
        <v>0</v>
      </c>
      <c r="F311" s="347">
        <f>SUM(F2.1!K113:P113)</f>
        <v>0</v>
      </c>
      <c r="G311" s="347">
        <f t="shared" si="72"/>
        <v>0</v>
      </c>
      <c r="H311" s="347"/>
      <c r="I311" s="347"/>
      <c r="J311" s="347"/>
      <c r="K311" s="347"/>
      <c r="L311" s="485"/>
      <c r="M311" s="499">
        <f t="shared" si="73"/>
        <v>0</v>
      </c>
      <c r="N311" s="499"/>
      <c r="O311" s="485"/>
      <c r="P311" s="1443"/>
      <c r="Q311" s="379">
        <f t="shared" si="74"/>
        <v>0</v>
      </c>
      <c r="R311" s="928">
        <f t="shared" si="70"/>
        <v>0</v>
      </c>
    </row>
    <row r="312" spans="1:18" x14ac:dyDescent="0.3">
      <c r="A312" s="485">
        <v>8</v>
      </c>
      <c r="B312" s="1057" t="s">
        <v>1990</v>
      </c>
      <c r="C312" s="1113">
        <f t="shared" si="71"/>
        <v>0</v>
      </c>
      <c r="D312" s="1113">
        <f t="shared" si="71"/>
        <v>0</v>
      </c>
      <c r="E312" s="1113">
        <f t="shared" si="71"/>
        <v>0</v>
      </c>
      <c r="F312" s="347">
        <f>SUM(F2.1!K115:P115)</f>
        <v>15.295143937191046</v>
      </c>
      <c r="G312" s="347">
        <f t="shared" si="72"/>
        <v>15.295143937191046</v>
      </c>
      <c r="H312" s="347"/>
      <c r="I312" s="347"/>
      <c r="J312" s="347"/>
      <c r="K312" s="347"/>
      <c r="L312" s="485"/>
      <c r="M312" s="499">
        <v>4.3322976970652114</v>
      </c>
      <c r="N312" s="374">
        <f t="shared" ref="N312:N313" si="75">M312*G312/10</f>
        <v>6.6263116855373694</v>
      </c>
      <c r="O312" s="485"/>
      <c r="P312" s="1443"/>
      <c r="Q312" s="379">
        <f t="shared" si="74"/>
        <v>6.6263116855373694</v>
      </c>
      <c r="R312" s="928">
        <f t="shared" si="70"/>
        <v>4.3322976970652114</v>
      </c>
    </row>
    <row r="313" spans="1:18" x14ac:dyDescent="0.3">
      <c r="A313" s="485">
        <v>9</v>
      </c>
      <c r="B313" s="1057" t="s">
        <v>1989</v>
      </c>
      <c r="C313" s="1113">
        <f t="shared" si="71"/>
        <v>0</v>
      </c>
      <c r="D313" s="1113">
        <f t="shared" si="71"/>
        <v>0</v>
      </c>
      <c r="E313" s="1113">
        <f t="shared" si="71"/>
        <v>0</v>
      </c>
      <c r="F313" s="347">
        <f>SUM(F2.1!K117:P117)</f>
        <v>84.704856062808972</v>
      </c>
      <c r="G313" s="347">
        <f t="shared" si="72"/>
        <v>84.704856062808972</v>
      </c>
      <c r="H313" s="347"/>
      <c r="I313" s="347"/>
      <c r="J313" s="347"/>
      <c r="K313" s="347"/>
      <c r="L313" s="485"/>
      <c r="M313" s="499">
        <v>4.3322976970652114</v>
      </c>
      <c r="N313" s="374">
        <f t="shared" si="75"/>
        <v>36.696665285114747</v>
      </c>
      <c r="O313" s="485"/>
      <c r="P313" s="1443"/>
      <c r="Q313" s="379">
        <f t="shared" si="74"/>
        <v>36.696665285114747</v>
      </c>
      <c r="R313" s="928">
        <f t="shared" si="70"/>
        <v>4.3322976970652114</v>
      </c>
    </row>
    <row r="314" spans="1:18" x14ac:dyDescent="0.3">
      <c r="A314" s="485">
        <v>10</v>
      </c>
      <c r="B314" s="1057" t="s">
        <v>1340</v>
      </c>
      <c r="C314" s="1113">
        <f t="shared" si="71"/>
        <v>0</v>
      </c>
      <c r="D314" s="1113">
        <f t="shared" si="71"/>
        <v>0</v>
      </c>
      <c r="E314" s="1113">
        <f t="shared" si="71"/>
        <v>0</v>
      </c>
      <c r="F314" s="347">
        <f>SUM(F2.1!K118:P118)</f>
        <v>0</v>
      </c>
      <c r="G314" s="347">
        <f t="shared" si="72"/>
        <v>0</v>
      </c>
      <c r="H314" s="347"/>
      <c r="I314" s="347"/>
      <c r="J314" s="347"/>
      <c r="K314" s="347"/>
      <c r="L314" s="485"/>
      <c r="M314" s="499">
        <f t="shared" si="73"/>
        <v>0</v>
      </c>
      <c r="N314" s="1115"/>
      <c r="O314" s="485"/>
      <c r="P314" s="1443"/>
      <c r="Q314" s="379">
        <f t="shared" si="74"/>
        <v>0</v>
      </c>
      <c r="R314" s="928">
        <f t="shared" si="70"/>
        <v>0</v>
      </c>
    </row>
    <row r="315" spans="1:18" x14ac:dyDescent="0.3">
      <c r="A315" s="485">
        <v>11</v>
      </c>
      <c r="B315" s="1057" t="s">
        <v>1446</v>
      </c>
      <c r="C315" s="1113">
        <f t="shared" si="71"/>
        <v>0</v>
      </c>
      <c r="D315" s="1113">
        <f t="shared" si="71"/>
        <v>0</v>
      </c>
      <c r="E315" s="1113">
        <f t="shared" si="71"/>
        <v>0</v>
      </c>
      <c r="F315" s="347">
        <f>SUM(F2.1!K119:P119)</f>
        <v>0</v>
      </c>
      <c r="G315" s="347">
        <f t="shared" si="72"/>
        <v>0</v>
      </c>
      <c r="H315" s="347"/>
      <c r="I315" s="347"/>
      <c r="J315" s="347"/>
      <c r="K315" s="347"/>
      <c r="L315" s="485"/>
      <c r="M315" s="499">
        <f t="shared" si="73"/>
        <v>0</v>
      </c>
      <c r="N315" s="1115"/>
      <c r="O315" s="485"/>
      <c r="P315" s="1443"/>
      <c r="Q315" s="379">
        <f t="shared" si="74"/>
        <v>0</v>
      </c>
      <c r="R315" s="928">
        <f t="shared" si="70"/>
        <v>0</v>
      </c>
    </row>
    <row r="316" spans="1:18" x14ac:dyDescent="0.3">
      <c r="A316" s="485">
        <v>12</v>
      </c>
      <c r="B316" s="1057" t="s">
        <v>1349</v>
      </c>
      <c r="C316" s="1113">
        <f t="shared" si="71"/>
        <v>0</v>
      </c>
      <c r="D316" s="1113">
        <f t="shared" si="71"/>
        <v>0</v>
      </c>
      <c r="E316" s="1113">
        <f t="shared" si="71"/>
        <v>0</v>
      </c>
      <c r="F316" s="347">
        <f>SUM(F2.1!K120:P120)</f>
        <v>0</v>
      </c>
      <c r="G316" s="347">
        <f t="shared" si="72"/>
        <v>0</v>
      </c>
      <c r="H316" s="347"/>
      <c r="I316" s="347"/>
      <c r="J316" s="347"/>
      <c r="K316" s="347"/>
      <c r="L316" s="485"/>
      <c r="M316" s="499">
        <f t="shared" si="73"/>
        <v>0</v>
      </c>
      <c r="N316" s="1115"/>
      <c r="O316" s="485"/>
      <c r="P316" s="1443"/>
      <c r="Q316" s="379">
        <f t="shared" si="74"/>
        <v>0</v>
      </c>
      <c r="R316" s="928">
        <f t="shared" si="70"/>
        <v>0</v>
      </c>
    </row>
    <row r="317" spans="1:18" x14ac:dyDescent="0.3">
      <c r="A317" s="485">
        <v>13</v>
      </c>
      <c r="B317" s="1057" t="s">
        <v>1524</v>
      </c>
      <c r="C317" s="1113">
        <f t="shared" si="71"/>
        <v>0</v>
      </c>
      <c r="D317" s="1113">
        <f t="shared" si="71"/>
        <v>0</v>
      </c>
      <c r="E317" s="1113">
        <f t="shared" si="71"/>
        <v>0</v>
      </c>
      <c r="F317" s="347">
        <f>SUM(F2.1!K121:P121)</f>
        <v>0</v>
      </c>
      <c r="G317" s="347">
        <f t="shared" si="72"/>
        <v>0</v>
      </c>
      <c r="H317" s="347"/>
      <c r="I317" s="347"/>
      <c r="J317" s="347"/>
      <c r="K317" s="347"/>
      <c r="L317" s="485"/>
      <c r="M317" s="499">
        <f t="shared" si="73"/>
        <v>0</v>
      </c>
      <c r="N317" s="1115"/>
      <c r="O317" s="485"/>
      <c r="P317" s="1443"/>
      <c r="Q317" s="379">
        <f t="shared" si="74"/>
        <v>0</v>
      </c>
      <c r="R317" s="928">
        <f t="shared" si="70"/>
        <v>0</v>
      </c>
    </row>
    <row r="318" spans="1:18" x14ac:dyDescent="0.3">
      <c r="A318" s="485">
        <v>14</v>
      </c>
      <c r="B318" s="1057" t="s">
        <v>927</v>
      </c>
      <c r="C318" s="1113">
        <f t="shared" si="71"/>
        <v>0</v>
      </c>
      <c r="D318" s="1113">
        <f t="shared" si="71"/>
        <v>0</v>
      </c>
      <c r="E318" s="1113">
        <f t="shared" si="71"/>
        <v>0</v>
      </c>
      <c r="F318" s="347"/>
      <c r="G318" s="347">
        <f t="shared" si="72"/>
        <v>0</v>
      </c>
      <c r="H318" s="347"/>
      <c r="I318" s="347"/>
      <c r="J318" s="347"/>
      <c r="K318" s="347"/>
      <c r="L318" s="485"/>
      <c r="M318" s="499">
        <f t="shared" si="73"/>
        <v>0</v>
      </c>
      <c r="N318" s="1115"/>
      <c r="O318" s="485"/>
      <c r="P318" s="1443">
        <f>Q216-P284</f>
        <v>49.260499600000003</v>
      </c>
      <c r="Q318" s="379">
        <f t="shared" si="74"/>
        <v>49.260499600000003</v>
      </c>
      <c r="R318" s="928">
        <f t="shared" si="70"/>
        <v>0</v>
      </c>
    </row>
    <row r="319" spans="1:18" x14ac:dyDescent="0.3">
      <c r="A319" s="572">
        <v>17</v>
      </c>
      <c r="B319" s="1111" t="s">
        <v>1363</v>
      </c>
      <c r="C319" s="1113">
        <f t="shared" si="71"/>
        <v>0</v>
      </c>
      <c r="D319" s="1113">
        <f t="shared" si="71"/>
        <v>0</v>
      </c>
      <c r="E319" s="1113">
        <f t="shared" si="71"/>
        <v>0</v>
      </c>
      <c r="F319" s="347"/>
      <c r="G319" s="347">
        <f t="shared" si="72"/>
        <v>0</v>
      </c>
      <c r="H319" s="347"/>
      <c r="I319" s="347"/>
      <c r="J319" s="347"/>
      <c r="K319" s="347"/>
      <c r="L319" s="485"/>
      <c r="M319" s="499">
        <f t="shared" si="73"/>
        <v>0</v>
      </c>
      <c r="N319" s="1115"/>
      <c r="O319" s="485"/>
      <c r="P319" s="1443"/>
      <c r="Q319" s="379">
        <f t="shared" si="74"/>
        <v>0</v>
      </c>
      <c r="R319" s="928">
        <f t="shared" si="70"/>
        <v>0</v>
      </c>
    </row>
    <row r="320" spans="1:18" x14ac:dyDescent="0.3">
      <c r="A320" s="485">
        <v>18</v>
      </c>
      <c r="B320" s="1057" t="s">
        <v>1364</v>
      </c>
      <c r="C320" s="1113">
        <f t="shared" si="71"/>
        <v>0</v>
      </c>
      <c r="D320" s="1113">
        <f t="shared" si="71"/>
        <v>0</v>
      </c>
      <c r="E320" s="1113">
        <f t="shared" si="71"/>
        <v>0</v>
      </c>
      <c r="F320" s="347"/>
      <c r="G320" s="347">
        <f t="shared" si="72"/>
        <v>0</v>
      </c>
      <c r="H320" s="347"/>
      <c r="I320" s="347"/>
      <c r="J320" s="347"/>
      <c r="K320" s="347"/>
      <c r="L320" s="485"/>
      <c r="M320" s="499">
        <f t="shared" si="73"/>
        <v>0</v>
      </c>
      <c r="N320" s="1115"/>
      <c r="O320" s="485"/>
      <c r="P320" s="1443"/>
      <c r="Q320" s="379">
        <f t="shared" si="74"/>
        <v>0</v>
      </c>
      <c r="R320" s="928">
        <f t="shared" si="70"/>
        <v>0</v>
      </c>
    </row>
    <row r="321" spans="1:18" x14ac:dyDescent="0.3">
      <c r="A321" s="485">
        <v>19</v>
      </c>
      <c r="B321" s="1057" t="s">
        <v>1365</v>
      </c>
      <c r="C321" s="1113">
        <f t="shared" si="71"/>
        <v>0</v>
      </c>
      <c r="D321" s="1113">
        <f t="shared" si="71"/>
        <v>0</v>
      </c>
      <c r="E321" s="1113">
        <f t="shared" si="71"/>
        <v>0</v>
      </c>
      <c r="F321" s="347"/>
      <c r="G321" s="347">
        <f t="shared" si="72"/>
        <v>0</v>
      </c>
      <c r="H321" s="347"/>
      <c r="I321" s="347"/>
      <c r="J321" s="347"/>
      <c r="K321" s="347"/>
      <c r="L321" s="485"/>
      <c r="M321" s="499">
        <f t="shared" si="73"/>
        <v>0</v>
      </c>
      <c r="N321" s="1115"/>
      <c r="O321" s="485"/>
      <c r="P321" s="1443"/>
      <c r="Q321" s="379">
        <f t="shared" si="74"/>
        <v>0</v>
      </c>
      <c r="R321" s="928">
        <f t="shared" si="70"/>
        <v>0</v>
      </c>
    </row>
    <row r="322" spans="1:18" x14ac:dyDescent="0.3">
      <c r="A322" s="485">
        <v>20</v>
      </c>
      <c r="B322" s="1057" t="s">
        <v>1366</v>
      </c>
      <c r="C322" s="1113">
        <f t="shared" si="71"/>
        <v>0</v>
      </c>
      <c r="D322" s="1113">
        <f t="shared" si="71"/>
        <v>0</v>
      </c>
      <c r="E322" s="1113">
        <f t="shared" si="71"/>
        <v>0</v>
      </c>
      <c r="F322" s="347"/>
      <c r="G322" s="347">
        <f t="shared" si="72"/>
        <v>0</v>
      </c>
      <c r="H322" s="347"/>
      <c r="I322" s="347"/>
      <c r="J322" s="347"/>
      <c r="K322" s="347"/>
      <c r="L322" s="485"/>
      <c r="M322" s="499">
        <f t="shared" si="73"/>
        <v>0</v>
      </c>
      <c r="N322" s="1115"/>
      <c r="O322" s="485"/>
      <c r="P322" s="1443"/>
      <c r="Q322" s="379">
        <f t="shared" si="74"/>
        <v>0</v>
      </c>
      <c r="R322" s="928">
        <f t="shared" si="70"/>
        <v>0</v>
      </c>
    </row>
    <row r="323" spans="1:18" ht="28" x14ac:dyDescent="0.3">
      <c r="A323" s="485">
        <v>21</v>
      </c>
      <c r="B323" s="1057" t="s">
        <v>1525</v>
      </c>
      <c r="C323" s="1113">
        <f t="shared" si="71"/>
        <v>0</v>
      </c>
      <c r="D323" s="1113">
        <f t="shared" si="71"/>
        <v>0</v>
      </c>
      <c r="E323" s="1113">
        <f t="shared" si="71"/>
        <v>0</v>
      </c>
      <c r="F323" s="347"/>
      <c r="G323" s="347">
        <f t="shared" si="72"/>
        <v>0</v>
      </c>
      <c r="H323" s="347"/>
      <c r="I323" s="347"/>
      <c r="J323" s="347"/>
      <c r="K323" s="347"/>
      <c r="L323" s="485"/>
      <c r="M323" s="499">
        <f t="shared" si="73"/>
        <v>0</v>
      </c>
      <c r="N323" s="1115"/>
      <c r="O323" s="485"/>
      <c r="P323" s="1443"/>
      <c r="Q323" s="379">
        <f t="shared" si="74"/>
        <v>0</v>
      </c>
      <c r="R323" s="928">
        <f t="shared" si="70"/>
        <v>0</v>
      </c>
    </row>
    <row r="324" spans="1:18" x14ac:dyDescent="0.3">
      <c r="A324" s="485">
        <v>22</v>
      </c>
      <c r="B324" s="1057" t="s">
        <v>1526</v>
      </c>
      <c r="C324" s="1113">
        <f t="shared" si="71"/>
        <v>0</v>
      </c>
      <c r="D324" s="1113">
        <f t="shared" si="71"/>
        <v>0</v>
      </c>
      <c r="E324" s="1113">
        <f t="shared" si="71"/>
        <v>0</v>
      </c>
      <c r="F324" s="347"/>
      <c r="G324" s="347">
        <f t="shared" si="72"/>
        <v>0</v>
      </c>
      <c r="H324" s="347"/>
      <c r="I324" s="347"/>
      <c r="J324" s="347"/>
      <c r="K324" s="485"/>
      <c r="L324" s="485"/>
      <c r="M324" s="499">
        <f t="shared" si="73"/>
        <v>0</v>
      </c>
      <c r="N324" s="1115"/>
      <c r="O324" s="485"/>
      <c r="P324" s="1443"/>
      <c r="Q324" s="379">
        <f t="shared" si="74"/>
        <v>0</v>
      </c>
      <c r="R324" s="928">
        <f t="shared" si="70"/>
        <v>0</v>
      </c>
    </row>
    <row r="325" spans="1:18" x14ac:dyDescent="0.3">
      <c r="A325" s="485">
        <v>23</v>
      </c>
      <c r="B325" s="1057" t="s">
        <v>1527</v>
      </c>
      <c r="C325" s="1113">
        <f t="shared" si="71"/>
        <v>0</v>
      </c>
      <c r="D325" s="1113">
        <f t="shared" si="71"/>
        <v>0</v>
      </c>
      <c r="E325" s="1113">
        <f t="shared" si="71"/>
        <v>0</v>
      </c>
      <c r="F325" s="347"/>
      <c r="G325" s="347">
        <f t="shared" si="72"/>
        <v>0</v>
      </c>
      <c r="H325" s="347"/>
      <c r="I325" s="347"/>
      <c r="J325" s="347"/>
      <c r="K325" s="485"/>
      <c r="L325" s="485"/>
      <c r="M325" s="499">
        <f t="shared" si="73"/>
        <v>0</v>
      </c>
      <c r="N325" s="1115"/>
      <c r="O325" s="485"/>
      <c r="P325" s="1443"/>
      <c r="Q325" s="379">
        <f t="shared" si="74"/>
        <v>0</v>
      </c>
      <c r="R325" s="928">
        <f t="shared" si="70"/>
        <v>0</v>
      </c>
    </row>
    <row r="326" spans="1:18" hidden="1" x14ac:dyDescent="0.3">
      <c r="A326" s="485"/>
      <c r="B326" s="1057"/>
      <c r="C326" s="1113"/>
      <c r="D326" s="1113"/>
      <c r="E326" s="1113"/>
      <c r="F326" s="347"/>
      <c r="G326" s="347">
        <f t="shared" si="72"/>
        <v>0</v>
      </c>
      <c r="H326" s="347"/>
      <c r="I326" s="347"/>
      <c r="J326" s="347"/>
      <c r="K326" s="485"/>
      <c r="L326" s="485"/>
      <c r="M326" s="499">
        <f t="shared" si="73"/>
        <v>0</v>
      </c>
      <c r="N326" s="1115"/>
      <c r="O326" s="485"/>
      <c r="P326" s="1443"/>
      <c r="Q326" s="379">
        <f t="shared" si="74"/>
        <v>0</v>
      </c>
      <c r="R326" s="928">
        <f t="shared" si="70"/>
        <v>0</v>
      </c>
    </row>
    <row r="327" spans="1:18" x14ac:dyDescent="0.3">
      <c r="A327" s="485">
        <v>24</v>
      </c>
      <c r="B327" s="1111" t="s">
        <v>145</v>
      </c>
      <c r="C327" s="1117"/>
      <c r="D327" s="1117"/>
      <c r="E327" s="1117">
        <f t="shared" ref="E327" si="76">SUM(E301:E326)</f>
        <v>796.68590000000006</v>
      </c>
      <c r="F327" s="1117">
        <f t="shared" ref="F327" si="77">SUM(F301:F326)</f>
        <v>2326.1805548224384</v>
      </c>
      <c r="G327" s="1117">
        <f t="shared" ref="G327" si="78">SUM(G301:G326)</f>
        <v>2326.1805548224384</v>
      </c>
      <c r="H327" s="1117">
        <f t="shared" ref="H327" si="79">SUM(H301:H326)</f>
        <v>0</v>
      </c>
      <c r="I327" s="1117">
        <f t="shared" ref="I327" si="80">SUM(I301:I326)</f>
        <v>0</v>
      </c>
      <c r="J327" s="1117">
        <f t="shared" ref="J327" si="81">SUM(J301:J326)</f>
        <v>0</v>
      </c>
      <c r="K327" s="1117">
        <f t="shared" ref="K327" si="82">SUM(K301:K326)</f>
        <v>325.38973840933829</v>
      </c>
      <c r="L327" s="1117">
        <f t="shared" ref="L327" si="83">SUM(L301:L326)</f>
        <v>0</v>
      </c>
      <c r="M327" s="1117">
        <f t="shared" ref="M327" si="84">SUM(M301:M326)</f>
        <v>32.083539118252581</v>
      </c>
      <c r="N327" s="1117">
        <f t="shared" ref="N327" si="85">SUM(N301:N326)</f>
        <v>1377.9819233579271</v>
      </c>
      <c r="O327" s="1117"/>
      <c r="P327" s="1117">
        <f>SUM(P301:P326)</f>
        <v>49.260499600000003</v>
      </c>
      <c r="Q327" s="1117">
        <f>SUM(Q301:Q326)</f>
        <v>1752.6321613672653</v>
      </c>
      <c r="R327" s="928">
        <f t="shared" si="70"/>
        <v>7.5343771476975787</v>
      </c>
    </row>
    <row r="328" spans="1:18" ht="16" x14ac:dyDescent="0.3">
      <c r="A328" s="977"/>
      <c r="B328" s="1143"/>
      <c r="C328" s="955"/>
      <c r="D328" s="955"/>
      <c r="E328" s="955"/>
      <c r="F328" s="955"/>
      <c r="G328" s="978"/>
      <c r="H328" s="978"/>
      <c r="I328" s="978"/>
      <c r="J328" s="978"/>
      <c r="K328" s="978"/>
      <c r="L328" s="978"/>
      <c r="M328" s="978"/>
      <c r="N328" s="978"/>
      <c r="O328" s="978"/>
      <c r="P328" s="978"/>
      <c r="Q328" s="1736"/>
      <c r="R328" s="977"/>
    </row>
    <row r="329" spans="1:18" x14ac:dyDescent="0.3">
      <c r="B329" s="1126" t="s">
        <v>835</v>
      </c>
      <c r="C329" s="966"/>
    </row>
    <row r="331" spans="1:18" s="146" customFormat="1" ht="56" x14ac:dyDescent="0.25">
      <c r="A331" s="961" t="s">
        <v>263</v>
      </c>
      <c r="B331" s="1127" t="s">
        <v>264</v>
      </c>
      <c r="C331" s="961" t="s">
        <v>309</v>
      </c>
      <c r="D331" s="961" t="s">
        <v>265</v>
      </c>
      <c r="E331" s="961" t="s">
        <v>266</v>
      </c>
      <c r="F331" s="961" t="s">
        <v>267</v>
      </c>
      <c r="G331" s="961" t="s">
        <v>268</v>
      </c>
      <c r="H331" s="961" t="s">
        <v>310</v>
      </c>
      <c r="I331" s="961" t="s">
        <v>269</v>
      </c>
      <c r="J331" s="961" t="s">
        <v>311</v>
      </c>
      <c r="K331" s="961" t="s">
        <v>270</v>
      </c>
      <c r="L331" s="961" t="s">
        <v>271</v>
      </c>
      <c r="M331" s="961" t="s">
        <v>312</v>
      </c>
      <c r="N331" s="961" t="s">
        <v>272</v>
      </c>
      <c r="O331" s="961" t="s">
        <v>273</v>
      </c>
      <c r="P331" s="961" t="s">
        <v>274</v>
      </c>
      <c r="Q331" s="961" t="s">
        <v>431</v>
      </c>
      <c r="R331" s="961" t="s">
        <v>432</v>
      </c>
    </row>
    <row r="332" spans="1:18" s="1148" customFormat="1" x14ac:dyDescent="0.3">
      <c r="A332" s="961">
        <v>1</v>
      </c>
      <c r="B332" s="1127">
        <v>2</v>
      </c>
      <c r="C332" s="961">
        <v>3</v>
      </c>
      <c r="D332" s="961">
        <v>4</v>
      </c>
      <c r="E332" s="961">
        <v>5</v>
      </c>
      <c r="F332" s="961">
        <v>6</v>
      </c>
      <c r="G332" s="961">
        <v>7</v>
      </c>
      <c r="H332" s="961">
        <v>8</v>
      </c>
      <c r="I332" s="961">
        <v>9</v>
      </c>
      <c r="J332" s="961">
        <v>10</v>
      </c>
      <c r="K332" s="961">
        <v>11</v>
      </c>
      <c r="L332" s="961">
        <v>12</v>
      </c>
      <c r="M332" s="961">
        <v>13</v>
      </c>
      <c r="N332" s="961">
        <v>14</v>
      </c>
      <c r="O332" s="961">
        <v>15</v>
      </c>
      <c r="P332" s="961">
        <v>16</v>
      </c>
      <c r="Q332" s="961">
        <v>17</v>
      </c>
      <c r="R332" s="961">
        <v>18</v>
      </c>
    </row>
    <row r="333" spans="1:18" x14ac:dyDescent="0.3">
      <c r="A333" s="751">
        <v>1</v>
      </c>
      <c r="B333" s="1128" t="s">
        <v>313</v>
      </c>
      <c r="C333" s="962"/>
      <c r="D333" s="962"/>
      <c r="E333" s="962"/>
      <c r="F333" s="963"/>
      <c r="G333" s="963"/>
      <c r="H333" s="963"/>
      <c r="I333" s="963"/>
      <c r="J333" s="963"/>
      <c r="K333" s="347"/>
      <c r="L333" s="963"/>
      <c r="M333" s="963"/>
      <c r="N333" s="347"/>
      <c r="O333" s="963"/>
      <c r="P333" s="963"/>
      <c r="Q333" s="752"/>
      <c r="R333" s="752"/>
    </row>
    <row r="334" spans="1:18" x14ac:dyDescent="0.3">
      <c r="A334" s="751">
        <f>A333+1</f>
        <v>2</v>
      </c>
      <c r="B334" s="1129" t="s">
        <v>922</v>
      </c>
      <c r="C334" s="485">
        <f t="shared" ref="C334:D336" si="86">C233</f>
        <v>1377</v>
      </c>
      <c r="D334" s="485">
        <f t="shared" si="86"/>
        <v>0.49142040668119102</v>
      </c>
      <c r="E334" s="485">
        <f>C334*D334</f>
        <v>676.68590000000006</v>
      </c>
      <c r="F334" s="485">
        <v>3443.9</v>
      </c>
      <c r="G334" s="485">
        <f>F334</f>
        <v>3443.9</v>
      </c>
      <c r="H334" s="485"/>
      <c r="I334" s="485"/>
      <c r="J334" s="485"/>
      <c r="K334" s="485">
        <v>447.78</v>
      </c>
      <c r="L334" s="485">
        <v>0</v>
      </c>
      <c r="M334" s="485">
        <f>N334/G334*10</f>
        <v>3.548418943639478</v>
      </c>
      <c r="N334" s="485">
        <v>1222.04</v>
      </c>
      <c r="O334" s="485">
        <v>0</v>
      </c>
      <c r="P334" s="485">
        <v>0</v>
      </c>
      <c r="Q334" s="485">
        <f>K334+L334+N334+O334+P334</f>
        <v>1669.82</v>
      </c>
      <c r="R334" s="485">
        <f>Q334/G334*10</f>
        <v>4.8486309126281242</v>
      </c>
    </row>
    <row r="335" spans="1:18" x14ac:dyDescent="0.3">
      <c r="A335" s="751">
        <f t="shared" ref="A335:A341" si="87">A334+1</f>
        <v>3</v>
      </c>
      <c r="B335" s="1130" t="s">
        <v>923</v>
      </c>
      <c r="C335" s="485">
        <f t="shared" si="86"/>
        <v>20</v>
      </c>
      <c r="D335" s="485">
        <f t="shared" si="86"/>
        <v>1</v>
      </c>
      <c r="E335" s="485">
        <f>C335*D335</f>
        <v>20</v>
      </c>
      <c r="F335" s="485">
        <v>31.5</v>
      </c>
      <c r="G335" s="485">
        <f>F335</f>
        <v>31.5</v>
      </c>
      <c r="H335" s="485"/>
      <c r="I335" s="485"/>
      <c r="J335" s="485"/>
      <c r="K335" s="485">
        <v>0</v>
      </c>
      <c r="L335" s="485">
        <v>0</v>
      </c>
      <c r="M335" s="485">
        <f t="shared" ref="M335:M343" si="88">N335/G335*10</f>
        <v>8.5587301587301585</v>
      </c>
      <c r="N335" s="485">
        <v>26.96</v>
      </c>
      <c r="O335" s="485">
        <v>0</v>
      </c>
      <c r="P335" s="485">
        <v>0</v>
      </c>
      <c r="Q335" s="485">
        <f t="shared" ref="Q335:Q342" si="89">K335+L335+N335+O335+P335</f>
        <v>26.96</v>
      </c>
      <c r="R335" s="485">
        <f>Q335/G335*10</f>
        <v>8.5587301587301585</v>
      </c>
    </row>
    <row r="336" spans="1:18" x14ac:dyDescent="0.3">
      <c r="A336" s="751">
        <f t="shared" si="87"/>
        <v>4</v>
      </c>
      <c r="B336" s="1130" t="s">
        <v>933</v>
      </c>
      <c r="C336" s="485">
        <f t="shared" si="86"/>
        <v>0</v>
      </c>
      <c r="D336" s="485">
        <f t="shared" si="86"/>
        <v>0</v>
      </c>
      <c r="E336" s="485">
        <f>C336*D336</f>
        <v>0</v>
      </c>
      <c r="F336" s="485">
        <v>744.6</v>
      </c>
      <c r="G336" s="485">
        <f>F336</f>
        <v>744.6</v>
      </c>
      <c r="H336" s="485"/>
      <c r="I336" s="485"/>
      <c r="J336" s="485"/>
      <c r="K336" s="485">
        <v>0</v>
      </c>
      <c r="L336" s="485">
        <v>0</v>
      </c>
      <c r="M336" s="485">
        <f t="shared" si="88"/>
        <v>4.5022831050228316</v>
      </c>
      <c r="N336" s="485">
        <v>335.24</v>
      </c>
      <c r="O336" s="485">
        <v>0</v>
      </c>
      <c r="P336" s="485">
        <v>0</v>
      </c>
      <c r="Q336" s="485">
        <f t="shared" si="89"/>
        <v>335.24</v>
      </c>
      <c r="R336" s="485">
        <f>Q336/G336*10</f>
        <v>4.5022831050228316</v>
      </c>
    </row>
    <row r="337" spans="1:20" x14ac:dyDescent="0.3">
      <c r="A337" s="751">
        <f t="shared" si="87"/>
        <v>5</v>
      </c>
      <c r="B337" s="1128" t="s">
        <v>314</v>
      </c>
      <c r="C337" s="485"/>
      <c r="D337" s="485"/>
      <c r="E337" s="485"/>
      <c r="F337" s="485"/>
      <c r="G337" s="485"/>
      <c r="H337" s="485"/>
      <c r="I337" s="485"/>
      <c r="J337" s="485"/>
      <c r="K337" s="485"/>
      <c r="L337" s="485"/>
      <c r="M337" s="485"/>
      <c r="N337" s="485"/>
      <c r="O337" s="485"/>
      <c r="P337" s="485"/>
      <c r="Q337" s="485">
        <f t="shared" si="89"/>
        <v>0</v>
      </c>
      <c r="R337" s="485"/>
    </row>
    <row r="338" spans="1:20" x14ac:dyDescent="0.3">
      <c r="A338" s="751">
        <f t="shared" si="87"/>
        <v>6</v>
      </c>
      <c r="B338" s="1130" t="s">
        <v>934</v>
      </c>
      <c r="C338" s="485"/>
      <c r="D338" s="485"/>
      <c r="E338" s="485"/>
      <c r="F338" s="485">
        <v>417.12</v>
      </c>
      <c r="G338" s="485">
        <f>F338</f>
        <v>417.12</v>
      </c>
      <c r="H338" s="485"/>
      <c r="I338" s="485"/>
      <c r="J338" s="485"/>
      <c r="K338" s="485">
        <v>0</v>
      </c>
      <c r="L338" s="485">
        <v>0</v>
      </c>
      <c r="M338" s="485">
        <f t="shared" si="88"/>
        <v>2.899884925201381</v>
      </c>
      <c r="N338" s="485">
        <v>120.96</v>
      </c>
      <c r="O338" s="485">
        <v>0</v>
      </c>
      <c r="P338" s="485">
        <v>0</v>
      </c>
      <c r="Q338" s="485">
        <f t="shared" si="89"/>
        <v>120.96</v>
      </c>
      <c r="R338" s="485">
        <f>Q338/G338*10</f>
        <v>2.899884925201381</v>
      </c>
    </row>
    <row r="339" spans="1:20" x14ac:dyDescent="0.3">
      <c r="A339" s="751">
        <f t="shared" si="87"/>
        <v>7</v>
      </c>
      <c r="B339" s="1130" t="s">
        <v>935</v>
      </c>
      <c r="C339" s="485"/>
      <c r="D339" s="485"/>
      <c r="E339" s="485"/>
      <c r="F339" s="485">
        <v>505.87</v>
      </c>
      <c r="G339" s="485">
        <f>F339</f>
        <v>505.87</v>
      </c>
      <c r="H339" s="485"/>
      <c r="I339" s="485"/>
      <c r="J339" s="485"/>
      <c r="K339" s="485">
        <v>0</v>
      </c>
      <c r="L339" s="485">
        <v>0</v>
      </c>
      <c r="M339" s="485">
        <f t="shared" si="88"/>
        <v>2.8701049676794432</v>
      </c>
      <c r="N339" s="485">
        <v>145.19</v>
      </c>
      <c r="O339" s="485">
        <v>0</v>
      </c>
      <c r="P339" s="485">
        <v>0</v>
      </c>
      <c r="Q339" s="485">
        <f t="shared" si="89"/>
        <v>145.19</v>
      </c>
      <c r="R339" s="485">
        <f>Q339/G339*10</f>
        <v>2.8701049676794432</v>
      </c>
    </row>
    <row r="340" spans="1:20" x14ac:dyDescent="0.3">
      <c r="A340" s="751">
        <f t="shared" si="87"/>
        <v>8</v>
      </c>
      <c r="B340" s="1131" t="s">
        <v>926</v>
      </c>
      <c r="C340" s="485"/>
      <c r="D340" s="485"/>
      <c r="E340" s="485"/>
      <c r="F340" s="485"/>
      <c r="G340" s="485"/>
      <c r="H340" s="967"/>
      <c r="I340" s="967"/>
      <c r="J340" s="967"/>
      <c r="K340" s="967"/>
      <c r="L340" s="967"/>
      <c r="M340" s="485"/>
      <c r="N340" s="967"/>
      <c r="O340" s="967"/>
      <c r="P340" s="967"/>
      <c r="Q340" s="485">
        <f t="shared" si="89"/>
        <v>0</v>
      </c>
      <c r="R340" s="485"/>
    </row>
    <row r="341" spans="1:20" x14ac:dyDescent="0.3">
      <c r="A341" s="751">
        <f t="shared" si="87"/>
        <v>9</v>
      </c>
      <c r="B341" s="1130" t="s">
        <v>927</v>
      </c>
      <c r="C341" s="485"/>
      <c r="D341" s="485"/>
      <c r="E341" s="485"/>
      <c r="F341" s="485"/>
      <c r="G341" s="485"/>
      <c r="H341" s="967"/>
      <c r="I341" s="967"/>
      <c r="J341" s="967"/>
      <c r="K341" s="485">
        <v>0</v>
      </c>
      <c r="L341" s="485">
        <v>0</v>
      </c>
      <c r="M341" s="485">
        <v>0</v>
      </c>
      <c r="N341" s="485">
        <v>0</v>
      </c>
      <c r="O341" s="485">
        <v>0</v>
      </c>
      <c r="P341" s="967">
        <v>97.66</v>
      </c>
      <c r="Q341" s="485">
        <f t="shared" si="89"/>
        <v>97.66</v>
      </c>
      <c r="R341" s="485">
        <v>0</v>
      </c>
    </row>
    <row r="342" spans="1:20" x14ac:dyDescent="0.3">
      <c r="A342" s="752"/>
      <c r="B342" s="1130"/>
      <c r="C342" s="485"/>
      <c r="D342" s="485"/>
      <c r="E342" s="485"/>
      <c r="F342" s="485"/>
      <c r="G342" s="485"/>
      <c r="H342" s="967"/>
      <c r="I342" s="967"/>
      <c r="J342" s="967"/>
      <c r="K342" s="967"/>
      <c r="L342" s="967"/>
      <c r="M342" s="485"/>
      <c r="N342" s="967"/>
      <c r="O342" s="967"/>
      <c r="P342" s="967"/>
      <c r="Q342" s="485">
        <f t="shared" si="89"/>
        <v>0</v>
      </c>
      <c r="R342" s="485"/>
    </row>
    <row r="343" spans="1:20" x14ac:dyDescent="0.3">
      <c r="A343" s="752"/>
      <c r="B343" s="1142" t="s">
        <v>145</v>
      </c>
      <c r="C343" s="364"/>
      <c r="D343" s="364"/>
      <c r="E343" s="364"/>
      <c r="F343" s="364">
        <f>SUM(F334:F342)</f>
        <v>5142.99</v>
      </c>
      <c r="G343" s="364">
        <f>SUM(G334:G342)</f>
        <v>5142.99</v>
      </c>
      <c r="H343" s="364"/>
      <c r="I343" s="364"/>
      <c r="J343" s="364"/>
      <c r="K343" s="364">
        <f>SUM(K334:K342)</f>
        <v>447.78</v>
      </c>
      <c r="L343" s="364">
        <f>SUM(L334:L342)</f>
        <v>0</v>
      </c>
      <c r="M343" s="485">
        <f t="shared" si="88"/>
        <v>3.5978876101256274</v>
      </c>
      <c r="N343" s="364">
        <f>SUM(N334:N342)</f>
        <v>1850.39</v>
      </c>
      <c r="O343" s="364">
        <f>SUM(O334:O342)</f>
        <v>0</v>
      </c>
      <c r="P343" s="364">
        <f>SUM(P334:P342)</f>
        <v>97.66</v>
      </c>
      <c r="Q343" s="364">
        <f>SUM(Q334:Q342)</f>
        <v>2395.83</v>
      </c>
      <c r="R343" s="572">
        <f>Q343/G343*10</f>
        <v>4.6584379903519153</v>
      </c>
    </row>
    <row r="344" spans="1:20" ht="16" x14ac:dyDescent="0.3">
      <c r="A344" s="977"/>
      <c r="B344" s="1143"/>
      <c r="C344" s="955"/>
      <c r="D344" s="955"/>
      <c r="E344" s="955"/>
      <c r="F344" s="955"/>
      <c r="G344" s="978"/>
      <c r="H344" s="978"/>
      <c r="I344" s="978"/>
      <c r="J344" s="978"/>
      <c r="K344" s="978"/>
      <c r="L344" s="978"/>
      <c r="M344" s="978"/>
      <c r="N344" s="978"/>
      <c r="O344" s="978"/>
      <c r="P344" s="978"/>
      <c r="Q344" s="978"/>
      <c r="R344" s="977"/>
    </row>
    <row r="345" spans="1:20" ht="16" x14ac:dyDescent="0.3">
      <c r="A345" s="977"/>
      <c r="B345" s="1143"/>
      <c r="C345" s="955"/>
      <c r="D345" s="955"/>
      <c r="E345" s="955"/>
      <c r="F345" s="955"/>
      <c r="G345" s="978"/>
      <c r="H345" s="978"/>
      <c r="I345" s="978"/>
      <c r="J345" s="978"/>
      <c r="K345" s="978"/>
      <c r="L345" s="978"/>
      <c r="M345" s="978"/>
      <c r="N345" s="978"/>
      <c r="O345" s="978"/>
      <c r="P345" s="978"/>
      <c r="Q345" s="978"/>
      <c r="R345" s="977"/>
    </row>
    <row r="346" spans="1:20" x14ac:dyDescent="0.3">
      <c r="B346" s="1126" t="s">
        <v>836</v>
      </c>
      <c r="C346" s="966"/>
    </row>
    <row r="348" spans="1:20" s="146" customFormat="1" ht="56" x14ac:dyDescent="0.25">
      <c r="A348" s="961" t="s">
        <v>263</v>
      </c>
      <c r="B348" s="1127" t="s">
        <v>264</v>
      </c>
      <c r="C348" s="961" t="s">
        <v>309</v>
      </c>
      <c r="D348" s="961" t="s">
        <v>265</v>
      </c>
      <c r="E348" s="961" t="s">
        <v>266</v>
      </c>
      <c r="F348" s="961" t="s">
        <v>267</v>
      </c>
      <c r="G348" s="961" t="s">
        <v>268</v>
      </c>
      <c r="H348" s="961" t="s">
        <v>310</v>
      </c>
      <c r="I348" s="961" t="s">
        <v>269</v>
      </c>
      <c r="J348" s="961" t="s">
        <v>311</v>
      </c>
      <c r="K348" s="961" t="s">
        <v>270</v>
      </c>
      <c r="L348" s="961" t="s">
        <v>271</v>
      </c>
      <c r="M348" s="961" t="s">
        <v>312</v>
      </c>
      <c r="N348" s="961" t="s">
        <v>272</v>
      </c>
      <c r="O348" s="961" t="s">
        <v>273</v>
      </c>
      <c r="P348" s="961" t="s">
        <v>274</v>
      </c>
      <c r="Q348" s="961" t="s">
        <v>431</v>
      </c>
      <c r="R348" s="961" t="s">
        <v>432</v>
      </c>
    </row>
    <row r="349" spans="1:20" x14ac:dyDescent="0.3">
      <c r="A349" s="961">
        <v>1</v>
      </c>
      <c r="B349" s="1127">
        <v>2</v>
      </c>
      <c r="C349" s="961">
        <v>3</v>
      </c>
      <c r="D349" s="961">
        <v>4</v>
      </c>
      <c r="E349" s="961">
        <v>5</v>
      </c>
      <c r="F349" s="961">
        <v>6</v>
      </c>
      <c r="G349" s="961">
        <v>7</v>
      </c>
      <c r="H349" s="961">
        <v>8</v>
      </c>
      <c r="I349" s="961">
        <v>9</v>
      </c>
      <c r="J349" s="961">
        <v>10</v>
      </c>
      <c r="K349" s="961">
        <v>11</v>
      </c>
      <c r="L349" s="961">
        <v>12</v>
      </c>
      <c r="M349" s="961">
        <v>13</v>
      </c>
      <c r="N349" s="961">
        <v>14</v>
      </c>
      <c r="O349" s="961">
        <v>15</v>
      </c>
      <c r="P349" s="961">
        <v>16</v>
      </c>
      <c r="Q349" s="961">
        <v>17</v>
      </c>
      <c r="R349" s="961">
        <v>18</v>
      </c>
    </row>
    <row r="350" spans="1:20" x14ac:dyDescent="0.3">
      <c r="A350" s="752"/>
      <c r="B350" s="1128" t="s">
        <v>313</v>
      </c>
      <c r="C350" s="1113"/>
      <c r="D350" s="1113"/>
      <c r="E350" s="1113"/>
      <c r="F350" s="347"/>
      <c r="G350" s="347"/>
      <c r="H350" s="347"/>
      <c r="I350" s="347"/>
      <c r="J350" s="347"/>
      <c r="K350" s="347"/>
      <c r="L350" s="347"/>
      <c r="M350" s="347"/>
      <c r="N350" s="347"/>
      <c r="O350" s="347"/>
      <c r="P350" s="347"/>
      <c r="Q350" s="485"/>
      <c r="R350" s="485"/>
    </row>
    <row r="351" spans="1:20" x14ac:dyDescent="0.3">
      <c r="A351" s="752">
        <v>1</v>
      </c>
      <c r="B351" s="1128" t="s">
        <v>922</v>
      </c>
      <c r="C351" s="1113">
        <v>1377</v>
      </c>
      <c r="D351" s="1114">
        <v>0.49142040668119102</v>
      </c>
      <c r="E351" s="1113">
        <v>676.68590000000006</v>
      </c>
      <c r="F351" s="347">
        <f>F2.1!Q136</f>
        <v>2661.004478412041</v>
      </c>
      <c r="G351" s="347">
        <f>F351</f>
        <v>2661.004478412041</v>
      </c>
      <c r="H351" s="347"/>
      <c r="I351" s="347"/>
      <c r="J351" s="347"/>
      <c r="K351" s="347">
        <v>451.70650022093162</v>
      </c>
      <c r="L351" s="347"/>
      <c r="M351" s="347">
        <f>N351/G351*10</f>
        <v>4.9983565830854992</v>
      </c>
      <c r="N351" s="347">
        <v>1330.0649252290821</v>
      </c>
      <c r="O351" s="347"/>
      <c r="P351" s="1443">
        <f>-38.18</f>
        <v>-38.18</v>
      </c>
      <c r="Q351" s="485">
        <f t="shared" ref="Q351:Q365" si="90">K351+L351+N351+O351+P351</f>
        <v>1743.5914254500137</v>
      </c>
      <c r="R351" s="572">
        <f t="shared" ref="R351:R362" si="91">Q351/G351*10</f>
        <v>6.5523806502216217</v>
      </c>
      <c r="T351" s="1575">
        <f>K351</f>
        <v>451.70650022093162</v>
      </c>
    </row>
    <row r="352" spans="1:20" x14ac:dyDescent="0.3">
      <c r="A352" s="752">
        <v>2</v>
      </c>
      <c r="B352" s="1128" t="s">
        <v>1624</v>
      </c>
      <c r="C352" s="1113">
        <v>20</v>
      </c>
      <c r="D352" s="1114">
        <v>1</v>
      </c>
      <c r="E352" s="1113">
        <v>20</v>
      </c>
      <c r="F352" s="347">
        <f>F2.1!Q142</f>
        <v>31.504939199999995</v>
      </c>
      <c r="G352" s="347">
        <f>F352</f>
        <v>31.504939199999995</v>
      </c>
      <c r="H352" s="347"/>
      <c r="I352" s="347"/>
      <c r="J352" s="347"/>
      <c r="K352" s="347"/>
      <c r="L352" s="347"/>
      <c r="M352" s="347">
        <v>8.5600000000000023</v>
      </c>
      <c r="N352" s="347">
        <f>M352*G352/10</f>
        <v>26.9682279552</v>
      </c>
      <c r="O352" s="347"/>
      <c r="P352" s="347"/>
      <c r="Q352" s="485">
        <f t="shared" si="90"/>
        <v>26.9682279552</v>
      </c>
      <c r="R352" s="572">
        <f t="shared" si="91"/>
        <v>8.56</v>
      </c>
    </row>
    <row r="353" spans="1:20" x14ac:dyDescent="0.3">
      <c r="A353" s="752"/>
      <c r="B353" s="1128"/>
      <c r="C353" s="1113"/>
      <c r="D353" s="1114"/>
      <c r="E353" s="1113"/>
      <c r="F353" s="347"/>
      <c r="G353" s="347"/>
      <c r="H353" s="347"/>
      <c r="I353" s="347"/>
      <c r="J353" s="347"/>
      <c r="K353" s="347"/>
      <c r="L353" s="347"/>
      <c r="M353" s="347"/>
      <c r="N353" s="347"/>
      <c r="O353" s="347"/>
      <c r="P353" s="347"/>
      <c r="Q353" s="485">
        <f t="shared" si="90"/>
        <v>0</v>
      </c>
      <c r="R353" s="572"/>
    </row>
    <row r="354" spans="1:20" x14ac:dyDescent="0.3">
      <c r="A354" s="752"/>
      <c r="B354" s="1128" t="s">
        <v>1625</v>
      </c>
      <c r="C354" s="1113"/>
      <c r="D354" s="1114"/>
      <c r="E354" s="1113"/>
      <c r="F354" s="347"/>
      <c r="G354" s="347"/>
      <c r="H354" s="347"/>
      <c r="I354" s="347"/>
      <c r="J354" s="347"/>
      <c r="K354" s="347"/>
      <c r="L354" s="347"/>
      <c r="M354" s="347"/>
      <c r="N354" s="347"/>
      <c r="O354" s="347"/>
      <c r="P354" s="347"/>
      <c r="Q354" s="485">
        <f t="shared" si="90"/>
        <v>0</v>
      </c>
      <c r="R354" s="572"/>
    </row>
    <row r="355" spans="1:20" x14ac:dyDescent="0.3">
      <c r="A355" s="752">
        <v>3</v>
      </c>
      <c r="B355" s="1128" t="s">
        <v>1626</v>
      </c>
      <c r="C355" s="1113">
        <v>100</v>
      </c>
      <c r="D355" s="1114">
        <v>1</v>
      </c>
      <c r="E355" s="1113">
        <v>100</v>
      </c>
      <c r="F355" s="347">
        <f>F2.1!Q145</f>
        <v>744.6</v>
      </c>
      <c r="G355" s="347">
        <f t="shared" ref="G355:G365" si="92">F355</f>
        <v>744.6</v>
      </c>
      <c r="H355" s="347"/>
      <c r="I355" s="347"/>
      <c r="J355" s="347"/>
      <c r="K355" s="347">
        <f>'Manikaran rate'!$D$15*G355/10</f>
        <v>155.40191481139919</v>
      </c>
      <c r="L355" s="347"/>
      <c r="M355" s="347">
        <f>'Manikaran rate'!$E$15</f>
        <v>2.262630768580419</v>
      </c>
      <c r="N355" s="347">
        <f>M355*G355/10</f>
        <v>168.47548702849801</v>
      </c>
      <c r="O355" s="347"/>
      <c r="P355" s="347"/>
      <c r="Q355" s="485">
        <f t="shared" si="90"/>
        <v>323.87740183989717</v>
      </c>
      <c r="R355" s="572">
        <f t="shared" si="91"/>
        <v>4.3496830760125862</v>
      </c>
      <c r="T355" s="1482">
        <f>2.28*G355/10</f>
        <v>169.7688</v>
      </c>
    </row>
    <row r="356" spans="1:20" x14ac:dyDescent="0.3">
      <c r="A356" s="752">
        <v>4</v>
      </c>
      <c r="B356" s="1128" t="s">
        <v>2028</v>
      </c>
      <c r="C356" s="1113">
        <v>100</v>
      </c>
      <c r="D356" s="1114">
        <v>1</v>
      </c>
      <c r="E356" s="1113">
        <v>100</v>
      </c>
      <c r="F356" s="347">
        <f>F2.1!Q146</f>
        <v>185.64000000000001</v>
      </c>
      <c r="G356" s="347">
        <f t="shared" si="92"/>
        <v>185.64000000000001</v>
      </c>
      <c r="H356" s="347"/>
      <c r="I356" s="347"/>
      <c r="J356" s="347"/>
      <c r="K356" s="347">
        <f>'Manikaran rate'!$D$15*G356/10</f>
        <v>38.744039035170758</v>
      </c>
      <c r="L356" s="347"/>
      <c r="M356" s="347">
        <f>M355</f>
        <v>2.262630768580419</v>
      </c>
      <c r="N356" s="347">
        <f>M356*G356/10</f>
        <v>42.003477587926902</v>
      </c>
      <c r="O356" s="347"/>
      <c r="P356" s="347"/>
      <c r="Q356" s="485">
        <f t="shared" si="90"/>
        <v>80.747516623097653</v>
      </c>
      <c r="R356" s="572">
        <f t="shared" si="91"/>
        <v>4.3496830760125862</v>
      </c>
      <c r="T356" s="1482">
        <f>2.28*G356/10</f>
        <v>42.325920000000004</v>
      </c>
    </row>
    <row r="357" spans="1:20" x14ac:dyDescent="0.3">
      <c r="A357" s="752"/>
      <c r="B357" s="1128"/>
      <c r="C357" s="1113"/>
      <c r="D357" s="1113"/>
      <c r="E357" s="1113"/>
      <c r="F357" s="347"/>
      <c r="G357" s="347">
        <f t="shared" si="92"/>
        <v>0</v>
      </c>
      <c r="H357" s="347"/>
      <c r="I357" s="347"/>
      <c r="J357" s="347"/>
      <c r="K357" s="347"/>
      <c r="L357" s="347"/>
      <c r="M357" s="347"/>
      <c r="N357" s="347"/>
      <c r="O357" s="347"/>
      <c r="P357" s="347"/>
      <c r="Q357" s="485">
        <f t="shared" si="90"/>
        <v>0</v>
      </c>
      <c r="R357" s="572"/>
    </row>
    <row r="358" spans="1:20" x14ac:dyDescent="0.3">
      <c r="A358" s="752"/>
      <c r="B358" s="1128" t="s">
        <v>314</v>
      </c>
      <c r="C358" s="1113">
        <v>0</v>
      </c>
      <c r="D358" s="1113">
        <v>0</v>
      </c>
      <c r="E358" s="1113">
        <v>0</v>
      </c>
      <c r="F358" s="347">
        <v>0</v>
      </c>
      <c r="G358" s="347">
        <f t="shared" si="92"/>
        <v>0</v>
      </c>
      <c r="H358" s="347"/>
      <c r="I358" s="347"/>
      <c r="J358" s="347"/>
      <c r="K358" s="347"/>
      <c r="L358" s="347"/>
      <c r="M358" s="347"/>
      <c r="N358" s="347"/>
      <c r="O358" s="347"/>
      <c r="P358" s="347"/>
      <c r="Q358" s="485">
        <f t="shared" si="90"/>
        <v>0</v>
      </c>
      <c r="R358" s="572"/>
    </row>
    <row r="359" spans="1:20" x14ac:dyDescent="0.3">
      <c r="A359" s="752">
        <v>5</v>
      </c>
      <c r="B359" s="1128" t="s">
        <v>1992</v>
      </c>
      <c r="C359" s="1113">
        <v>0</v>
      </c>
      <c r="D359" s="1113">
        <v>0</v>
      </c>
      <c r="E359" s="1113">
        <v>0</v>
      </c>
      <c r="F359" s="347">
        <f>F2.1!Q149</f>
        <v>202.84998717230877</v>
      </c>
      <c r="G359" s="347">
        <f t="shared" si="92"/>
        <v>202.84998717230877</v>
      </c>
      <c r="H359" s="347"/>
      <c r="I359" s="347"/>
      <c r="J359" s="347"/>
      <c r="K359" s="347"/>
      <c r="L359" s="347"/>
      <c r="M359" s="347">
        <v>4.32</v>
      </c>
      <c r="N359" s="347">
        <f>M359*G359/10</f>
        <v>87.631194458437392</v>
      </c>
      <c r="O359" s="347"/>
      <c r="P359" s="347"/>
      <c r="Q359" s="485">
        <f t="shared" si="90"/>
        <v>87.631194458437392</v>
      </c>
      <c r="R359" s="572">
        <f t="shared" si="91"/>
        <v>4.32</v>
      </c>
    </row>
    <row r="360" spans="1:20" x14ac:dyDescent="0.3">
      <c r="A360" s="752">
        <v>6</v>
      </c>
      <c r="B360" s="1128" t="s">
        <v>1991</v>
      </c>
      <c r="C360" s="1113">
        <v>0</v>
      </c>
      <c r="D360" s="1113">
        <v>0</v>
      </c>
      <c r="E360" s="1113">
        <v>0</v>
      </c>
      <c r="F360" s="347">
        <f>F2.1!Q150</f>
        <v>222.15090909091001</v>
      </c>
      <c r="G360" s="347">
        <f t="shared" si="92"/>
        <v>222.15090909091001</v>
      </c>
      <c r="H360" s="347"/>
      <c r="I360" s="347"/>
      <c r="J360" s="347"/>
      <c r="K360" s="347"/>
      <c r="L360" s="347"/>
      <c r="M360" s="347">
        <v>4.32</v>
      </c>
      <c r="N360" s="347">
        <f>M360*G360/10</f>
        <v>95.969192727273125</v>
      </c>
      <c r="O360" s="347"/>
      <c r="P360" s="347"/>
      <c r="Q360" s="485">
        <f t="shared" si="90"/>
        <v>95.969192727273125</v>
      </c>
      <c r="R360" s="572">
        <f t="shared" si="91"/>
        <v>4.32</v>
      </c>
    </row>
    <row r="361" spans="1:20" x14ac:dyDescent="0.3">
      <c r="A361" s="752"/>
      <c r="B361" s="1128" t="s">
        <v>1812</v>
      </c>
      <c r="C361" s="1113"/>
      <c r="D361" s="1113"/>
      <c r="E361" s="1113"/>
      <c r="F361" s="347">
        <f>F2.1!Q151</f>
        <v>622.20000000000005</v>
      </c>
      <c r="G361" s="347">
        <f t="shared" si="92"/>
        <v>622.20000000000005</v>
      </c>
      <c r="H361" s="347"/>
      <c r="I361" s="347"/>
      <c r="J361" s="347"/>
      <c r="K361" s="347"/>
      <c r="L361" s="347"/>
      <c r="M361" s="347">
        <v>5.6609285012009121</v>
      </c>
      <c r="N361" s="347">
        <f>M361*G361/10</f>
        <v>352.2229713447208</v>
      </c>
      <c r="O361" s="347"/>
      <c r="P361" s="347"/>
      <c r="Q361" s="485">
        <f t="shared" si="90"/>
        <v>352.2229713447208</v>
      </c>
      <c r="R361" s="572">
        <f t="shared" si="91"/>
        <v>5.6609285012009121</v>
      </c>
    </row>
    <row r="362" spans="1:20" x14ac:dyDescent="0.3">
      <c r="A362" s="752"/>
      <c r="B362" s="1128" t="s">
        <v>1813</v>
      </c>
      <c r="C362" s="1113"/>
      <c r="D362" s="1113"/>
      <c r="E362" s="1113"/>
      <c r="F362" s="347">
        <f>F2.1!Q152</f>
        <v>279.31317475843468</v>
      </c>
      <c r="G362" s="347">
        <f t="shared" si="92"/>
        <v>279.31317475843468</v>
      </c>
      <c r="H362" s="347"/>
      <c r="I362" s="347"/>
      <c r="J362" s="347"/>
      <c r="K362" s="347"/>
      <c r="L362" s="347"/>
      <c r="M362" s="347">
        <v>4.5875294727666818</v>
      </c>
      <c r="N362" s="347">
        <f t="shared" ref="N362" si="93">M362*G362/10</f>
        <v>128.13574213363501</v>
      </c>
      <c r="O362" s="347"/>
      <c r="P362" s="347"/>
      <c r="Q362" s="485">
        <f t="shared" si="90"/>
        <v>128.13574213363501</v>
      </c>
      <c r="R362" s="572">
        <f t="shared" si="91"/>
        <v>4.5875294727666818</v>
      </c>
    </row>
    <row r="363" spans="1:20" x14ac:dyDescent="0.3">
      <c r="A363" s="752"/>
      <c r="B363" s="1128"/>
      <c r="C363" s="1113"/>
      <c r="D363" s="1113"/>
      <c r="E363" s="1113"/>
      <c r="F363" s="347"/>
      <c r="G363" s="347">
        <f t="shared" si="92"/>
        <v>0</v>
      </c>
      <c r="H363" s="347"/>
      <c r="I363" s="347"/>
      <c r="J363" s="347"/>
      <c r="K363" s="347"/>
      <c r="L363" s="347"/>
      <c r="M363" s="347"/>
      <c r="N363" s="347"/>
      <c r="O363" s="347"/>
      <c r="P363" s="347"/>
      <c r="Q363" s="485">
        <f t="shared" si="90"/>
        <v>0</v>
      </c>
      <c r="R363" s="572"/>
    </row>
    <row r="364" spans="1:20" x14ac:dyDescent="0.3">
      <c r="A364" s="752">
        <v>7</v>
      </c>
      <c r="B364" s="1128" t="s">
        <v>927</v>
      </c>
      <c r="C364" s="1113">
        <v>0</v>
      </c>
      <c r="D364" s="1113">
        <v>0</v>
      </c>
      <c r="E364" s="1113">
        <v>0</v>
      </c>
      <c r="F364" s="347">
        <v>0</v>
      </c>
      <c r="G364" s="347">
        <f t="shared" si="92"/>
        <v>0</v>
      </c>
      <c r="H364" s="347"/>
      <c r="I364" s="347"/>
      <c r="J364" s="347"/>
      <c r="K364" s="347"/>
      <c r="L364" s="347"/>
      <c r="M364" s="347"/>
      <c r="N364" s="347"/>
      <c r="O364" s="347"/>
      <c r="P364" s="347">
        <f>P341</f>
        <v>97.66</v>
      </c>
      <c r="Q364" s="485">
        <f t="shared" si="90"/>
        <v>97.66</v>
      </c>
      <c r="R364" s="572"/>
    </row>
    <row r="365" spans="1:20" x14ac:dyDescent="0.3">
      <c r="A365" s="752">
        <v>8</v>
      </c>
      <c r="B365" s="1128" t="s">
        <v>2029</v>
      </c>
      <c r="C365" s="1113">
        <v>0</v>
      </c>
      <c r="D365" s="1113">
        <v>0</v>
      </c>
      <c r="E365" s="1113">
        <v>0</v>
      </c>
      <c r="F365" s="347">
        <v>0</v>
      </c>
      <c r="G365" s="347">
        <f t="shared" si="92"/>
        <v>0</v>
      </c>
      <c r="H365" s="347"/>
      <c r="I365" s="347"/>
      <c r="J365" s="347"/>
      <c r="K365" s="347"/>
      <c r="L365" s="347"/>
      <c r="M365" s="347"/>
      <c r="N365" s="347"/>
      <c r="O365" s="347"/>
      <c r="P365" s="347">
        <f>61.97</f>
        <v>61.97</v>
      </c>
      <c r="Q365" s="485">
        <f t="shared" si="90"/>
        <v>61.97</v>
      </c>
      <c r="R365" s="572"/>
    </row>
    <row r="366" spans="1:20" ht="16" x14ac:dyDescent="0.3">
      <c r="A366" s="752">
        <v>9</v>
      </c>
      <c r="B366" s="1142" t="s">
        <v>145</v>
      </c>
      <c r="C366" s="751"/>
      <c r="D366" s="751"/>
      <c r="E366" s="751"/>
      <c r="F366" s="1445">
        <f>SUM(F351:F365)</f>
        <v>4949.2634886336946</v>
      </c>
      <c r="G366" s="1445">
        <f>SUM(G351:G365)</f>
        <v>4949.2634886336946</v>
      </c>
      <c r="H366" s="986"/>
      <c r="I366" s="986"/>
      <c r="J366" s="986"/>
      <c r="K366" s="1445">
        <f>SUM(K351:K365)</f>
        <v>645.85245406750164</v>
      </c>
      <c r="L366" s="986"/>
      <c r="M366" s="986"/>
      <c r="N366" s="1445">
        <f>SUM(N351:N365)</f>
        <v>2231.4712184647738</v>
      </c>
      <c r="O366" s="986"/>
      <c r="P366" s="1445">
        <f t="shared" ref="P366:Q366" si="94">SUM(P351:P365)</f>
        <v>121.44999999999999</v>
      </c>
      <c r="Q366" s="1445">
        <f t="shared" si="94"/>
        <v>2998.7736725322743</v>
      </c>
      <c r="R366" s="572">
        <f>Q366/G366*10</f>
        <v>6.0590301555355719</v>
      </c>
      <c r="T366" s="1445">
        <f>SUM(T351:T365)</f>
        <v>663.80122022093155</v>
      </c>
    </row>
    <row r="367" spans="1:20" ht="16" x14ac:dyDescent="0.3">
      <c r="A367" s="977"/>
      <c r="B367" s="1143"/>
      <c r="C367" s="955"/>
      <c r="D367" s="955"/>
      <c r="E367" s="955"/>
      <c r="F367" s="1714">
        <f>F2.1!Q154-F366</f>
        <v>0</v>
      </c>
      <c r="G367" s="978"/>
      <c r="H367" s="978"/>
      <c r="I367" s="978"/>
      <c r="J367" s="978"/>
      <c r="K367" s="978"/>
      <c r="L367" s="978"/>
      <c r="M367" s="978"/>
      <c r="N367" s="978"/>
      <c r="O367" s="978"/>
      <c r="P367" s="978"/>
      <c r="Q367" s="1466"/>
      <c r="R367" s="1737"/>
      <c r="T367" s="425">
        <f>T366/G366*10</f>
        <v>1.3412121252897411</v>
      </c>
    </row>
    <row r="368" spans="1:20" x14ac:dyDescent="0.3">
      <c r="B368" s="1126" t="s">
        <v>837</v>
      </c>
      <c r="C368" s="966"/>
      <c r="Q368" s="979"/>
    </row>
    <row r="370" spans="1:18" s="146" customFormat="1" ht="56" x14ac:dyDescent="0.25">
      <c r="A370" s="961" t="s">
        <v>263</v>
      </c>
      <c r="B370" s="1127" t="s">
        <v>264</v>
      </c>
      <c r="C370" s="961" t="s">
        <v>309</v>
      </c>
      <c r="D370" s="961" t="s">
        <v>265</v>
      </c>
      <c r="E370" s="961" t="s">
        <v>266</v>
      </c>
      <c r="F370" s="961" t="s">
        <v>267</v>
      </c>
      <c r="G370" s="961" t="s">
        <v>268</v>
      </c>
      <c r="H370" s="961" t="s">
        <v>310</v>
      </c>
      <c r="I370" s="961" t="s">
        <v>269</v>
      </c>
      <c r="J370" s="961" t="s">
        <v>311</v>
      </c>
      <c r="K370" s="961" t="s">
        <v>270</v>
      </c>
      <c r="L370" s="961" t="s">
        <v>271</v>
      </c>
      <c r="M370" s="961" t="s">
        <v>312</v>
      </c>
      <c r="N370" s="961" t="s">
        <v>272</v>
      </c>
      <c r="O370" s="961" t="s">
        <v>273</v>
      </c>
      <c r="P370" s="961" t="s">
        <v>274</v>
      </c>
      <c r="Q370" s="961" t="s">
        <v>431</v>
      </c>
      <c r="R370" s="961" t="s">
        <v>432</v>
      </c>
    </row>
    <row r="371" spans="1:18" x14ac:dyDescent="0.3">
      <c r="A371" s="961">
        <v>1</v>
      </c>
      <c r="B371" s="1127">
        <v>2</v>
      </c>
      <c r="C371" s="961">
        <v>3</v>
      </c>
      <c r="D371" s="961">
        <v>4</v>
      </c>
      <c r="E371" s="961">
        <v>5</v>
      </c>
      <c r="F371" s="961">
        <v>6</v>
      </c>
      <c r="G371" s="961">
        <v>7</v>
      </c>
      <c r="H371" s="961">
        <v>8</v>
      </c>
      <c r="I371" s="961">
        <v>9</v>
      </c>
      <c r="J371" s="961">
        <v>10</v>
      </c>
      <c r="K371" s="961">
        <v>11</v>
      </c>
      <c r="L371" s="961">
        <v>12</v>
      </c>
      <c r="M371" s="961">
        <v>13</v>
      </c>
      <c r="N371" s="961">
        <v>14</v>
      </c>
      <c r="O371" s="961">
        <v>15</v>
      </c>
      <c r="P371" s="961">
        <v>16</v>
      </c>
      <c r="Q371" s="961">
        <v>17</v>
      </c>
      <c r="R371" s="961">
        <v>18</v>
      </c>
    </row>
    <row r="372" spans="1:18" x14ac:dyDescent="0.3">
      <c r="A372" s="751">
        <v>1</v>
      </c>
      <c r="B372" s="1128" t="s">
        <v>313</v>
      </c>
      <c r="C372" s="962"/>
      <c r="D372" s="962"/>
      <c r="E372" s="962"/>
      <c r="F372" s="963"/>
      <c r="G372" s="963"/>
      <c r="H372" s="963"/>
      <c r="I372" s="963"/>
      <c r="J372" s="963"/>
      <c r="K372" s="963"/>
      <c r="L372" s="963"/>
      <c r="M372" s="963"/>
      <c r="N372" s="963"/>
      <c r="O372" s="963"/>
      <c r="P372" s="963"/>
      <c r="Q372" s="752"/>
      <c r="R372" s="752"/>
    </row>
    <row r="373" spans="1:18" x14ac:dyDescent="0.3">
      <c r="A373" s="751">
        <f>A372+1</f>
        <v>2</v>
      </c>
      <c r="B373" s="1129" t="s">
        <v>922</v>
      </c>
      <c r="C373" s="485">
        <f t="shared" ref="C373:E375" si="95">C334</f>
        <v>1377</v>
      </c>
      <c r="D373" s="972">
        <f t="shared" si="95"/>
        <v>0.49142040668119102</v>
      </c>
      <c r="E373" s="485">
        <f t="shared" si="95"/>
        <v>676.68590000000006</v>
      </c>
      <c r="F373" s="485">
        <v>3355.21</v>
      </c>
      <c r="G373" s="485">
        <f>F373</f>
        <v>3355.21</v>
      </c>
      <c r="H373" s="485"/>
      <c r="I373" s="485"/>
      <c r="J373" s="485"/>
      <c r="K373" s="485">
        <v>453.44</v>
      </c>
      <c r="L373" s="485">
        <v>0</v>
      </c>
      <c r="M373" s="485">
        <f>N373/G373*10</f>
        <v>3.6441832254911022</v>
      </c>
      <c r="N373" s="485">
        <v>1222.7</v>
      </c>
      <c r="O373" s="485">
        <v>0</v>
      </c>
      <c r="P373" s="485">
        <v>0</v>
      </c>
      <c r="Q373" s="485">
        <f>K373+L373+N373+O373+P373</f>
        <v>1676.14</v>
      </c>
      <c r="R373" s="485">
        <f>Q373/G373*10</f>
        <v>4.9956336563136139</v>
      </c>
    </row>
    <row r="374" spans="1:18" x14ac:dyDescent="0.3">
      <c r="A374" s="751">
        <f t="shared" ref="A374:A380" si="96">A373+1</f>
        <v>3</v>
      </c>
      <c r="B374" s="1130" t="s">
        <v>923</v>
      </c>
      <c r="C374" s="485">
        <f t="shared" si="95"/>
        <v>20</v>
      </c>
      <c r="D374" s="972">
        <f t="shared" si="95"/>
        <v>1</v>
      </c>
      <c r="E374" s="485">
        <f t="shared" si="95"/>
        <v>20</v>
      </c>
      <c r="F374" s="485">
        <v>31.5</v>
      </c>
      <c r="G374" s="485">
        <f>F374</f>
        <v>31.5</v>
      </c>
      <c r="H374" s="485"/>
      <c r="I374" s="485"/>
      <c r="J374" s="485"/>
      <c r="K374" s="485">
        <v>0</v>
      </c>
      <c r="L374" s="485">
        <v>0</v>
      </c>
      <c r="M374" s="485">
        <f t="shared" ref="M374:M382" si="97">N374/G374*10</f>
        <v>8.5587301587301585</v>
      </c>
      <c r="N374" s="485">
        <v>26.96</v>
      </c>
      <c r="O374" s="485">
        <v>0</v>
      </c>
      <c r="P374" s="485">
        <v>0</v>
      </c>
      <c r="Q374" s="485">
        <f t="shared" ref="Q374:Q380" si="98">K374+L374+N374+O374+P374</f>
        <v>26.96</v>
      </c>
      <c r="R374" s="485">
        <f>Q374/G374*10</f>
        <v>8.5587301587301585</v>
      </c>
    </row>
    <row r="375" spans="1:18" x14ac:dyDescent="0.3">
      <c r="A375" s="751">
        <f t="shared" si="96"/>
        <v>4</v>
      </c>
      <c r="B375" s="1130" t="s">
        <v>933</v>
      </c>
      <c r="C375" s="485">
        <f t="shared" si="95"/>
        <v>0</v>
      </c>
      <c r="D375" s="972">
        <f t="shared" si="95"/>
        <v>0</v>
      </c>
      <c r="E375" s="485">
        <f t="shared" si="95"/>
        <v>0</v>
      </c>
      <c r="F375" s="485">
        <v>744.6</v>
      </c>
      <c r="G375" s="485">
        <f>F375</f>
        <v>744.6</v>
      </c>
      <c r="H375" s="485"/>
      <c r="I375" s="485"/>
      <c r="J375" s="485"/>
      <c r="K375" s="485">
        <v>0</v>
      </c>
      <c r="L375" s="485">
        <v>0</v>
      </c>
      <c r="M375" s="485">
        <f t="shared" si="97"/>
        <v>4.5453934998656988</v>
      </c>
      <c r="N375" s="485">
        <v>338.45</v>
      </c>
      <c r="O375" s="485">
        <v>0</v>
      </c>
      <c r="P375" s="485">
        <v>0</v>
      </c>
      <c r="Q375" s="485">
        <f t="shared" si="98"/>
        <v>338.45</v>
      </c>
      <c r="R375" s="485">
        <f>Q375/G375*10</f>
        <v>4.5453934998656988</v>
      </c>
    </row>
    <row r="376" spans="1:18" x14ac:dyDescent="0.3">
      <c r="A376" s="751">
        <f t="shared" si="96"/>
        <v>5</v>
      </c>
      <c r="B376" s="1128" t="s">
        <v>314</v>
      </c>
      <c r="C376" s="485"/>
      <c r="D376" s="485"/>
      <c r="E376" s="485"/>
      <c r="F376" s="485"/>
      <c r="G376" s="485"/>
      <c r="H376" s="485"/>
      <c r="I376" s="485"/>
      <c r="J376" s="485"/>
      <c r="K376" s="485"/>
      <c r="L376" s="485"/>
      <c r="M376" s="485"/>
      <c r="N376" s="485"/>
      <c r="O376" s="485"/>
      <c r="P376" s="485"/>
      <c r="Q376" s="485"/>
      <c r="R376" s="485"/>
    </row>
    <row r="377" spans="1:18" x14ac:dyDescent="0.3">
      <c r="A377" s="751">
        <f t="shared" si="96"/>
        <v>6</v>
      </c>
      <c r="B377" s="1130" t="s">
        <v>934</v>
      </c>
      <c r="C377" s="485"/>
      <c r="D377" s="485"/>
      <c r="E377" s="485"/>
      <c r="F377" s="485">
        <v>549.04999999999995</v>
      </c>
      <c r="G377" s="485">
        <f>F377</f>
        <v>549.04999999999995</v>
      </c>
      <c r="H377" s="485"/>
      <c r="I377" s="485"/>
      <c r="J377" s="485"/>
      <c r="K377" s="485">
        <v>0</v>
      </c>
      <c r="L377" s="485">
        <v>0</v>
      </c>
      <c r="M377" s="485">
        <f t="shared" si="97"/>
        <v>2.9001001730261362</v>
      </c>
      <c r="N377" s="485">
        <v>159.22999999999999</v>
      </c>
      <c r="O377" s="485">
        <v>0</v>
      </c>
      <c r="P377" s="485">
        <v>0</v>
      </c>
      <c r="Q377" s="485">
        <f t="shared" si="98"/>
        <v>159.22999999999999</v>
      </c>
      <c r="R377" s="485">
        <f>Q377/G377*10</f>
        <v>2.9001001730261362</v>
      </c>
    </row>
    <row r="378" spans="1:18" x14ac:dyDescent="0.3">
      <c r="A378" s="751">
        <f t="shared" si="96"/>
        <v>7</v>
      </c>
      <c r="B378" s="1130" t="s">
        <v>935</v>
      </c>
      <c r="C378" s="485"/>
      <c r="D378" s="485"/>
      <c r="E378" s="485"/>
      <c r="F378" s="485">
        <v>511.49</v>
      </c>
      <c r="G378" s="485">
        <f>F378</f>
        <v>511.49</v>
      </c>
      <c r="H378" s="485"/>
      <c r="I378" s="485"/>
      <c r="J378" s="485"/>
      <c r="K378" s="485">
        <v>0</v>
      </c>
      <c r="L378" s="485">
        <v>0</v>
      </c>
      <c r="M378" s="485">
        <f t="shared" si="97"/>
        <v>2.87004633521672</v>
      </c>
      <c r="N378" s="485">
        <v>146.80000000000001</v>
      </c>
      <c r="O378" s="485">
        <v>0</v>
      </c>
      <c r="P378" s="485">
        <v>0</v>
      </c>
      <c r="Q378" s="485">
        <f t="shared" si="98"/>
        <v>146.80000000000001</v>
      </c>
      <c r="R378" s="485">
        <f>Q378/G378*10</f>
        <v>2.87004633521672</v>
      </c>
    </row>
    <row r="379" spans="1:18" x14ac:dyDescent="0.3">
      <c r="A379" s="751">
        <f t="shared" si="96"/>
        <v>8</v>
      </c>
      <c r="B379" s="1131" t="s">
        <v>926</v>
      </c>
      <c r="C379" s="485"/>
      <c r="D379" s="485"/>
      <c r="E379" s="485"/>
      <c r="F379" s="485"/>
      <c r="G379" s="485"/>
      <c r="H379" s="967"/>
      <c r="I379" s="967"/>
      <c r="J379" s="967"/>
      <c r="K379" s="967"/>
      <c r="L379" s="967"/>
      <c r="M379" s="485"/>
      <c r="N379" s="967"/>
      <c r="O379" s="967"/>
      <c r="P379" s="967"/>
      <c r="Q379" s="485"/>
      <c r="R379" s="485"/>
    </row>
    <row r="380" spans="1:18" x14ac:dyDescent="0.3">
      <c r="A380" s="751">
        <f t="shared" si="96"/>
        <v>9</v>
      </c>
      <c r="B380" s="1130" t="s">
        <v>927</v>
      </c>
      <c r="C380" s="485"/>
      <c r="D380" s="485"/>
      <c r="E380" s="485"/>
      <c r="F380" s="485"/>
      <c r="G380" s="485"/>
      <c r="H380" s="967"/>
      <c r="I380" s="967"/>
      <c r="J380" s="967"/>
      <c r="K380" s="967">
        <v>0</v>
      </c>
      <c r="L380" s="967">
        <v>0</v>
      </c>
      <c r="M380" s="485">
        <v>0</v>
      </c>
      <c r="N380" s="967">
        <v>0</v>
      </c>
      <c r="O380" s="967">
        <v>0</v>
      </c>
      <c r="P380" s="967">
        <v>96.79</v>
      </c>
      <c r="Q380" s="485">
        <f t="shared" si="98"/>
        <v>96.79</v>
      </c>
      <c r="R380" s="485">
        <v>0</v>
      </c>
    </row>
    <row r="381" spans="1:18" x14ac:dyDescent="0.3">
      <c r="A381" s="752"/>
      <c r="B381" s="1130"/>
      <c r="C381" s="485"/>
      <c r="D381" s="485"/>
      <c r="E381" s="485"/>
      <c r="F381" s="485"/>
      <c r="G381" s="485"/>
      <c r="H381" s="967"/>
      <c r="I381" s="967"/>
      <c r="J381" s="967"/>
      <c r="K381" s="967"/>
      <c r="L381" s="967"/>
      <c r="M381" s="967"/>
      <c r="N381" s="967"/>
      <c r="O381" s="967"/>
      <c r="P381" s="967"/>
      <c r="Q381" s="485"/>
      <c r="R381" s="485"/>
    </row>
    <row r="382" spans="1:18" x14ac:dyDescent="0.3">
      <c r="A382" s="752"/>
      <c r="B382" s="1142" t="s">
        <v>145</v>
      </c>
      <c r="C382" s="364"/>
      <c r="D382" s="364"/>
      <c r="E382" s="364"/>
      <c r="F382" s="364">
        <f>SUM(F373:F381)</f>
        <v>5191.8500000000004</v>
      </c>
      <c r="G382" s="364">
        <f>SUM(G373:G381)</f>
        <v>5191.8500000000004</v>
      </c>
      <c r="H382" s="364"/>
      <c r="I382" s="364"/>
      <c r="J382" s="364"/>
      <c r="K382" s="364">
        <f>SUM(K373:K381)</f>
        <v>453.44</v>
      </c>
      <c r="L382" s="364">
        <f>SUM(L373:L381)</f>
        <v>0</v>
      </c>
      <c r="M382" s="485">
        <f t="shared" si="97"/>
        <v>3.6482949237747624</v>
      </c>
      <c r="N382" s="364">
        <f>SUM(N373:N381)</f>
        <v>1894.14</v>
      </c>
      <c r="O382" s="364">
        <f>SUM(O373:O381)</f>
        <v>0</v>
      </c>
      <c r="P382" s="364">
        <f>SUM(P373:P381)</f>
        <v>96.79</v>
      </c>
      <c r="Q382" s="364">
        <f>SUM(Q373:Q381)</f>
        <v>2444.3700000000003</v>
      </c>
      <c r="R382" s="364">
        <f>Q382/G382*10</f>
        <v>4.7080905650201759</v>
      </c>
    </row>
    <row r="385" spans="1:21" x14ac:dyDescent="0.3">
      <c r="B385" s="1126" t="s">
        <v>838</v>
      </c>
      <c r="C385" s="966"/>
    </row>
    <row r="387" spans="1:21" ht="56" x14ac:dyDescent="0.3">
      <c r="A387" s="961" t="s">
        <v>263</v>
      </c>
      <c r="B387" s="1127" t="s">
        <v>264</v>
      </c>
      <c r="C387" s="961" t="s">
        <v>309</v>
      </c>
      <c r="D387" s="961" t="s">
        <v>265</v>
      </c>
      <c r="E387" s="961" t="s">
        <v>266</v>
      </c>
      <c r="F387" s="961" t="s">
        <v>267</v>
      </c>
      <c r="G387" s="961" t="s">
        <v>268</v>
      </c>
      <c r="H387" s="961" t="s">
        <v>310</v>
      </c>
      <c r="I387" s="961" t="s">
        <v>269</v>
      </c>
      <c r="J387" s="961" t="s">
        <v>311</v>
      </c>
      <c r="K387" s="961" t="s">
        <v>270</v>
      </c>
      <c r="L387" s="961" t="s">
        <v>271</v>
      </c>
      <c r="M387" s="961" t="s">
        <v>312</v>
      </c>
      <c r="N387" s="961" t="s">
        <v>272</v>
      </c>
      <c r="O387" s="961" t="s">
        <v>273</v>
      </c>
      <c r="P387" s="961" t="s">
        <v>274</v>
      </c>
      <c r="Q387" s="961" t="s">
        <v>431</v>
      </c>
      <c r="R387" s="961" t="s">
        <v>432</v>
      </c>
    </row>
    <row r="388" spans="1:21" x14ac:dyDescent="0.3">
      <c r="A388" s="961">
        <v>1</v>
      </c>
      <c r="B388" s="1127">
        <v>2</v>
      </c>
      <c r="C388" s="961">
        <v>3</v>
      </c>
      <c r="D388" s="961">
        <v>4</v>
      </c>
      <c r="E388" s="961">
        <v>5</v>
      </c>
      <c r="F388" s="961">
        <v>6</v>
      </c>
      <c r="G388" s="961">
        <v>7</v>
      </c>
      <c r="H388" s="961">
        <v>8</v>
      </c>
      <c r="I388" s="961">
        <v>9</v>
      </c>
      <c r="J388" s="961">
        <v>10</v>
      </c>
      <c r="K388" s="961">
        <v>11</v>
      </c>
      <c r="L388" s="961">
        <v>12</v>
      </c>
      <c r="M388" s="961">
        <v>13</v>
      </c>
      <c r="N388" s="961">
        <v>14</v>
      </c>
      <c r="O388" s="961">
        <v>15</v>
      </c>
      <c r="P388" s="961">
        <v>16</v>
      </c>
      <c r="Q388" s="961">
        <v>17</v>
      </c>
      <c r="R388" s="961">
        <v>18</v>
      </c>
    </row>
    <row r="389" spans="1:21" x14ac:dyDescent="0.3">
      <c r="A389" s="751"/>
      <c r="B389" s="1128" t="s">
        <v>313</v>
      </c>
      <c r="C389" s="1113"/>
      <c r="D389" s="1113"/>
      <c r="E389" s="1113"/>
      <c r="F389" s="347"/>
      <c r="G389" s="347"/>
      <c r="H389" s="347"/>
      <c r="I389" s="347"/>
      <c r="J389" s="347"/>
      <c r="K389" s="347"/>
      <c r="L389" s="347"/>
      <c r="M389" s="347"/>
      <c r="N389" s="347"/>
      <c r="O389" s="347"/>
      <c r="P389" s="347"/>
      <c r="Q389" s="485"/>
      <c r="R389" s="485"/>
    </row>
    <row r="390" spans="1:21" x14ac:dyDescent="0.3">
      <c r="A390" s="751">
        <v>1</v>
      </c>
      <c r="B390" s="1128" t="s">
        <v>922</v>
      </c>
      <c r="C390" s="1113">
        <v>447</v>
      </c>
      <c r="D390" s="1114">
        <v>0.51170000000000004</v>
      </c>
      <c r="E390" s="1113">
        <v>228.72990000000001</v>
      </c>
      <c r="F390" s="347">
        <f>F2.1!Q167</f>
        <v>742.99999999999989</v>
      </c>
      <c r="G390" s="347">
        <f>F390</f>
        <v>742.99999999999989</v>
      </c>
      <c r="H390" s="347"/>
      <c r="I390" s="347"/>
      <c r="J390" s="347"/>
      <c r="K390" s="347">
        <v>106.37974297990249</v>
      </c>
      <c r="L390" s="347"/>
      <c r="M390" s="347">
        <v>1.7433228634082394</v>
      </c>
      <c r="N390" s="347">
        <f>M390*G390/10</f>
        <v>129.52888875123216</v>
      </c>
      <c r="O390" s="347"/>
      <c r="P390" s="347"/>
      <c r="Q390" s="485">
        <f>K390+L390+N390+O390+P390</f>
        <v>235.90863173113465</v>
      </c>
      <c r="R390" s="1433">
        <f>Q390/G390*10</f>
        <v>3.175082526663993</v>
      </c>
    </row>
    <row r="391" spans="1:21" x14ac:dyDescent="0.3">
      <c r="A391" s="751">
        <v>2</v>
      </c>
      <c r="B391" s="1128" t="s">
        <v>1624</v>
      </c>
      <c r="C391" s="1113">
        <v>20</v>
      </c>
      <c r="D391" s="1114">
        <v>1</v>
      </c>
      <c r="E391" s="1113">
        <v>20</v>
      </c>
      <c r="F391" s="347">
        <f>F2.1!Q168</f>
        <v>31.504799999999996</v>
      </c>
      <c r="G391" s="347">
        <f>F391</f>
        <v>31.504799999999996</v>
      </c>
      <c r="H391" s="347"/>
      <c r="I391" s="347"/>
      <c r="J391" s="347"/>
      <c r="K391" s="347"/>
      <c r="L391" s="347"/>
      <c r="M391" s="347">
        <f>N391/G391*10</f>
        <v>8.5586958177801513</v>
      </c>
      <c r="N391" s="347">
        <v>26.964000000000006</v>
      </c>
      <c r="O391" s="347"/>
      <c r="P391" s="347"/>
      <c r="Q391" s="485">
        <f>K391+L391+N391+O391+P391</f>
        <v>26.964000000000006</v>
      </c>
      <c r="R391" s="1433">
        <f>Q391/G391*10</f>
        <v>8.5586958177801513</v>
      </c>
    </row>
    <row r="392" spans="1:21" x14ac:dyDescent="0.3">
      <c r="A392" s="751"/>
      <c r="B392" s="1128"/>
      <c r="C392" s="1113"/>
      <c r="D392" s="1114"/>
      <c r="E392" s="1113"/>
      <c r="F392" s="347"/>
      <c r="G392" s="347">
        <f t="shared" ref="G392:G407" si="99">F392</f>
        <v>0</v>
      </c>
      <c r="H392" s="347"/>
      <c r="I392" s="347"/>
      <c r="J392" s="347"/>
      <c r="K392" s="347"/>
      <c r="L392" s="347"/>
      <c r="M392" s="347"/>
      <c r="N392" s="347">
        <v>0</v>
      </c>
      <c r="O392" s="347"/>
      <c r="P392" s="347"/>
      <c r="Q392" s="485"/>
      <c r="R392" s="485"/>
    </row>
    <row r="393" spans="1:21" x14ac:dyDescent="0.3">
      <c r="A393" s="751"/>
      <c r="B393" s="1128" t="s">
        <v>1625</v>
      </c>
      <c r="C393" s="1113"/>
      <c r="D393" s="1114"/>
      <c r="E393" s="1113"/>
      <c r="F393" s="347"/>
      <c r="G393" s="347">
        <f t="shared" si="99"/>
        <v>0</v>
      </c>
      <c r="H393" s="347"/>
      <c r="I393" s="347"/>
      <c r="J393" s="347"/>
      <c r="K393" s="347"/>
      <c r="L393" s="347"/>
      <c r="M393" s="347"/>
      <c r="N393" s="347">
        <v>0</v>
      </c>
      <c r="O393" s="347"/>
      <c r="P393" s="347"/>
      <c r="Q393" s="485"/>
      <c r="R393" s="485"/>
    </row>
    <row r="394" spans="1:21" x14ac:dyDescent="0.3">
      <c r="A394" s="751">
        <v>3</v>
      </c>
      <c r="B394" s="1128" t="s">
        <v>1626</v>
      </c>
      <c r="C394" s="1113">
        <v>100</v>
      </c>
      <c r="D394" s="1114">
        <v>1</v>
      </c>
      <c r="E394" s="1113">
        <v>100</v>
      </c>
      <c r="F394" s="347">
        <f>F2.1!Q171</f>
        <v>744.6</v>
      </c>
      <c r="G394" s="347">
        <f t="shared" si="99"/>
        <v>744.6</v>
      </c>
      <c r="H394" s="347"/>
      <c r="I394" s="347"/>
      <c r="J394" s="347"/>
      <c r="K394" s="347">
        <f>'Manikaran rate'!$D$22*G394/10</f>
        <v>157.16486763174663</v>
      </c>
      <c r="L394" s="347"/>
      <c r="M394" s="347">
        <f>'Manikaran rate'!$E$22</f>
        <v>2.3218220397443812</v>
      </c>
      <c r="N394" s="347">
        <f>M394*G394/10</f>
        <v>172.88286907936663</v>
      </c>
      <c r="O394" s="347"/>
      <c r="P394" s="347"/>
      <c r="Q394" s="485">
        <f>K394+L394+N394+O394+P394</f>
        <v>330.04773671111326</v>
      </c>
      <c r="R394" s="1433">
        <f>Q394/G394*10</f>
        <v>4.4325508556421331</v>
      </c>
      <c r="T394" s="1482"/>
    </row>
    <row r="395" spans="1:21" x14ac:dyDescent="0.3">
      <c r="A395" s="751">
        <v>4</v>
      </c>
      <c r="B395" s="1128" t="s">
        <v>2028</v>
      </c>
      <c r="C395" s="1113">
        <v>100</v>
      </c>
      <c r="D395" s="1114">
        <v>1</v>
      </c>
      <c r="E395" s="1113">
        <v>100</v>
      </c>
      <c r="F395" s="347">
        <f>F2.1!Q172</f>
        <v>744.6</v>
      </c>
      <c r="G395" s="347">
        <f t="shared" si="99"/>
        <v>744.6</v>
      </c>
      <c r="H395" s="347"/>
      <c r="I395" s="347"/>
      <c r="J395" s="347"/>
      <c r="K395" s="347">
        <f>'Manikaran rate'!$D$22*G395/10</f>
        <v>157.16486763174663</v>
      </c>
      <c r="L395" s="347"/>
      <c r="M395" s="347">
        <f>'Manikaran rate'!$E$22</f>
        <v>2.3218220397443812</v>
      </c>
      <c r="N395" s="347">
        <f>M395*G395/10</f>
        <v>172.88286907936663</v>
      </c>
      <c r="O395" s="347"/>
      <c r="P395" s="347"/>
      <c r="Q395" s="485">
        <f>K395+L395+N395+O395+P395</f>
        <v>330.04773671111326</v>
      </c>
      <c r="R395" s="1433">
        <f>Q395/G395*10</f>
        <v>4.4325508556421331</v>
      </c>
      <c r="T395" s="1482"/>
    </row>
    <row r="396" spans="1:21" x14ac:dyDescent="0.3">
      <c r="A396" s="751"/>
      <c r="B396" s="1128"/>
      <c r="C396" s="1113"/>
      <c r="D396" s="1113"/>
      <c r="E396" s="1113"/>
      <c r="F396" s="347"/>
      <c r="G396" s="347">
        <f t="shared" si="99"/>
        <v>0</v>
      </c>
      <c r="H396" s="347"/>
      <c r="I396" s="347"/>
      <c r="J396" s="347"/>
      <c r="K396" s="347"/>
      <c r="L396" s="347"/>
      <c r="M396" s="347"/>
      <c r="N396" s="347">
        <v>0</v>
      </c>
      <c r="O396" s="347"/>
      <c r="P396" s="347"/>
      <c r="Q396" s="485"/>
      <c r="R396" s="485"/>
    </row>
    <row r="397" spans="1:21" x14ac:dyDescent="0.3">
      <c r="A397" s="751"/>
      <c r="B397" s="1128" t="s">
        <v>314</v>
      </c>
      <c r="C397" s="1113"/>
      <c r="D397" s="1113"/>
      <c r="E397" s="1113"/>
      <c r="F397" s="347"/>
      <c r="G397" s="347">
        <f t="shared" si="99"/>
        <v>0</v>
      </c>
      <c r="H397" s="347"/>
      <c r="I397" s="347"/>
      <c r="J397" s="347"/>
      <c r="K397" s="347"/>
      <c r="L397" s="347"/>
      <c r="M397" s="347"/>
      <c r="N397" s="347">
        <v>0</v>
      </c>
      <c r="O397" s="347"/>
      <c r="P397" s="347"/>
      <c r="Q397" s="485"/>
      <c r="R397" s="485"/>
    </row>
    <row r="398" spans="1:21" x14ac:dyDescent="0.3">
      <c r="A398" s="751">
        <v>5</v>
      </c>
      <c r="B398" s="1129" t="s">
        <v>1989</v>
      </c>
      <c r="C398" s="485">
        <v>0</v>
      </c>
      <c r="D398" s="485">
        <v>0</v>
      </c>
      <c r="E398" s="485">
        <v>0</v>
      </c>
      <c r="F398" s="485">
        <f>F2.1!Q175</f>
        <v>304.50000000000006</v>
      </c>
      <c r="G398" s="347">
        <f t="shared" si="99"/>
        <v>304.50000000000006</v>
      </c>
      <c r="H398" s="485"/>
      <c r="I398" s="485"/>
      <c r="J398" s="485"/>
      <c r="K398" s="485"/>
      <c r="L398" s="485"/>
      <c r="M398" s="347">
        <v>4.32</v>
      </c>
      <c r="N398" s="485">
        <f>M398*G398/10</f>
        <v>131.54400000000004</v>
      </c>
      <c r="O398" s="485"/>
      <c r="P398" s="485"/>
      <c r="Q398" s="485">
        <f t="shared" ref="Q398:Q406" si="100">K398+L398+N398+O398+P398</f>
        <v>131.54400000000004</v>
      </c>
      <c r="R398" s="1433">
        <f>Q398/G398*10</f>
        <v>4.32</v>
      </c>
    </row>
    <row r="399" spans="1:21" x14ac:dyDescent="0.3">
      <c r="A399" s="751">
        <v>6</v>
      </c>
      <c r="B399" s="1130" t="s">
        <v>1990</v>
      </c>
      <c r="C399" s="485">
        <v>0</v>
      </c>
      <c r="D399" s="485">
        <v>0</v>
      </c>
      <c r="E399" s="485">
        <v>0</v>
      </c>
      <c r="F399" s="485">
        <f>F2.1!Q176</f>
        <v>333.49999999999994</v>
      </c>
      <c r="G399" s="347">
        <f t="shared" si="99"/>
        <v>333.49999999999994</v>
      </c>
      <c r="H399" s="485"/>
      <c r="I399" s="485"/>
      <c r="J399" s="485"/>
      <c r="K399" s="485"/>
      <c r="L399" s="485"/>
      <c r="M399" s="347">
        <v>4.32</v>
      </c>
      <c r="N399" s="485">
        <f>M399*G399/10</f>
        <v>144.07199999999997</v>
      </c>
      <c r="O399" s="485"/>
      <c r="P399" s="485"/>
      <c r="Q399" s="485">
        <f t="shared" si="100"/>
        <v>144.07199999999997</v>
      </c>
      <c r="R399" s="1433">
        <f>Q399/G399*10</f>
        <v>4.32</v>
      </c>
    </row>
    <row r="400" spans="1:21" x14ac:dyDescent="0.3">
      <c r="A400" s="752">
        <v>7</v>
      </c>
      <c r="B400" s="1130" t="s">
        <v>1633</v>
      </c>
      <c r="C400" s="485">
        <v>0</v>
      </c>
      <c r="D400" s="485">
        <v>0</v>
      </c>
      <c r="E400" s="485">
        <v>0</v>
      </c>
      <c r="F400" s="485">
        <f ca="1">F2.1!Q177</f>
        <v>786.1500000000002</v>
      </c>
      <c r="G400" s="347">
        <f t="shared" ca="1" si="99"/>
        <v>786.1500000000002</v>
      </c>
      <c r="H400" s="485"/>
      <c r="I400" s="485"/>
      <c r="J400" s="485"/>
      <c r="K400" s="485"/>
      <c r="L400" s="485"/>
      <c r="M400" s="347">
        <v>4.75</v>
      </c>
      <c r="N400" s="485">
        <f ca="1">M400*G400/10</f>
        <v>373.4212500000001</v>
      </c>
      <c r="O400" s="485"/>
      <c r="P400" s="485"/>
      <c r="Q400" s="485">
        <f t="shared" ca="1" si="100"/>
        <v>373.4212500000001</v>
      </c>
      <c r="R400" s="1433">
        <f ca="1">Q400/G400*10</f>
        <v>4.75</v>
      </c>
      <c r="T400" s="1482"/>
      <c r="U400" s="1482"/>
    </row>
    <row r="401" spans="1:21" x14ac:dyDescent="0.3">
      <c r="A401" s="752"/>
      <c r="B401" s="413" t="s">
        <v>1816</v>
      </c>
      <c r="C401" s="485"/>
      <c r="D401" s="485"/>
      <c r="E401" s="485"/>
      <c r="F401" s="485">
        <f>F2.1!Q178</f>
        <v>123.99634548000002</v>
      </c>
      <c r="G401" s="347">
        <f t="shared" si="99"/>
        <v>123.99634548000002</v>
      </c>
      <c r="H401" s="485"/>
      <c r="I401" s="485"/>
      <c r="J401" s="485"/>
      <c r="K401" s="485"/>
      <c r="L401" s="485"/>
      <c r="M401" s="347">
        <v>2.4800634235961341</v>
      </c>
      <c r="N401" s="347">
        <f t="shared" ref="N401:N404" si="101">M401*G401/10</f>
        <v>30.751880108453786</v>
      </c>
      <c r="O401" s="485"/>
      <c r="P401" s="485"/>
      <c r="Q401" s="485">
        <f t="shared" ref="Q401:Q405" si="102">K401+L401+N401+O401+P401</f>
        <v>30.751880108453786</v>
      </c>
      <c r="R401" s="1621">
        <f t="shared" ref="R401:R404" si="103">Q401/G401*10</f>
        <v>2.4800634235961341</v>
      </c>
      <c r="T401" s="1482"/>
      <c r="U401" s="1482"/>
    </row>
    <row r="402" spans="1:21" x14ac:dyDescent="0.3">
      <c r="A402" s="752"/>
      <c r="B402" s="413" t="s">
        <v>1817</v>
      </c>
      <c r="C402" s="485"/>
      <c r="D402" s="485"/>
      <c r="E402" s="485"/>
      <c r="F402" s="485">
        <f>F2.1!Q179</f>
        <v>46.997681303999997</v>
      </c>
      <c r="G402" s="347">
        <f t="shared" si="99"/>
        <v>46.997681303999997</v>
      </c>
      <c r="H402" s="485"/>
      <c r="I402" s="485"/>
      <c r="J402" s="485"/>
      <c r="K402" s="485"/>
      <c r="L402" s="485"/>
      <c r="M402" s="347">
        <v>2.4799522497704314</v>
      </c>
      <c r="N402" s="347">
        <f t="shared" si="101"/>
        <v>11.655200548384853</v>
      </c>
      <c r="O402" s="485"/>
      <c r="P402" s="485"/>
      <c r="Q402" s="485">
        <f t="shared" si="102"/>
        <v>11.655200548384853</v>
      </c>
      <c r="R402" s="1621">
        <f t="shared" si="103"/>
        <v>2.4799522497704314</v>
      </c>
      <c r="T402" s="1482"/>
      <c r="U402" s="1482"/>
    </row>
    <row r="403" spans="1:21" x14ac:dyDescent="0.3">
      <c r="A403" s="752"/>
      <c r="B403" s="413" t="s">
        <v>1814</v>
      </c>
      <c r="C403" s="485"/>
      <c r="D403" s="485"/>
      <c r="E403" s="485"/>
      <c r="F403" s="485">
        <f>F2.1!Q180</f>
        <v>492.99983999999995</v>
      </c>
      <c r="G403" s="347">
        <f t="shared" si="99"/>
        <v>492.99983999999995</v>
      </c>
      <c r="H403" s="485"/>
      <c r="I403" s="485"/>
      <c r="J403" s="485"/>
      <c r="K403" s="485"/>
      <c r="L403" s="485"/>
      <c r="M403" s="347">
        <v>2.9810000000000003</v>
      </c>
      <c r="N403" s="347">
        <f t="shared" si="101"/>
        <v>146.96325230400001</v>
      </c>
      <c r="O403" s="485"/>
      <c r="P403" s="485"/>
      <c r="Q403" s="485">
        <f t="shared" si="102"/>
        <v>146.96325230400001</v>
      </c>
      <c r="R403" s="1621">
        <f t="shared" si="103"/>
        <v>2.9810000000000003</v>
      </c>
      <c r="T403" s="1482"/>
      <c r="U403" s="1482"/>
    </row>
    <row r="404" spans="1:21" x14ac:dyDescent="0.3">
      <c r="A404" s="752"/>
      <c r="B404" s="77" t="s">
        <v>1818</v>
      </c>
      <c r="C404" s="485"/>
      <c r="D404" s="485"/>
      <c r="E404" s="485"/>
      <c r="F404" s="485">
        <f ca="1">F2.1!Q181</f>
        <v>638.89605985781566</v>
      </c>
      <c r="G404" s="347">
        <f t="shared" ca="1" si="99"/>
        <v>638.89605985781566</v>
      </c>
      <c r="H404" s="485"/>
      <c r="I404" s="485"/>
      <c r="J404" s="485"/>
      <c r="K404" s="485"/>
      <c r="L404" s="485"/>
      <c r="M404" s="347">
        <v>4.5875294727666818</v>
      </c>
      <c r="N404" s="347">
        <f t="shared" ca="1" si="101"/>
        <v>293.09545046322353</v>
      </c>
      <c r="O404" s="485"/>
      <c r="P404" s="485"/>
      <c r="Q404" s="485">
        <f t="shared" ca="1" si="102"/>
        <v>293.09545046322353</v>
      </c>
      <c r="R404" s="1621">
        <f t="shared" ca="1" si="103"/>
        <v>4.5875294727666818</v>
      </c>
      <c r="T404" s="1482"/>
      <c r="U404" s="1482"/>
    </row>
    <row r="405" spans="1:21" x14ac:dyDescent="0.3">
      <c r="A405" s="752"/>
      <c r="B405" s="77"/>
      <c r="C405" s="485"/>
      <c r="D405" s="485"/>
      <c r="E405" s="485"/>
      <c r="F405" s="485"/>
      <c r="G405" s="347"/>
      <c r="H405" s="485"/>
      <c r="I405" s="485"/>
      <c r="J405" s="485"/>
      <c r="K405" s="485"/>
      <c r="L405" s="485"/>
      <c r="M405" s="347"/>
      <c r="N405" s="485"/>
      <c r="O405" s="485"/>
      <c r="P405" s="485"/>
      <c r="Q405" s="485">
        <f t="shared" si="102"/>
        <v>0</v>
      </c>
      <c r="R405" s="1621"/>
      <c r="T405" s="1482"/>
      <c r="U405" s="1482"/>
    </row>
    <row r="406" spans="1:21" x14ac:dyDescent="0.3">
      <c r="A406" s="752">
        <v>8</v>
      </c>
      <c r="B406" s="1130" t="s">
        <v>927</v>
      </c>
      <c r="C406" s="485">
        <v>0</v>
      </c>
      <c r="D406" s="485">
        <v>0</v>
      </c>
      <c r="E406" s="485">
        <v>0</v>
      </c>
      <c r="F406" s="485">
        <v>0</v>
      </c>
      <c r="G406" s="347">
        <f t="shared" si="99"/>
        <v>0</v>
      </c>
      <c r="H406" s="485"/>
      <c r="I406" s="485"/>
      <c r="J406" s="485"/>
      <c r="K406" s="485"/>
      <c r="L406" s="485"/>
      <c r="M406" s="485"/>
      <c r="N406" s="485"/>
      <c r="O406" s="485"/>
      <c r="P406" s="485">
        <f>P380</f>
        <v>96.79</v>
      </c>
      <c r="Q406" s="485">
        <f t="shared" si="100"/>
        <v>96.79</v>
      </c>
      <c r="R406" s="1433"/>
    </row>
    <row r="407" spans="1:21" x14ac:dyDescent="0.3">
      <c r="A407" s="752">
        <v>9</v>
      </c>
      <c r="B407" s="1129"/>
      <c r="C407" s="485">
        <v>0</v>
      </c>
      <c r="D407" s="485">
        <v>0</v>
      </c>
      <c r="E407" s="485">
        <v>0</v>
      </c>
      <c r="F407" s="485">
        <v>0</v>
      </c>
      <c r="G407" s="347">
        <f t="shared" si="99"/>
        <v>0</v>
      </c>
      <c r="H407" s="485"/>
      <c r="I407" s="485"/>
      <c r="J407" s="485"/>
      <c r="K407" s="485"/>
      <c r="L407" s="485"/>
      <c r="M407" s="485"/>
      <c r="N407" s="485"/>
      <c r="O407" s="485"/>
      <c r="P407" s="967"/>
      <c r="Q407" s="485">
        <f>K407+L407+N407+O407+P407</f>
        <v>0</v>
      </c>
      <c r="R407" s="485"/>
    </row>
    <row r="408" spans="1:21" ht="16" x14ac:dyDescent="0.3">
      <c r="A408" s="752"/>
      <c r="B408" s="1142" t="s">
        <v>145</v>
      </c>
      <c r="C408" s="572"/>
      <c r="D408" s="572"/>
      <c r="E408" s="572"/>
      <c r="F408" s="572">
        <f ca="1">SUM(F390:F407)</f>
        <v>4990.7447266418158</v>
      </c>
      <c r="G408" s="572">
        <f ca="1">SUM(G390:G407)</f>
        <v>4990.7447266418158</v>
      </c>
      <c r="H408" s="1446"/>
      <c r="I408" s="1446"/>
      <c r="J408" s="1446"/>
      <c r="K408" s="572">
        <f>SUM(K390:K407)</f>
        <v>420.70947824339572</v>
      </c>
      <c r="L408" s="1446"/>
      <c r="M408" s="1446"/>
      <c r="N408" s="572">
        <f ca="1">SUM(N390:N407)</f>
        <v>1633.7616603340275</v>
      </c>
      <c r="O408" s="1446"/>
      <c r="P408" s="572">
        <f>SUM(P390:P407)</f>
        <v>96.79</v>
      </c>
      <c r="Q408" s="572">
        <f ca="1">SUM(Q390:Q407)</f>
        <v>2151.2611385774235</v>
      </c>
      <c r="R408" s="1433">
        <f ca="1">Q408/G408*10</f>
        <v>4.3105012506319254</v>
      </c>
    </row>
    <row r="409" spans="1:21" ht="16" x14ac:dyDescent="0.3">
      <c r="A409" s="977"/>
      <c r="B409" s="1143"/>
      <c r="C409" s="772"/>
      <c r="D409" s="772"/>
      <c r="E409" s="772"/>
      <c r="F409" s="772">
        <f ca="1">F2.1!Q183-F408</f>
        <v>0</v>
      </c>
      <c r="G409" s="1447"/>
      <c r="H409" s="1447"/>
      <c r="I409" s="1447"/>
      <c r="J409" s="1447"/>
      <c r="K409" s="1447"/>
      <c r="L409" s="1447"/>
      <c r="M409" s="1447"/>
      <c r="N409" s="1447"/>
      <c r="O409" s="1447"/>
      <c r="P409" s="1447"/>
      <c r="Q409" s="1447"/>
      <c r="R409" s="749"/>
      <c r="T409" s="425"/>
    </row>
    <row r="412" spans="1:21" x14ac:dyDescent="0.3">
      <c r="Q412" s="979"/>
    </row>
    <row r="413" spans="1:21" x14ac:dyDescent="0.3">
      <c r="Q413" s="979"/>
    </row>
  </sheetData>
  <mergeCells count="1">
    <mergeCell ref="B6:C6"/>
  </mergeCells>
  <pageMargins left="0.70866141732283472" right="0.70866141732283472" top="0.74803149606299213" bottom="0.74803149606299213" header="0.31496062992125984" footer="0.31496062992125984"/>
  <pageSetup paperSize="9" scale="43" orientation="landscape" r:id="rId1"/>
  <rowBreaks count="12" manualBreakCount="12">
    <brk id="25" max="17" man="1"/>
    <brk id="64" max="17" man="1"/>
    <brk id="85" max="17" man="1"/>
    <brk id="125" max="17" man="1"/>
    <brk id="143" max="17" man="1"/>
    <brk id="186" max="17" man="1"/>
    <brk id="224" max="17" man="1"/>
    <brk id="293" max="17" man="1"/>
    <brk id="327" max="17" man="1"/>
    <brk id="343" max="17" man="1"/>
    <brk id="366" max="17" man="1"/>
    <brk id="382" max="17"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378"/>
  <sheetViews>
    <sheetView showGridLines="0" view="pageBreakPreview" topLeftCell="A396" zoomScale="59" zoomScaleNormal="75" zoomScaleSheetLayoutView="85" workbookViewId="0">
      <selection activeCell="E244" sqref="E244"/>
    </sheetView>
  </sheetViews>
  <sheetFormatPr defaultColWidth="9.1796875" defaultRowHeight="14" x14ac:dyDescent="0.25"/>
  <cols>
    <col min="1" max="1" width="14.54296875" style="15" customWidth="1"/>
    <col min="2" max="2" width="11.26953125" style="15" customWidth="1"/>
    <col min="3" max="3" width="39.81640625" style="15" customWidth="1"/>
    <col min="4" max="4" width="18.54296875" style="15" customWidth="1"/>
    <col min="5" max="5" width="17.1796875" style="15" customWidth="1"/>
    <col min="6" max="7" width="13.81640625" style="15" customWidth="1"/>
    <col min="8" max="9" width="17" style="15" customWidth="1"/>
    <col min="10" max="17" width="13.81640625" style="15" customWidth="1"/>
    <col min="18" max="18" width="0" style="15" hidden="1" customWidth="1"/>
    <col min="19" max="19" width="12.6328125" style="15" bestFit="1" customWidth="1"/>
    <col min="20" max="20" width="10.81640625" style="15" bestFit="1" customWidth="1"/>
    <col min="21" max="255" width="9.1796875" style="15"/>
    <col min="256" max="256" width="6.81640625" style="15" customWidth="1"/>
    <col min="257" max="257" width="7" style="15" customWidth="1"/>
    <col min="258" max="258" width="17.81640625" style="15" bestFit="1" customWidth="1"/>
    <col min="259" max="259" width="12.81640625" style="15" customWidth="1"/>
    <col min="260" max="260" width="24" style="15" customWidth="1"/>
    <col min="261" max="261" width="13.453125" style="15" bestFit="1" customWidth="1"/>
    <col min="262" max="262" width="13.81640625" style="15" customWidth="1"/>
    <col min="263" max="263" width="13.1796875" style="15" customWidth="1"/>
    <col min="264" max="264" width="22.453125" style="15" customWidth="1"/>
    <col min="265" max="265" width="18.453125" style="15" customWidth="1"/>
    <col min="266" max="266" width="22" style="15" customWidth="1"/>
    <col min="267" max="267" width="21.26953125" style="15" customWidth="1"/>
    <col min="268" max="268" width="23" style="15" customWidth="1"/>
    <col min="269" max="511" width="9.1796875" style="15"/>
    <col min="512" max="512" width="6.81640625" style="15" customWidth="1"/>
    <col min="513" max="513" width="7" style="15" customWidth="1"/>
    <col min="514" max="514" width="17.81640625" style="15" bestFit="1" customWidth="1"/>
    <col min="515" max="515" width="12.81640625" style="15" customWidth="1"/>
    <col min="516" max="516" width="24" style="15" customWidth="1"/>
    <col min="517" max="517" width="13.453125" style="15" bestFit="1" customWidth="1"/>
    <col min="518" max="518" width="13.81640625" style="15" customWidth="1"/>
    <col min="519" max="519" width="13.1796875" style="15" customWidth="1"/>
    <col min="520" max="520" width="22.453125" style="15" customWidth="1"/>
    <col min="521" max="521" width="18.453125" style="15" customWidth="1"/>
    <col min="522" max="522" width="22" style="15" customWidth="1"/>
    <col min="523" max="523" width="21.26953125" style="15" customWidth="1"/>
    <col min="524" max="524" width="23" style="15" customWidth="1"/>
    <col min="525" max="767" width="9.1796875" style="15"/>
    <col min="768" max="768" width="6.81640625" style="15" customWidth="1"/>
    <col min="769" max="769" width="7" style="15" customWidth="1"/>
    <col min="770" max="770" width="17.81640625" style="15" bestFit="1" customWidth="1"/>
    <col min="771" max="771" width="12.81640625" style="15" customWidth="1"/>
    <col min="772" max="772" width="24" style="15" customWidth="1"/>
    <col min="773" max="773" width="13.453125" style="15" bestFit="1" customWidth="1"/>
    <col min="774" max="774" width="13.81640625" style="15" customWidth="1"/>
    <col min="775" max="775" width="13.1796875" style="15" customWidth="1"/>
    <col min="776" max="776" width="22.453125" style="15" customWidth="1"/>
    <col min="777" max="777" width="18.453125" style="15" customWidth="1"/>
    <col min="778" max="778" width="22" style="15" customWidth="1"/>
    <col min="779" max="779" width="21.26953125" style="15" customWidth="1"/>
    <col min="780" max="780" width="23" style="15" customWidth="1"/>
    <col min="781" max="1023" width="9.1796875" style="15"/>
    <col min="1024" max="1024" width="6.81640625" style="15" customWidth="1"/>
    <col min="1025" max="1025" width="7" style="15" customWidth="1"/>
    <col min="1026" max="1026" width="17.81640625" style="15" bestFit="1" customWidth="1"/>
    <col min="1027" max="1027" width="12.81640625" style="15" customWidth="1"/>
    <col min="1028" max="1028" width="24" style="15" customWidth="1"/>
    <col min="1029" max="1029" width="13.453125" style="15" bestFit="1" customWidth="1"/>
    <col min="1030" max="1030" width="13.81640625" style="15" customWidth="1"/>
    <col min="1031" max="1031" width="13.1796875" style="15" customWidth="1"/>
    <col min="1032" max="1032" width="22.453125" style="15" customWidth="1"/>
    <col min="1033" max="1033" width="18.453125" style="15" customWidth="1"/>
    <col min="1034" max="1034" width="22" style="15" customWidth="1"/>
    <col min="1035" max="1035" width="21.26953125" style="15" customWidth="1"/>
    <col min="1036" max="1036" width="23" style="15" customWidth="1"/>
    <col min="1037" max="1279" width="9.1796875" style="15"/>
    <col min="1280" max="1280" width="6.81640625" style="15" customWidth="1"/>
    <col min="1281" max="1281" width="7" style="15" customWidth="1"/>
    <col min="1282" max="1282" width="17.81640625" style="15" bestFit="1" customWidth="1"/>
    <col min="1283" max="1283" width="12.81640625" style="15" customWidth="1"/>
    <col min="1284" max="1284" width="24" style="15" customWidth="1"/>
    <col min="1285" max="1285" width="13.453125" style="15" bestFit="1" customWidth="1"/>
    <col min="1286" max="1286" width="13.81640625" style="15" customWidth="1"/>
    <col min="1287" max="1287" width="13.1796875" style="15" customWidth="1"/>
    <col min="1288" max="1288" width="22.453125" style="15" customWidth="1"/>
    <col min="1289" max="1289" width="18.453125" style="15" customWidth="1"/>
    <col min="1290" max="1290" width="22" style="15" customWidth="1"/>
    <col min="1291" max="1291" width="21.26953125" style="15" customWidth="1"/>
    <col min="1292" max="1292" width="23" style="15" customWidth="1"/>
    <col min="1293" max="1535" width="9.1796875" style="15"/>
    <col min="1536" max="1536" width="6.81640625" style="15" customWidth="1"/>
    <col min="1537" max="1537" width="7" style="15" customWidth="1"/>
    <col min="1538" max="1538" width="17.81640625" style="15" bestFit="1" customWidth="1"/>
    <col min="1539" max="1539" width="12.81640625" style="15" customWidth="1"/>
    <col min="1540" max="1540" width="24" style="15" customWidth="1"/>
    <col min="1541" max="1541" width="13.453125" style="15" bestFit="1" customWidth="1"/>
    <col min="1542" max="1542" width="13.81640625" style="15" customWidth="1"/>
    <col min="1543" max="1543" width="13.1796875" style="15" customWidth="1"/>
    <col min="1544" max="1544" width="22.453125" style="15" customWidth="1"/>
    <col min="1545" max="1545" width="18.453125" style="15" customWidth="1"/>
    <col min="1546" max="1546" width="22" style="15" customWidth="1"/>
    <col min="1547" max="1547" width="21.26953125" style="15" customWidth="1"/>
    <col min="1548" max="1548" width="23" style="15" customWidth="1"/>
    <col min="1549" max="1791" width="9.1796875" style="15"/>
    <col min="1792" max="1792" width="6.81640625" style="15" customWidth="1"/>
    <col min="1793" max="1793" width="7" style="15" customWidth="1"/>
    <col min="1794" max="1794" width="17.81640625" style="15" bestFit="1" customWidth="1"/>
    <col min="1795" max="1795" width="12.81640625" style="15" customWidth="1"/>
    <col min="1796" max="1796" width="24" style="15" customWidth="1"/>
    <col min="1797" max="1797" width="13.453125" style="15" bestFit="1" customWidth="1"/>
    <col min="1798" max="1798" width="13.81640625" style="15" customWidth="1"/>
    <col min="1799" max="1799" width="13.1796875" style="15" customWidth="1"/>
    <col min="1800" max="1800" width="22.453125" style="15" customWidth="1"/>
    <col min="1801" max="1801" width="18.453125" style="15" customWidth="1"/>
    <col min="1802" max="1802" width="22" style="15" customWidth="1"/>
    <col min="1803" max="1803" width="21.26953125" style="15" customWidth="1"/>
    <col min="1804" max="1804" width="23" style="15" customWidth="1"/>
    <col min="1805" max="2047" width="9.1796875" style="15"/>
    <col min="2048" max="2048" width="6.81640625" style="15" customWidth="1"/>
    <col min="2049" max="2049" width="7" style="15" customWidth="1"/>
    <col min="2050" max="2050" width="17.81640625" style="15" bestFit="1" customWidth="1"/>
    <col min="2051" max="2051" width="12.81640625" style="15" customWidth="1"/>
    <col min="2052" max="2052" width="24" style="15" customWidth="1"/>
    <col min="2053" max="2053" width="13.453125" style="15" bestFit="1" customWidth="1"/>
    <col min="2054" max="2054" width="13.81640625" style="15" customWidth="1"/>
    <col min="2055" max="2055" width="13.1796875" style="15" customWidth="1"/>
    <col min="2056" max="2056" width="22.453125" style="15" customWidth="1"/>
    <col min="2057" max="2057" width="18.453125" style="15" customWidth="1"/>
    <col min="2058" max="2058" width="22" style="15" customWidth="1"/>
    <col min="2059" max="2059" width="21.26953125" style="15" customWidth="1"/>
    <col min="2060" max="2060" width="23" style="15" customWidth="1"/>
    <col min="2061" max="2303" width="9.1796875" style="15"/>
    <col min="2304" max="2304" width="6.81640625" style="15" customWidth="1"/>
    <col min="2305" max="2305" width="7" style="15" customWidth="1"/>
    <col min="2306" max="2306" width="17.81640625" style="15" bestFit="1" customWidth="1"/>
    <col min="2307" max="2307" width="12.81640625" style="15" customWidth="1"/>
    <col min="2308" max="2308" width="24" style="15" customWidth="1"/>
    <col min="2309" max="2309" width="13.453125" style="15" bestFit="1" customWidth="1"/>
    <col min="2310" max="2310" width="13.81640625" style="15" customWidth="1"/>
    <col min="2311" max="2311" width="13.1796875" style="15" customWidth="1"/>
    <col min="2312" max="2312" width="22.453125" style="15" customWidth="1"/>
    <col min="2313" max="2313" width="18.453125" style="15" customWidth="1"/>
    <col min="2314" max="2314" width="22" style="15" customWidth="1"/>
    <col min="2315" max="2315" width="21.26953125" style="15" customWidth="1"/>
    <col min="2316" max="2316" width="23" style="15" customWidth="1"/>
    <col min="2317" max="2559" width="9.1796875" style="15"/>
    <col min="2560" max="2560" width="6.81640625" style="15" customWidth="1"/>
    <col min="2561" max="2561" width="7" style="15" customWidth="1"/>
    <col min="2562" max="2562" width="17.81640625" style="15" bestFit="1" customWidth="1"/>
    <col min="2563" max="2563" width="12.81640625" style="15" customWidth="1"/>
    <col min="2564" max="2564" width="24" style="15" customWidth="1"/>
    <col min="2565" max="2565" width="13.453125" style="15" bestFit="1" customWidth="1"/>
    <col min="2566" max="2566" width="13.81640625" style="15" customWidth="1"/>
    <col min="2567" max="2567" width="13.1796875" style="15" customWidth="1"/>
    <col min="2568" max="2568" width="22.453125" style="15" customWidth="1"/>
    <col min="2569" max="2569" width="18.453125" style="15" customWidth="1"/>
    <col min="2570" max="2570" width="22" style="15" customWidth="1"/>
    <col min="2571" max="2571" width="21.26953125" style="15" customWidth="1"/>
    <col min="2572" max="2572" width="23" style="15" customWidth="1"/>
    <col min="2573" max="2815" width="9.1796875" style="15"/>
    <col min="2816" max="2816" width="6.81640625" style="15" customWidth="1"/>
    <col min="2817" max="2817" width="7" style="15" customWidth="1"/>
    <col min="2818" max="2818" width="17.81640625" style="15" bestFit="1" customWidth="1"/>
    <col min="2819" max="2819" width="12.81640625" style="15" customWidth="1"/>
    <col min="2820" max="2820" width="24" style="15" customWidth="1"/>
    <col min="2821" max="2821" width="13.453125" style="15" bestFit="1" customWidth="1"/>
    <col min="2822" max="2822" width="13.81640625" style="15" customWidth="1"/>
    <col min="2823" max="2823" width="13.1796875" style="15" customWidth="1"/>
    <col min="2824" max="2824" width="22.453125" style="15" customWidth="1"/>
    <col min="2825" max="2825" width="18.453125" style="15" customWidth="1"/>
    <col min="2826" max="2826" width="22" style="15" customWidth="1"/>
    <col min="2827" max="2827" width="21.26953125" style="15" customWidth="1"/>
    <col min="2828" max="2828" width="23" style="15" customWidth="1"/>
    <col min="2829" max="3071" width="9.1796875" style="15"/>
    <col min="3072" max="3072" width="6.81640625" style="15" customWidth="1"/>
    <col min="3073" max="3073" width="7" style="15" customWidth="1"/>
    <col min="3074" max="3074" width="17.81640625" style="15" bestFit="1" customWidth="1"/>
    <col min="3075" max="3075" width="12.81640625" style="15" customWidth="1"/>
    <col min="3076" max="3076" width="24" style="15" customWidth="1"/>
    <col min="3077" max="3077" width="13.453125" style="15" bestFit="1" customWidth="1"/>
    <col min="3078" max="3078" width="13.81640625" style="15" customWidth="1"/>
    <col min="3079" max="3079" width="13.1796875" style="15" customWidth="1"/>
    <col min="3080" max="3080" width="22.453125" style="15" customWidth="1"/>
    <col min="3081" max="3081" width="18.453125" style="15" customWidth="1"/>
    <col min="3082" max="3082" width="22" style="15" customWidth="1"/>
    <col min="3083" max="3083" width="21.26953125" style="15" customWidth="1"/>
    <col min="3084" max="3084" width="23" style="15" customWidth="1"/>
    <col min="3085" max="3327" width="9.1796875" style="15"/>
    <col min="3328" max="3328" width="6.81640625" style="15" customWidth="1"/>
    <col min="3329" max="3329" width="7" style="15" customWidth="1"/>
    <col min="3330" max="3330" width="17.81640625" style="15" bestFit="1" customWidth="1"/>
    <col min="3331" max="3331" width="12.81640625" style="15" customWidth="1"/>
    <col min="3332" max="3332" width="24" style="15" customWidth="1"/>
    <col min="3333" max="3333" width="13.453125" style="15" bestFit="1" customWidth="1"/>
    <col min="3334" max="3334" width="13.81640625" style="15" customWidth="1"/>
    <col min="3335" max="3335" width="13.1796875" style="15" customWidth="1"/>
    <col min="3336" max="3336" width="22.453125" style="15" customWidth="1"/>
    <col min="3337" max="3337" width="18.453125" style="15" customWidth="1"/>
    <col min="3338" max="3338" width="22" style="15" customWidth="1"/>
    <col min="3339" max="3339" width="21.26953125" style="15" customWidth="1"/>
    <col min="3340" max="3340" width="23" style="15" customWidth="1"/>
    <col min="3341" max="3583" width="9.1796875" style="15"/>
    <col min="3584" max="3584" width="6.81640625" style="15" customWidth="1"/>
    <col min="3585" max="3585" width="7" style="15" customWidth="1"/>
    <col min="3586" max="3586" width="17.81640625" style="15" bestFit="1" customWidth="1"/>
    <col min="3587" max="3587" width="12.81640625" style="15" customWidth="1"/>
    <col min="3588" max="3588" width="24" style="15" customWidth="1"/>
    <col min="3589" max="3589" width="13.453125" style="15" bestFit="1" customWidth="1"/>
    <col min="3590" max="3590" width="13.81640625" style="15" customWidth="1"/>
    <col min="3591" max="3591" width="13.1796875" style="15" customWidth="1"/>
    <col min="3592" max="3592" width="22.453125" style="15" customWidth="1"/>
    <col min="3593" max="3593" width="18.453125" style="15" customWidth="1"/>
    <col min="3594" max="3594" width="22" style="15" customWidth="1"/>
    <col min="3595" max="3595" width="21.26953125" style="15" customWidth="1"/>
    <col min="3596" max="3596" width="23" style="15" customWidth="1"/>
    <col min="3597" max="3839" width="9.1796875" style="15"/>
    <col min="3840" max="3840" width="6.81640625" style="15" customWidth="1"/>
    <col min="3841" max="3841" width="7" style="15" customWidth="1"/>
    <col min="3842" max="3842" width="17.81640625" style="15" bestFit="1" customWidth="1"/>
    <col min="3843" max="3843" width="12.81640625" style="15" customWidth="1"/>
    <col min="3844" max="3844" width="24" style="15" customWidth="1"/>
    <col min="3845" max="3845" width="13.453125" style="15" bestFit="1" customWidth="1"/>
    <col min="3846" max="3846" width="13.81640625" style="15" customWidth="1"/>
    <col min="3847" max="3847" width="13.1796875" style="15" customWidth="1"/>
    <col min="3848" max="3848" width="22.453125" style="15" customWidth="1"/>
    <col min="3849" max="3849" width="18.453125" style="15" customWidth="1"/>
    <col min="3850" max="3850" width="22" style="15" customWidth="1"/>
    <col min="3851" max="3851" width="21.26953125" style="15" customWidth="1"/>
    <col min="3852" max="3852" width="23" style="15" customWidth="1"/>
    <col min="3853" max="4095" width="9.1796875" style="15"/>
    <col min="4096" max="4096" width="6.81640625" style="15" customWidth="1"/>
    <col min="4097" max="4097" width="7" style="15" customWidth="1"/>
    <col min="4098" max="4098" width="17.81640625" style="15" bestFit="1" customWidth="1"/>
    <col min="4099" max="4099" width="12.81640625" style="15" customWidth="1"/>
    <col min="4100" max="4100" width="24" style="15" customWidth="1"/>
    <col min="4101" max="4101" width="13.453125" style="15" bestFit="1" customWidth="1"/>
    <col min="4102" max="4102" width="13.81640625" style="15" customWidth="1"/>
    <col min="4103" max="4103" width="13.1796875" style="15" customWidth="1"/>
    <col min="4104" max="4104" width="22.453125" style="15" customWidth="1"/>
    <col min="4105" max="4105" width="18.453125" style="15" customWidth="1"/>
    <col min="4106" max="4106" width="22" style="15" customWidth="1"/>
    <col min="4107" max="4107" width="21.26953125" style="15" customWidth="1"/>
    <col min="4108" max="4108" width="23" style="15" customWidth="1"/>
    <col min="4109" max="4351" width="9.1796875" style="15"/>
    <col min="4352" max="4352" width="6.81640625" style="15" customWidth="1"/>
    <col min="4353" max="4353" width="7" style="15" customWidth="1"/>
    <col min="4354" max="4354" width="17.81640625" style="15" bestFit="1" customWidth="1"/>
    <col min="4355" max="4355" width="12.81640625" style="15" customWidth="1"/>
    <col min="4356" max="4356" width="24" style="15" customWidth="1"/>
    <col min="4357" max="4357" width="13.453125" style="15" bestFit="1" customWidth="1"/>
    <col min="4358" max="4358" width="13.81640625" style="15" customWidth="1"/>
    <col min="4359" max="4359" width="13.1796875" style="15" customWidth="1"/>
    <col min="4360" max="4360" width="22.453125" style="15" customWidth="1"/>
    <col min="4361" max="4361" width="18.453125" style="15" customWidth="1"/>
    <col min="4362" max="4362" width="22" style="15" customWidth="1"/>
    <col min="4363" max="4363" width="21.26953125" style="15" customWidth="1"/>
    <col min="4364" max="4364" width="23" style="15" customWidth="1"/>
    <col min="4365" max="4607" width="9.1796875" style="15"/>
    <col min="4608" max="4608" width="6.81640625" style="15" customWidth="1"/>
    <col min="4609" max="4609" width="7" style="15" customWidth="1"/>
    <col min="4610" max="4610" width="17.81640625" style="15" bestFit="1" customWidth="1"/>
    <col min="4611" max="4611" width="12.81640625" style="15" customWidth="1"/>
    <col min="4612" max="4612" width="24" style="15" customWidth="1"/>
    <col min="4613" max="4613" width="13.453125" style="15" bestFit="1" customWidth="1"/>
    <col min="4614" max="4614" width="13.81640625" style="15" customWidth="1"/>
    <col min="4615" max="4615" width="13.1796875" style="15" customWidth="1"/>
    <col min="4616" max="4616" width="22.453125" style="15" customWidth="1"/>
    <col min="4617" max="4617" width="18.453125" style="15" customWidth="1"/>
    <col min="4618" max="4618" width="22" style="15" customWidth="1"/>
    <col min="4619" max="4619" width="21.26953125" style="15" customWidth="1"/>
    <col min="4620" max="4620" width="23" style="15" customWidth="1"/>
    <col min="4621" max="4863" width="9.1796875" style="15"/>
    <col min="4864" max="4864" width="6.81640625" style="15" customWidth="1"/>
    <col min="4865" max="4865" width="7" style="15" customWidth="1"/>
    <col min="4866" max="4866" width="17.81640625" style="15" bestFit="1" customWidth="1"/>
    <col min="4867" max="4867" width="12.81640625" style="15" customWidth="1"/>
    <col min="4868" max="4868" width="24" style="15" customWidth="1"/>
    <col min="4869" max="4869" width="13.453125" style="15" bestFit="1" customWidth="1"/>
    <col min="4870" max="4870" width="13.81640625" style="15" customWidth="1"/>
    <col min="4871" max="4871" width="13.1796875" style="15" customWidth="1"/>
    <col min="4872" max="4872" width="22.453125" style="15" customWidth="1"/>
    <col min="4873" max="4873" width="18.453125" style="15" customWidth="1"/>
    <col min="4874" max="4874" width="22" style="15" customWidth="1"/>
    <col min="4875" max="4875" width="21.26953125" style="15" customWidth="1"/>
    <col min="4876" max="4876" width="23" style="15" customWidth="1"/>
    <col min="4877" max="5119" width="9.1796875" style="15"/>
    <col min="5120" max="5120" width="6.81640625" style="15" customWidth="1"/>
    <col min="5121" max="5121" width="7" style="15" customWidth="1"/>
    <col min="5122" max="5122" width="17.81640625" style="15" bestFit="1" customWidth="1"/>
    <col min="5123" max="5123" width="12.81640625" style="15" customWidth="1"/>
    <col min="5124" max="5124" width="24" style="15" customWidth="1"/>
    <col min="5125" max="5125" width="13.453125" style="15" bestFit="1" customWidth="1"/>
    <col min="5126" max="5126" width="13.81640625" style="15" customWidth="1"/>
    <col min="5127" max="5127" width="13.1796875" style="15" customWidth="1"/>
    <col min="5128" max="5128" width="22.453125" style="15" customWidth="1"/>
    <col min="5129" max="5129" width="18.453125" style="15" customWidth="1"/>
    <col min="5130" max="5130" width="22" style="15" customWidth="1"/>
    <col min="5131" max="5131" width="21.26953125" style="15" customWidth="1"/>
    <col min="5132" max="5132" width="23" style="15" customWidth="1"/>
    <col min="5133" max="5375" width="9.1796875" style="15"/>
    <col min="5376" max="5376" width="6.81640625" style="15" customWidth="1"/>
    <col min="5377" max="5377" width="7" style="15" customWidth="1"/>
    <col min="5378" max="5378" width="17.81640625" style="15" bestFit="1" customWidth="1"/>
    <col min="5379" max="5379" width="12.81640625" style="15" customWidth="1"/>
    <col min="5380" max="5380" width="24" style="15" customWidth="1"/>
    <col min="5381" max="5381" width="13.453125" style="15" bestFit="1" customWidth="1"/>
    <col min="5382" max="5382" width="13.81640625" style="15" customWidth="1"/>
    <col min="5383" max="5383" width="13.1796875" style="15" customWidth="1"/>
    <col min="5384" max="5384" width="22.453125" style="15" customWidth="1"/>
    <col min="5385" max="5385" width="18.453125" style="15" customWidth="1"/>
    <col min="5386" max="5386" width="22" style="15" customWidth="1"/>
    <col min="5387" max="5387" width="21.26953125" style="15" customWidth="1"/>
    <col min="5388" max="5388" width="23" style="15" customWidth="1"/>
    <col min="5389" max="5631" width="9.1796875" style="15"/>
    <col min="5632" max="5632" width="6.81640625" style="15" customWidth="1"/>
    <col min="5633" max="5633" width="7" style="15" customWidth="1"/>
    <col min="5634" max="5634" width="17.81640625" style="15" bestFit="1" customWidth="1"/>
    <col min="5635" max="5635" width="12.81640625" style="15" customWidth="1"/>
    <col min="5636" max="5636" width="24" style="15" customWidth="1"/>
    <col min="5637" max="5637" width="13.453125" style="15" bestFit="1" customWidth="1"/>
    <col min="5638" max="5638" width="13.81640625" style="15" customWidth="1"/>
    <col min="5639" max="5639" width="13.1796875" style="15" customWidth="1"/>
    <col min="5640" max="5640" width="22.453125" style="15" customWidth="1"/>
    <col min="5641" max="5641" width="18.453125" style="15" customWidth="1"/>
    <col min="5642" max="5642" width="22" style="15" customWidth="1"/>
    <col min="5643" max="5643" width="21.26953125" style="15" customWidth="1"/>
    <col min="5644" max="5644" width="23" style="15" customWidth="1"/>
    <col min="5645" max="5887" width="9.1796875" style="15"/>
    <col min="5888" max="5888" width="6.81640625" style="15" customWidth="1"/>
    <col min="5889" max="5889" width="7" style="15" customWidth="1"/>
    <col min="5890" max="5890" width="17.81640625" style="15" bestFit="1" customWidth="1"/>
    <col min="5891" max="5891" width="12.81640625" style="15" customWidth="1"/>
    <col min="5892" max="5892" width="24" style="15" customWidth="1"/>
    <col min="5893" max="5893" width="13.453125" style="15" bestFit="1" customWidth="1"/>
    <col min="5894" max="5894" width="13.81640625" style="15" customWidth="1"/>
    <col min="5895" max="5895" width="13.1796875" style="15" customWidth="1"/>
    <col min="5896" max="5896" width="22.453125" style="15" customWidth="1"/>
    <col min="5897" max="5897" width="18.453125" style="15" customWidth="1"/>
    <col min="5898" max="5898" width="22" style="15" customWidth="1"/>
    <col min="5899" max="5899" width="21.26953125" style="15" customWidth="1"/>
    <col min="5900" max="5900" width="23" style="15" customWidth="1"/>
    <col min="5901" max="6143" width="9.1796875" style="15"/>
    <col min="6144" max="6144" width="6.81640625" style="15" customWidth="1"/>
    <col min="6145" max="6145" width="7" style="15" customWidth="1"/>
    <col min="6146" max="6146" width="17.81640625" style="15" bestFit="1" customWidth="1"/>
    <col min="6147" max="6147" width="12.81640625" style="15" customWidth="1"/>
    <col min="6148" max="6148" width="24" style="15" customWidth="1"/>
    <col min="6149" max="6149" width="13.453125" style="15" bestFit="1" customWidth="1"/>
    <col min="6150" max="6150" width="13.81640625" style="15" customWidth="1"/>
    <col min="6151" max="6151" width="13.1796875" style="15" customWidth="1"/>
    <col min="6152" max="6152" width="22.453125" style="15" customWidth="1"/>
    <col min="6153" max="6153" width="18.453125" style="15" customWidth="1"/>
    <col min="6154" max="6154" width="22" style="15" customWidth="1"/>
    <col min="6155" max="6155" width="21.26953125" style="15" customWidth="1"/>
    <col min="6156" max="6156" width="23" style="15" customWidth="1"/>
    <col min="6157" max="6399" width="9.1796875" style="15"/>
    <col min="6400" max="6400" width="6.81640625" style="15" customWidth="1"/>
    <col min="6401" max="6401" width="7" style="15" customWidth="1"/>
    <col min="6402" max="6402" width="17.81640625" style="15" bestFit="1" customWidth="1"/>
    <col min="6403" max="6403" width="12.81640625" style="15" customWidth="1"/>
    <col min="6404" max="6404" width="24" style="15" customWidth="1"/>
    <col min="6405" max="6405" width="13.453125" style="15" bestFit="1" customWidth="1"/>
    <col min="6406" max="6406" width="13.81640625" style="15" customWidth="1"/>
    <col min="6407" max="6407" width="13.1796875" style="15" customWidth="1"/>
    <col min="6408" max="6408" width="22.453125" style="15" customWidth="1"/>
    <col min="6409" max="6409" width="18.453125" style="15" customWidth="1"/>
    <col min="6410" max="6410" width="22" style="15" customWidth="1"/>
    <col min="6411" max="6411" width="21.26953125" style="15" customWidth="1"/>
    <col min="6412" max="6412" width="23" style="15" customWidth="1"/>
    <col min="6413" max="6655" width="9.1796875" style="15"/>
    <col min="6656" max="6656" width="6.81640625" style="15" customWidth="1"/>
    <col min="6657" max="6657" width="7" style="15" customWidth="1"/>
    <col min="6658" max="6658" width="17.81640625" style="15" bestFit="1" customWidth="1"/>
    <col min="6659" max="6659" width="12.81640625" style="15" customWidth="1"/>
    <col min="6660" max="6660" width="24" style="15" customWidth="1"/>
    <col min="6661" max="6661" width="13.453125" style="15" bestFit="1" customWidth="1"/>
    <col min="6662" max="6662" width="13.81640625" style="15" customWidth="1"/>
    <col min="6663" max="6663" width="13.1796875" style="15" customWidth="1"/>
    <col min="6664" max="6664" width="22.453125" style="15" customWidth="1"/>
    <col min="6665" max="6665" width="18.453125" style="15" customWidth="1"/>
    <col min="6666" max="6666" width="22" style="15" customWidth="1"/>
    <col min="6667" max="6667" width="21.26953125" style="15" customWidth="1"/>
    <col min="6668" max="6668" width="23" style="15" customWidth="1"/>
    <col min="6669" max="6911" width="9.1796875" style="15"/>
    <col min="6912" max="6912" width="6.81640625" style="15" customWidth="1"/>
    <col min="6913" max="6913" width="7" style="15" customWidth="1"/>
    <col min="6914" max="6914" width="17.81640625" style="15" bestFit="1" customWidth="1"/>
    <col min="6915" max="6915" width="12.81640625" style="15" customWidth="1"/>
    <col min="6916" max="6916" width="24" style="15" customWidth="1"/>
    <col min="6917" max="6917" width="13.453125" style="15" bestFit="1" customWidth="1"/>
    <col min="6918" max="6918" width="13.81640625" style="15" customWidth="1"/>
    <col min="6919" max="6919" width="13.1796875" style="15" customWidth="1"/>
    <col min="6920" max="6920" width="22.453125" style="15" customWidth="1"/>
    <col min="6921" max="6921" width="18.453125" style="15" customWidth="1"/>
    <col min="6922" max="6922" width="22" style="15" customWidth="1"/>
    <col min="6923" max="6923" width="21.26953125" style="15" customWidth="1"/>
    <col min="6924" max="6924" width="23" style="15" customWidth="1"/>
    <col min="6925" max="7167" width="9.1796875" style="15"/>
    <col min="7168" max="7168" width="6.81640625" style="15" customWidth="1"/>
    <col min="7169" max="7169" width="7" style="15" customWidth="1"/>
    <col min="7170" max="7170" width="17.81640625" style="15" bestFit="1" customWidth="1"/>
    <col min="7171" max="7171" width="12.81640625" style="15" customWidth="1"/>
    <col min="7172" max="7172" width="24" style="15" customWidth="1"/>
    <col min="7173" max="7173" width="13.453125" style="15" bestFit="1" customWidth="1"/>
    <col min="7174" max="7174" width="13.81640625" style="15" customWidth="1"/>
    <col min="7175" max="7175" width="13.1796875" style="15" customWidth="1"/>
    <col min="7176" max="7176" width="22.453125" style="15" customWidth="1"/>
    <col min="7177" max="7177" width="18.453125" style="15" customWidth="1"/>
    <col min="7178" max="7178" width="22" style="15" customWidth="1"/>
    <col min="7179" max="7179" width="21.26953125" style="15" customWidth="1"/>
    <col min="7180" max="7180" width="23" style="15" customWidth="1"/>
    <col min="7181" max="7423" width="9.1796875" style="15"/>
    <col min="7424" max="7424" width="6.81640625" style="15" customWidth="1"/>
    <col min="7425" max="7425" width="7" style="15" customWidth="1"/>
    <col min="7426" max="7426" width="17.81640625" style="15" bestFit="1" customWidth="1"/>
    <col min="7427" max="7427" width="12.81640625" style="15" customWidth="1"/>
    <col min="7428" max="7428" width="24" style="15" customWidth="1"/>
    <col min="7429" max="7429" width="13.453125" style="15" bestFit="1" customWidth="1"/>
    <col min="7430" max="7430" width="13.81640625" style="15" customWidth="1"/>
    <col min="7431" max="7431" width="13.1796875" style="15" customWidth="1"/>
    <col min="7432" max="7432" width="22.453125" style="15" customWidth="1"/>
    <col min="7433" max="7433" width="18.453125" style="15" customWidth="1"/>
    <col min="7434" max="7434" width="22" style="15" customWidth="1"/>
    <col min="7435" max="7435" width="21.26953125" style="15" customWidth="1"/>
    <col min="7436" max="7436" width="23" style="15" customWidth="1"/>
    <col min="7437" max="7679" width="9.1796875" style="15"/>
    <col min="7680" max="7680" width="6.81640625" style="15" customWidth="1"/>
    <col min="7681" max="7681" width="7" style="15" customWidth="1"/>
    <col min="7682" max="7682" width="17.81640625" style="15" bestFit="1" customWidth="1"/>
    <col min="7683" max="7683" width="12.81640625" style="15" customWidth="1"/>
    <col min="7684" max="7684" width="24" style="15" customWidth="1"/>
    <col min="7685" max="7685" width="13.453125" style="15" bestFit="1" customWidth="1"/>
    <col min="7686" max="7686" width="13.81640625" style="15" customWidth="1"/>
    <col min="7687" max="7687" width="13.1796875" style="15" customWidth="1"/>
    <col min="7688" max="7688" width="22.453125" style="15" customWidth="1"/>
    <col min="7689" max="7689" width="18.453125" style="15" customWidth="1"/>
    <col min="7690" max="7690" width="22" style="15" customWidth="1"/>
    <col min="7691" max="7691" width="21.26953125" style="15" customWidth="1"/>
    <col min="7692" max="7692" width="23" style="15" customWidth="1"/>
    <col min="7693" max="7935" width="9.1796875" style="15"/>
    <col min="7936" max="7936" width="6.81640625" style="15" customWidth="1"/>
    <col min="7937" max="7937" width="7" style="15" customWidth="1"/>
    <col min="7938" max="7938" width="17.81640625" style="15" bestFit="1" customWidth="1"/>
    <col min="7939" max="7939" width="12.81640625" style="15" customWidth="1"/>
    <col min="7940" max="7940" width="24" style="15" customWidth="1"/>
    <col min="7941" max="7941" width="13.453125" style="15" bestFit="1" customWidth="1"/>
    <col min="7942" max="7942" width="13.81640625" style="15" customWidth="1"/>
    <col min="7943" max="7943" width="13.1796875" style="15" customWidth="1"/>
    <col min="7944" max="7944" width="22.453125" style="15" customWidth="1"/>
    <col min="7945" max="7945" width="18.453125" style="15" customWidth="1"/>
    <col min="7946" max="7946" width="22" style="15" customWidth="1"/>
    <col min="7947" max="7947" width="21.26953125" style="15" customWidth="1"/>
    <col min="7948" max="7948" width="23" style="15" customWidth="1"/>
    <col min="7949" max="8191" width="9.1796875" style="15"/>
    <col min="8192" max="8192" width="6.81640625" style="15" customWidth="1"/>
    <col min="8193" max="8193" width="7" style="15" customWidth="1"/>
    <col min="8194" max="8194" width="17.81640625" style="15" bestFit="1" customWidth="1"/>
    <col min="8195" max="8195" width="12.81640625" style="15" customWidth="1"/>
    <col min="8196" max="8196" width="24" style="15" customWidth="1"/>
    <col min="8197" max="8197" width="13.453125" style="15" bestFit="1" customWidth="1"/>
    <col min="8198" max="8198" width="13.81640625" style="15" customWidth="1"/>
    <col min="8199" max="8199" width="13.1796875" style="15" customWidth="1"/>
    <col min="8200" max="8200" width="22.453125" style="15" customWidth="1"/>
    <col min="8201" max="8201" width="18.453125" style="15" customWidth="1"/>
    <col min="8202" max="8202" width="22" style="15" customWidth="1"/>
    <col min="8203" max="8203" width="21.26953125" style="15" customWidth="1"/>
    <col min="8204" max="8204" width="23" style="15" customWidth="1"/>
    <col min="8205" max="8447" width="9.1796875" style="15"/>
    <col min="8448" max="8448" width="6.81640625" style="15" customWidth="1"/>
    <col min="8449" max="8449" width="7" style="15" customWidth="1"/>
    <col min="8450" max="8450" width="17.81640625" style="15" bestFit="1" customWidth="1"/>
    <col min="8451" max="8451" width="12.81640625" style="15" customWidth="1"/>
    <col min="8452" max="8452" width="24" style="15" customWidth="1"/>
    <col min="8453" max="8453" width="13.453125" style="15" bestFit="1" customWidth="1"/>
    <col min="8454" max="8454" width="13.81640625" style="15" customWidth="1"/>
    <col min="8455" max="8455" width="13.1796875" style="15" customWidth="1"/>
    <col min="8456" max="8456" width="22.453125" style="15" customWidth="1"/>
    <col min="8457" max="8457" width="18.453125" style="15" customWidth="1"/>
    <col min="8458" max="8458" width="22" style="15" customWidth="1"/>
    <col min="8459" max="8459" width="21.26953125" style="15" customWidth="1"/>
    <col min="8460" max="8460" width="23" style="15" customWidth="1"/>
    <col min="8461" max="8703" width="9.1796875" style="15"/>
    <col min="8704" max="8704" width="6.81640625" style="15" customWidth="1"/>
    <col min="8705" max="8705" width="7" style="15" customWidth="1"/>
    <col min="8706" max="8706" width="17.81640625" style="15" bestFit="1" customWidth="1"/>
    <col min="8707" max="8707" width="12.81640625" style="15" customWidth="1"/>
    <col min="8708" max="8708" width="24" style="15" customWidth="1"/>
    <col min="8709" max="8709" width="13.453125" style="15" bestFit="1" customWidth="1"/>
    <col min="8710" max="8710" width="13.81640625" style="15" customWidth="1"/>
    <col min="8711" max="8711" width="13.1796875" style="15" customWidth="1"/>
    <col min="8712" max="8712" width="22.453125" style="15" customWidth="1"/>
    <col min="8713" max="8713" width="18.453125" style="15" customWidth="1"/>
    <col min="8714" max="8714" width="22" style="15" customWidth="1"/>
    <col min="8715" max="8715" width="21.26953125" style="15" customWidth="1"/>
    <col min="8716" max="8716" width="23" style="15" customWidth="1"/>
    <col min="8717" max="8959" width="9.1796875" style="15"/>
    <col min="8960" max="8960" width="6.81640625" style="15" customWidth="1"/>
    <col min="8961" max="8961" width="7" style="15" customWidth="1"/>
    <col min="8962" max="8962" width="17.81640625" style="15" bestFit="1" customWidth="1"/>
    <col min="8963" max="8963" width="12.81640625" style="15" customWidth="1"/>
    <col min="8964" max="8964" width="24" style="15" customWidth="1"/>
    <col min="8965" max="8965" width="13.453125" style="15" bestFit="1" customWidth="1"/>
    <col min="8966" max="8966" width="13.81640625" style="15" customWidth="1"/>
    <col min="8967" max="8967" width="13.1796875" style="15" customWidth="1"/>
    <col min="8968" max="8968" width="22.453125" style="15" customWidth="1"/>
    <col min="8969" max="8969" width="18.453125" style="15" customWidth="1"/>
    <col min="8970" max="8970" width="22" style="15" customWidth="1"/>
    <col min="8971" max="8971" width="21.26953125" style="15" customWidth="1"/>
    <col min="8972" max="8972" width="23" style="15" customWidth="1"/>
    <col min="8973" max="9215" width="9.1796875" style="15"/>
    <col min="9216" max="9216" width="6.81640625" style="15" customWidth="1"/>
    <col min="9217" max="9217" width="7" style="15" customWidth="1"/>
    <col min="9218" max="9218" width="17.81640625" style="15" bestFit="1" customWidth="1"/>
    <col min="9219" max="9219" width="12.81640625" style="15" customWidth="1"/>
    <col min="9220" max="9220" width="24" style="15" customWidth="1"/>
    <col min="9221" max="9221" width="13.453125" style="15" bestFit="1" customWidth="1"/>
    <col min="9222" max="9222" width="13.81640625" style="15" customWidth="1"/>
    <col min="9223" max="9223" width="13.1796875" style="15" customWidth="1"/>
    <col min="9224" max="9224" width="22.453125" style="15" customWidth="1"/>
    <col min="9225" max="9225" width="18.453125" style="15" customWidth="1"/>
    <col min="9226" max="9226" width="22" style="15" customWidth="1"/>
    <col min="9227" max="9227" width="21.26953125" style="15" customWidth="1"/>
    <col min="9228" max="9228" width="23" style="15" customWidth="1"/>
    <col min="9229" max="9471" width="9.1796875" style="15"/>
    <col min="9472" max="9472" width="6.81640625" style="15" customWidth="1"/>
    <col min="9473" max="9473" width="7" style="15" customWidth="1"/>
    <col min="9474" max="9474" width="17.81640625" style="15" bestFit="1" customWidth="1"/>
    <col min="9475" max="9475" width="12.81640625" style="15" customWidth="1"/>
    <col min="9476" max="9476" width="24" style="15" customWidth="1"/>
    <col min="9477" max="9477" width="13.453125" style="15" bestFit="1" customWidth="1"/>
    <col min="9478" max="9478" width="13.81640625" style="15" customWidth="1"/>
    <col min="9479" max="9479" width="13.1796875" style="15" customWidth="1"/>
    <col min="9480" max="9480" width="22.453125" style="15" customWidth="1"/>
    <col min="9481" max="9481" width="18.453125" style="15" customWidth="1"/>
    <col min="9482" max="9482" width="22" style="15" customWidth="1"/>
    <col min="9483" max="9483" width="21.26953125" style="15" customWidth="1"/>
    <col min="9484" max="9484" width="23" style="15" customWidth="1"/>
    <col min="9485" max="9727" width="9.1796875" style="15"/>
    <col min="9728" max="9728" width="6.81640625" style="15" customWidth="1"/>
    <col min="9729" max="9729" width="7" style="15" customWidth="1"/>
    <col min="9730" max="9730" width="17.81640625" style="15" bestFit="1" customWidth="1"/>
    <col min="9731" max="9731" width="12.81640625" style="15" customWidth="1"/>
    <col min="9732" max="9732" width="24" style="15" customWidth="1"/>
    <col min="9733" max="9733" width="13.453125" style="15" bestFit="1" customWidth="1"/>
    <col min="9734" max="9734" width="13.81640625" style="15" customWidth="1"/>
    <col min="9735" max="9735" width="13.1796875" style="15" customWidth="1"/>
    <col min="9736" max="9736" width="22.453125" style="15" customWidth="1"/>
    <col min="9737" max="9737" width="18.453125" style="15" customWidth="1"/>
    <col min="9738" max="9738" width="22" style="15" customWidth="1"/>
    <col min="9739" max="9739" width="21.26953125" style="15" customWidth="1"/>
    <col min="9740" max="9740" width="23" style="15" customWidth="1"/>
    <col min="9741" max="9983" width="9.1796875" style="15"/>
    <col min="9984" max="9984" width="6.81640625" style="15" customWidth="1"/>
    <col min="9985" max="9985" width="7" style="15" customWidth="1"/>
    <col min="9986" max="9986" width="17.81640625" style="15" bestFit="1" customWidth="1"/>
    <col min="9987" max="9987" width="12.81640625" style="15" customWidth="1"/>
    <col min="9988" max="9988" width="24" style="15" customWidth="1"/>
    <col min="9989" max="9989" width="13.453125" style="15" bestFit="1" customWidth="1"/>
    <col min="9990" max="9990" width="13.81640625" style="15" customWidth="1"/>
    <col min="9991" max="9991" width="13.1796875" style="15" customWidth="1"/>
    <col min="9992" max="9992" width="22.453125" style="15" customWidth="1"/>
    <col min="9993" max="9993" width="18.453125" style="15" customWidth="1"/>
    <col min="9994" max="9994" width="22" style="15" customWidth="1"/>
    <col min="9995" max="9995" width="21.26953125" style="15" customWidth="1"/>
    <col min="9996" max="9996" width="23" style="15" customWidth="1"/>
    <col min="9997" max="10239" width="9.1796875" style="15"/>
    <col min="10240" max="10240" width="6.81640625" style="15" customWidth="1"/>
    <col min="10241" max="10241" width="7" style="15" customWidth="1"/>
    <col min="10242" max="10242" width="17.81640625" style="15" bestFit="1" customWidth="1"/>
    <col min="10243" max="10243" width="12.81640625" style="15" customWidth="1"/>
    <col min="10244" max="10244" width="24" style="15" customWidth="1"/>
    <col min="10245" max="10245" width="13.453125" style="15" bestFit="1" customWidth="1"/>
    <col min="10246" max="10246" width="13.81640625" style="15" customWidth="1"/>
    <col min="10247" max="10247" width="13.1796875" style="15" customWidth="1"/>
    <col min="10248" max="10248" width="22.453125" style="15" customWidth="1"/>
    <col min="10249" max="10249" width="18.453125" style="15" customWidth="1"/>
    <col min="10250" max="10250" width="22" style="15" customWidth="1"/>
    <col min="10251" max="10251" width="21.26953125" style="15" customWidth="1"/>
    <col min="10252" max="10252" width="23" style="15" customWidth="1"/>
    <col min="10253" max="10495" width="9.1796875" style="15"/>
    <col min="10496" max="10496" width="6.81640625" style="15" customWidth="1"/>
    <col min="10497" max="10497" width="7" style="15" customWidth="1"/>
    <col min="10498" max="10498" width="17.81640625" style="15" bestFit="1" customWidth="1"/>
    <col min="10499" max="10499" width="12.81640625" style="15" customWidth="1"/>
    <col min="10500" max="10500" width="24" style="15" customWidth="1"/>
    <col min="10501" max="10501" width="13.453125" style="15" bestFit="1" customWidth="1"/>
    <col min="10502" max="10502" width="13.81640625" style="15" customWidth="1"/>
    <col min="10503" max="10503" width="13.1796875" style="15" customWidth="1"/>
    <col min="10504" max="10504" width="22.453125" style="15" customWidth="1"/>
    <col min="10505" max="10505" width="18.453125" style="15" customWidth="1"/>
    <col min="10506" max="10506" width="22" style="15" customWidth="1"/>
    <col min="10507" max="10507" width="21.26953125" style="15" customWidth="1"/>
    <col min="10508" max="10508" width="23" style="15" customWidth="1"/>
    <col min="10509" max="10751" width="9.1796875" style="15"/>
    <col min="10752" max="10752" width="6.81640625" style="15" customWidth="1"/>
    <col min="10753" max="10753" width="7" style="15" customWidth="1"/>
    <col min="10754" max="10754" width="17.81640625" style="15" bestFit="1" customWidth="1"/>
    <col min="10755" max="10755" width="12.81640625" style="15" customWidth="1"/>
    <col min="10756" max="10756" width="24" style="15" customWidth="1"/>
    <col min="10757" max="10757" width="13.453125" style="15" bestFit="1" customWidth="1"/>
    <col min="10758" max="10758" width="13.81640625" style="15" customWidth="1"/>
    <col min="10759" max="10759" width="13.1796875" style="15" customWidth="1"/>
    <col min="10760" max="10760" width="22.453125" style="15" customWidth="1"/>
    <col min="10761" max="10761" width="18.453125" style="15" customWidth="1"/>
    <col min="10762" max="10762" width="22" style="15" customWidth="1"/>
    <col min="10763" max="10763" width="21.26953125" style="15" customWidth="1"/>
    <col min="10764" max="10764" width="23" style="15" customWidth="1"/>
    <col min="10765" max="11007" width="9.1796875" style="15"/>
    <col min="11008" max="11008" width="6.81640625" style="15" customWidth="1"/>
    <col min="11009" max="11009" width="7" style="15" customWidth="1"/>
    <col min="11010" max="11010" width="17.81640625" style="15" bestFit="1" customWidth="1"/>
    <col min="11011" max="11011" width="12.81640625" style="15" customWidth="1"/>
    <col min="11012" max="11012" width="24" style="15" customWidth="1"/>
    <col min="11013" max="11013" width="13.453125" style="15" bestFit="1" customWidth="1"/>
    <col min="11014" max="11014" width="13.81640625" style="15" customWidth="1"/>
    <col min="11015" max="11015" width="13.1796875" style="15" customWidth="1"/>
    <col min="11016" max="11016" width="22.453125" style="15" customWidth="1"/>
    <col min="11017" max="11017" width="18.453125" style="15" customWidth="1"/>
    <col min="11018" max="11018" width="22" style="15" customWidth="1"/>
    <col min="11019" max="11019" width="21.26953125" style="15" customWidth="1"/>
    <col min="11020" max="11020" width="23" style="15" customWidth="1"/>
    <col min="11021" max="11263" width="9.1796875" style="15"/>
    <col min="11264" max="11264" width="6.81640625" style="15" customWidth="1"/>
    <col min="11265" max="11265" width="7" style="15" customWidth="1"/>
    <col min="11266" max="11266" width="17.81640625" style="15" bestFit="1" customWidth="1"/>
    <col min="11267" max="11267" width="12.81640625" style="15" customWidth="1"/>
    <col min="11268" max="11268" width="24" style="15" customWidth="1"/>
    <col min="11269" max="11269" width="13.453125" style="15" bestFit="1" customWidth="1"/>
    <col min="11270" max="11270" width="13.81640625" style="15" customWidth="1"/>
    <col min="11271" max="11271" width="13.1796875" style="15" customWidth="1"/>
    <col min="11272" max="11272" width="22.453125" style="15" customWidth="1"/>
    <col min="11273" max="11273" width="18.453125" style="15" customWidth="1"/>
    <col min="11274" max="11274" width="22" style="15" customWidth="1"/>
    <col min="11275" max="11275" width="21.26953125" style="15" customWidth="1"/>
    <col min="11276" max="11276" width="23" style="15" customWidth="1"/>
    <col min="11277" max="11519" width="9.1796875" style="15"/>
    <col min="11520" max="11520" width="6.81640625" style="15" customWidth="1"/>
    <col min="11521" max="11521" width="7" style="15" customWidth="1"/>
    <col min="11522" max="11522" width="17.81640625" style="15" bestFit="1" customWidth="1"/>
    <col min="11523" max="11523" width="12.81640625" style="15" customWidth="1"/>
    <col min="11524" max="11524" width="24" style="15" customWidth="1"/>
    <col min="11525" max="11525" width="13.453125" style="15" bestFit="1" customWidth="1"/>
    <col min="11526" max="11526" width="13.81640625" style="15" customWidth="1"/>
    <col min="11527" max="11527" width="13.1796875" style="15" customWidth="1"/>
    <col min="11528" max="11528" width="22.453125" style="15" customWidth="1"/>
    <col min="11529" max="11529" width="18.453125" style="15" customWidth="1"/>
    <col min="11530" max="11530" width="22" style="15" customWidth="1"/>
    <col min="11531" max="11531" width="21.26953125" style="15" customWidth="1"/>
    <col min="11532" max="11532" width="23" style="15" customWidth="1"/>
    <col min="11533" max="11775" width="9.1796875" style="15"/>
    <col min="11776" max="11776" width="6.81640625" style="15" customWidth="1"/>
    <col min="11777" max="11777" width="7" style="15" customWidth="1"/>
    <col min="11778" max="11778" width="17.81640625" style="15" bestFit="1" customWidth="1"/>
    <col min="11779" max="11779" width="12.81640625" style="15" customWidth="1"/>
    <col min="11780" max="11780" width="24" style="15" customWidth="1"/>
    <col min="11781" max="11781" width="13.453125" style="15" bestFit="1" customWidth="1"/>
    <col min="11782" max="11782" width="13.81640625" style="15" customWidth="1"/>
    <col min="11783" max="11783" width="13.1796875" style="15" customWidth="1"/>
    <col min="11784" max="11784" width="22.453125" style="15" customWidth="1"/>
    <col min="11785" max="11785" width="18.453125" style="15" customWidth="1"/>
    <col min="11786" max="11786" width="22" style="15" customWidth="1"/>
    <col min="11787" max="11787" width="21.26953125" style="15" customWidth="1"/>
    <col min="11788" max="11788" width="23" style="15" customWidth="1"/>
    <col min="11789" max="12031" width="9.1796875" style="15"/>
    <col min="12032" max="12032" width="6.81640625" style="15" customWidth="1"/>
    <col min="12033" max="12033" width="7" style="15" customWidth="1"/>
    <col min="12034" max="12034" width="17.81640625" style="15" bestFit="1" customWidth="1"/>
    <col min="12035" max="12035" width="12.81640625" style="15" customWidth="1"/>
    <col min="12036" max="12036" width="24" style="15" customWidth="1"/>
    <col min="12037" max="12037" width="13.453125" style="15" bestFit="1" customWidth="1"/>
    <col min="12038" max="12038" width="13.81640625" style="15" customWidth="1"/>
    <col min="12039" max="12039" width="13.1796875" style="15" customWidth="1"/>
    <col min="12040" max="12040" width="22.453125" style="15" customWidth="1"/>
    <col min="12041" max="12041" width="18.453125" style="15" customWidth="1"/>
    <col min="12042" max="12042" width="22" style="15" customWidth="1"/>
    <col min="12043" max="12043" width="21.26953125" style="15" customWidth="1"/>
    <col min="12044" max="12044" width="23" style="15" customWidth="1"/>
    <col min="12045" max="12287" width="9.1796875" style="15"/>
    <col min="12288" max="12288" width="6.81640625" style="15" customWidth="1"/>
    <col min="12289" max="12289" width="7" style="15" customWidth="1"/>
    <col min="12290" max="12290" width="17.81640625" style="15" bestFit="1" customWidth="1"/>
    <col min="12291" max="12291" width="12.81640625" style="15" customWidth="1"/>
    <col min="12292" max="12292" width="24" style="15" customWidth="1"/>
    <col min="12293" max="12293" width="13.453125" style="15" bestFit="1" customWidth="1"/>
    <col min="12294" max="12294" width="13.81640625" style="15" customWidth="1"/>
    <col min="12295" max="12295" width="13.1796875" style="15" customWidth="1"/>
    <col min="12296" max="12296" width="22.453125" style="15" customWidth="1"/>
    <col min="12297" max="12297" width="18.453125" style="15" customWidth="1"/>
    <col min="12298" max="12298" width="22" style="15" customWidth="1"/>
    <col min="12299" max="12299" width="21.26953125" style="15" customWidth="1"/>
    <col min="12300" max="12300" width="23" style="15" customWidth="1"/>
    <col min="12301" max="12543" width="9.1796875" style="15"/>
    <col min="12544" max="12544" width="6.81640625" style="15" customWidth="1"/>
    <col min="12545" max="12545" width="7" style="15" customWidth="1"/>
    <col min="12546" max="12546" width="17.81640625" style="15" bestFit="1" customWidth="1"/>
    <col min="12547" max="12547" width="12.81640625" style="15" customWidth="1"/>
    <col min="12548" max="12548" width="24" style="15" customWidth="1"/>
    <col min="12549" max="12549" width="13.453125" style="15" bestFit="1" customWidth="1"/>
    <col min="12550" max="12550" width="13.81640625" style="15" customWidth="1"/>
    <col min="12551" max="12551" width="13.1796875" style="15" customWidth="1"/>
    <col min="12552" max="12552" width="22.453125" style="15" customWidth="1"/>
    <col min="12553" max="12553" width="18.453125" style="15" customWidth="1"/>
    <col min="12554" max="12554" width="22" style="15" customWidth="1"/>
    <col min="12555" max="12555" width="21.26953125" style="15" customWidth="1"/>
    <col min="12556" max="12556" width="23" style="15" customWidth="1"/>
    <col min="12557" max="12799" width="9.1796875" style="15"/>
    <col min="12800" max="12800" width="6.81640625" style="15" customWidth="1"/>
    <col min="12801" max="12801" width="7" style="15" customWidth="1"/>
    <col min="12802" max="12802" width="17.81640625" style="15" bestFit="1" customWidth="1"/>
    <col min="12803" max="12803" width="12.81640625" style="15" customWidth="1"/>
    <col min="12804" max="12804" width="24" style="15" customWidth="1"/>
    <col min="12805" max="12805" width="13.453125" style="15" bestFit="1" customWidth="1"/>
    <col min="12806" max="12806" width="13.81640625" style="15" customWidth="1"/>
    <col min="12807" max="12807" width="13.1796875" style="15" customWidth="1"/>
    <col min="12808" max="12808" width="22.453125" style="15" customWidth="1"/>
    <col min="12809" max="12809" width="18.453125" style="15" customWidth="1"/>
    <col min="12810" max="12810" width="22" style="15" customWidth="1"/>
    <col min="12811" max="12811" width="21.26953125" style="15" customWidth="1"/>
    <col min="12812" max="12812" width="23" style="15" customWidth="1"/>
    <col min="12813" max="13055" width="9.1796875" style="15"/>
    <col min="13056" max="13056" width="6.81640625" style="15" customWidth="1"/>
    <col min="13057" max="13057" width="7" style="15" customWidth="1"/>
    <col min="13058" max="13058" width="17.81640625" style="15" bestFit="1" customWidth="1"/>
    <col min="13059" max="13059" width="12.81640625" style="15" customWidth="1"/>
    <col min="13060" max="13060" width="24" style="15" customWidth="1"/>
    <col min="13061" max="13061" width="13.453125" style="15" bestFit="1" customWidth="1"/>
    <col min="13062" max="13062" width="13.81640625" style="15" customWidth="1"/>
    <col min="13063" max="13063" width="13.1796875" style="15" customWidth="1"/>
    <col min="13064" max="13064" width="22.453125" style="15" customWidth="1"/>
    <col min="13065" max="13065" width="18.453125" style="15" customWidth="1"/>
    <col min="13066" max="13066" width="22" style="15" customWidth="1"/>
    <col min="13067" max="13067" width="21.26953125" style="15" customWidth="1"/>
    <col min="13068" max="13068" width="23" style="15" customWidth="1"/>
    <col min="13069" max="13311" width="9.1796875" style="15"/>
    <col min="13312" max="13312" width="6.81640625" style="15" customWidth="1"/>
    <col min="13313" max="13313" width="7" style="15" customWidth="1"/>
    <col min="13314" max="13314" width="17.81640625" style="15" bestFit="1" customWidth="1"/>
    <col min="13315" max="13315" width="12.81640625" style="15" customWidth="1"/>
    <col min="13316" max="13316" width="24" style="15" customWidth="1"/>
    <col min="13317" max="13317" width="13.453125" style="15" bestFit="1" customWidth="1"/>
    <col min="13318" max="13318" width="13.81640625" style="15" customWidth="1"/>
    <col min="13319" max="13319" width="13.1796875" style="15" customWidth="1"/>
    <col min="13320" max="13320" width="22.453125" style="15" customWidth="1"/>
    <col min="13321" max="13321" width="18.453125" style="15" customWidth="1"/>
    <col min="13322" max="13322" width="22" style="15" customWidth="1"/>
    <col min="13323" max="13323" width="21.26953125" style="15" customWidth="1"/>
    <col min="13324" max="13324" width="23" style="15" customWidth="1"/>
    <col min="13325" max="13567" width="9.1796875" style="15"/>
    <col min="13568" max="13568" width="6.81640625" style="15" customWidth="1"/>
    <col min="13569" max="13569" width="7" style="15" customWidth="1"/>
    <col min="13570" max="13570" width="17.81640625" style="15" bestFit="1" customWidth="1"/>
    <col min="13571" max="13571" width="12.81640625" style="15" customWidth="1"/>
    <col min="13572" max="13572" width="24" style="15" customWidth="1"/>
    <col min="13573" max="13573" width="13.453125" style="15" bestFit="1" customWidth="1"/>
    <col min="13574" max="13574" width="13.81640625" style="15" customWidth="1"/>
    <col min="13575" max="13575" width="13.1796875" style="15" customWidth="1"/>
    <col min="13576" max="13576" width="22.453125" style="15" customWidth="1"/>
    <col min="13577" max="13577" width="18.453125" style="15" customWidth="1"/>
    <col min="13578" max="13578" width="22" style="15" customWidth="1"/>
    <col min="13579" max="13579" width="21.26953125" style="15" customWidth="1"/>
    <col min="13580" max="13580" width="23" style="15" customWidth="1"/>
    <col min="13581" max="13823" width="9.1796875" style="15"/>
    <col min="13824" max="13824" width="6.81640625" style="15" customWidth="1"/>
    <col min="13825" max="13825" width="7" style="15" customWidth="1"/>
    <col min="13826" max="13826" width="17.81640625" style="15" bestFit="1" customWidth="1"/>
    <col min="13827" max="13827" width="12.81640625" style="15" customWidth="1"/>
    <col min="13828" max="13828" width="24" style="15" customWidth="1"/>
    <col min="13829" max="13829" width="13.453125" style="15" bestFit="1" customWidth="1"/>
    <col min="13830" max="13830" width="13.81640625" style="15" customWidth="1"/>
    <col min="13831" max="13831" width="13.1796875" style="15" customWidth="1"/>
    <col min="13832" max="13832" width="22.453125" style="15" customWidth="1"/>
    <col min="13833" max="13833" width="18.453125" style="15" customWidth="1"/>
    <col min="13834" max="13834" width="22" style="15" customWidth="1"/>
    <col min="13835" max="13835" width="21.26953125" style="15" customWidth="1"/>
    <col min="13836" max="13836" width="23" style="15" customWidth="1"/>
    <col min="13837" max="14079" width="9.1796875" style="15"/>
    <col min="14080" max="14080" width="6.81640625" style="15" customWidth="1"/>
    <col min="14081" max="14081" width="7" style="15" customWidth="1"/>
    <col min="14082" max="14082" width="17.81640625" style="15" bestFit="1" customWidth="1"/>
    <col min="14083" max="14083" width="12.81640625" style="15" customWidth="1"/>
    <col min="14084" max="14084" width="24" style="15" customWidth="1"/>
    <col min="14085" max="14085" width="13.453125" style="15" bestFit="1" customWidth="1"/>
    <col min="14086" max="14086" width="13.81640625" style="15" customWidth="1"/>
    <col min="14087" max="14087" width="13.1796875" style="15" customWidth="1"/>
    <col min="14088" max="14088" width="22.453125" style="15" customWidth="1"/>
    <col min="14089" max="14089" width="18.453125" style="15" customWidth="1"/>
    <col min="14090" max="14090" width="22" style="15" customWidth="1"/>
    <col min="14091" max="14091" width="21.26953125" style="15" customWidth="1"/>
    <col min="14092" max="14092" width="23" style="15" customWidth="1"/>
    <col min="14093" max="14335" width="9.1796875" style="15"/>
    <col min="14336" max="14336" width="6.81640625" style="15" customWidth="1"/>
    <col min="14337" max="14337" width="7" style="15" customWidth="1"/>
    <col min="14338" max="14338" width="17.81640625" style="15" bestFit="1" customWidth="1"/>
    <col min="14339" max="14339" width="12.81640625" style="15" customWidth="1"/>
    <col min="14340" max="14340" width="24" style="15" customWidth="1"/>
    <col min="14341" max="14341" width="13.453125" style="15" bestFit="1" customWidth="1"/>
    <col min="14342" max="14342" width="13.81640625" style="15" customWidth="1"/>
    <col min="14343" max="14343" width="13.1796875" style="15" customWidth="1"/>
    <col min="14344" max="14344" width="22.453125" style="15" customWidth="1"/>
    <col min="14345" max="14345" width="18.453125" style="15" customWidth="1"/>
    <col min="14346" max="14346" width="22" style="15" customWidth="1"/>
    <col min="14347" max="14347" width="21.26953125" style="15" customWidth="1"/>
    <col min="14348" max="14348" width="23" style="15" customWidth="1"/>
    <col min="14349" max="14591" width="9.1796875" style="15"/>
    <col min="14592" max="14592" width="6.81640625" style="15" customWidth="1"/>
    <col min="14593" max="14593" width="7" style="15" customWidth="1"/>
    <col min="14594" max="14594" width="17.81640625" style="15" bestFit="1" customWidth="1"/>
    <col min="14595" max="14595" width="12.81640625" style="15" customWidth="1"/>
    <col min="14596" max="14596" width="24" style="15" customWidth="1"/>
    <col min="14597" max="14597" width="13.453125" style="15" bestFit="1" customWidth="1"/>
    <col min="14598" max="14598" width="13.81640625" style="15" customWidth="1"/>
    <col min="14599" max="14599" width="13.1796875" style="15" customWidth="1"/>
    <col min="14600" max="14600" width="22.453125" style="15" customWidth="1"/>
    <col min="14601" max="14601" width="18.453125" style="15" customWidth="1"/>
    <col min="14602" max="14602" width="22" style="15" customWidth="1"/>
    <col min="14603" max="14603" width="21.26953125" style="15" customWidth="1"/>
    <col min="14604" max="14604" width="23" style="15" customWidth="1"/>
    <col min="14605" max="14847" width="9.1796875" style="15"/>
    <col min="14848" max="14848" width="6.81640625" style="15" customWidth="1"/>
    <col min="14849" max="14849" width="7" style="15" customWidth="1"/>
    <col min="14850" max="14850" width="17.81640625" style="15" bestFit="1" customWidth="1"/>
    <col min="14851" max="14851" width="12.81640625" style="15" customWidth="1"/>
    <col min="14852" max="14852" width="24" style="15" customWidth="1"/>
    <col min="14853" max="14853" width="13.453125" style="15" bestFit="1" customWidth="1"/>
    <col min="14854" max="14854" width="13.81640625" style="15" customWidth="1"/>
    <col min="14855" max="14855" width="13.1796875" style="15" customWidth="1"/>
    <col min="14856" max="14856" width="22.453125" style="15" customWidth="1"/>
    <col min="14857" max="14857" width="18.453125" style="15" customWidth="1"/>
    <col min="14858" max="14858" width="22" style="15" customWidth="1"/>
    <col min="14859" max="14859" width="21.26953125" style="15" customWidth="1"/>
    <col min="14860" max="14860" width="23" style="15" customWidth="1"/>
    <col min="14861" max="15103" width="9.1796875" style="15"/>
    <col min="15104" max="15104" width="6.81640625" style="15" customWidth="1"/>
    <col min="15105" max="15105" width="7" style="15" customWidth="1"/>
    <col min="15106" max="15106" width="17.81640625" style="15" bestFit="1" customWidth="1"/>
    <col min="15107" max="15107" width="12.81640625" style="15" customWidth="1"/>
    <col min="15108" max="15108" width="24" style="15" customWidth="1"/>
    <col min="15109" max="15109" width="13.453125" style="15" bestFit="1" customWidth="1"/>
    <col min="15110" max="15110" width="13.81640625" style="15" customWidth="1"/>
    <col min="15111" max="15111" width="13.1796875" style="15" customWidth="1"/>
    <col min="15112" max="15112" width="22.453125" style="15" customWidth="1"/>
    <col min="15113" max="15113" width="18.453125" style="15" customWidth="1"/>
    <col min="15114" max="15114" width="22" style="15" customWidth="1"/>
    <col min="15115" max="15115" width="21.26953125" style="15" customWidth="1"/>
    <col min="15116" max="15116" width="23" style="15" customWidth="1"/>
    <col min="15117" max="15359" width="9.1796875" style="15"/>
    <col min="15360" max="15360" width="6.81640625" style="15" customWidth="1"/>
    <col min="15361" max="15361" width="7" style="15" customWidth="1"/>
    <col min="15362" max="15362" width="17.81640625" style="15" bestFit="1" customWidth="1"/>
    <col min="15363" max="15363" width="12.81640625" style="15" customWidth="1"/>
    <col min="15364" max="15364" width="24" style="15" customWidth="1"/>
    <col min="15365" max="15365" width="13.453125" style="15" bestFit="1" customWidth="1"/>
    <col min="15366" max="15366" width="13.81640625" style="15" customWidth="1"/>
    <col min="15367" max="15367" width="13.1796875" style="15" customWidth="1"/>
    <col min="15368" max="15368" width="22.453125" style="15" customWidth="1"/>
    <col min="15369" max="15369" width="18.453125" style="15" customWidth="1"/>
    <col min="15370" max="15370" width="22" style="15" customWidth="1"/>
    <col min="15371" max="15371" width="21.26953125" style="15" customWidth="1"/>
    <col min="15372" max="15372" width="23" style="15" customWidth="1"/>
    <col min="15373" max="15615" width="9.1796875" style="15"/>
    <col min="15616" max="15616" width="6.81640625" style="15" customWidth="1"/>
    <col min="15617" max="15617" width="7" style="15" customWidth="1"/>
    <col min="15618" max="15618" width="17.81640625" style="15" bestFit="1" customWidth="1"/>
    <col min="15619" max="15619" width="12.81640625" style="15" customWidth="1"/>
    <col min="15620" max="15620" width="24" style="15" customWidth="1"/>
    <col min="15621" max="15621" width="13.453125" style="15" bestFit="1" customWidth="1"/>
    <col min="15622" max="15622" width="13.81640625" style="15" customWidth="1"/>
    <col min="15623" max="15623" width="13.1796875" style="15" customWidth="1"/>
    <col min="15624" max="15624" width="22.453125" style="15" customWidth="1"/>
    <col min="15625" max="15625" width="18.453125" style="15" customWidth="1"/>
    <col min="15626" max="15626" width="22" style="15" customWidth="1"/>
    <col min="15627" max="15627" width="21.26953125" style="15" customWidth="1"/>
    <col min="15628" max="15628" width="23" style="15" customWidth="1"/>
    <col min="15629" max="15871" width="9.1796875" style="15"/>
    <col min="15872" max="15872" width="6.81640625" style="15" customWidth="1"/>
    <col min="15873" max="15873" width="7" style="15" customWidth="1"/>
    <col min="15874" max="15874" width="17.81640625" style="15" bestFit="1" customWidth="1"/>
    <col min="15875" max="15875" width="12.81640625" style="15" customWidth="1"/>
    <col min="15876" max="15876" width="24" style="15" customWidth="1"/>
    <col min="15877" max="15877" width="13.453125" style="15" bestFit="1" customWidth="1"/>
    <col min="15878" max="15878" width="13.81640625" style="15" customWidth="1"/>
    <col min="15879" max="15879" width="13.1796875" style="15" customWidth="1"/>
    <col min="15880" max="15880" width="22.453125" style="15" customWidth="1"/>
    <col min="15881" max="15881" width="18.453125" style="15" customWidth="1"/>
    <col min="15882" max="15882" width="22" style="15" customWidth="1"/>
    <col min="15883" max="15883" width="21.26953125" style="15" customWidth="1"/>
    <col min="15884" max="15884" width="23" style="15" customWidth="1"/>
    <col min="15885" max="16127" width="9.1796875" style="15"/>
    <col min="16128" max="16128" width="6.81640625" style="15" customWidth="1"/>
    <col min="16129" max="16129" width="7" style="15" customWidth="1"/>
    <col min="16130" max="16130" width="17.81640625" style="15" bestFit="1" customWidth="1"/>
    <col min="16131" max="16131" width="12.81640625" style="15" customWidth="1"/>
    <col min="16132" max="16132" width="24" style="15" customWidth="1"/>
    <col min="16133" max="16133" width="13.453125" style="15" bestFit="1" customWidth="1"/>
    <col min="16134" max="16134" width="13.81640625" style="15" customWidth="1"/>
    <col min="16135" max="16135" width="13.1796875" style="15" customWidth="1"/>
    <col min="16136" max="16136" width="22.453125" style="15" customWidth="1"/>
    <col min="16137" max="16137" width="18.453125" style="15" customWidth="1"/>
    <col min="16138" max="16138" width="22" style="15" customWidth="1"/>
    <col min="16139" max="16139" width="21.26953125" style="15" customWidth="1"/>
    <col min="16140" max="16140" width="23" style="15" customWidth="1"/>
    <col min="16141" max="16384" width="9.1796875" style="15"/>
  </cols>
  <sheetData>
    <row r="3" spans="2:19" x14ac:dyDescent="0.25">
      <c r="C3" s="73"/>
      <c r="D3" s="73"/>
      <c r="E3" s="73"/>
      <c r="F3" s="73"/>
      <c r="G3" s="73"/>
      <c r="H3" s="1429" t="s">
        <v>1027</v>
      </c>
      <c r="I3" s="73"/>
      <c r="J3" s="73"/>
      <c r="K3" s="73"/>
      <c r="L3" s="73"/>
      <c r="M3" s="73"/>
    </row>
    <row r="4" spans="2:19" x14ac:dyDescent="0.25">
      <c r="C4" s="73"/>
      <c r="D4" s="73"/>
      <c r="E4" s="73"/>
      <c r="F4" s="73"/>
      <c r="G4" s="73"/>
      <c r="H4" s="1429" t="s">
        <v>826</v>
      </c>
      <c r="I4" s="73"/>
      <c r="J4" s="73"/>
      <c r="K4" s="73"/>
      <c r="L4" s="73"/>
      <c r="M4" s="73"/>
    </row>
    <row r="5" spans="2:19" x14ac:dyDescent="0.25">
      <c r="C5" s="73"/>
      <c r="D5" s="73"/>
      <c r="E5" s="73"/>
      <c r="F5" s="73"/>
      <c r="G5" s="73"/>
      <c r="H5" s="1429" t="s">
        <v>576</v>
      </c>
      <c r="I5" s="73"/>
      <c r="J5" s="73"/>
      <c r="K5" s="73"/>
      <c r="L5" s="73"/>
      <c r="M5" s="73"/>
    </row>
    <row r="6" spans="2:19" x14ac:dyDescent="0.25">
      <c r="B6" s="131"/>
      <c r="C6" s="120"/>
      <c r="D6" s="120"/>
      <c r="E6" s="17"/>
      <c r="F6" s="18"/>
      <c r="G6" s="17"/>
      <c r="H6" s="17"/>
      <c r="I6" s="17"/>
      <c r="J6" s="34"/>
      <c r="K6" s="34"/>
      <c r="L6" s="34"/>
    </row>
    <row r="7" spans="2:19" x14ac:dyDescent="0.25">
      <c r="B7" s="131"/>
      <c r="C7" s="120"/>
      <c r="D7" s="120"/>
      <c r="E7" s="17"/>
      <c r="F7" s="18"/>
      <c r="G7" s="17"/>
      <c r="H7" s="17"/>
      <c r="I7" s="17"/>
      <c r="J7" s="34"/>
      <c r="K7" s="34"/>
      <c r="L7" s="34"/>
    </row>
    <row r="8" spans="2:19" x14ac:dyDescent="0.25">
      <c r="B8" s="245" t="s">
        <v>544</v>
      </c>
      <c r="C8" s="246"/>
      <c r="D8" s="120"/>
      <c r="E8" s="17"/>
      <c r="F8" s="18"/>
      <c r="G8" s="17"/>
      <c r="H8" s="17"/>
      <c r="I8" s="17"/>
      <c r="J8" s="34"/>
      <c r="K8" s="34"/>
      <c r="L8" s="34"/>
    </row>
    <row r="9" spans="2:19" x14ac:dyDescent="0.25">
      <c r="B9" s="131"/>
      <c r="C9" s="120"/>
      <c r="D9" s="120"/>
      <c r="E9" s="17"/>
      <c r="F9" s="18"/>
      <c r="G9" s="17"/>
      <c r="H9" s="17"/>
      <c r="I9" s="17"/>
      <c r="J9" s="34"/>
      <c r="K9" s="34"/>
      <c r="L9" s="34"/>
    </row>
    <row r="10" spans="2:19" x14ac:dyDescent="0.25">
      <c r="B10" s="131" t="s">
        <v>839</v>
      </c>
      <c r="C10" s="120"/>
      <c r="D10" s="120"/>
      <c r="E10" s="17"/>
      <c r="F10" s="18"/>
      <c r="G10" s="17"/>
      <c r="H10" s="17"/>
      <c r="I10" s="17"/>
      <c r="J10" s="34"/>
      <c r="K10" s="34"/>
      <c r="L10" s="34"/>
    </row>
    <row r="11" spans="2:19" x14ac:dyDescent="0.25">
      <c r="B11" s="131"/>
      <c r="C11" s="120"/>
      <c r="D11" s="120"/>
      <c r="E11" s="486"/>
      <c r="F11" s="487"/>
      <c r="G11" s="486"/>
      <c r="H11" s="486"/>
      <c r="I11" s="486"/>
      <c r="J11" s="375"/>
      <c r="K11" s="375"/>
      <c r="L11" s="375"/>
      <c r="M11" s="375"/>
      <c r="N11" s="375"/>
      <c r="O11" s="375"/>
      <c r="P11" s="375"/>
    </row>
    <row r="12" spans="2:19" ht="28" x14ac:dyDescent="0.25">
      <c r="B12" s="214" t="s">
        <v>187</v>
      </c>
      <c r="C12" s="214" t="s">
        <v>50</v>
      </c>
      <c r="D12" s="214" t="s">
        <v>546</v>
      </c>
      <c r="E12" s="1426" t="s">
        <v>151</v>
      </c>
      <c r="F12" s="1426" t="s">
        <v>152</v>
      </c>
      <c r="G12" s="1426" t="s">
        <v>153</v>
      </c>
      <c r="H12" s="1426" t="s">
        <v>154</v>
      </c>
      <c r="I12" s="1426" t="s">
        <v>155</v>
      </c>
      <c r="J12" s="1426" t="s">
        <v>156</v>
      </c>
      <c r="K12" s="1426" t="s">
        <v>157</v>
      </c>
      <c r="L12" s="1426" t="s">
        <v>158</v>
      </c>
      <c r="M12" s="1426" t="s">
        <v>159</v>
      </c>
      <c r="N12" s="1426" t="s">
        <v>160</v>
      </c>
      <c r="O12" s="1426" t="s">
        <v>161</v>
      </c>
      <c r="P12" s="1426" t="s">
        <v>162</v>
      </c>
      <c r="Q12" s="1426" t="s">
        <v>145</v>
      </c>
    </row>
    <row r="13" spans="2:19" s="242" customFormat="1" x14ac:dyDescent="0.25">
      <c r="B13" s="124"/>
      <c r="C13" s="124"/>
      <c r="D13" s="124"/>
      <c r="E13" s="241"/>
      <c r="F13" s="241"/>
      <c r="G13" s="241"/>
      <c r="H13" s="241"/>
      <c r="I13" s="241"/>
      <c r="J13" s="241"/>
      <c r="K13" s="241"/>
      <c r="L13" s="241"/>
      <c r="M13" s="241"/>
      <c r="N13" s="241"/>
      <c r="O13" s="241"/>
      <c r="P13" s="241"/>
      <c r="Q13" s="241"/>
    </row>
    <row r="14" spans="2:19" s="242" customFormat="1" x14ac:dyDescent="0.25">
      <c r="B14" s="124" t="s">
        <v>419</v>
      </c>
      <c r="C14" s="124" t="s">
        <v>539</v>
      </c>
      <c r="D14" s="124"/>
      <c r="E14" s="241"/>
      <c r="F14" s="241"/>
      <c r="G14" s="241"/>
      <c r="H14" s="241"/>
      <c r="I14" s="241"/>
      <c r="J14" s="241"/>
      <c r="K14" s="241"/>
      <c r="L14" s="241"/>
      <c r="M14" s="241"/>
      <c r="N14" s="241"/>
      <c r="O14" s="241"/>
      <c r="P14" s="241"/>
      <c r="Q14" s="241"/>
    </row>
    <row r="15" spans="2:19" x14ac:dyDescent="0.25">
      <c r="B15" s="69">
        <v>1</v>
      </c>
      <c r="C15" s="210" t="s">
        <v>485</v>
      </c>
      <c r="D15" s="244"/>
      <c r="E15" s="485">
        <f>'F1'!C103</f>
        <v>346.07821901000011</v>
      </c>
      <c r="F15" s="485">
        <f>'F1'!D103</f>
        <v>422.16201635999994</v>
      </c>
      <c r="G15" s="485">
        <f>'F1'!E103</f>
        <v>445.36975589999997</v>
      </c>
      <c r="H15" s="485">
        <f>'F1'!F103</f>
        <v>411.14676700000007</v>
      </c>
      <c r="I15" s="485">
        <f>'F1'!G103</f>
        <v>398.17473279999996</v>
      </c>
      <c r="J15" s="485">
        <f>'F1'!H103</f>
        <v>395.56277879999988</v>
      </c>
      <c r="K15" s="485">
        <f>'F1'!I103</f>
        <v>372.61252899999999</v>
      </c>
      <c r="L15" s="485">
        <f>'F1'!J103</f>
        <v>402.38090239999997</v>
      </c>
      <c r="M15" s="485">
        <f>'F1'!K103</f>
        <v>378.3779429999999</v>
      </c>
      <c r="N15" s="485">
        <f>'F1'!L103</f>
        <v>352.0731841999999</v>
      </c>
      <c r="O15" s="485">
        <f>'F1'!M103</f>
        <v>306.08473900000007</v>
      </c>
      <c r="P15" s="485">
        <f>'F1'!N103</f>
        <v>339.31774179999996</v>
      </c>
      <c r="Q15" s="354">
        <f>SUM(E15:P15)</f>
        <v>4569.3413092699993</v>
      </c>
    </row>
    <row r="16" spans="2:19" x14ac:dyDescent="0.25">
      <c r="B16" s="69">
        <v>2</v>
      </c>
      <c r="C16" s="210" t="s">
        <v>538</v>
      </c>
      <c r="D16" s="244"/>
      <c r="E16" s="1692">
        <f>E33</f>
        <v>446.89210889668817</v>
      </c>
      <c r="F16" s="1692">
        <f t="shared" ref="F16:P16" si="0">F33</f>
        <v>478.49546761885239</v>
      </c>
      <c r="G16" s="1692">
        <f t="shared" si="0"/>
        <v>468.87800416802997</v>
      </c>
      <c r="H16" s="1692">
        <f t="shared" si="0"/>
        <v>438.43579495250071</v>
      </c>
      <c r="I16" s="1692">
        <f t="shared" si="0"/>
        <v>428.27518134296855</v>
      </c>
      <c r="J16" s="1692">
        <f t="shared" si="0"/>
        <v>400.01793777871916</v>
      </c>
      <c r="K16" s="1692">
        <f t="shared" si="0"/>
        <v>437.23409931019654</v>
      </c>
      <c r="L16" s="1692">
        <f t="shared" si="0"/>
        <v>422.74602576271116</v>
      </c>
      <c r="M16" s="1692">
        <f t="shared" si="0"/>
        <v>399.64416431296826</v>
      </c>
      <c r="N16" s="1692">
        <f t="shared" si="0"/>
        <v>339.2826742158656</v>
      </c>
      <c r="O16" s="1692">
        <f t="shared" si="0"/>
        <v>343.07953576695093</v>
      </c>
      <c r="P16" s="1692">
        <f t="shared" si="0"/>
        <v>345.7503545558954</v>
      </c>
      <c r="Q16" s="354">
        <f>SUM(E16:P16)</f>
        <v>4948.7313486823477</v>
      </c>
      <c r="R16" s="634"/>
      <c r="S16" s="1519"/>
    </row>
    <row r="17" spans="2:17" x14ac:dyDescent="0.25">
      <c r="B17" s="69"/>
      <c r="C17" s="210"/>
      <c r="D17" s="210"/>
      <c r="E17" s="25"/>
      <c r="F17" s="25"/>
      <c r="G17" s="25"/>
      <c r="H17" s="25"/>
      <c r="I17" s="25"/>
      <c r="J17" s="25"/>
      <c r="K17" s="25"/>
      <c r="L17" s="25"/>
      <c r="M17" s="25"/>
      <c r="N17" s="25"/>
      <c r="O17" s="25"/>
      <c r="P17" s="25"/>
      <c r="Q17" s="354"/>
    </row>
    <row r="18" spans="2:17" x14ac:dyDescent="0.25">
      <c r="B18" s="124" t="s">
        <v>540</v>
      </c>
      <c r="C18" s="213" t="s">
        <v>548</v>
      </c>
      <c r="D18" s="213"/>
      <c r="E18" s="485"/>
      <c r="F18" s="353"/>
      <c r="G18" s="353"/>
      <c r="H18" s="353"/>
      <c r="I18" s="353"/>
      <c r="J18" s="353"/>
      <c r="K18" s="353"/>
      <c r="L18" s="353"/>
      <c r="M18" s="353"/>
      <c r="N18" s="353"/>
      <c r="O18" s="353"/>
      <c r="P18" s="353"/>
      <c r="Q18" s="354"/>
    </row>
    <row r="19" spans="2:17" x14ac:dyDescent="0.25">
      <c r="B19" s="70">
        <v>1</v>
      </c>
      <c r="C19" s="213" t="s">
        <v>422</v>
      </c>
      <c r="D19" s="213"/>
      <c r="E19" s="968"/>
      <c r="F19" s="353"/>
      <c r="G19" s="353"/>
      <c r="H19" s="353"/>
      <c r="I19" s="353"/>
      <c r="J19" s="353"/>
      <c r="K19" s="353"/>
      <c r="L19" s="353"/>
      <c r="M19" s="353"/>
      <c r="N19" s="353"/>
      <c r="O19" s="353"/>
      <c r="P19" s="353"/>
      <c r="Q19" s="354"/>
    </row>
    <row r="20" spans="2:17" x14ac:dyDescent="0.3">
      <c r="B20" s="69">
        <v>1.1000000000000001</v>
      </c>
      <c r="C20" s="747" t="s">
        <v>922</v>
      </c>
      <c r="D20" s="485">
        <f>'F2'!$M$33</f>
        <v>2.8914563745970656</v>
      </c>
      <c r="E20" s="485">
        <v>310.96592137900001</v>
      </c>
      <c r="F20" s="485">
        <v>324.69867600700002</v>
      </c>
      <c r="G20" s="485">
        <v>293.59276867200003</v>
      </c>
      <c r="H20" s="485">
        <v>309.20794328699998</v>
      </c>
      <c r="I20" s="485">
        <v>293.436177982</v>
      </c>
      <c r="J20" s="485">
        <v>249.74740651100001</v>
      </c>
      <c r="K20" s="485">
        <v>294.65375431999996</v>
      </c>
      <c r="L20" s="485">
        <v>304.53425605400002</v>
      </c>
      <c r="M20" s="485">
        <v>258.68017887300005</v>
      </c>
      <c r="N20" s="485">
        <v>284.06608526399998</v>
      </c>
      <c r="O20" s="485">
        <v>251.73784081800002</v>
      </c>
      <c r="P20" s="485">
        <v>271.23961957799997</v>
      </c>
      <c r="Q20" s="354">
        <f t="shared" ref="Q20:Q33" si="1">SUM(E20:P20)</f>
        <v>3446.560628745</v>
      </c>
    </row>
    <row r="21" spans="2:17" ht="28" x14ac:dyDescent="0.25">
      <c r="B21" s="69">
        <v>1.2</v>
      </c>
      <c r="C21" s="748" t="s">
        <v>1332</v>
      </c>
      <c r="D21" s="485">
        <f>'F2'!$M$34</f>
        <v>8.3609302585019663</v>
      </c>
      <c r="E21" s="485">
        <v>3.1755718700000002</v>
      </c>
      <c r="F21" s="485">
        <v>3.3308781199999999</v>
      </c>
      <c r="G21" s="485">
        <v>2.5449031199999999</v>
      </c>
      <c r="H21" s="485">
        <v>2.2470218700000002</v>
      </c>
      <c r="I21" s="485">
        <v>2.3356124999999999</v>
      </c>
      <c r="J21" s="485">
        <v>2.22222813</v>
      </c>
      <c r="K21" s="485">
        <v>2.4040406299999999</v>
      </c>
      <c r="L21" s="485">
        <v>2.6193499999999998</v>
      </c>
      <c r="M21" s="485">
        <v>2.45301562</v>
      </c>
      <c r="N21" s="485">
        <v>2.7359968700000001</v>
      </c>
      <c r="O21" s="485">
        <v>2.8377124999999999</v>
      </c>
      <c r="P21" s="485">
        <v>3.34366889</v>
      </c>
      <c r="Q21" s="354">
        <f t="shared" si="1"/>
        <v>32.250000119999996</v>
      </c>
    </row>
    <row r="22" spans="2:17" ht="56" x14ac:dyDescent="0.25">
      <c r="B22" s="69" t="s">
        <v>1433</v>
      </c>
      <c r="C22" s="748" t="s">
        <v>1434</v>
      </c>
      <c r="D22" s="485"/>
      <c r="E22" s="485"/>
      <c r="F22" s="485"/>
      <c r="G22" s="485"/>
      <c r="H22" s="485"/>
      <c r="I22" s="485"/>
      <c r="J22" s="485"/>
      <c r="K22" s="485"/>
      <c r="L22" s="485"/>
      <c r="M22" s="485"/>
      <c r="N22" s="485"/>
      <c r="O22" s="485"/>
      <c r="P22" s="485"/>
      <c r="Q22" s="354"/>
    </row>
    <row r="23" spans="2:17" x14ac:dyDescent="0.25">
      <c r="B23" s="70">
        <v>2</v>
      </c>
      <c r="C23" s="213" t="s">
        <v>423</v>
      </c>
      <c r="D23" s="485"/>
      <c r="E23" s="485"/>
      <c r="F23" s="485"/>
      <c r="G23" s="485"/>
      <c r="H23" s="485"/>
      <c r="I23" s="485"/>
      <c r="J23" s="485"/>
      <c r="K23" s="485"/>
      <c r="L23" s="485"/>
      <c r="M23" s="485"/>
      <c r="N23" s="485"/>
      <c r="O23" s="485"/>
      <c r="P23" s="485"/>
      <c r="Q23" s="354"/>
    </row>
    <row r="24" spans="2:17" x14ac:dyDescent="0.25">
      <c r="B24" s="69">
        <v>2.1</v>
      </c>
      <c r="C24" s="748" t="s">
        <v>933</v>
      </c>
      <c r="D24" s="485">
        <f>'F2'!$M$35</f>
        <v>2</v>
      </c>
      <c r="E24" s="485">
        <v>0</v>
      </c>
      <c r="F24" s="485">
        <v>0</v>
      </c>
      <c r="G24" s="485">
        <v>0</v>
      </c>
      <c r="H24" s="485">
        <v>0</v>
      </c>
      <c r="I24" s="485">
        <v>0</v>
      </c>
      <c r="J24" s="485">
        <v>0</v>
      </c>
      <c r="K24" s="485">
        <v>0</v>
      </c>
      <c r="L24" s="485">
        <v>0</v>
      </c>
      <c r="M24" s="485">
        <v>0</v>
      </c>
      <c r="N24" s="485">
        <v>0</v>
      </c>
      <c r="O24" s="485">
        <v>0</v>
      </c>
      <c r="P24" s="485">
        <v>64.206000000000003</v>
      </c>
      <c r="Q24" s="354">
        <f t="shared" si="1"/>
        <v>64.206000000000003</v>
      </c>
    </row>
    <row r="25" spans="2:17" x14ac:dyDescent="0.25">
      <c r="B25" s="70">
        <v>3</v>
      </c>
      <c r="C25" s="213" t="s">
        <v>424</v>
      </c>
      <c r="D25" s="485"/>
      <c r="E25" s="485"/>
      <c r="F25" s="485"/>
      <c r="G25" s="485"/>
      <c r="H25" s="485"/>
      <c r="I25" s="485"/>
      <c r="J25" s="485"/>
      <c r="K25" s="485"/>
      <c r="L25" s="485"/>
      <c r="M25" s="485"/>
      <c r="N25" s="485"/>
      <c r="O25" s="485"/>
      <c r="P25" s="485"/>
      <c r="Q25" s="354"/>
    </row>
    <row r="26" spans="2:17" x14ac:dyDescent="0.25">
      <c r="B26" s="69">
        <v>3.1</v>
      </c>
      <c r="C26" s="748" t="s">
        <v>924</v>
      </c>
      <c r="D26" s="485"/>
      <c r="E26" s="485"/>
      <c r="F26" s="485"/>
      <c r="G26" s="485"/>
      <c r="H26" s="485"/>
      <c r="I26" s="485"/>
      <c r="J26" s="485"/>
      <c r="K26" s="485"/>
      <c r="L26" s="485"/>
      <c r="M26" s="485"/>
      <c r="N26" s="485"/>
      <c r="O26" s="485"/>
      <c r="P26" s="485"/>
      <c r="Q26" s="354"/>
    </row>
    <row r="27" spans="2:17" x14ac:dyDescent="0.25">
      <c r="B27" s="69" t="s">
        <v>1333</v>
      </c>
      <c r="C27" s="748" t="s">
        <v>1334</v>
      </c>
      <c r="D27" s="485">
        <f>'F2'!M39</f>
        <v>4.9018291409140877</v>
      </c>
      <c r="E27" s="485">
        <v>25.552235</v>
      </c>
      <c r="F27" s="485">
        <v>49.077919999999999</v>
      </c>
      <c r="G27" s="485">
        <v>35.748429999999999</v>
      </c>
      <c r="H27" s="485">
        <v>0</v>
      </c>
      <c r="I27" s="485">
        <v>0</v>
      </c>
      <c r="J27" s="485">
        <v>0</v>
      </c>
      <c r="K27" s="485">
        <v>84.456960000000009</v>
      </c>
      <c r="L27" s="485">
        <v>16.637937999999998</v>
      </c>
      <c r="M27" s="485">
        <v>0</v>
      </c>
      <c r="N27" s="485">
        <v>0</v>
      </c>
      <c r="O27" s="485">
        <v>0</v>
      </c>
      <c r="P27" s="485">
        <v>0</v>
      </c>
      <c r="Q27" s="354">
        <f t="shared" si="1"/>
        <v>211.47348300000002</v>
      </c>
    </row>
    <row r="28" spans="2:17" x14ac:dyDescent="0.25">
      <c r="B28" s="69" t="s">
        <v>1335</v>
      </c>
      <c r="C28" s="748" t="s">
        <v>1336</v>
      </c>
      <c r="D28" s="485">
        <f>'F2'!M40</f>
        <v>3.3564921328385706</v>
      </c>
      <c r="E28" s="485">
        <v>17.480567999999998</v>
      </c>
      <c r="F28" s="485">
        <v>27.477450000000001</v>
      </c>
      <c r="G28" s="485">
        <v>33.805802999999997</v>
      </c>
      <c r="H28" s="485">
        <v>32.113765000000001</v>
      </c>
      <c r="I28" s="485">
        <v>45.972339999999996</v>
      </c>
      <c r="J28" s="485">
        <v>67.439664999999991</v>
      </c>
      <c r="K28" s="485">
        <v>12.600854999999999</v>
      </c>
      <c r="L28" s="485">
        <v>44.471538000000002</v>
      </c>
      <c r="M28" s="485">
        <v>96.191445000000002</v>
      </c>
      <c r="N28" s="485">
        <v>15.97958</v>
      </c>
      <c r="O28" s="485">
        <v>43.186902499999995</v>
      </c>
      <c r="P28" s="485">
        <v>0.87883749999999994</v>
      </c>
      <c r="Q28" s="354">
        <f t="shared" si="1"/>
        <v>437.59874899999988</v>
      </c>
    </row>
    <row r="29" spans="2:17" x14ac:dyDescent="0.25">
      <c r="B29" s="69" t="s">
        <v>1337</v>
      </c>
      <c r="C29" s="748" t="s">
        <v>1338</v>
      </c>
      <c r="D29" s="485">
        <f>'F2'!M41</f>
        <v>2.9060297139999496</v>
      </c>
      <c r="E29" s="485">
        <v>0</v>
      </c>
      <c r="F29" s="485">
        <v>0</v>
      </c>
      <c r="G29" s="485">
        <v>0</v>
      </c>
      <c r="H29" s="485">
        <v>0</v>
      </c>
      <c r="I29" s="485">
        <v>0</v>
      </c>
      <c r="J29" s="485">
        <v>0</v>
      </c>
      <c r="K29" s="485">
        <v>-1.824775</v>
      </c>
      <c r="L29" s="485">
        <v>0</v>
      </c>
      <c r="M29" s="485">
        <v>0</v>
      </c>
      <c r="N29" s="485">
        <v>-9.4892500000000005E-2</v>
      </c>
      <c r="O29" s="485">
        <v>0</v>
      </c>
      <c r="P29" s="485">
        <v>0</v>
      </c>
      <c r="Q29" s="354">
        <f t="shared" si="1"/>
        <v>-1.9196675000000001</v>
      </c>
    </row>
    <row r="30" spans="2:17" x14ac:dyDescent="0.3">
      <c r="B30" s="69">
        <v>3.2</v>
      </c>
      <c r="C30" s="750" t="s">
        <v>1339</v>
      </c>
      <c r="D30" s="485">
        <f>'F2'!$M$43</f>
        <v>6.9733132675845608</v>
      </c>
      <c r="E30" s="485">
        <v>4.9979840600000003</v>
      </c>
      <c r="F30" s="485">
        <v>5.6687127550000005</v>
      </c>
      <c r="G30" s="485">
        <v>5.1255589749999997</v>
      </c>
      <c r="H30" s="485">
        <v>4.7998799999999999</v>
      </c>
      <c r="I30" s="485">
        <v>4.8929400000000003</v>
      </c>
      <c r="J30" s="485">
        <v>4.89086</v>
      </c>
      <c r="K30" s="485">
        <v>5.0789600000000004</v>
      </c>
      <c r="L30" s="485">
        <v>4.4945399999999998</v>
      </c>
      <c r="M30" s="485">
        <v>5.0645822422000002</v>
      </c>
      <c r="N30" s="485">
        <v>5.1075604499999994</v>
      </c>
      <c r="O30" s="485">
        <v>3.5944982699999999</v>
      </c>
      <c r="P30" s="485">
        <v>5.2365338899999996</v>
      </c>
      <c r="Q30" s="354">
        <f t="shared" si="1"/>
        <v>58.9526106422</v>
      </c>
    </row>
    <row r="31" spans="2:17" x14ac:dyDescent="0.3">
      <c r="B31" s="69">
        <v>3.3</v>
      </c>
      <c r="C31" s="750" t="s">
        <v>1340</v>
      </c>
      <c r="D31" s="485">
        <f>'F2'!$M$44</f>
        <v>0</v>
      </c>
      <c r="E31" s="485">
        <v>0</v>
      </c>
      <c r="F31" s="485">
        <v>0.83</v>
      </c>
      <c r="G31" s="485">
        <v>0</v>
      </c>
      <c r="H31" s="485">
        <v>0</v>
      </c>
      <c r="I31" s="485">
        <v>4.7175000000000002</v>
      </c>
      <c r="J31" s="485">
        <v>0</v>
      </c>
      <c r="K31" s="485">
        <v>0</v>
      </c>
      <c r="L31" s="485">
        <v>0</v>
      </c>
      <c r="M31" s="485">
        <v>0</v>
      </c>
      <c r="N31" s="485">
        <v>0</v>
      </c>
      <c r="O31" s="485">
        <v>0</v>
      </c>
      <c r="P31" s="485">
        <v>0</v>
      </c>
      <c r="Q31" s="354">
        <f t="shared" si="1"/>
        <v>5.5475000000000003</v>
      </c>
    </row>
    <row r="32" spans="2:17" x14ac:dyDescent="0.3">
      <c r="B32" s="69">
        <v>3.4</v>
      </c>
      <c r="C32" s="750" t="s">
        <v>1341</v>
      </c>
      <c r="D32" s="485">
        <f>'F2'!$M$45</f>
        <v>0</v>
      </c>
      <c r="E32" s="485">
        <v>84.719828587688141</v>
      </c>
      <c r="F32" s="485">
        <v>67.41183073685238</v>
      </c>
      <c r="G32" s="485">
        <v>98.060540401029925</v>
      </c>
      <c r="H32" s="485">
        <v>90.067184795500737</v>
      </c>
      <c r="I32" s="485">
        <v>76.920610860968566</v>
      </c>
      <c r="J32" s="485">
        <v>75.717778137719222</v>
      </c>
      <c r="K32" s="485">
        <v>39.864304360196513</v>
      </c>
      <c r="L32" s="485">
        <v>49.988403708711132</v>
      </c>
      <c r="M32" s="485">
        <v>37.254942577768247</v>
      </c>
      <c r="N32" s="485">
        <v>31.488344131865631</v>
      </c>
      <c r="O32" s="485">
        <v>41.722581678950917</v>
      </c>
      <c r="P32" s="485">
        <v>0.84569469789545004</v>
      </c>
      <c r="Q32" s="354">
        <f t="shared" si="1"/>
        <v>694.06204467514681</v>
      </c>
    </row>
    <row r="33" spans="2:24" x14ac:dyDescent="0.25">
      <c r="B33" s="70">
        <v>4</v>
      </c>
      <c r="C33" s="28" t="s">
        <v>541</v>
      </c>
      <c r="D33" s="28"/>
      <c r="E33" s="572">
        <f t="shared" ref="E33:P33" si="2">SUM(E20:E32)</f>
        <v>446.89210889668817</v>
      </c>
      <c r="F33" s="572">
        <f t="shared" si="2"/>
        <v>478.49546761885239</v>
      </c>
      <c r="G33" s="572">
        <f t="shared" si="2"/>
        <v>468.87800416802997</v>
      </c>
      <c r="H33" s="572">
        <f t="shared" si="2"/>
        <v>438.43579495250071</v>
      </c>
      <c r="I33" s="572">
        <f t="shared" si="2"/>
        <v>428.27518134296855</v>
      </c>
      <c r="J33" s="572">
        <f t="shared" si="2"/>
        <v>400.01793777871916</v>
      </c>
      <c r="K33" s="572">
        <f t="shared" si="2"/>
        <v>437.23409931019654</v>
      </c>
      <c r="L33" s="572">
        <f t="shared" si="2"/>
        <v>422.74602576271116</v>
      </c>
      <c r="M33" s="572">
        <f t="shared" si="2"/>
        <v>399.64416431296826</v>
      </c>
      <c r="N33" s="572">
        <f t="shared" si="2"/>
        <v>339.2826742158656</v>
      </c>
      <c r="O33" s="572">
        <f t="shared" si="2"/>
        <v>343.07953576695093</v>
      </c>
      <c r="P33" s="572">
        <f t="shared" si="2"/>
        <v>345.7503545558954</v>
      </c>
      <c r="Q33" s="354">
        <f t="shared" si="1"/>
        <v>4948.7313486823477</v>
      </c>
    </row>
    <row r="34" spans="2:24" x14ac:dyDescent="0.25">
      <c r="B34" s="70"/>
      <c r="C34" s="28"/>
      <c r="D34" s="28"/>
      <c r="E34" s="485"/>
      <c r="F34" s="353"/>
      <c r="G34" s="353"/>
      <c r="H34" s="353"/>
      <c r="I34" s="353"/>
      <c r="J34" s="353"/>
      <c r="K34" s="353"/>
      <c r="L34" s="353"/>
      <c r="M34" s="353"/>
      <c r="N34" s="353"/>
      <c r="O34" s="353"/>
      <c r="P34" s="353"/>
      <c r="Q34" s="353"/>
      <c r="R34" s="634"/>
    </row>
    <row r="35" spans="2:24" x14ac:dyDescent="0.25">
      <c r="E35" s="375"/>
      <c r="F35" s="375"/>
      <c r="G35" s="375"/>
      <c r="H35" s="375"/>
      <c r="I35" s="375"/>
      <c r="J35" s="375"/>
      <c r="K35" s="375"/>
      <c r="L35" s="375"/>
      <c r="M35" s="375"/>
      <c r="N35" s="375"/>
      <c r="O35" s="375"/>
      <c r="P35" s="375"/>
      <c r="Q35" s="375"/>
      <c r="R35" s="634"/>
    </row>
    <row r="36" spans="2:24" x14ac:dyDescent="0.25">
      <c r="B36" s="131" t="s">
        <v>840</v>
      </c>
      <c r="C36" s="120"/>
      <c r="D36" s="120"/>
      <c r="E36" s="486"/>
      <c r="F36" s="487"/>
      <c r="G36" s="486"/>
      <c r="H36" s="486"/>
      <c r="I36" s="486"/>
      <c r="J36" s="375"/>
      <c r="K36" s="375"/>
      <c r="L36" s="375"/>
      <c r="M36" s="375"/>
      <c r="N36" s="375"/>
      <c r="O36" s="375"/>
      <c r="P36" s="375"/>
      <c r="Q36" s="375"/>
      <c r="R36" s="635"/>
    </row>
    <row r="37" spans="2:24" x14ac:dyDescent="0.25">
      <c r="B37" s="131" t="s">
        <v>1793</v>
      </c>
      <c r="C37" s="120"/>
      <c r="D37" s="120"/>
      <c r="E37" s="486"/>
      <c r="F37" s="487"/>
      <c r="G37" s="486"/>
      <c r="H37" s="486"/>
      <c r="I37" s="486"/>
      <c r="J37" s="375"/>
      <c r="K37" s="375"/>
      <c r="L37" s="375"/>
      <c r="M37" s="375"/>
      <c r="N37" s="375"/>
      <c r="O37" s="375"/>
      <c r="P37" s="375"/>
      <c r="Q37" s="375"/>
      <c r="R37" s="634"/>
    </row>
    <row r="38" spans="2:24" ht="28" x14ac:dyDescent="0.25">
      <c r="B38" s="214" t="s">
        <v>187</v>
      </c>
      <c r="C38" s="214" t="s">
        <v>50</v>
      </c>
      <c r="D38" s="214" t="s">
        <v>546</v>
      </c>
      <c r="E38" s="1428" t="s">
        <v>151</v>
      </c>
      <c r="F38" s="1428" t="s">
        <v>152</v>
      </c>
      <c r="G38" s="1428" t="s">
        <v>153</v>
      </c>
      <c r="H38" s="1428" t="s">
        <v>154</v>
      </c>
      <c r="I38" s="1428" t="s">
        <v>155</v>
      </c>
      <c r="J38" s="1428" t="s">
        <v>156</v>
      </c>
      <c r="K38" s="1428" t="s">
        <v>157</v>
      </c>
      <c r="L38" s="1428" t="s">
        <v>158</v>
      </c>
      <c r="M38" s="1428" t="s">
        <v>159</v>
      </c>
      <c r="N38" s="1428" t="s">
        <v>160</v>
      </c>
      <c r="O38" s="1428" t="s">
        <v>161</v>
      </c>
      <c r="P38" s="1428" t="s">
        <v>162</v>
      </c>
      <c r="Q38" s="1428" t="s">
        <v>145</v>
      </c>
    </row>
    <row r="39" spans="2:24" s="242" customFormat="1" x14ac:dyDescent="0.25">
      <c r="B39" s="124"/>
      <c r="C39" s="124"/>
      <c r="D39" s="124"/>
      <c r="E39" s="373"/>
      <c r="F39" s="373"/>
      <c r="G39" s="373"/>
      <c r="H39" s="373"/>
      <c r="I39" s="373"/>
      <c r="J39" s="373"/>
      <c r="K39" s="373"/>
      <c r="L39" s="373"/>
      <c r="M39" s="373"/>
      <c r="N39" s="373"/>
      <c r="O39" s="373"/>
      <c r="P39" s="373"/>
      <c r="Q39" s="373"/>
    </row>
    <row r="40" spans="2:24" s="242" customFormat="1" x14ac:dyDescent="0.3">
      <c r="B40" s="124" t="s">
        <v>419</v>
      </c>
      <c r="C40" s="124" t="s">
        <v>539</v>
      </c>
      <c r="D40" s="124"/>
      <c r="E40" s="373"/>
      <c r="F40" s="373"/>
      <c r="G40" s="373"/>
      <c r="H40" s="373"/>
      <c r="I40" s="373"/>
      <c r="J40" s="373"/>
      <c r="K40" s="373"/>
      <c r="L40" s="373"/>
      <c r="M40" s="373"/>
      <c r="N40" s="373"/>
      <c r="O40" s="373"/>
      <c r="P40" s="373"/>
      <c r="Q40" s="373"/>
      <c r="T40" s="813"/>
      <c r="W40" s="129"/>
      <c r="X40" s="814"/>
    </row>
    <row r="41" spans="2:24" x14ac:dyDescent="0.25">
      <c r="B41" s="69">
        <v>1</v>
      </c>
      <c r="C41" s="210" t="s">
        <v>485</v>
      </c>
      <c r="D41" s="244"/>
      <c r="E41" s="485">
        <v>337.30137500000001</v>
      </c>
      <c r="F41" s="485">
        <v>302.83446099999992</v>
      </c>
      <c r="G41" s="485">
        <v>299.19958800000006</v>
      </c>
      <c r="H41" s="485">
        <v>389.21889000000004</v>
      </c>
      <c r="I41" s="485">
        <v>310.79851900000006</v>
      </c>
      <c r="J41" s="485">
        <v>295.57097900000008</v>
      </c>
      <c r="K41" s="485">
        <v>327.68706300000008</v>
      </c>
      <c r="L41" s="485">
        <v>352.09268499999996</v>
      </c>
      <c r="M41" s="485">
        <v>324.76994500000001</v>
      </c>
      <c r="N41" s="485">
        <v>305.687547</v>
      </c>
      <c r="O41" s="485">
        <v>282.66770250000002</v>
      </c>
      <c r="P41" s="485">
        <v>301.98393199999998</v>
      </c>
      <c r="Q41" s="354">
        <f>SUM(E41:P41)</f>
        <v>3829.8126865000004</v>
      </c>
    </row>
    <row r="42" spans="2:24" x14ac:dyDescent="0.25">
      <c r="B42" s="69">
        <v>2</v>
      </c>
      <c r="C42" s="210" t="s">
        <v>538</v>
      </c>
      <c r="D42" s="244"/>
      <c r="E42" s="1692">
        <f>E58</f>
        <v>322.07957014568427</v>
      </c>
      <c r="F42" s="1692">
        <f t="shared" ref="F42:P42" si="3">F58</f>
        <v>359.0816515155725</v>
      </c>
      <c r="G42" s="1692">
        <f t="shared" si="3"/>
        <v>322.4351704198163</v>
      </c>
      <c r="H42" s="1692">
        <f t="shared" si="3"/>
        <v>325.47204066437189</v>
      </c>
      <c r="I42" s="1692">
        <f t="shared" si="3"/>
        <v>315.83382308125061</v>
      </c>
      <c r="J42" s="1692">
        <f t="shared" si="3"/>
        <v>342.3327857932112</v>
      </c>
      <c r="K42" s="1692">
        <f t="shared" si="3"/>
        <v>379.60053424852651</v>
      </c>
      <c r="L42" s="1692">
        <f t="shared" si="3"/>
        <v>344.33572773065026</v>
      </c>
      <c r="M42" s="1692">
        <f t="shared" si="3"/>
        <v>328.47653182042086</v>
      </c>
      <c r="N42" s="1692">
        <f t="shared" si="3"/>
        <v>313.07798331482172</v>
      </c>
      <c r="O42" s="1692">
        <f t="shared" si="3"/>
        <v>303.31251740607701</v>
      </c>
      <c r="P42" s="1692">
        <f t="shared" si="3"/>
        <v>394.08057962606506</v>
      </c>
      <c r="Q42" s="354">
        <f>SUM(E42:P42)</f>
        <v>4050.1189157664685</v>
      </c>
    </row>
    <row r="43" spans="2:24" x14ac:dyDescent="0.25">
      <c r="B43" s="69"/>
      <c r="C43" s="210"/>
      <c r="D43" s="210"/>
      <c r="Q43" s="354"/>
      <c r="R43" s="634"/>
      <c r="S43" s="1518"/>
    </row>
    <row r="44" spans="2:24" x14ac:dyDescent="0.25">
      <c r="B44" s="124" t="s">
        <v>540</v>
      </c>
      <c r="C44" s="213" t="s">
        <v>548</v>
      </c>
      <c r="D44" s="213"/>
      <c r="E44" s="485"/>
      <c r="F44" s="353"/>
      <c r="G44" s="353"/>
      <c r="H44" s="353"/>
      <c r="I44" s="353"/>
      <c r="J44" s="353"/>
      <c r="K44" s="353"/>
      <c r="L44" s="353"/>
      <c r="M44" s="353"/>
      <c r="N44" s="353"/>
      <c r="O44" s="353"/>
      <c r="P44" s="353"/>
      <c r="Q44" s="353"/>
    </row>
    <row r="45" spans="2:24" x14ac:dyDescent="0.25">
      <c r="B45" s="70">
        <v>1</v>
      </c>
      <c r="C45" s="213" t="s">
        <v>422</v>
      </c>
      <c r="D45" s="213"/>
      <c r="E45" s="485"/>
      <c r="F45" s="353"/>
      <c r="G45" s="353"/>
      <c r="H45" s="353"/>
      <c r="I45" s="353"/>
      <c r="J45" s="353"/>
      <c r="K45" s="353"/>
      <c r="L45" s="353"/>
      <c r="M45" s="353"/>
      <c r="N45" s="353"/>
      <c r="O45" s="353"/>
      <c r="P45" s="353"/>
      <c r="Q45" s="353"/>
    </row>
    <row r="46" spans="2:24" x14ac:dyDescent="0.3">
      <c r="B46" s="69">
        <v>1.1000000000000001</v>
      </c>
      <c r="C46" s="747" t="s">
        <v>922</v>
      </c>
      <c r="D46" s="485">
        <f>'F2'!M92</f>
        <v>2.4625726865401418</v>
      </c>
      <c r="E46" s="485">
        <v>258.81036699999999</v>
      </c>
      <c r="F46" s="485">
        <v>254.44615579999999</v>
      </c>
      <c r="G46" s="485">
        <v>255.54621099999997</v>
      </c>
      <c r="H46" s="485">
        <v>231.2438506</v>
      </c>
      <c r="I46" s="485">
        <v>240.27795179999998</v>
      </c>
      <c r="J46" s="485">
        <v>237.01714106</v>
      </c>
      <c r="K46" s="485">
        <v>306.48529819999999</v>
      </c>
      <c r="L46" s="485">
        <v>285.58842629999998</v>
      </c>
      <c r="M46" s="485">
        <v>287.14048200000002</v>
      </c>
      <c r="N46" s="485">
        <v>256.49900460000003</v>
      </c>
      <c r="O46" s="485">
        <v>207.92894740000003</v>
      </c>
      <c r="P46" s="485">
        <v>264.24548329999999</v>
      </c>
      <c r="Q46" s="354">
        <f>SUM(E46:P46)</f>
        <v>3085.2293190600008</v>
      </c>
    </row>
    <row r="47" spans="2:24" ht="28" x14ac:dyDescent="0.25">
      <c r="B47" s="69">
        <v>1.2</v>
      </c>
      <c r="C47" s="748" t="s">
        <v>1332</v>
      </c>
      <c r="D47" s="485">
        <f>'F2'!$M$94</f>
        <v>8.450015778766268</v>
      </c>
      <c r="E47" s="485">
        <v>3.1736953799999998</v>
      </c>
      <c r="F47" s="485">
        <v>3.1766749999999999</v>
      </c>
      <c r="G47" s="485">
        <v>2.4805250000000001</v>
      </c>
      <c r="H47" s="485">
        <v>2.3483687500000001</v>
      </c>
      <c r="I47" s="485">
        <v>2.2312656300000002</v>
      </c>
      <c r="J47" s="485">
        <v>2.3225781300000001</v>
      </c>
      <c r="K47" s="485">
        <v>2.3378000000000001</v>
      </c>
      <c r="L47" s="485">
        <v>2.5453031300000002</v>
      </c>
      <c r="M47" s="485">
        <v>2.75446875</v>
      </c>
      <c r="N47" s="485">
        <v>2.5998250000000001</v>
      </c>
      <c r="O47" s="485">
        <v>2.7701812499999998</v>
      </c>
      <c r="P47" s="485">
        <v>3.1693500000000001</v>
      </c>
      <c r="Q47" s="354">
        <f t="shared" ref="Q47:Q58" si="4">SUM(E47:P47)</f>
        <v>31.910036020000003</v>
      </c>
    </row>
    <row r="48" spans="2:24" x14ac:dyDescent="0.25">
      <c r="B48" s="70">
        <v>2</v>
      </c>
      <c r="C48" s="213" t="s">
        <v>423</v>
      </c>
      <c r="D48" s="485"/>
      <c r="E48" s="485"/>
      <c r="F48" s="485"/>
      <c r="G48" s="485"/>
      <c r="H48" s="485"/>
      <c r="I48" s="485"/>
      <c r="J48" s="485"/>
      <c r="K48" s="485"/>
      <c r="L48" s="485"/>
      <c r="M48" s="485"/>
      <c r="N48" s="485"/>
      <c r="O48" s="485"/>
      <c r="P48" s="485"/>
      <c r="Q48" s="354"/>
    </row>
    <row r="49" spans="2:17" x14ac:dyDescent="0.25">
      <c r="B49" s="69">
        <v>2.1</v>
      </c>
      <c r="C49" s="748" t="s">
        <v>933</v>
      </c>
      <c r="D49" s="485">
        <f>'F2'!$M$95</f>
        <v>2.0300000038397323</v>
      </c>
      <c r="E49" s="485">
        <v>70.385000000000005</v>
      </c>
      <c r="F49" s="485">
        <v>73.598500000000001</v>
      </c>
      <c r="G49" s="485">
        <v>68.916749999999993</v>
      </c>
      <c r="H49" s="485">
        <v>70.655249999999995</v>
      </c>
      <c r="I49" s="485">
        <v>67.972250000000003</v>
      </c>
      <c r="J49" s="485">
        <v>68.870999999999995</v>
      </c>
      <c r="K49" s="485">
        <v>73.006</v>
      </c>
      <c r="L49" s="485">
        <v>71.157250000000005</v>
      </c>
      <c r="M49" s="485">
        <v>69.424875</v>
      </c>
      <c r="N49" s="485">
        <v>72.184250000000006</v>
      </c>
      <c r="O49" s="485">
        <v>66.296250000000001</v>
      </c>
      <c r="P49" s="485">
        <v>73.945750000000004</v>
      </c>
      <c r="Q49" s="354">
        <f t="shared" si="4"/>
        <v>846.41312499999992</v>
      </c>
    </row>
    <row r="50" spans="2:17" x14ac:dyDescent="0.25">
      <c r="B50" s="70">
        <v>3</v>
      </c>
      <c r="C50" s="213" t="s">
        <v>424</v>
      </c>
      <c r="D50" s="485"/>
      <c r="E50" s="485"/>
      <c r="F50" s="485"/>
      <c r="G50" s="485"/>
      <c r="H50" s="485"/>
      <c r="I50" s="485"/>
      <c r="J50" s="485"/>
      <c r="K50" s="485"/>
      <c r="L50" s="485"/>
      <c r="M50" s="485"/>
      <c r="N50" s="485"/>
      <c r="O50" s="485"/>
      <c r="P50" s="485"/>
      <c r="Q50" s="354"/>
    </row>
    <row r="51" spans="2:17" x14ac:dyDescent="0.25">
      <c r="B51" s="69">
        <v>3.1</v>
      </c>
      <c r="C51" s="748" t="s">
        <v>924</v>
      </c>
      <c r="D51" s="485"/>
      <c r="E51" s="485"/>
      <c r="F51" s="485"/>
      <c r="G51" s="485"/>
      <c r="H51" s="485"/>
      <c r="I51" s="485"/>
      <c r="J51" s="485"/>
      <c r="K51" s="485"/>
      <c r="L51" s="485"/>
      <c r="M51" s="485"/>
      <c r="N51" s="485"/>
      <c r="O51" s="485"/>
      <c r="P51" s="485"/>
      <c r="Q51" s="354"/>
    </row>
    <row r="52" spans="2:17" x14ac:dyDescent="0.25">
      <c r="B52" s="69" t="s">
        <v>1333</v>
      </c>
      <c r="C52" s="748" t="s">
        <v>1334</v>
      </c>
      <c r="D52" s="485"/>
      <c r="E52" s="485">
        <v>0</v>
      </c>
      <c r="F52" s="485">
        <v>0</v>
      </c>
      <c r="G52" s="485">
        <v>0</v>
      </c>
      <c r="H52" s="485">
        <v>0</v>
      </c>
      <c r="I52" s="485">
        <v>0</v>
      </c>
      <c r="J52" s="485">
        <v>0</v>
      </c>
      <c r="K52" s="485">
        <v>0</v>
      </c>
      <c r="L52" s="485">
        <v>0</v>
      </c>
      <c r="M52" s="485">
        <v>0</v>
      </c>
      <c r="N52" s="485">
        <v>0</v>
      </c>
      <c r="O52" s="485">
        <v>0</v>
      </c>
      <c r="P52" s="485">
        <v>0</v>
      </c>
      <c r="Q52" s="354">
        <f t="shared" si="4"/>
        <v>0</v>
      </c>
    </row>
    <row r="53" spans="2:17" x14ac:dyDescent="0.25">
      <c r="B53" s="69" t="s">
        <v>1335</v>
      </c>
      <c r="C53" s="748" t="s">
        <v>1336</v>
      </c>
      <c r="D53" s="485">
        <f>'F2'!M100</f>
        <v>3.6576723801413435</v>
      </c>
      <c r="E53" s="485">
        <v>0</v>
      </c>
      <c r="F53" s="485">
        <v>7.5451874999999999</v>
      </c>
      <c r="G53" s="485">
        <v>3.932175</v>
      </c>
      <c r="H53" s="485">
        <v>9.3245249999999995</v>
      </c>
      <c r="I53" s="485">
        <v>4.1445675</v>
      </c>
      <c r="J53" s="485">
        <v>11.9164525</v>
      </c>
      <c r="K53" s="485">
        <v>14.209709999999999</v>
      </c>
      <c r="L53" s="485">
        <v>5.3774350000000002</v>
      </c>
      <c r="M53" s="485">
        <v>1.03677</v>
      </c>
      <c r="N53" s="485">
        <v>5.4395024999999997</v>
      </c>
      <c r="O53" s="485">
        <v>25.750696475000002</v>
      </c>
      <c r="P53" s="485">
        <v>45.308309583499998</v>
      </c>
      <c r="Q53" s="354">
        <f t="shared" si="4"/>
        <v>133.98533105849998</v>
      </c>
    </row>
    <row r="54" spans="2:17" x14ac:dyDescent="0.25">
      <c r="B54" s="69" t="s">
        <v>1337</v>
      </c>
      <c r="C54" s="748" t="s">
        <v>1338</v>
      </c>
      <c r="D54" s="485">
        <f>'F2'!M101</f>
        <v>2.9178430700588853</v>
      </c>
      <c r="E54" s="485">
        <v>0</v>
      </c>
      <c r="F54" s="485">
        <v>0</v>
      </c>
      <c r="G54" s="485">
        <v>-7.137645</v>
      </c>
      <c r="H54" s="485">
        <v>-4.1161374999999998</v>
      </c>
      <c r="I54" s="485">
        <v>-2.7962100000000003</v>
      </c>
      <c r="J54" s="485">
        <v>-3.1611225000000003</v>
      </c>
      <c r="K54" s="485">
        <v>-0.30062749999999999</v>
      </c>
      <c r="L54" s="485">
        <v>-0.39440750000000002</v>
      </c>
      <c r="M54" s="485">
        <v>-0.34791749999999999</v>
      </c>
      <c r="N54" s="485">
        <v>-0.7831825</v>
      </c>
      <c r="O54" s="485">
        <v>-9.7500000000000003E-2</v>
      </c>
      <c r="P54" s="485">
        <v>-0.30018</v>
      </c>
      <c r="Q54" s="354">
        <f t="shared" si="4"/>
        <v>-19.434930000000001</v>
      </c>
    </row>
    <row r="55" spans="2:17" x14ac:dyDescent="0.3">
      <c r="B55" s="69">
        <v>3.2</v>
      </c>
      <c r="C55" s="750" t="s">
        <v>1339</v>
      </c>
      <c r="D55" s="485"/>
      <c r="E55" s="485">
        <v>0</v>
      </c>
      <c r="F55" s="485">
        <v>0</v>
      </c>
      <c r="G55" s="485">
        <v>0</v>
      </c>
      <c r="H55" s="485">
        <v>0</v>
      </c>
      <c r="I55" s="485">
        <v>0</v>
      </c>
      <c r="J55" s="485">
        <v>0</v>
      </c>
      <c r="K55" s="485">
        <v>0</v>
      </c>
      <c r="L55" s="485">
        <v>0</v>
      </c>
      <c r="M55" s="485">
        <v>0</v>
      </c>
      <c r="N55" s="485">
        <v>0</v>
      </c>
      <c r="O55" s="485">
        <v>0</v>
      </c>
      <c r="P55" s="485">
        <v>0</v>
      </c>
      <c r="Q55" s="354">
        <f t="shared" si="4"/>
        <v>0</v>
      </c>
    </row>
    <row r="56" spans="2:17" x14ac:dyDescent="0.3">
      <c r="B56" s="69">
        <v>3.3</v>
      </c>
      <c r="C56" s="750" t="s">
        <v>1340</v>
      </c>
      <c r="D56" s="485"/>
      <c r="E56" s="485">
        <v>0</v>
      </c>
      <c r="F56" s="485">
        <v>0.20499999999999999</v>
      </c>
      <c r="G56" s="485">
        <v>0</v>
      </c>
      <c r="H56" s="485">
        <v>0</v>
      </c>
      <c r="I56" s="485">
        <v>0</v>
      </c>
      <c r="J56" s="485">
        <v>0</v>
      </c>
      <c r="K56" s="485">
        <v>0.26024999999999998</v>
      </c>
      <c r="L56" s="485">
        <v>0.06</v>
      </c>
      <c r="M56" s="485">
        <v>0</v>
      </c>
      <c r="N56" s="485">
        <v>1.609</v>
      </c>
      <c r="O56" s="485">
        <v>0.29499999999999998</v>
      </c>
      <c r="P56" s="485">
        <v>0.43269999999999997</v>
      </c>
      <c r="Q56" s="354">
        <f t="shared" si="4"/>
        <v>2.8619499999999998</v>
      </c>
    </row>
    <row r="57" spans="2:17" x14ac:dyDescent="0.3">
      <c r="B57" s="69">
        <v>3.4</v>
      </c>
      <c r="C57" s="750" t="s">
        <v>1341</v>
      </c>
      <c r="D57" s="485"/>
      <c r="E57" s="485">
        <v>-10.28949223431573</v>
      </c>
      <c r="F57" s="485">
        <v>20.110133215572546</v>
      </c>
      <c r="G57" s="485">
        <v>-1.3028455801836003</v>
      </c>
      <c r="H57" s="485">
        <v>16.016183814371914</v>
      </c>
      <c r="I57" s="485">
        <v>4.0039981512506415</v>
      </c>
      <c r="J57" s="485">
        <v>25.366736603211166</v>
      </c>
      <c r="K57" s="485">
        <v>-16.3978964514734</v>
      </c>
      <c r="L57" s="485">
        <v>-19.998279199349724</v>
      </c>
      <c r="M57" s="485">
        <v>-31.532146429579143</v>
      </c>
      <c r="N57" s="485">
        <v>-24.470416285178317</v>
      </c>
      <c r="O57" s="485">
        <v>0.3689422810770111</v>
      </c>
      <c r="P57" s="485">
        <v>7.2791667425650797</v>
      </c>
      <c r="Q57" s="354">
        <f t="shared" si="4"/>
        <v>-30.845915372031556</v>
      </c>
    </row>
    <row r="58" spans="2:17" x14ac:dyDescent="0.25">
      <c r="B58" s="70">
        <v>4</v>
      </c>
      <c r="C58" s="28" t="s">
        <v>541</v>
      </c>
      <c r="D58" s="28"/>
      <c r="E58" s="572">
        <f t="shared" ref="E58:P58" si="5">SUM(E46:E57)</f>
        <v>322.07957014568427</v>
      </c>
      <c r="F58" s="572">
        <f t="shared" si="5"/>
        <v>359.0816515155725</v>
      </c>
      <c r="G58" s="572">
        <f t="shared" si="5"/>
        <v>322.4351704198163</v>
      </c>
      <c r="H58" s="572">
        <f t="shared" si="5"/>
        <v>325.47204066437189</v>
      </c>
      <c r="I58" s="572">
        <f t="shared" si="5"/>
        <v>315.83382308125061</v>
      </c>
      <c r="J58" s="572">
        <f t="shared" si="5"/>
        <v>342.3327857932112</v>
      </c>
      <c r="K58" s="572">
        <f t="shared" si="5"/>
        <v>379.60053424852651</v>
      </c>
      <c r="L58" s="572">
        <f t="shared" si="5"/>
        <v>344.33572773065026</v>
      </c>
      <c r="M58" s="572">
        <f t="shared" si="5"/>
        <v>328.47653182042086</v>
      </c>
      <c r="N58" s="572">
        <f t="shared" si="5"/>
        <v>313.07798331482172</v>
      </c>
      <c r="O58" s="572">
        <f t="shared" si="5"/>
        <v>303.31251740607701</v>
      </c>
      <c r="P58" s="572">
        <f t="shared" si="5"/>
        <v>394.08057962606506</v>
      </c>
      <c r="Q58" s="354">
        <f t="shared" si="4"/>
        <v>4050.1189157664685</v>
      </c>
    </row>
    <row r="59" spans="2:17" x14ac:dyDescent="0.25">
      <c r="E59" s="375">
        <f>E58-E42</f>
        <v>0</v>
      </c>
      <c r="F59" s="375">
        <f t="shared" ref="F59:P59" si="6">F58-F42</f>
        <v>0</v>
      </c>
      <c r="G59" s="375">
        <f t="shared" si="6"/>
        <v>0</v>
      </c>
      <c r="H59" s="375">
        <f t="shared" si="6"/>
        <v>0</v>
      </c>
      <c r="I59" s="375">
        <f t="shared" si="6"/>
        <v>0</v>
      </c>
      <c r="J59" s="375">
        <f t="shared" si="6"/>
        <v>0</v>
      </c>
      <c r="K59" s="375">
        <f t="shared" si="6"/>
        <v>0</v>
      </c>
      <c r="L59" s="375">
        <f t="shared" si="6"/>
        <v>0</v>
      </c>
      <c r="M59" s="375">
        <f t="shared" si="6"/>
        <v>0</v>
      </c>
      <c r="N59" s="375">
        <f t="shared" si="6"/>
        <v>0</v>
      </c>
      <c r="O59" s="375">
        <f t="shared" si="6"/>
        <v>0</v>
      </c>
      <c r="P59" s="375">
        <f t="shared" si="6"/>
        <v>0</v>
      </c>
      <c r="Q59" s="375"/>
    </row>
    <row r="60" spans="2:17" x14ac:dyDescent="0.25">
      <c r="B60" s="131" t="s">
        <v>832</v>
      </c>
      <c r="C60" s="120"/>
      <c r="D60" s="120"/>
      <c r="E60" s="486"/>
      <c r="F60" s="487"/>
      <c r="G60" s="486"/>
      <c r="H60" s="486"/>
      <c r="I60" s="486"/>
      <c r="J60" s="375"/>
      <c r="K60" s="375"/>
      <c r="L60" s="375"/>
      <c r="M60" s="375"/>
      <c r="N60" s="375"/>
      <c r="O60" s="375"/>
      <c r="P60" s="375"/>
      <c r="Q60" s="375"/>
    </row>
    <row r="61" spans="2:17" x14ac:dyDescent="0.25">
      <c r="B61" s="131"/>
      <c r="C61" s="120"/>
      <c r="D61" s="120"/>
      <c r="E61" s="486"/>
      <c r="F61" s="487"/>
      <c r="G61" s="486"/>
      <c r="H61" s="486"/>
      <c r="I61" s="486"/>
      <c r="J61" s="375"/>
      <c r="K61" s="375"/>
      <c r="L61" s="375"/>
      <c r="M61" s="375"/>
      <c r="N61" s="375"/>
      <c r="O61" s="375"/>
      <c r="P61" s="375"/>
      <c r="Q61" s="375"/>
    </row>
    <row r="62" spans="2:17" s="242" customFormat="1" ht="28" x14ac:dyDescent="0.25">
      <c r="B62" s="1438" t="s">
        <v>187</v>
      </c>
      <c r="C62" s="1438" t="s">
        <v>50</v>
      </c>
      <c r="D62" s="1438" t="s">
        <v>546</v>
      </c>
      <c r="E62" s="1428" t="s">
        <v>151</v>
      </c>
      <c r="F62" s="1428" t="s">
        <v>152</v>
      </c>
      <c r="G62" s="1428" t="s">
        <v>153</v>
      </c>
      <c r="H62" s="1428" t="s">
        <v>154</v>
      </c>
      <c r="I62" s="1428" t="s">
        <v>155</v>
      </c>
      <c r="J62" s="1428" t="s">
        <v>156</v>
      </c>
      <c r="K62" s="1428" t="s">
        <v>157</v>
      </c>
      <c r="L62" s="1428" t="s">
        <v>158</v>
      </c>
      <c r="M62" s="1428" t="s">
        <v>159</v>
      </c>
      <c r="N62" s="1428" t="s">
        <v>160</v>
      </c>
      <c r="O62" s="1428" t="s">
        <v>161</v>
      </c>
      <c r="P62" s="1428" t="s">
        <v>162</v>
      </c>
      <c r="Q62" s="1517" t="s">
        <v>396</v>
      </c>
    </row>
    <row r="63" spans="2:17" s="242" customFormat="1" x14ac:dyDescent="0.25">
      <c r="B63" s="241" t="s">
        <v>419</v>
      </c>
      <c r="C63" s="124" t="s">
        <v>539</v>
      </c>
      <c r="D63" s="124"/>
      <c r="E63" s="373"/>
      <c r="F63" s="373"/>
      <c r="G63" s="373"/>
      <c r="H63" s="373"/>
      <c r="I63" s="373"/>
      <c r="J63" s="373"/>
      <c r="K63" s="373"/>
      <c r="L63" s="373"/>
      <c r="M63" s="373"/>
      <c r="N63" s="373"/>
      <c r="O63" s="373"/>
      <c r="P63" s="373"/>
      <c r="Q63" s="373"/>
    </row>
    <row r="64" spans="2:17" x14ac:dyDescent="0.25">
      <c r="B64" s="69">
        <v>1</v>
      </c>
      <c r="C64" s="210" t="s">
        <v>485</v>
      </c>
      <c r="D64" s="244"/>
      <c r="E64" s="485">
        <v>368.33174826000004</v>
      </c>
      <c r="F64" s="485">
        <v>356.10028399999987</v>
      </c>
      <c r="G64" s="485">
        <v>337.27081119999986</v>
      </c>
      <c r="H64" s="485">
        <v>331.73563629999995</v>
      </c>
      <c r="I64" s="485">
        <v>355.03897219999999</v>
      </c>
      <c r="J64" s="485">
        <v>351.60302690000009</v>
      </c>
      <c r="K64" s="485">
        <v>358.43124160000002</v>
      </c>
      <c r="L64" s="485">
        <v>383.1515526</v>
      </c>
      <c r="M64" s="485">
        <v>342.50192329999999</v>
      </c>
      <c r="N64" s="485">
        <v>316.62147929999992</v>
      </c>
      <c r="O64" s="485">
        <v>266.12171640000003</v>
      </c>
      <c r="P64" s="485">
        <v>302.05958500000008</v>
      </c>
      <c r="Q64" s="354">
        <f>SUM(E64:P64)</f>
        <v>4068.9679770599996</v>
      </c>
    </row>
    <row r="65" spans="2:18" x14ac:dyDescent="0.25">
      <c r="B65" s="70">
        <v>2</v>
      </c>
      <c r="C65" s="124" t="s">
        <v>538</v>
      </c>
      <c r="D65" s="244"/>
      <c r="E65" s="485">
        <f>E88</f>
        <v>379.54608918398651</v>
      </c>
      <c r="F65" s="485">
        <f t="shared" ref="F65:P65" si="7">F88</f>
        <v>383.75867559188237</v>
      </c>
      <c r="G65" s="485">
        <f t="shared" si="7"/>
        <v>366.28949442380974</v>
      </c>
      <c r="H65" s="485">
        <f t="shared" si="7"/>
        <v>383.26836691098765</v>
      </c>
      <c r="I65" s="485">
        <f t="shared" si="7"/>
        <v>378.20934798065571</v>
      </c>
      <c r="J65" s="485">
        <f t="shared" si="7"/>
        <v>372.83522120453972</v>
      </c>
      <c r="K65" s="485">
        <f t="shared" si="7"/>
        <v>418.00383847941293</v>
      </c>
      <c r="L65" s="485">
        <f t="shared" si="7"/>
        <v>384.36702695678002</v>
      </c>
      <c r="M65" s="485">
        <f t="shared" si="7"/>
        <v>343.5791531682371</v>
      </c>
      <c r="N65" s="485">
        <f t="shared" si="7"/>
        <v>298.89458695522944</v>
      </c>
      <c r="O65" s="485">
        <f t="shared" si="7"/>
        <v>285.1267287885085</v>
      </c>
      <c r="P65" s="485">
        <f t="shared" si="7"/>
        <v>413.32383334836982</v>
      </c>
      <c r="Q65" s="354">
        <f>SUM(E65:P65)</f>
        <v>4407.2023629923997</v>
      </c>
    </row>
    <row r="66" spans="2:18" x14ac:dyDescent="0.25">
      <c r="B66" s="69"/>
      <c r="C66" s="210"/>
      <c r="D66" s="210"/>
      <c r="E66" s="25"/>
      <c r="F66" s="25"/>
      <c r="G66" s="25"/>
      <c r="H66" s="25"/>
      <c r="I66" s="25"/>
      <c r="J66" s="25"/>
      <c r="K66" s="25"/>
      <c r="L66" s="25"/>
      <c r="M66" s="25"/>
      <c r="N66" s="25"/>
      <c r="O66" s="25"/>
      <c r="P66" s="25"/>
      <c r="Q66" s="354"/>
      <c r="R66" s="1518"/>
    </row>
    <row r="67" spans="2:18" x14ac:dyDescent="0.25">
      <c r="B67" s="241" t="s">
        <v>540</v>
      </c>
      <c r="C67" s="213" t="s">
        <v>548</v>
      </c>
      <c r="D67" s="213"/>
      <c r="E67" s="485"/>
      <c r="F67" s="353"/>
      <c r="G67" s="353"/>
      <c r="H67" s="353"/>
      <c r="I67" s="353"/>
      <c r="J67" s="353"/>
      <c r="K67" s="353"/>
      <c r="L67" s="353"/>
      <c r="M67" s="353"/>
      <c r="N67" s="353"/>
      <c r="O67" s="353"/>
      <c r="P67" s="353"/>
      <c r="Q67" s="353"/>
    </row>
    <row r="68" spans="2:18" x14ac:dyDescent="0.25">
      <c r="B68" s="70">
        <v>1</v>
      </c>
      <c r="C68" s="213" t="s">
        <v>422</v>
      </c>
      <c r="D68" s="213"/>
      <c r="E68" s="485"/>
      <c r="F68" s="353"/>
      <c r="G68" s="353"/>
      <c r="H68" s="353"/>
      <c r="I68" s="353"/>
      <c r="J68" s="353"/>
      <c r="K68" s="353"/>
      <c r="L68" s="353"/>
      <c r="M68" s="353"/>
      <c r="N68" s="353"/>
      <c r="O68" s="353"/>
      <c r="P68" s="353"/>
      <c r="Q68" s="353"/>
    </row>
    <row r="69" spans="2:18" x14ac:dyDescent="0.3">
      <c r="B69" s="69">
        <v>1.1000000000000001</v>
      </c>
      <c r="C69" s="258" t="s">
        <v>922</v>
      </c>
      <c r="D69" s="485">
        <f>'F2'!$M$151</f>
        <v>3.9898479757227494</v>
      </c>
      <c r="E69" s="485">
        <v>308.60818260000002</v>
      </c>
      <c r="F69" s="485">
        <v>316.5717851</v>
      </c>
      <c r="G69" s="485">
        <v>301.55985699999997</v>
      </c>
      <c r="H69" s="485">
        <v>265.54648780000002</v>
      </c>
      <c r="I69" s="485">
        <v>281.30631360000001</v>
      </c>
      <c r="J69" s="485">
        <v>285.82819890000002</v>
      </c>
      <c r="K69" s="485">
        <v>318.096585</v>
      </c>
      <c r="L69" s="485">
        <v>258.40011600000003</v>
      </c>
      <c r="M69" s="485">
        <v>225.01465000000002</v>
      </c>
      <c r="N69" s="485">
        <v>209.65356399999999</v>
      </c>
      <c r="O69" s="485">
        <v>218.65031200000001</v>
      </c>
      <c r="P69" s="485">
        <v>295.50174799999996</v>
      </c>
      <c r="Q69" s="354">
        <f>SUM(E69:P69)</f>
        <v>3284.7378000000008</v>
      </c>
    </row>
    <row r="70" spans="2:18" ht="28" x14ac:dyDescent="0.25">
      <c r="B70" s="69">
        <v>1.2</v>
      </c>
      <c r="C70" s="748" t="s">
        <v>1332</v>
      </c>
      <c r="D70" s="485">
        <f>'F2'!$M$152</f>
        <v>8.5284675257585167</v>
      </c>
      <c r="E70" s="485">
        <v>3.05673438</v>
      </c>
      <c r="F70" s="485">
        <v>3.0296562499999999</v>
      </c>
      <c r="G70" s="485">
        <v>2.5730781299999999</v>
      </c>
      <c r="H70" s="485">
        <v>2.2036750000000001</v>
      </c>
      <c r="I70" s="485">
        <v>2.4060999999999999</v>
      </c>
      <c r="J70" s="485">
        <v>2.3617062500000001</v>
      </c>
      <c r="K70" s="485">
        <v>2.7709250000000001</v>
      </c>
      <c r="L70" s="485">
        <v>2.1906062500000001</v>
      </c>
      <c r="M70" s="485">
        <v>2.3639000000000001</v>
      </c>
      <c r="N70" s="485">
        <v>2.7837000000000001</v>
      </c>
      <c r="O70" s="485">
        <v>2.8826687500000001</v>
      </c>
      <c r="P70" s="485">
        <v>2.9937156300000001</v>
      </c>
      <c r="Q70" s="354">
        <f t="shared" ref="Q70:Q87" si="8">SUM(E70:P70)</f>
        <v>31.616465640000001</v>
      </c>
    </row>
    <row r="71" spans="2:18" x14ac:dyDescent="0.25">
      <c r="B71" s="69">
        <v>1.3</v>
      </c>
      <c r="C71" s="77" t="s">
        <v>395</v>
      </c>
      <c r="D71" s="485"/>
      <c r="E71" s="485">
        <v>0</v>
      </c>
      <c r="F71" s="485">
        <v>0</v>
      </c>
      <c r="G71" s="485">
        <v>0</v>
      </c>
      <c r="H71" s="485">
        <v>0</v>
      </c>
      <c r="I71" s="485">
        <v>0</v>
      </c>
      <c r="J71" s="485">
        <v>0</v>
      </c>
      <c r="K71" s="485">
        <v>0</v>
      </c>
      <c r="L71" s="485">
        <v>0</v>
      </c>
      <c r="M71" s="485">
        <v>0</v>
      </c>
      <c r="N71" s="485">
        <v>0</v>
      </c>
      <c r="O71" s="485">
        <v>0</v>
      </c>
      <c r="P71" s="485">
        <v>0</v>
      </c>
      <c r="Q71" s="354">
        <f t="shared" si="8"/>
        <v>0</v>
      </c>
    </row>
    <row r="72" spans="2:18" x14ac:dyDescent="0.25">
      <c r="B72" s="70">
        <v>2</v>
      </c>
      <c r="C72" s="213" t="s">
        <v>423</v>
      </c>
      <c r="D72" s="485"/>
      <c r="E72" s="485">
        <v>0</v>
      </c>
      <c r="F72" s="485">
        <v>0</v>
      </c>
      <c r="G72" s="485">
        <v>0</v>
      </c>
      <c r="H72" s="485">
        <v>0</v>
      </c>
      <c r="I72" s="485">
        <v>0</v>
      </c>
      <c r="J72" s="485">
        <v>0</v>
      </c>
      <c r="K72" s="485">
        <v>0</v>
      </c>
      <c r="L72" s="485">
        <v>0</v>
      </c>
      <c r="M72" s="485">
        <v>0</v>
      </c>
      <c r="N72" s="485">
        <v>0</v>
      </c>
      <c r="O72" s="485">
        <v>0</v>
      </c>
      <c r="P72" s="485">
        <v>0</v>
      </c>
      <c r="Q72" s="354">
        <f t="shared" si="8"/>
        <v>0</v>
      </c>
    </row>
    <row r="73" spans="2:18" x14ac:dyDescent="0.25">
      <c r="B73" s="69">
        <v>2.1</v>
      </c>
      <c r="C73" s="748" t="s">
        <v>933</v>
      </c>
      <c r="D73" s="485">
        <f>'F2'!$M$153</f>
        <v>2.0499999981252155</v>
      </c>
      <c r="E73" s="485">
        <v>64.892375000000001</v>
      </c>
      <c r="F73" s="485">
        <v>69.572000000000003</v>
      </c>
      <c r="G73" s="485">
        <v>71.622249999999994</v>
      </c>
      <c r="H73" s="485">
        <v>70.868250000000003</v>
      </c>
      <c r="I73" s="485">
        <v>44.632018000000002</v>
      </c>
      <c r="J73" s="485">
        <v>43.790999999999997</v>
      </c>
      <c r="K73" s="485">
        <v>45.084345999999996</v>
      </c>
      <c r="L73" s="485">
        <v>65.489407</v>
      </c>
      <c r="M73" s="485">
        <v>66.999943000000002</v>
      </c>
      <c r="N73" s="485">
        <v>57.709975</v>
      </c>
      <c r="O73" s="485">
        <v>60.105347999999999</v>
      </c>
      <c r="P73" s="485">
        <v>59.316094999999997</v>
      </c>
      <c r="Q73" s="354">
        <f t="shared" si="8"/>
        <v>720.08300700000007</v>
      </c>
    </row>
    <row r="74" spans="2:18" x14ac:dyDescent="0.25">
      <c r="B74" s="69">
        <v>2.2000000000000002</v>
      </c>
      <c r="C74" s="77"/>
      <c r="D74" s="485"/>
      <c r="E74" s="485">
        <v>0</v>
      </c>
      <c r="F74" s="485">
        <v>0</v>
      </c>
      <c r="G74" s="485">
        <v>0</v>
      </c>
      <c r="H74" s="485">
        <v>0</v>
      </c>
      <c r="I74" s="485">
        <v>0</v>
      </c>
      <c r="J74" s="485">
        <v>0</v>
      </c>
      <c r="K74" s="485">
        <v>0</v>
      </c>
      <c r="L74" s="485">
        <v>0</v>
      </c>
      <c r="M74" s="485">
        <v>0</v>
      </c>
      <c r="N74" s="485">
        <v>0</v>
      </c>
      <c r="O74" s="485">
        <v>0</v>
      </c>
      <c r="P74" s="485">
        <v>0</v>
      </c>
      <c r="Q74" s="354">
        <f t="shared" si="8"/>
        <v>0</v>
      </c>
    </row>
    <row r="75" spans="2:18" x14ac:dyDescent="0.25">
      <c r="B75" s="70">
        <v>3</v>
      </c>
      <c r="C75" s="213" t="s">
        <v>424</v>
      </c>
      <c r="D75" s="485"/>
      <c r="E75" s="485">
        <v>0</v>
      </c>
      <c r="F75" s="485">
        <v>0</v>
      </c>
      <c r="G75" s="485">
        <v>0</v>
      </c>
      <c r="H75" s="485">
        <v>0</v>
      </c>
      <c r="I75" s="485">
        <v>0</v>
      </c>
      <c r="J75" s="485">
        <v>0</v>
      </c>
      <c r="K75" s="485">
        <v>0</v>
      </c>
      <c r="L75" s="485">
        <v>0</v>
      </c>
      <c r="M75" s="485">
        <v>0</v>
      </c>
      <c r="N75" s="485">
        <v>0</v>
      </c>
      <c r="O75" s="485">
        <v>0</v>
      </c>
      <c r="P75" s="485">
        <v>0</v>
      </c>
      <c r="Q75" s="354">
        <f t="shared" si="8"/>
        <v>0</v>
      </c>
    </row>
    <row r="76" spans="2:18" x14ac:dyDescent="0.25">
      <c r="B76" s="69">
        <v>3.1</v>
      </c>
      <c r="C76" s="748" t="s">
        <v>924</v>
      </c>
      <c r="D76" s="485"/>
      <c r="E76" s="485">
        <v>0</v>
      </c>
      <c r="F76" s="485">
        <v>0</v>
      </c>
      <c r="G76" s="485">
        <v>0</v>
      </c>
      <c r="H76" s="485">
        <v>0</v>
      </c>
      <c r="I76" s="485">
        <v>0</v>
      </c>
      <c r="J76" s="485">
        <v>0</v>
      </c>
      <c r="K76" s="485">
        <v>0</v>
      </c>
      <c r="L76" s="485">
        <v>0</v>
      </c>
      <c r="M76" s="485">
        <v>0</v>
      </c>
      <c r="N76" s="485">
        <v>0</v>
      </c>
      <c r="O76" s="485">
        <v>0</v>
      </c>
      <c r="P76" s="485">
        <v>0</v>
      </c>
      <c r="Q76" s="354">
        <f t="shared" si="8"/>
        <v>0</v>
      </c>
    </row>
    <row r="77" spans="2:18" x14ac:dyDescent="0.25">
      <c r="B77" s="69" t="s">
        <v>1333</v>
      </c>
      <c r="C77" s="748" t="s">
        <v>1334</v>
      </c>
      <c r="D77" s="485">
        <f>'F2'!M157</f>
        <v>6.8182542961752057</v>
      </c>
      <c r="E77" s="485">
        <v>0</v>
      </c>
      <c r="F77" s="485">
        <v>0</v>
      </c>
      <c r="G77" s="485">
        <v>0</v>
      </c>
      <c r="H77" s="485">
        <v>0</v>
      </c>
      <c r="I77" s="485">
        <v>0</v>
      </c>
      <c r="J77" s="485">
        <v>0</v>
      </c>
      <c r="K77" s="485">
        <v>17.108541700000011</v>
      </c>
      <c r="L77" s="485">
        <v>0</v>
      </c>
      <c r="M77" s="485">
        <v>25.202866999999998</v>
      </c>
      <c r="N77" s="485">
        <v>0</v>
      </c>
      <c r="O77" s="485">
        <v>0</v>
      </c>
      <c r="P77" s="485">
        <v>0</v>
      </c>
      <c r="Q77" s="354">
        <f t="shared" si="8"/>
        <v>42.311408700000008</v>
      </c>
    </row>
    <row r="78" spans="2:18" x14ac:dyDescent="0.25">
      <c r="B78" s="69" t="s">
        <v>1335</v>
      </c>
      <c r="C78" s="748" t="s">
        <v>1336</v>
      </c>
      <c r="D78" s="485">
        <f>'F2'!M158</f>
        <v>4.5708603828693315</v>
      </c>
      <c r="E78" s="485">
        <v>3.8589081249999988</v>
      </c>
      <c r="F78" s="485">
        <v>5.4888509999999986</v>
      </c>
      <c r="G78" s="485">
        <v>6.4609075000000002</v>
      </c>
      <c r="H78" s="485">
        <v>20.474697500000001</v>
      </c>
      <c r="I78" s="485">
        <v>18.991644999999998</v>
      </c>
      <c r="J78" s="485">
        <v>29.816717500000014</v>
      </c>
      <c r="K78" s="485">
        <v>35.322991045000002</v>
      </c>
      <c r="L78" s="485">
        <v>48.926726308749998</v>
      </c>
      <c r="M78" s="485">
        <v>23.712767226249994</v>
      </c>
      <c r="N78" s="485">
        <v>28.836601759500006</v>
      </c>
      <c r="O78" s="485">
        <v>15.337678214500002</v>
      </c>
      <c r="P78" s="485">
        <v>53.012607006000003</v>
      </c>
      <c r="Q78" s="354">
        <f t="shared" si="8"/>
        <v>290.241098185</v>
      </c>
    </row>
    <row r="79" spans="2:18" x14ac:dyDescent="0.25">
      <c r="B79" s="69" t="s">
        <v>1337</v>
      </c>
      <c r="C79" s="748" t="s">
        <v>1338</v>
      </c>
      <c r="D79" s="485">
        <f>'F2'!M159</f>
        <v>6.8854988377231221</v>
      </c>
      <c r="E79" s="485">
        <v>0</v>
      </c>
      <c r="F79" s="485">
        <v>0</v>
      </c>
      <c r="G79" s="485">
        <v>-3.1335925000000002</v>
      </c>
      <c r="H79" s="485">
        <v>-0.9546</v>
      </c>
      <c r="I79" s="485">
        <v>-0.21124999999999999</v>
      </c>
      <c r="J79" s="485">
        <v>-1.5615025</v>
      </c>
      <c r="K79" s="485">
        <v>-1.9123824999999999</v>
      </c>
      <c r="L79" s="485">
        <v>-0.51936249999999995</v>
      </c>
      <c r="M79" s="485">
        <v>-1.4848074999999998</v>
      </c>
      <c r="N79" s="485">
        <v>-2.0987049999999998</v>
      </c>
      <c r="O79" s="485">
        <v>-10.543777500000001</v>
      </c>
      <c r="P79" s="485">
        <v>-1.0600750000000001</v>
      </c>
      <c r="Q79" s="354">
        <f t="shared" si="8"/>
        <v>-23.480055</v>
      </c>
    </row>
    <row r="80" spans="2:18" x14ac:dyDescent="0.3">
      <c r="B80" s="69">
        <v>3.2</v>
      </c>
      <c r="C80" s="1096" t="s">
        <v>1339</v>
      </c>
      <c r="D80" s="485"/>
      <c r="E80" s="485">
        <v>0</v>
      </c>
      <c r="F80" s="485">
        <v>0</v>
      </c>
      <c r="G80" s="485">
        <v>0</v>
      </c>
      <c r="H80" s="485">
        <v>0</v>
      </c>
      <c r="I80" s="485">
        <v>0</v>
      </c>
      <c r="J80" s="485">
        <v>0</v>
      </c>
      <c r="K80" s="485">
        <v>0</v>
      </c>
      <c r="L80" s="485">
        <v>0</v>
      </c>
      <c r="M80" s="485">
        <v>0</v>
      </c>
      <c r="N80" s="485">
        <v>0</v>
      </c>
      <c r="O80" s="485">
        <v>0</v>
      </c>
      <c r="P80" s="485">
        <v>0</v>
      </c>
      <c r="Q80" s="354">
        <f t="shared" si="8"/>
        <v>0</v>
      </c>
    </row>
    <row r="81" spans="2:17" x14ac:dyDescent="0.25">
      <c r="B81" s="69" t="s">
        <v>1354</v>
      </c>
      <c r="C81" s="1439" t="s">
        <v>1990</v>
      </c>
      <c r="D81" s="485">
        <f>'F2'!$M$162</f>
        <v>4.2163305127712025</v>
      </c>
      <c r="E81" s="485">
        <v>0</v>
      </c>
      <c r="F81" s="485">
        <v>0</v>
      </c>
      <c r="G81" s="485">
        <v>0</v>
      </c>
      <c r="H81" s="485">
        <v>0</v>
      </c>
      <c r="I81" s="485">
        <v>0</v>
      </c>
      <c r="J81" s="485">
        <v>0</v>
      </c>
      <c r="K81" s="485">
        <v>1.0070000000000001E-2</v>
      </c>
      <c r="L81" s="485">
        <v>0.23494000000000001</v>
      </c>
      <c r="M81" s="485">
        <v>0.20793</v>
      </c>
      <c r="N81" s="485">
        <v>0.11905</v>
      </c>
      <c r="O81" s="485">
        <v>0</v>
      </c>
      <c r="P81" s="485">
        <v>0</v>
      </c>
      <c r="Q81" s="354">
        <f t="shared" si="8"/>
        <v>0.57199</v>
      </c>
    </row>
    <row r="82" spans="2:17" x14ac:dyDescent="0.3">
      <c r="B82" s="69">
        <v>3.3</v>
      </c>
      <c r="C82" s="1440" t="s">
        <v>1440</v>
      </c>
      <c r="D82" s="485"/>
      <c r="E82" s="485">
        <v>0</v>
      </c>
      <c r="F82" s="485">
        <v>0</v>
      </c>
      <c r="G82" s="485">
        <v>0</v>
      </c>
      <c r="H82" s="485">
        <v>0</v>
      </c>
      <c r="I82" s="485">
        <v>0</v>
      </c>
      <c r="J82" s="485">
        <v>0</v>
      </c>
      <c r="K82" s="485">
        <v>0</v>
      </c>
      <c r="L82" s="485">
        <v>0</v>
      </c>
      <c r="M82" s="485">
        <v>0</v>
      </c>
      <c r="N82" s="485">
        <v>0</v>
      </c>
      <c r="O82" s="485">
        <v>0</v>
      </c>
      <c r="P82" s="485">
        <v>0</v>
      </c>
      <c r="Q82" s="354">
        <f t="shared" si="8"/>
        <v>0</v>
      </c>
    </row>
    <row r="83" spans="2:17" x14ac:dyDescent="0.25">
      <c r="B83" s="69" t="s">
        <v>1443</v>
      </c>
      <c r="C83" s="1439" t="s">
        <v>1989</v>
      </c>
      <c r="D83" s="485">
        <f>'F2'!$M$164</f>
        <v>4.152154872244151</v>
      </c>
      <c r="E83" s="485">
        <v>0</v>
      </c>
      <c r="F83" s="485">
        <v>0</v>
      </c>
      <c r="G83" s="485">
        <v>0</v>
      </c>
      <c r="H83" s="485">
        <v>0</v>
      </c>
      <c r="I83" s="485">
        <v>0</v>
      </c>
      <c r="J83" s="485">
        <v>5.4205199999999998</v>
      </c>
      <c r="K83" s="485">
        <v>0.81037999999999999</v>
      </c>
      <c r="L83" s="485">
        <v>11.369009999999999</v>
      </c>
      <c r="M83" s="485">
        <v>2.1029599999999999</v>
      </c>
      <c r="N83" s="485">
        <v>8.9569999999999997E-2</v>
      </c>
      <c r="O83" s="485">
        <v>0</v>
      </c>
      <c r="P83" s="485">
        <v>0</v>
      </c>
      <c r="Q83" s="354">
        <f t="shared" si="8"/>
        <v>19.792439999999999</v>
      </c>
    </row>
    <row r="84" spans="2:17" x14ac:dyDescent="0.3">
      <c r="B84" s="69">
        <v>3.4</v>
      </c>
      <c r="C84" s="1440" t="s">
        <v>1340</v>
      </c>
      <c r="D84" s="485"/>
      <c r="E84" s="485">
        <v>0.254</v>
      </c>
      <c r="F84" s="485">
        <v>0</v>
      </c>
      <c r="G84" s="485">
        <v>0.28699999999999998</v>
      </c>
      <c r="H84" s="485">
        <v>0.19775000000000001</v>
      </c>
      <c r="I84" s="485">
        <v>0</v>
      </c>
      <c r="J84" s="485">
        <v>0</v>
      </c>
      <c r="K84" s="485">
        <v>2.7595000000000001</v>
      </c>
      <c r="L84" s="485">
        <v>0</v>
      </c>
      <c r="M84" s="485">
        <v>0</v>
      </c>
      <c r="N84" s="485">
        <v>0.17</v>
      </c>
      <c r="O84" s="485">
        <v>0.161</v>
      </c>
      <c r="P84" s="485">
        <v>0</v>
      </c>
      <c r="Q84" s="354">
        <f t="shared" si="8"/>
        <v>3.82925</v>
      </c>
    </row>
    <row r="85" spans="2:17" x14ac:dyDescent="0.3">
      <c r="B85" s="69">
        <v>3.5</v>
      </c>
      <c r="C85" s="1440" t="s">
        <v>1442</v>
      </c>
      <c r="D85" s="485"/>
      <c r="E85" s="485">
        <v>0</v>
      </c>
      <c r="F85" s="485">
        <v>0</v>
      </c>
      <c r="G85" s="485">
        <v>0</v>
      </c>
      <c r="H85" s="485">
        <v>0</v>
      </c>
      <c r="I85" s="485">
        <v>0</v>
      </c>
      <c r="J85" s="485">
        <v>0</v>
      </c>
      <c r="K85" s="485">
        <v>0.41932380939606001</v>
      </c>
      <c r="L85" s="485">
        <v>-0.74957622124117385</v>
      </c>
      <c r="M85" s="485">
        <v>2.0493634019960685</v>
      </c>
      <c r="N85" s="485">
        <v>2.5739710416952328</v>
      </c>
      <c r="O85" s="485">
        <v>-1.4867386188934282</v>
      </c>
      <c r="P85" s="485">
        <v>-0.30062897458667454</v>
      </c>
      <c r="Q85" s="354">
        <f t="shared" si="8"/>
        <v>2.5057144383660854</v>
      </c>
    </row>
    <row r="86" spans="2:17" x14ac:dyDescent="0.3">
      <c r="B86" s="69">
        <v>3.6</v>
      </c>
      <c r="C86" s="1440" t="s">
        <v>1341</v>
      </c>
      <c r="D86" s="485"/>
      <c r="E86" s="485">
        <v>-1.1241109210135392</v>
      </c>
      <c r="F86" s="485">
        <v>-10.903616758117664</v>
      </c>
      <c r="G86" s="485">
        <v>-13.080005706190207</v>
      </c>
      <c r="H86" s="485">
        <v>24.932106610987717</v>
      </c>
      <c r="I86" s="485">
        <v>31.084521380655701</v>
      </c>
      <c r="J86" s="485">
        <v>7.1785810545396771</v>
      </c>
      <c r="K86" s="485">
        <v>-2.4664415749830937</v>
      </c>
      <c r="L86" s="485">
        <v>-0.97483988072883676</v>
      </c>
      <c r="M86" s="485">
        <v>-2.5904199600089441</v>
      </c>
      <c r="N86" s="485">
        <v>-0.94313984596584532</v>
      </c>
      <c r="O86" s="485">
        <v>2.0237942901871975E-2</v>
      </c>
      <c r="P86" s="485">
        <v>3.8603716869565119</v>
      </c>
      <c r="Q86" s="354">
        <f t="shared" si="8"/>
        <v>34.993244029033349</v>
      </c>
    </row>
    <row r="87" spans="2:17" x14ac:dyDescent="0.25">
      <c r="B87" s="69">
        <v>3.7</v>
      </c>
      <c r="C87" s="806" t="s">
        <v>395</v>
      </c>
      <c r="D87" s="485"/>
      <c r="E87" s="485">
        <v>0</v>
      </c>
      <c r="F87" s="485">
        <v>0</v>
      </c>
      <c r="G87" s="485">
        <v>0</v>
      </c>
      <c r="H87" s="485">
        <v>0</v>
      </c>
      <c r="I87" s="485">
        <v>0</v>
      </c>
      <c r="J87" s="485">
        <v>0</v>
      </c>
      <c r="K87" s="485">
        <v>0</v>
      </c>
      <c r="L87" s="485">
        <v>0</v>
      </c>
      <c r="M87" s="485">
        <v>0</v>
      </c>
      <c r="N87" s="485">
        <v>0</v>
      </c>
      <c r="O87" s="485">
        <v>0</v>
      </c>
      <c r="P87" s="485">
        <v>0</v>
      </c>
      <c r="Q87" s="354">
        <f t="shared" si="8"/>
        <v>0</v>
      </c>
    </row>
    <row r="88" spans="2:17" s="22" customFormat="1" x14ac:dyDescent="0.25">
      <c r="B88" s="70">
        <v>4</v>
      </c>
      <c r="C88" s="807" t="s">
        <v>541</v>
      </c>
      <c r="D88" s="28"/>
      <c r="E88" s="572">
        <f>SUM(E69:E87)</f>
        <v>379.54608918398651</v>
      </c>
      <c r="F88" s="572">
        <f t="shared" ref="F88:P88" si="9">SUM(F69:F87)</f>
        <v>383.75867559188237</v>
      </c>
      <c r="G88" s="572">
        <f t="shared" si="9"/>
        <v>366.28949442380974</v>
      </c>
      <c r="H88" s="572">
        <f t="shared" si="9"/>
        <v>383.26836691098765</v>
      </c>
      <c r="I88" s="572">
        <f t="shared" si="9"/>
        <v>378.20934798065571</v>
      </c>
      <c r="J88" s="572">
        <f t="shared" si="9"/>
        <v>372.83522120453972</v>
      </c>
      <c r="K88" s="572">
        <f t="shared" si="9"/>
        <v>418.00383847941293</v>
      </c>
      <c r="L88" s="572">
        <f t="shared" si="9"/>
        <v>384.36702695678002</v>
      </c>
      <c r="M88" s="572">
        <f t="shared" si="9"/>
        <v>343.5791531682371</v>
      </c>
      <c r="N88" s="572">
        <f t="shared" si="9"/>
        <v>298.89458695522944</v>
      </c>
      <c r="O88" s="572">
        <f t="shared" si="9"/>
        <v>285.1267287885085</v>
      </c>
      <c r="P88" s="572">
        <f t="shared" si="9"/>
        <v>413.32383334836982</v>
      </c>
      <c r="Q88" s="354">
        <f>SUM(E88:P88)</f>
        <v>4407.2023629923997</v>
      </c>
    </row>
    <row r="89" spans="2:17" x14ac:dyDescent="0.25">
      <c r="B89" s="70">
        <v>5</v>
      </c>
      <c r="C89" s="807" t="s">
        <v>543</v>
      </c>
      <c r="D89" s="28"/>
      <c r="E89" s="485">
        <f>E88-E65</f>
        <v>0</v>
      </c>
      <c r="F89" s="485">
        <f t="shared" ref="F89:P89" si="10">F88-F65</f>
        <v>0</v>
      </c>
      <c r="G89" s="485">
        <f t="shared" si="10"/>
        <v>0</v>
      </c>
      <c r="H89" s="485">
        <f t="shared" si="10"/>
        <v>0</v>
      </c>
      <c r="I89" s="485">
        <f t="shared" si="10"/>
        <v>0</v>
      </c>
      <c r="J89" s="485">
        <f t="shared" si="10"/>
        <v>0</v>
      </c>
      <c r="K89" s="485">
        <f t="shared" si="10"/>
        <v>0</v>
      </c>
      <c r="L89" s="485">
        <f t="shared" si="10"/>
        <v>0</v>
      </c>
      <c r="M89" s="485">
        <f t="shared" si="10"/>
        <v>0</v>
      </c>
      <c r="N89" s="485">
        <f t="shared" si="10"/>
        <v>0</v>
      </c>
      <c r="O89" s="485">
        <f t="shared" si="10"/>
        <v>0</v>
      </c>
      <c r="P89" s="485">
        <f t="shared" si="10"/>
        <v>0</v>
      </c>
      <c r="Q89" s="485">
        <f>Q65-Q88</f>
        <v>0</v>
      </c>
    </row>
    <row r="90" spans="2:17" hidden="1" x14ac:dyDescent="0.25">
      <c r="B90" s="148"/>
      <c r="C90" s="125"/>
      <c r="D90" s="28"/>
      <c r="E90" s="485"/>
      <c r="F90" s="353"/>
      <c r="G90" s="353"/>
      <c r="H90" s="353"/>
      <c r="I90" s="353"/>
      <c r="J90" s="353"/>
      <c r="K90" s="353"/>
      <c r="L90" s="353"/>
      <c r="M90" s="353"/>
      <c r="N90" s="353"/>
      <c r="O90" s="353"/>
      <c r="P90" s="353"/>
      <c r="Q90" s="353"/>
    </row>
    <row r="91" spans="2:17" x14ac:dyDescent="0.25">
      <c r="B91" s="148"/>
      <c r="C91" s="125"/>
      <c r="D91" s="125"/>
      <c r="E91" s="749"/>
      <c r="F91" s="496"/>
      <c r="G91" s="496"/>
      <c r="H91" s="496"/>
      <c r="I91" s="496"/>
      <c r="J91" s="496"/>
      <c r="K91" s="496"/>
      <c r="L91" s="496"/>
      <c r="M91" s="496"/>
      <c r="N91" s="496"/>
      <c r="O91" s="496"/>
      <c r="P91" s="496"/>
      <c r="Q91" s="496"/>
    </row>
    <row r="92" spans="2:17" x14ac:dyDescent="0.25">
      <c r="E92" s="375"/>
      <c r="F92" s="375"/>
      <c r="G92" s="375"/>
      <c r="H92" s="375"/>
      <c r="I92" s="375"/>
      <c r="J92" s="375"/>
      <c r="K92" s="375"/>
      <c r="L92" s="375"/>
      <c r="M92" s="375"/>
      <c r="N92" s="375"/>
      <c r="O92" s="375"/>
      <c r="P92" s="375"/>
      <c r="Q92" s="375"/>
    </row>
    <row r="93" spans="2:17" x14ac:dyDescent="0.25">
      <c r="B93" s="131" t="s">
        <v>834</v>
      </c>
      <c r="C93" s="120"/>
      <c r="D93" s="120"/>
      <c r="E93" s="486"/>
      <c r="F93" s="487"/>
      <c r="G93" s="486"/>
      <c r="H93" s="486"/>
      <c r="I93" s="486"/>
      <c r="J93" s="375"/>
      <c r="K93" s="375"/>
      <c r="L93" s="375"/>
      <c r="M93" s="375"/>
      <c r="N93" s="375"/>
      <c r="O93" s="375"/>
      <c r="P93" s="375"/>
      <c r="Q93" s="375"/>
    </row>
    <row r="94" spans="2:17" x14ac:dyDescent="0.25">
      <c r="B94" s="131" t="s">
        <v>1792</v>
      </c>
      <c r="C94" s="120"/>
      <c r="D94" s="120"/>
      <c r="E94" s="486"/>
      <c r="F94" s="487"/>
      <c r="G94" s="486"/>
      <c r="H94" s="486"/>
      <c r="I94" s="486"/>
      <c r="J94" s="375"/>
      <c r="K94" s="375"/>
      <c r="L94" s="375"/>
      <c r="M94" s="375"/>
      <c r="N94" s="375"/>
      <c r="O94" s="375"/>
      <c r="P94" s="375"/>
      <c r="Q94" s="375" t="s">
        <v>317</v>
      </c>
    </row>
    <row r="95" spans="2:17" ht="28" x14ac:dyDescent="0.25">
      <c r="B95" s="214" t="s">
        <v>187</v>
      </c>
      <c r="C95" s="214" t="s">
        <v>50</v>
      </c>
      <c r="D95" s="1426" t="s">
        <v>546</v>
      </c>
      <c r="E95" s="1428" t="s">
        <v>151</v>
      </c>
      <c r="F95" s="1428" t="s">
        <v>152</v>
      </c>
      <c r="G95" s="1428" t="s">
        <v>153</v>
      </c>
      <c r="H95" s="1428" t="s">
        <v>154</v>
      </c>
      <c r="I95" s="1428" t="s">
        <v>155</v>
      </c>
      <c r="J95" s="1428" t="s">
        <v>156</v>
      </c>
      <c r="K95" s="1428" t="s">
        <v>157</v>
      </c>
      <c r="L95" s="1428" t="s">
        <v>158</v>
      </c>
      <c r="M95" s="1428" t="s">
        <v>159</v>
      </c>
      <c r="N95" s="1428" t="s">
        <v>160</v>
      </c>
      <c r="O95" s="1428" t="s">
        <v>161</v>
      </c>
      <c r="P95" s="1428" t="s">
        <v>162</v>
      </c>
      <c r="Q95" s="1428" t="s">
        <v>145</v>
      </c>
    </row>
    <row r="96" spans="2:17" s="242" customFormat="1" x14ac:dyDescent="0.25">
      <c r="B96" s="124"/>
      <c r="C96" s="124"/>
      <c r="D96" s="124"/>
      <c r="E96" s="373"/>
      <c r="F96" s="373"/>
      <c r="G96" s="373"/>
      <c r="H96" s="373"/>
      <c r="I96" s="373"/>
      <c r="J96" s="373"/>
      <c r="K96" s="373"/>
      <c r="L96" s="373"/>
      <c r="M96" s="373"/>
      <c r="N96" s="373"/>
      <c r="O96" s="373"/>
      <c r="P96" s="373"/>
      <c r="Q96" s="373"/>
    </row>
    <row r="97" spans="2:19" s="242" customFormat="1" x14ac:dyDescent="0.25">
      <c r="B97" s="241" t="s">
        <v>419</v>
      </c>
      <c r="C97" s="124" t="s">
        <v>539</v>
      </c>
      <c r="D97" s="124"/>
      <c r="E97" s="373"/>
      <c r="F97" s="373"/>
      <c r="G97" s="373"/>
      <c r="H97" s="373"/>
      <c r="I97" s="373"/>
      <c r="J97" s="373"/>
      <c r="K97" s="373"/>
      <c r="L97" s="373"/>
      <c r="M97" s="373"/>
      <c r="N97" s="373"/>
      <c r="O97" s="373"/>
      <c r="P97" s="373"/>
      <c r="Q97" s="373"/>
    </row>
    <row r="98" spans="2:19" x14ac:dyDescent="0.25">
      <c r="B98" s="69">
        <v>1</v>
      </c>
      <c r="C98" s="210" t="s">
        <v>485</v>
      </c>
      <c r="D98" s="244"/>
      <c r="E98" s="485">
        <v>383.73108039999994</v>
      </c>
      <c r="F98" s="485">
        <v>438.79527319999994</v>
      </c>
      <c r="G98" s="485">
        <v>419.60296790000007</v>
      </c>
      <c r="H98" s="485">
        <v>388.97806100000003</v>
      </c>
      <c r="I98" s="485">
        <v>382.89111539999999</v>
      </c>
      <c r="J98" s="485">
        <v>381.92235730000004</v>
      </c>
      <c r="K98" s="485">
        <f>'Sales Forecast'!J39</f>
        <v>406.69754745760167</v>
      </c>
      <c r="L98" s="485">
        <f>'Sales Forecast'!K39</f>
        <v>427.17792293039543</v>
      </c>
      <c r="M98" s="485">
        <f>'Sales Forecast'!L39</f>
        <v>379.25337432881247</v>
      </c>
      <c r="N98" s="485">
        <f>'Sales Forecast'!M39</f>
        <v>335.12914943865286</v>
      </c>
      <c r="O98" s="485">
        <f>'Sales Forecast'!N39</f>
        <v>289.86457606925148</v>
      </c>
      <c r="P98" s="485">
        <f>'Sales Forecast'!O39</f>
        <v>303.93309178649645</v>
      </c>
      <c r="Q98" s="354">
        <f>SUM(E98:P98)</f>
        <v>4537.9765172112093</v>
      </c>
    </row>
    <row r="99" spans="2:19" x14ac:dyDescent="0.25">
      <c r="B99" s="70">
        <v>2</v>
      </c>
      <c r="C99" s="124" t="s">
        <v>538</v>
      </c>
      <c r="D99" s="244"/>
      <c r="E99" s="485">
        <f t="shared" ref="E99:P99" si="11">E122</f>
        <v>456.96291682936481</v>
      </c>
      <c r="F99" s="485">
        <f t="shared" si="11"/>
        <v>478.81158635419263</v>
      </c>
      <c r="G99" s="485">
        <f t="shared" si="11"/>
        <v>439.19415722809777</v>
      </c>
      <c r="H99" s="485">
        <f t="shared" si="11"/>
        <v>401.50305044097098</v>
      </c>
      <c r="I99" s="485">
        <f t="shared" si="11"/>
        <v>403.71549560789282</v>
      </c>
      <c r="J99" s="485">
        <f t="shared" si="11"/>
        <v>403.04814133718725</v>
      </c>
      <c r="K99" s="485">
        <f t="shared" si="11"/>
        <v>371.65292899036558</v>
      </c>
      <c r="L99" s="485">
        <f t="shared" si="11"/>
        <v>409.70900128294818</v>
      </c>
      <c r="M99" s="485">
        <f t="shared" si="11"/>
        <v>393.14334319903008</v>
      </c>
      <c r="N99" s="485">
        <f t="shared" si="11"/>
        <v>393.28054794597585</v>
      </c>
      <c r="O99" s="485">
        <f t="shared" si="11"/>
        <v>382.69462486800023</v>
      </c>
      <c r="P99" s="485">
        <f t="shared" si="11"/>
        <v>375.70010853611791</v>
      </c>
      <c r="Q99" s="354">
        <f>SUM(E99:P99)</f>
        <v>4909.4159026201442</v>
      </c>
    </row>
    <row r="100" spans="2:19" x14ac:dyDescent="0.25">
      <c r="B100" s="69"/>
      <c r="C100" s="210"/>
      <c r="D100" s="210"/>
      <c r="E100" s="485"/>
      <c r="F100" s="485"/>
      <c r="G100" s="485"/>
      <c r="H100" s="485"/>
      <c r="I100" s="485"/>
      <c r="J100" s="485"/>
      <c r="K100" s="485"/>
      <c r="L100" s="485"/>
      <c r="M100" s="485"/>
      <c r="N100" s="485"/>
      <c r="O100" s="485"/>
      <c r="P100" s="485"/>
      <c r="Q100" s="354">
        <f>SUM(E100:P100)</f>
        <v>0</v>
      </c>
    </row>
    <row r="101" spans="2:19" x14ac:dyDescent="0.25">
      <c r="B101" s="241" t="s">
        <v>540</v>
      </c>
      <c r="C101" s="213" t="s">
        <v>548</v>
      </c>
      <c r="D101" s="213"/>
      <c r="E101" s="485"/>
      <c r="F101" s="353"/>
      <c r="G101" s="353"/>
      <c r="H101" s="353"/>
      <c r="I101" s="353"/>
      <c r="J101" s="353"/>
      <c r="K101" s="353"/>
      <c r="L101" s="353"/>
      <c r="M101" s="353"/>
      <c r="N101" s="353"/>
      <c r="O101" s="353"/>
      <c r="P101" s="353"/>
      <c r="Q101" s="354"/>
    </row>
    <row r="102" spans="2:19" x14ac:dyDescent="0.25">
      <c r="B102" s="70">
        <v>1</v>
      </c>
      <c r="C102" s="213" t="s">
        <v>422</v>
      </c>
      <c r="D102" s="213"/>
      <c r="E102" s="485"/>
      <c r="F102" s="353"/>
      <c r="G102" s="353"/>
      <c r="H102" s="353"/>
      <c r="I102" s="353"/>
      <c r="J102" s="353"/>
      <c r="K102" s="353"/>
      <c r="L102" s="353"/>
      <c r="M102" s="353"/>
      <c r="N102" s="353"/>
      <c r="O102" s="353"/>
      <c r="P102" s="353"/>
      <c r="Q102" s="354"/>
    </row>
    <row r="103" spans="2:19" x14ac:dyDescent="0.3">
      <c r="B103" s="69">
        <v>1.1000000000000001</v>
      </c>
      <c r="C103" s="258" t="s">
        <v>922</v>
      </c>
      <c r="D103" s="1460">
        <f>'F2'!M233</f>
        <v>7.0518759943990696</v>
      </c>
      <c r="E103" s="485">
        <v>341.05557400000004</v>
      </c>
      <c r="F103" s="485">
        <v>302.76214299999998</v>
      </c>
      <c r="G103" s="485">
        <v>275.26943499999999</v>
      </c>
      <c r="H103" s="485">
        <v>236.31412</v>
      </c>
      <c r="I103" s="485">
        <v>271.85710999999998</v>
      </c>
      <c r="J103" s="485">
        <v>239.81564600000002</v>
      </c>
      <c r="K103" s="353">
        <v>300.1492112462272</v>
      </c>
      <c r="L103" s="353">
        <v>315.2640517034996</v>
      </c>
      <c r="M103" s="353">
        <v>279.89497816957032</v>
      </c>
      <c r="N103" s="353">
        <v>247.33060353681398</v>
      </c>
      <c r="O103" s="353">
        <v>213.9246337217657</v>
      </c>
      <c r="P103" s="353">
        <v>224.30742044456105</v>
      </c>
      <c r="Q103" s="354">
        <f>SUM(E103:P103)</f>
        <v>3247.944926822438</v>
      </c>
    </row>
    <row r="104" spans="2:19" ht="28" x14ac:dyDescent="0.25">
      <c r="B104" s="69">
        <v>1.2</v>
      </c>
      <c r="C104" s="748" t="s">
        <v>1332</v>
      </c>
      <c r="D104" s="1460">
        <f>'F2'!R234</f>
        <v>8.5599999990312057</v>
      </c>
      <c r="E104" s="485">
        <v>2.8953031299999998</v>
      </c>
      <c r="F104" s="485">
        <v>2.8414874999999999</v>
      </c>
      <c r="G104" s="485">
        <v>2.6613656300000001</v>
      </c>
      <c r="H104" s="485">
        <v>1.9004343800000001</v>
      </c>
      <c r="I104" s="485">
        <v>2.0535468799999999</v>
      </c>
      <c r="J104" s="485">
        <v>2.0988156299999998</v>
      </c>
      <c r="K104" s="353">
        <f>20*24*31/1000*20.1%</f>
        <v>2.9908800000000002</v>
      </c>
      <c r="L104" s="353">
        <f>20*24*30/1000*16.1%</f>
        <v>2.3184</v>
      </c>
      <c r="M104" s="353">
        <f>20*24*31/1000*17%</f>
        <v>2.5296000000000003</v>
      </c>
      <c r="N104" s="353">
        <f>20*24*31/1000*20%</f>
        <v>2.9760000000000004</v>
      </c>
      <c r="O104" s="353">
        <f>20*24*28/1000*22%</f>
        <v>2.9567999999999999</v>
      </c>
      <c r="P104" s="353">
        <f>20*24*31/1000*22%</f>
        <v>3.2736000000000001</v>
      </c>
      <c r="Q104" s="354">
        <f t="shared" ref="Q104:Q122" si="12">SUM(E104:P104)</f>
        <v>31.496233150000002</v>
      </c>
      <c r="S104" s="1715"/>
    </row>
    <row r="105" spans="2:19" x14ac:dyDescent="0.25">
      <c r="B105" s="69"/>
      <c r="C105" s="77"/>
      <c r="D105" s="77"/>
      <c r="E105" s="485"/>
      <c r="F105" s="485"/>
      <c r="G105" s="485"/>
      <c r="H105" s="485"/>
      <c r="I105" s="485"/>
      <c r="J105" s="485"/>
      <c r="K105" s="353"/>
      <c r="L105" s="353"/>
      <c r="M105" s="353"/>
      <c r="N105" s="353"/>
      <c r="O105" s="353"/>
      <c r="P105" s="353"/>
      <c r="Q105" s="354"/>
    </row>
    <row r="106" spans="2:19" x14ac:dyDescent="0.25">
      <c r="B106" s="70">
        <v>2</v>
      </c>
      <c r="C106" s="213" t="s">
        <v>423</v>
      </c>
      <c r="D106" s="213"/>
      <c r="E106" s="485"/>
      <c r="F106" s="485"/>
      <c r="G106" s="485"/>
      <c r="H106" s="485"/>
      <c r="I106" s="485"/>
      <c r="J106" s="485"/>
      <c r="K106" s="353"/>
      <c r="L106" s="353"/>
      <c r="M106" s="353"/>
      <c r="N106" s="353"/>
      <c r="O106" s="353"/>
      <c r="P106" s="353"/>
      <c r="Q106" s="354"/>
    </row>
    <row r="107" spans="2:19" x14ac:dyDescent="0.25">
      <c r="B107" s="69">
        <v>2.1</v>
      </c>
      <c r="C107" s="748" t="s">
        <v>933</v>
      </c>
      <c r="D107" s="1461">
        <f>'F2'!M237</f>
        <v>2.2033199561848531</v>
      </c>
      <c r="E107" s="485">
        <v>63.572178000000001</v>
      </c>
      <c r="F107" s="485">
        <v>69.024376000000004</v>
      </c>
      <c r="G107" s="485">
        <v>65.700748000000004</v>
      </c>
      <c r="H107" s="485">
        <v>53.565384999999999</v>
      </c>
      <c r="I107" s="485">
        <v>46.808590000000002</v>
      </c>
      <c r="J107" s="485">
        <v>38.024346999999999</v>
      </c>
      <c r="K107" s="353">
        <v>51.846171077471688</v>
      </c>
      <c r="L107" s="353">
        <v>75.311617009686074</v>
      </c>
      <c r="M107" s="353">
        <v>77.048705707272589</v>
      </c>
      <c r="N107" s="353">
        <v>66.365412880262568</v>
      </c>
      <c r="O107" s="353">
        <v>69.120047900416949</v>
      </c>
      <c r="P107" s="353">
        <v>68.212421424890209</v>
      </c>
      <c r="Q107" s="354">
        <f t="shared" si="12"/>
        <v>744.59999999999991</v>
      </c>
    </row>
    <row r="108" spans="2:19" x14ac:dyDescent="0.25">
      <c r="B108" s="69"/>
      <c r="C108" s="77"/>
      <c r="D108" s="77"/>
      <c r="E108" s="485"/>
      <c r="F108" s="485"/>
      <c r="G108" s="485"/>
      <c r="H108" s="485"/>
      <c r="I108" s="485"/>
      <c r="J108" s="485"/>
      <c r="K108" s="353"/>
      <c r="L108" s="353"/>
      <c r="M108" s="353"/>
      <c r="N108" s="353"/>
      <c r="O108" s="353"/>
      <c r="P108" s="353"/>
      <c r="Q108" s="354"/>
    </row>
    <row r="109" spans="2:19" x14ac:dyDescent="0.25">
      <c r="B109" s="70">
        <v>3</v>
      </c>
      <c r="C109" s="213" t="s">
        <v>424</v>
      </c>
      <c r="D109" s="213"/>
      <c r="E109" s="485"/>
      <c r="F109" s="485"/>
      <c r="G109" s="485"/>
      <c r="H109" s="485"/>
      <c r="I109" s="485"/>
      <c r="J109" s="485"/>
      <c r="K109" s="353"/>
      <c r="L109" s="353"/>
      <c r="M109" s="353"/>
      <c r="N109" s="353"/>
      <c r="O109" s="353"/>
      <c r="P109" s="353"/>
      <c r="Q109" s="354"/>
    </row>
    <row r="110" spans="2:19" x14ac:dyDescent="0.25">
      <c r="B110" s="69">
        <v>3.1</v>
      </c>
      <c r="C110" s="748" t="s">
        <v>924</v>
      </c>
      <c r="D110" s="1461">
        <f>'F2'!M240</f>
        <v>5.6609285012009112</v>
      </c>
      <c r="E110" s="485">
        <v>0</v>
      </c>
      <c r="F110" s="485">
        <v>0</v>
      </c>
      <c r="G110" s="485">
        <v>0</v>
      </c>
      <c r="H110" s="485">
        <v>0</v>
      </c>
      <c r="I110" s="485">
        <v>0</v>
      </c>
      <c r="J110" s="485">
        <v>0</v>
      </c>
      <c r="K110" s="353">
        <v>0</v>
      </c>
      <c r="L110" s="353">
        <v>0</v>
      </c>
      <c r="M110" s="353">
        <v>0</v>
      </c>
      <c r="N110" s="353">
        <v>0</v>
      </c>
      <c r="O110" s="353">
        <v>0</v>
      </c>
      <c r="P110" s="353">
        <v>0</v>
      </c>
      <c r="Q110" s="354">
        <f t="shared" si="12"/>
        <v>0</v>
      </c>
    </row>
    <row r="111" spans="2:19" x14ac:dyDescent="0.25">
      <c r="B111" s="69" t="s">
        <v>1333</v>
      </c>
      <c r="C111" s="748" t="s">
        <v>1334</v>
      </c>
      <c r="D111" s="1461">
        <f>'F2'!M241</f>
        <v>5.4935664388109116</v>
      </c>
      <c r="E111" s="485">
        <v>20.410834999999999</v>
      </c>
      <c r="F111" s="485">
        <v>22.91929</v>
      </c>
      <c r="G111" s="485">
        <v>20.324902039000001</v>
      </c>
      <c r="H111" s="485">
        <v>0</v>
      </c>
      <c r="I111" s="485">
        <v>2.6031999999999997</v>
      </c>
      <c r="J111" s="485">
        <v>11.136712499999998</v>
      </c>
      <c r="K111" s="353">
        <f>100/6</f>
        <v>16.666666666666668</v>
      </c>
      <c r="L111" s="353">
        <f t="shared" ref="L111:N111" si="13">100/6</f>
        <v>16.666666666666668</v>
      </c>
      <c r="M111" s="353">
        <f t="shared" si="13"/>
        <v>16.666666666666668</v>
      </c>
      <c r="N111" s="353">
        <f t="shared" si="13"/>
        <v>16.666666666666668</v>
      </c>
      <c r="O111" s="353">
        <f>100/6+100*24*28/1000*85%</f>
        <v>73.786666666666662</v>
      </c>
      <c r="P111" s="353">
        <f>100/6+100*24*31/1000*85%</f>
        <v>79.906666666666666</v>
      </c>
      <c r="Q111" s="354">
        <f t="shared" si="12"/>
        <v>297.75493953900002</v>
      </c>
    </row>
    <row r="112" spans="2:19" x14ac:dyDescent="0.25">
      <c r="B112" s="69" t="s">
        <v>1335</v>
      </c>
      <c r="C112" s="748" t="s">
        <v>1336</v>
      </c>
      <c r="D112" s="1461">
        <f>'F2'!M242</f>
        <v>5.7530126560645343</v>
      </c>
      <c r="E112" s="485">
        <v>25.649741376999998</v>
      </c>
      <c r="F112" s="485">
        <v>87.74203998325001</v>
      </c>
      <c r="G112" s="485">
        <v>76.333855000000014</v>
      </c>
      <c r="H112" s="485">
        <v>81.906945000000007</v>
      </c>
      <c r="I112" s="485">
        <v>72.250464999999991</v>
      </c>
      <c r="J112" s="485">
        <v>109.04895999999999</v>
      </c>
      <c r="K112" s="353"/>
      <c r="L112" s="353"/>
      <c r="M112" s="353"/>
      <c r="N112" s="353"/>
      <c r="O112" s="353"/>
      <c r="P112" s="353"/>
      <c r="Q112" s="354">
        <f t="shared" si="12"/>
        <v>452.93200636024994</v>
      </c>
    </row>
    <row r="113" spans="2:18" x14ac:dyDescent="0.25">
      <c r="B113" s="69" t="s">
        <v>1337</v>
      </c>
      <c r="C113" s="748" t="s">
        <v>1338</v>
      </c>
      <c r="D113" s="1461">
        <f>'F2'!M243</f>
        <v>11.138370680731832</v>
      </c>
      <c r="E113" s="485">
        <v>-1.3582075</v>
      </c>
      <c r="F113" s="485">
        <v>0</v>
      </c>
      <c r="G113" s="485">
        <v>0</v>
      </c>
      <c r="H113" s="485">
        <v>-0.23242500000000002</v>
      </c>
      <c r="I113" s="485">
        <v>-2.1442975</v>
      </c>
      <c r="J113" s="485">
        <v>-1.5229774999999999</v>
      </c>
      <c r="K113" s="353"/>
      <c r="L113" s="353"/>
      <c r="M113" s="353"/>
      <c r="N113" s="353"/>
      <c r="O113" s="353"/>
      <c r="P113" s="353"/>
      <c r="Q113" s="354">
        <f t="shared" si="12"/>
        <v>-5.2579075</v>
      </c>
    </row>
    <row r="114" spans="2:18" x14ac:dyDescent="0.3">
      <c r="B114" s="69">
        <v>3.2</v>
      </c>
      <c r="C114" s="1096" t="s">
        <v>1339</v>
      </c>
      <c r="E114" s="485">
        <v>0</v>
      </c>
      <c r="F114" s="485">
        <v>0</v>
      </c>
      <c r="G114" s="485">
        <v>0</v>
      </c>
      <c r="H114" s="485">
        <v>0</v>
      </c>
      <c r="I114" s="485">
        <v>0</v>
      </c>
      <c r="J114" s="485">
        <v>0</v>
      </c>
      <c r="K114" s="353">
        <v>0</v>
      </c>
      <c r="L114" s="353">
        <v>0</v>
      </c>
      <c r="M114" s="353">
        <v>0</v>
      </c>
      <c r="N114" s="353">
        <v>0</v>
      </c>
      <c r="O114" s="353">
        <v>0</v>
      </c>
      <c r="P114" s="353">
        <v>0</v>
      </c>
      <c r="Q114" s="354">
        <f t="shared" si="12"/>
        <v>0</v>
      </c>
    </row>
    <row r="115" spans="2:18" x14ac:dyDescent="0.25">
      <c r="B115" s="69" t="s">
        <v>1354</v>
      </c>
      <c r="C115" s="1441" t="s">
        <v>1990</v>
      </c>
      <c r="D115" s="1461">
        <f>'F2'!M244</f>
        <v>4.3287066705756523</v>
      </c>
      <c r="E115" s="485">
        <v>0</v>
      </c>
      <c r="F115" s="485">
        <v>4.3299999999999996E-3</v>
      </c>
      <c r="G115" s="485">
        <v>0.85650000000000004</v>
      </c>
      <c r="H115" s="485">
        <v>2.63794</v>
      </c>
      <c r="I115" s="485">
        <v>1.7613399999999999</v>
      </c>
      <c r="J115" s="485">
        <v>0</v>
      </c>
      <c r="K115" s="353">
        <v>0</v>
      </c>
      <c r="L115" s="353">
        <v>1.2590606137141089E-2</v>
      </c>
      <c r="M115" s="353">
        <v>2.4904974957185555</v>
      </c>
      <c r="N115" s="353">
        <v>7.6704996659145426</v>
      </c>
      <c r="O115" s="353">
        <v>5.1215561694208054</v>
      </c>
      <c r="P115" s="353">
        <v>0</v>
      </c>
      <c r="Q115" s="354">
        <f t="shared" si="12"/>
        <v>20.555253937191043</v>
      </c>
    </row>
    <row r="116" spans="2:18" x14ac:dyDescent="0.3">
      <c r="B116" s="69">
        <v>3.3</v>
      </c>
      <c r="C116" s="1096" t="s">
        <v>1440</v>
      </c>
      <c r="E116" s="485">
        <v>0</v>
      </c>
      <c r="F116" s="485">
        <v>0</v>
      </c>
      <c r="G116" s="485">
        <v>0</v>
      </c>
      <c r="H116" s="485">
        <v>0</v>
      </c>
      <c r="I116" s="485">
        <v>0</v>
      </c>
      <c r="J116" s="485">
        <v>0</v>
      </c>
      <c r="K116" s="353">
        <v>0</v>
      </c>
      <c r="L116" s="353">
        <v>0</v>
      </c>
      <c r="M116" s="353">
        <v>0</v>
      </c>
      <c r="N116" s="353">
        <v>0</v>
      </c>
      <c r="O116" s="353">
        <v>0</v>
      </c>
      <c r="P116" s="353">
        <v>0</v>
      </c>
      <c r="Q116" s="354">
        <v>0</v>
      </c>
    </row>
    <row r="117" spans="2:18" x14ac:dyDescent="0.25">
      <c r="B117" s="69" t="s">
        <v>1443</v>
      </c>
      <c r="C117" s="1441" t="s">
        <v>1989</v>
      </c>
      <c r="D117" s="1461">
        <f>'F2'!M245</f>
        <v>4.3329461271830265</v>
      </c>
      <c r="E117" s="485">
        <v>0</v>
      </c>
      <c r="F117" s="485">
        <v>4.666E-2</v>
      </c>
      <c r="G117" s="485">
        <v>4.9911200000000013</v>
      </c>
      <c r="H117" s="485">
        <v>17.976610000000001</v>
      </c>
      <c r="I117" s="485">
        <v>6.1163999999999996</v>
      </c>
      <c r="J117" s="485">
        <v>0</v>
      </c>
      <c r="K117" s="353">
        <v>0</v>
      </c>
      <c r="L117" s="353">
        <v>0.13567529695867042</v>
      </c>
      <c r="M117" s="353">
        <v>14.512895159801955</v>
      </c>
      <c r="N117" s="353">
        <v>52.271365196318136</v>
      </c>
      <c r="O117" s="353">
        <v>17.784920409730212</v>
      </c>
      <c r="P117" s="353">
        <v>0</v>
      </c>
      <c r="Q117" s="354">
        <f t="shared" si="12"/>
        <v>113.83564606280896</v>
      </c>
    </row>
    <row r="118" spans="2:18" x14ac:dyDescent="0.3">
      <c r="B118" s="69">
        <v>3.4</v>
      </c>
      <c r="C118" s="1096" t="s">
        <v>1340</v>
      </c>
      <c r="E118" s="485">
        <v>4.0124032500000002</v>
      </c>
      <c r="F118" s="485">
        <v>2.8000000000000001E-2</v>
      </c>
      <c r="G118" s="485">
        <v>2.2499999999999999E-2</v>
      </c>
      <c r="H118" s="485">
        <v>2.6345000000000001</v>
      </c>
      <c r="I118" s="485">
        <v>0.19725000000000001</v>
      </c>
      <c r="J118" s="485">
        <v>0.20649999999999999</v>
      </c>
      <c r="K118" s="353">
        <v>0</v>
      </c>
      <c r="L118" s="353">
        <v>0</v>
      </c>
      <c r="M118" s="353">
        <v>0</v>
      </c>
      <c r="N118" s="353">
        <v>0</v>
      </c>
      <c r="O118" s="353">
        <v>0</v>
      </c>
      <c r="P118" s="353">
        <v>0</v>
      </c>
      <c r="Q118" s="354">
        <f t="shared" si="12"/>
        <v>7.1011532500000003</v>
      </c>
    </row>
    <row r="119" spans="2:18" x14ac:dyDescent="0.3">
      <c r="B119" s="69">
        <v>3.5</v>
      </c>
      <c r="C119" s="1096" t="s">
        <v>1442</v>
      </c>
      <c r="D119" s="1461">
        <f>'F2'!M247</f>
        <v>-2.5446740687502007</v>
      </c>
      <c r="E119" s="485">
        <v>0.98967465430353574</v>
      </c>
      <c r="F119" s="485">
        <v>-5.6186703898366286</v>
      </c>
      <c r="G119" s="485">
        <v>-7.3802713424030513</v>
      </c>
      <c r="H119" s="485">
        <v>6.9527624817696756</v>
      </c>
      <c r="I119" s="485">
        <v>-6.5619330413851369</v>
      </c>
      <c r="J119" s="485">
        <v>-8.5095952046769607</v>
      </c>
      <c r="K119" s="353">
        <v>0</v>
      </c>
      <c r="L119" s="353">
        <v>0</v>
      </c>
      <c r="M119" s="353">
        <v>0</v>
      </c>
      <c r="N119" s="353">
        <v>0</v>
      </c>
      <c r="O119" s="353">
        <v>0</v>
      </c>
      <c r="P119" s="353">
        <v>0</v>
      </c>
      <c r="Q119" s="354">
        <f t="shared" si="12"/>
        <v>-20.128032842228563</v>
      </c>
    </row>
    <row r="120" spans="2:18" x14ac:dyDescent="0.3">
      <c r="B120" s="69">
        <v>3.6</v>
      </c>
      <c r="C120" s="1096" t="s">
        <v>1341</v>
      </c>
      <c r="D120" s="1461"/>
      <c r="E120" s="485">
        <v>-0.26458508193877606</v>
      </c>
      <c r="F120" s="485">
        <v>-0.93806973922079351</v>
      </c>
      <c r="G120" s="485">
        <v>0.43389990150080848</v>
      </c>
      <c r="H120" s="485">
        <v>-1.8952994207987786</v>
      </c>
      <c r="I120" s="485">
        <v>9.3609532692779567</v>
      </c>
      <c r="J120" s="485">
        <v>13.028978911864272</v>
      </c>
      <c r="K120" s="353">
        <v>0</v>
      </c>
      <c r="L120" s="353">
        <v>0</v>
      </c>
      <c r="M120" s="353">
        <v>0</v>
      </c>
      <c r="N120" s="353">
        <v>0</v>
      </c>
      <c r="O120" s="353">
        <v>0</v>
      </c>
      <c r="P120" s="353">
        <v>0</v>
      </c>
      <c r="Q120" s="354">
        <f t="shared" si="12"/>
        <v>19.725877840684689</v>
      </c>
    </row>
    <row r="121" spans="2:18" x14ac:dyDescent="0.25">
      <c r="B121" s="69">
        <v>3.7</v>
      </c>
      <c r="C121" s="1057" t="s">
        <v>1524</v>
      </c>
      <c r="D121" s="1461">
        <f>'F2'!M249</f>
        <v>11.981215598054174</v>
      </c>
      <c r="E121" s="485">
        <v>0</v>
      </c>
      <c r="F121" s="485">
        <v>0</v>
      </c>
      <c r="G121" s="485">
        <v>-1.9897000000000001E-2</v>
      </c>
      <c r="H121" s="485">
        <v>-0.25792199999999998</v>
      </c>
      <c r="I121" s="485">
        <v>-0.58712900000000001</v>
      </c>
      <c r="J121" s="485">
        <v>-0.27924599999999999</v>
      </c>
      <c r="K121" s="353">
        <v>0</v>
      </c>
      <c r="L121" s="353">
        <v>0</v>
      </c>
      <c r="M121" s="353">
        <v>0</v>
      </c>
      <c r="N121" s="353">
        <v>0</v>
      </c>
      <c r="O121" s="353">
        <v>0</v>
      </c>
      <c r="P121" s="353">
        <v>0</v>
      </c>
      <c r="Q121" s="354">
        <f t="shared" si="12"/>
        <v>-1.1441940000000002</v>
      </c>
    </row>
    <row r="122" spans="2:18" s="22" customFormat="1" x14ac:dyDescent="0.25">
      <c r="B122" s="70">
        <v>4</v>
      </c>
      <c r="C122" s="28" t="s">
        <v>541</v>
      </c>
      <c r="D122" s="1461"/>
      <c r="E122" s="572">
        <f>SUM(E101:E121)</f>
        <v>456.96291682936481</v>
      </c>
      <c r="F122" s="572">
        <f t="shared" ref="F122:P122" si="14">SUM(F101:F121)</f>
        <v>478.81158635419263</v>
      </c>
      <c r="G122" s="572">
        <f t="shared" si="14"/>
        <v>439.19415722809777</v>
      </c>
      <c r="H122" s="572">
        <f t="shared" si="14"/>
        <v>401.50305044097098</v>
      </c>
      <c r="I122" s="572">
        <f t="shared" si="14"/>
        <v>403.71549560789282</v>
      </c>
      <c r="J122" s="572">
        <f t="shared" si="14"/>
        <v>403.04814133718725</v>
      </c>
      <c r="K122" s="572">
        <f t="shared" si="14"/>
        <v>371.65292899036558</v>
      </c>
      <c r="L122" s="572">
        <f t="shared" si="14"/>
        <v>409.70900128294818</v>
      </c>
      <c r="M122" s="572">
        <f t="shared" si="14"/>
        <v>393.14334319903008</v>
      </c>
      <c r="N122" s="572">
        <f t="shared" si="14"/>
        <v>393.28054794597585</v>
      </c>
      <c r="O122" s="572">
        <f t="shared" si="14"/>
        <v>382.69462486800023</v>
      </c>
      <c r="P122" s="572">
        <f t="shared" si="14"/>
        <v>375.70010853611791</v>
      </c>
      <c r="Q122" s="354">
        <f t="shared" si="12"/>
        <v>4909.4159026201442</v>
      </c>
      <c r="R122" s="1716"/>
    </row>
    <row r="123" spans="2:18" x14ac:dyDescent="0.25">
      <c r="B123" s="70">
        <v>5</v>
      </c>
      <c r="C123" s="28" t="s">
        <v>543</v>
      </c>
      <c r="D123" s="28"/>
      <c r="E123" s="485">
        <f>E122-E99</f>
        <v>0</v>
      </c>
      <c r="F123" s="485">
        <f>F122-F99</f>
        <v>0</v>
      </c>
      <c r="G123" s="485">
        <f t="shared" ref="G123:Q123" si="15">G122-G99</f>
        <v>0</v>
      </c>
      <c r="H123" s="485">
        <f t="shared" si="15"/>
        <v>0</v>
      </c>
      <c r="I123" s="485">
        <f t="shared" si="15"/>
        <v>0</v>
      </c>
      <c r="J123" s="485">
        <f t="shared" si="15"/>
        <v>0</v>
      </c>
      <c r="K123" s="485">
        <f t="shared" si="15"/>
        <v>0</v>
      </c>
      <c r="L123" s="485">
        <f t="shared" si="15"/>
        <v>0</v>
      </c>
      <c r="M123" s="485">
        <f t="shared" si="15"/>
        <v>0</v>
      </c>
      <c r="N123" s="485">
        <f t="shared" si="15"/>
        <v>0</v>
      </c>
      <c r="O123" s="485">
        <f t="shared" si="15"/>
        <v>0</v>
      </c>
      <c r="P123" s="485">
        <f t="shared" si="15"/>
        <v>0</v>
      </c>
      <c r="Q123" s="485">
        <f t="shared" si="15"/>
        <v>0</v>
      </c>
    </row>
    <row r="124" spans="2:18" x14ac:dyDescent="0.25">
      <c r="B124" s="148"/>
      <c r="C124" s="125"/>
      <c r="D124" s="125"/>
      <c r="E124" s="749"/>
      <c r="F124" s="496"/>
      <c r="G124" s="496"/>
      <c r="H124" s="496"/>
      <c r="I124" s="496"/>
      <c r="J124" s="496"/>
      <c r="K124" s="496"/>
      <c r="L124" s="496"/>
      <c r="M124" s="496"/>
      <c r="N124" s="496"/>
      <c r="O124" s="496"/>
      <c r="P124" s="496"/>
      <c r="Q124" s="496"/>
    </row>
    <row r="125" spans="2:18" x14ac:dyDescent="0.25">
      <c r="E125" s="375"/>
      <c r="F125" s="375"/>
      <c r="G125" s="375"/>
      <c r="H125" s="375"/>
      <c r="I125" s="375"/>
      <c r="J125" s="375"/>
      <c r="K125" s="375"/>
      <c r="L125" s="375"/>
      <c r="M125" s="375"/>
      <c r="N125" s="375"/>
      <c r="O125" s="375"/>
      <c r="P125" s="375"/>
      <c r="Q125" s="375"/>
    </row>
    <row r="126" spans="2:18" x14ac:dyDescent="0.25">
      <c r="B126" s="131" t="s">
        <v>836</v>
      </c>
      <c r="C126" s="120"/>
      <c r="D126" s="120"/>
      <c r="E126" s="486"/>
      <c r="F126" s="487"/>
      <c r="G126" s="486"/>
      <c r="H126" s="486"/>
      <c r="I126" s="486"/>
      <c r="J126" s="375"/>
      <c r="K126" s="375"/>
      <c r="L126" s="375"/>
      <c r="M126" s="375"/>
      <c r="N126" s="375"/>
      <c r="O126" s="375"/>
      <c r="P126" s="375"/>
      <c r="Q126" s="375"/>
    </row>
    <row r="127" spans="2:18" x14ac:dyDescent="0.25">
      <c r="B127" s="131"/>
      <c r="C127" s="120"/>
      <c r="D127" s="120"/>
      <c r="E127" s="486"/>
      <c r="F127" s="487"/>
      <c r="G127" s="486"/>
      <c r="H127" s="486"/>
      <c r="I127" s="486"/>
      <c r="J127" s="375"/>
      <c r="K127" s="375"/>
      <c r="L127" s="375"/>
      <c r="M127" s="375"/>
      <c r="N127" s="375"/>
      <c r="O127" s="375"/>
      <c r="P127" s="375"/>
      <c r="Q127" s="375"/>
    </row>
    <row r="128" spans="2:18" ht="28" x14ac:dyDescent="0.25">
      <c r="B128" s="214" t="s">
        <v>187</v>
      </c>
      <c r="C128" s="214" t="s">
        <v>50</v>
      </c>
      <c r="D128" s="214" t="s">
        <v>546</v>
      </c>
      <c r="E128" s="1428" t="s">
        <v>151</v>
      </c>
      <c r="F128" s="1428" t="s">
        <v>152</v>
      </c>
      <c r="G128" s="1428" t="s">
        <v>153</v>
      </c>
      <c r="H128" s="1428" t="s">
        <v>154</v>
      </c>
      <c r="I128" s="1428" t="s">
        <v>155</v>
      </c>
      <c r="J128" s="1428" t="s">
        <v>156</v>
      </c>
      <c r="K128" s="1428" t="s">
        <v>157</v>
      </c>
      <c r="L128" s="1428" t="s">
        <v>158</v>
      </c>
      <c r="M128" s="1428" t="s">
        <v>159</v>
      </c>
      <c r="N128" s="1428" t="s">
        <v>160</v>
      </c>
      <c r="O128" s="1428" t="s">
        <v>161</v>
      </c>
      <c r="P128" s="1428" t="s">
        <v>162</v>
      </c>
      <c r="Q128" s="1428" t="s">
        <v>145</v>
      </c>
    </row>
    <row r="129" spans="2:17" s="242" customFormat="1" x14ac:dyDescent="0.25">
      <c r="B129" s="124"/>
      <c r="C129" s="124"/>
      <c r="D129" s="124"/>
      <c r="E129" s="373"/>
      <c r="F129" s="373"/>
      <c r="G129" s="373"/>
      <c r="H129" s="373"/>
      <c r="I129" s="373"/>
      <c r="J129" s="373"/>
      <c r="K129" s="373"/>
      <c r="L129" s="373"/>
      <c r="M129" s="373"/>
      <c r="N129" s="373"/>
      <c r="O129" s="373"/>
      <c r="P129" s="373"/>
      <c r="Q129" s="373"/>
    </row>
    <row r="130" spans="2:17" s="242" customFormat="1" x14ac:dyDescent="0.25">
      <c r="B130" s="124" t="s">
        <v>419</v>
      </c>
      <c r="C130" s="124" t="s">
        <v>539</v>
      </c>
      <c r="D130" s="124"/>
      <c r="E130" s="373"/>
      <c r="F130" s="373"/>
      <c r="G130" s="373"/>
      <c r="H130" s="373"/>
      <c r="I130" s="373"/>
      <c r="J130" s="373"/>
      <c r="K130" s="373"/>
      <c r="L130" s="373"/>
      <c r="M130" s="373"/>
      <c r="N130" s="373"/>
      <c r="O130" s="373"/>
      <c r="P130" s="373"/>
      <c r="Q130" s="373"/>
    </row>
    <row r="131" spans="2:17" x14ac:dyDescent="0.25">
      <c r="B131" s="69">
        <v>1</v>
      </c>
      <c r="C131" s="210" t="s">
        <v>485</v>
      </c>
      <c r="D131" s="244"/>
      <c r="E131" s="485">
        <f>'Sales Forecast'!D74</f>
        <v>387.27840528059994</v>
      </c>
      <c r="F131" s="485">
        <f>'Sales Forecast'!E74</f>
        <v>442.92927927350001</v>
      </c>
      <c r="G131" s="485">
        <f>'Sales Forecast'!F74</f>
        <v>423.44081104380001</v>
      </c>
      <c r="H131" s="485">
        <f>'Sales Forecast'!G74</f>
        <v>392.4766214907001</v>
      </c>
      <c r="I131" s="485">
        <f>'Sales Forecast'!H74</f>
        <v>386.3322188834</v>
      </c>
      <c r="J131" s="485">
        <f>'Sales Forecast'!I74</f>
        <v>385.39331527960007</v>
      </c>
      <c r="K131" s="485">
        <f>'Sales Forecast'!J74</f>
        <v>410.53163317302756</v>
      </c>
      <c r="L131" s="485">
        <f>'Sales Forecast'!K74</f>
        <v>431.09251274193713</v>
      </c>
      <c r="M131" s="485">
        <f>'Sales Forecast'!L74</f>
        <v>382.75151923506365</v>
      </c>
      <c r="N131" s="485">
        <f>'Sales Forecast'!M74</f>
        <v>338.18699929224351</v>
      </c>
      <c r="O131" s="485">
        <f>'Sales Forecast'!N74</f>
        <v>292.42618193254805</v>
      </c>
      <c r="P131" s="485">
        <f>'Sales Forecast'!O74</f>
        <v>306.757264969228</v>
      </c>
      <c r="Q131" s="354">
        <f>SUM(E131:P131)</f>
        <v>4579.5967625956491</v>
      </c>
    </row>
    <row r="132" spans="2:17" x14ac:dyDescent="0.25">
      <c r="B132" s="69">
        <v>2</v>
      </c>
      <c r="C132" s="210" t="s">
        <v>538</v>
      </c>
      <c r="D132" s="244"/>
      <c r="E132" s="1692">
        <f>E131/(1-3.18%)/(1-4.43%)</f>
        <v>418.53965983353834</v>
      </c>
      <c r="F132" s="1692">
        <f t="shared" ref="F132:P132" si="16">F131/(1-3.18%)/(1-4.43%)</f>
        <v>478.682692733995</v>
      </c>
      <c r="G132" s="1692">
        <f t="shared" si="16"/>
        <v>457.62110821929554</v>
      </c>
      <c r="H132" s="1692">
        <f t="shared" si="16"/>
        <v>424.15747795778969</v>
      </c>
      <c r="I132" s="1692">
        <f t="shared" si="16"/>
        <v>417.5170969242115</v>
      </c>
      <c r="J132" s="1692">
        <f t="shared" si="16"/>
        <v>416.50240467803218</v>
      </c>
      <c r="K132" s="1692">
        <f t="shared" si="16"/>
        <v>443.66989678820886</v>
      </c>
      <c r="L132" s="1692">
        <f t="shared" si="16"/>
        <v>465.89045807774079</v>
      </c>
      <c r="M132" s="1692">
        <f t="shared" si="16"/>
        <v>413.64736189032828</v>
      </c>
      <c r="N132" s="1692">
        <f t="shared" si="16"/>
        <v>365.48557759461295</v>
      </c>
      <c r="O132" s="1692">
        <f t="shared" si="16"/>
        <v>316.03093031688871</v>
      </c>
      <c r="P132" s="1692">
        <f t="shared" si="16"/>
        <v>331.5188236190528</v>
      </c>
      <c r="Q132" s="1693">
        <f>SUM(E132:P132)</f>
        <v>4949.2634886336946</v>
      </c>
    </row>
    <row r="133" spans="2:17" x14ac:dyDescent="0.25">
      <c r="B133" s="69"/>
      <c r="C133" s="210"/>
      <c r="D133" s="210"/>
      <c r="E133" s="485"/>
      <c r="F133" s="485"/>
      <c r="G133" s="485"/>
      <c r="H133" s="485"/>
      <c r="I133" s="485"/>
      <c r="J133" s="485"/>
      <c r="K133" s="485"/>
      <c r="L133" s="485"/>
      <c r="M133" s="485"/>
      <c r="N133" s="485"/>
      <c r="O133" s="485"/>
      <c r="P133" s="485"/>
      <c r="Q133" s="353"/>
    </row>
    <row r="134" spans="2:17" x14ac:dyDescent="0.25">
      <c r="B134" s="124" t="s">
        <v>540</v>
      </c>
      <c r="C134" s="213" t="s">
        <v>549</v>
      </c>
      <c r="D134" s="213"/>
      <c r="E134" s="485"/>
      <c r="F134" s="353"/>
      <c r="G134" s="353"/>
      <c r="H134" s="353"/>
      <c r="I134" s="353"/>
      <c r="J134" s="353"/>
      <c r="K134" s="353"/>
      <c r="L134" s="353"/>
      <c r="M134" s="353"/>
      <c r="N134" s="353"/>
      <c r="O134" s="353"/>
      <c r="P134" s="353"/>
      <c r="Q134" s="353"/>
    </row>
    <row r="135" spans="2:17" x14ac:dyDescent="0.25">
      <c r="B135" s="70">
        <v>1</v>
      </c>
      <c r="C135" s="213" t="s">
        <v>422</v>
      </c>
      <c r="D135" s="213"/>
      <c r="E135" s="485"/>
      <c r="F135" s="353"/>
      <c r="G135" s="353"/>
      <c r="H135" s="353"/>
      <c r="I135" s="353"/>
      <c r="J135" s="353"/>
      <c r="K135" s="353"/>
      <c r="L135" s="353"/>
      <c r="M135" s="353"/>
      <c r="N135" s="353"/>
      <c r="O135" s="353"/>
      <c r="P135" s="353"/>
      <c r="Q135" s="353"/>
    </row>
    <row r="136" spans="2:17" x14ac:dyDescent="0.3">
      <c r="B136" s="69">
        <v>1.1000000000000001</v>
      </c>
      <c r="C136" s="1734" t="s">
        <v>922</v>
      </c>
      <c r="D136" s="413">
        <f>'F2'!M351</f>
        <v>4.9983565830854992</v>
      </c>
      <c r="E136" s="485">
        <f>SUM(E137:E140)</f>
        <v>218.71234168428489</v>
      </c>
      <c r="F136" s="485">
        <f t="shared" ref="F136:P136" si="17">SUM(F137:F140)</f>
        <v>226.00275307376108</v>
      </c>
      <c r="G136" s="485">
        <f t="shared" si="17"/>
        <v>218.71234168428489</v>
      </c>
      <c r="H136" s="485">
        <f t="shared" si="17"/>
        <v>226.00275307376108</v>
      </c>
      <c r="I136" s="485">
        <f t="shared" si="17"/>
        <v>226.00275307376108</v>
      </c>
      <c r="J136" s="485">
        <f t="shared" si="17"/>
        <v>218.71234168428489</v>
      </c>
      <c r="K136" s="485">
        <f t="shared" si="17"/>
        <v>226.00275307376108</v>
      </c>
      <c r="L136" s="485">
        <f t="shared" si="17"/>
        <v>218.71234168428489</v>
      </c>
      <c r="M136" s="485">
        <f t="shared" si="17"/>
        <v>218.71234168428489</v>
      </c>
      <c r="N136" s="485">
        <f t="shared" si="17"/>
        <v>226.00275307376108</v>
      </c>
      <c r="O136" s="485">
        <f t="shared" si="17"/>
        <v>211.42254814804986</v>
      </c>
      <c r="P136" s="485">
        <f t="shared" si="17"/>
        <v>226.00645647376109</v>
      </c>
      <c r="Q136" s="354">
        <f t="shared" ref="Q136:Q155" si="18">SUM(E136:P136)</f>
        <v>2661.004478412041</v>
      </c>
    </row>
    <row r="137" spans="2:17" x14ac:dyDescent="0.25">
      <c r="B137" s="69"/>
      <c r="C137" s="413" t="s">
        <v>1799</v>
      </c>
      <c r="D137" s="413"/>
      <c r="E137" s="485">
        <f>E317*65.9824%</f>
        <v>103.31537388479998</v>
      </c>
      <c r="F137" s="485">
        <f t="shared" ref="F137:P137" si="19">F317*65.9824%</f>
        <v>106.75921968095999</v>
      </c>
      <c r="G137" s="485">
        <f t="shared" si="19"/>
        <v>103.31537388479998</v>
      </c>
      <c r="H137" s="485">
        <f t="shared" si="19"/>
        <v>106.75921968095999</v>
      </c>
      <c r="I137" s="485">
        <f t="shared" si="19"/>
        <v>106.75921968095999</v>
      </c>
      <c r="J137" s="485">
        <f t="shared" si="19"/>
        <v>103.31537388479998</v>
      </c>
      <c r="K137" s="485">
        <f t="shared" si="19"/>
        <v>106.75921968095999</v>
      </c>
      <c r="L137" s="485">
        <f t="shared" si="19"/>
        <v>103.31537388479998</v>
      </c>
      <c r="M137" s="485">
        <f t="shared" si="19"/>
        <v>103.31537388479998</v>
      </c>
      <c r="N137" s="485">
        <f t="shared" si="19"/>
        <v>106.75921968095999</v>
      </c>
      <c r="O137" s="485">
        <f t="shared" si="19"/>
        <v>99.871528088639977</v>
      </c>
      <c r="P137" s="485">
        <f t="shared" si="19"/>
        <v>106.75921968095999</v>
      </c>
      <c r="Q137" s="354">
        <f t="shared" si="18"/>
        <v>1257.0037155984</v>
      </c>
    </row>
    <row r="138" spans="2:17" x14ac:dyDescent="0.25">
      <c r="B138" s="69"/>
      <c r="C138" s="413" t="s">
        <v>1800</v>
      </c>
      <c r="D138" s="413"/>
      <c r="E138" s="485">
        <f>E318*37.034%</f>
        <v>20.876554648799999</v>
      </c>
      <c r="F138" s="485">
        <f t="shared" ref="F138:P138" si="20">F318*37.034%</f>
        <v>21.572439803759998</v>
      </c>
      <c r="G138" s="485">
        <f t="shared" si="20"/>
        <v>20.876554648799999</v>
      </c>
      <c r="H138" s="485">
        <f t="shared" si="20"/>
        <v>21.572439803759998</v>
      </c>
      <c r="I138" s="485">
        <f t="shared" si="20"/>
        <v>21.572439803759998</v>
      </c>
      <c r="J138" s="485">
        <f t="shared" si="20"/>
        <v>20.876554648799999</v>
      </c>
      <c r="K138" s="485">
        <f t="shared" si="20"/>
        <v>21.572439803759998</v>
      </c>
      <c r="L138" s="485">
        <f t="shared" si="20"/>
        <v>20.876554648799999</v>
      </c>
      <c r="M138" s="485">
        <f t="shared" si="20"/>
        <v>20.876554648799999</v>
      </c>
      <c r="N138" s="485">
        <f t="shared" si="20"/>
        <v>21.572439803759998</v>
      </c>
      <c r="O138" s="485">
        <f t="shared" si="20"/>
        <v>20.180906913481103</v>
      </c>
      <c r="P138" s="485">
        <f t="shared" si="20"/>
        <v>21.576143203759997</v>
      </c>
      <c r="Q138" s="354">
        <f t="shared" si="18"/>
        <v>254.00202238004113</v>
      </c>
    </row>
    <row r="139" spans="2:17" x14ac:dyDescent="0.25">
      <c r="B139" s="69"/>
      <c r="C139" s="413" t="s">
        <v>1801</v>
      </c>
      <c r="D139" s="413"/>
      <c r="E139" s="485">
        <f>E319*54.66%</f>
        <v>33.451919999999994</v>
      </c>
      <c r="F139" s="485">
        <f t="shared" ref="F139:P139" si="21">F319*54.66%</f>
        <v>34.566983999999998</v>
      </c>
      <c r="G139" s="485">
        <f t="shared" si="21"/>
        <v>33.451919999999994</v>
      </c>
      <c r="H139" s="485">
        <f t="shared" si="21"/>
        <v>34.566983999999998</v>
      </c>
      <c r="I139" s="485">
        <f t="shared" si="21"/>
        <v>34.566983999999998</v>
      </c>
      <c r="J139" s="485">
        <f t="shared" si="21"/>
        <v>33.451919999999994</v>
      </c>
      <c r="K139" s="485">
        <f t="shared" si="21"/>
        <v>34.566983999999998</v>
      </c>
      <c r="L139" s="485">
        <f t="shared" si="21"/>
        <v>33.451919999999994</v>
      </c>
      <c r="M139" s="485">
        <f t="shared" si="21"/>
        <v>33.451919999999994</v>
      </c>
      <c r="N139" s="485">
        <f t="shared" si="21"/>
        <v>34.566983999999998</v>
      </c>
      <c r="O139" s="485">
        <f t="shared" si="21"/>
        <v>32.337236433599998</v>
      </c>
      <c r="P139" s="485">
        <f t="shared" si="21"/>
        <v>34.566983999999998</v>
      </c>
      <c r="Q139" s="354">
        <f t="shared" si="18"/>
        <v>406.99874043359995</v>
      </c>
    </row>
    <row r="140" spans="2:17" x14ac:dyDescent="0.25">
      <c r="B140" s="69"/>
      <c r="C140" s="413" t="s">
        <v>1811</v>
      </c>
      <c r="D140" s="413"/>
      <c r="E140" s="485">
        <f>E320</f>
        <v>61.068493150684922</v>
      </c>
      <c r="F140" s="485">
        <f t="shared" ref="F140:P140" si="22">F320</f>
        <v>63.104109589041101</v>
      </c>
      <c r="G140" s="485">
        <f t="shared" si="22"/>
        <v>61.068493150684922</v>
      </c>
      <c r="H140" s="485">
        <f t="shared" si="22"/>
        <v>63.104109589041101</v>
      </c>
      <c r="I140" s="485">
        <f t="shared" si="22"/>
        <v>63.104109589041101</v>
      </c>
      <c r="J140" s="485">
        <f t="shared" si="22"/>
        <v>61.068493150684922</v>
      </c>
      <c r="K140" s="485">
        <f t="shared" si="22"/>
        <v>63.104109589041101</v>
      </c>
      <c r="L140" s="485">
        <f t="shared" si="22"/>
        <v>61.068493150684922</v>
      </c>
      <c r="M140" s="485">
        <f t="shared" si="22"/>
        <v>61.068493150684922</v>
      </c>
      <c r="N140" s="485">
        <f t="shared" si="22"/>
        <v>63.104109589041101</v>
      </c>
      <c r="O140" s="485">
        <f t="shared" si="22"/>
        <v>59.032876712328772</v>
      </c>
      <c r="P140" s="485">
        <f t="shared" si="22"/>
        <v>63.104109589041101</v>
      </c>
      <c r="Q140" s="354">
        <f t="shared" si="18"/>
        <v>742.99999999999989</v>
      </c>
    </row>
    <row r="141" spans="2:17" x14ac:dyDescent="0.25">
      <c r="B141" s="69"/>
      <c r="C141" s="413"/>
      <c r="D141" s="413"/>
      <c r="E141" s="485"/>
      <c r="F141" s="353"/>
      <c r="G141" s="353"/>
      <c r="H141" s="353"/>
      <c r="I141" s="353"/>
      <c r="J141" s="353"/>
      <c r="K141" s="353"/>
      <c r="L141" s="353"/>
      <c r="M141" s="353"/>
      <c r="N141" s="353"/>
      <c r="O141" s="353"/>
      <c r="P141" s="353"/>
      <c r="Q141" s="354">
        <f t="shared" si="18"/>
        <v>0</v>
      </c>
    </row>
    <row r="142" spans="2:17" ht="28" x14ac:dyDescent="0.25">
      <c r="B142" s="69">
        <v>1.2</v>
      </c>
      <c r="C142" s="748" t="s">
        <v>1332</v>
      </c>
      <c r="D142" s="413">
        <f>'F2'!M352</f>
        <v>8.5600000000000023</v>
      </c>
      <c r="E142" s="485">
        <f>E322</f>
        <v>2.8800000000000003</v>
      </c>
      <c r="F142" s="485">
        <f t="shared" ref="F142:P142" si="23">F322</f>
        <v>2.9016000000000002</v>
      </c>
      <c r="G142" s="485">
        <f t="shared" si="23"/>
        <v>2.6496</v>
      </c>
      <c r="H142" s="485">
        <f t="shared" si="23"/>
        <v>1.9344000000000001</v>
      </c>
      <c r="I142" s="485">
        <f t="shared" si="23"/>
        <v>2.0832000000000002</v>
      </c>
      <c r="J142" s="485">
        <f t="shared" si="23"/>
        <v>2.0160000000000005</v>
      </c>
      <c r="K142" s="485">
        <f t="shared" si="23"/>
        <v>2.9760000000000004</v>
      </c>
      <c r="L142" s="485">
        <f t="shared" si="23"/>
        <v>2.3040000000000003</v>
      </c>
      <c r="M142" s="485">
        <f t="shared" si="23"/>
        <v>2.4480000000000004</v>
      </c>
      <c r="N142" s="485">
        <f t="shared" si="23"/>
        <v>2.9760000000000004</v>
      </c>
      <c r="O142" s="485">
        <f t="shared" si="23"/>
        <v>3.0625392000000002</v>
      </c>
      <c r="P142" s="485">
        <f t="shared" si="23"/>
        <v>3.2736000000000001</v>
      </c>
      <c r="Q142" s="354">
        <f t="shared" si="18"/>
        <v>31.504939199999995</v>
      </c>
    </row>
    <row r="143" spans="2:17" x14ac:dyDescent="0.25">
      <c r="B143" s="69"/>
      <c r="C143" s="77"/>
      <c r="D143" s="413">
        <f>'F2'!M353</f>
        <v>0</v>
      </c>
      <c r="E143" s="485"/>
      <c r="F143" s="353"/>
      <c r="G143" s="353"/>
      <c r="H143" s="353"/>
      <c r="I143" s="353"/>
      <c r="J143" s="353"/>
      <c r="K143" s="353"/>
      <c r="L143" s="353"/>
      <c r="M143" s="353"/>
      <c r="N143" s="353"/>
      <c r="O143" s="353"/>
      <c r="P143" s="353"/>
      <c r="Q143" s="354">
        <f t="shared" si="18"/>
        <v>0</v>
      </c>
    </row>
    <row r="144" spans="2:17" x14ac:dyDescent="0.25">
      <c r="B144" s="70">
        <v>2</v>
      </c>
      <c r="C144" s="213" t="s">
        <v>423</v>
      </c>
      <c r="D144" s="413">
        <f>'F2'!M354</f>
        <v>0</v>
      </c>
      <c r="E144" s="485"/>
      <c r="F144" s="353"/>
      <c r="G144" s="353"/>
      <c r="H144" s="353"/>
      <c r="I144" s="353"/>
      <c r="J144" s="353"/>
      <c r="K144" s="353"/>
      <c r="L144" s="353"/>
      <c r="M144" s="353"/>
      <c r="N144" s="353"/>
      <c r="O144" s="353"/>
      <c r="P144" s="353"/>
      <c r="Q144" s="354">
        <f t="shared" si="18"/>
        <v>0</v>
      </c>
    </row>
    <row r="145" spans="2:17" x14ac:dyDescent="0.25">
      <c r="B145" s="69">
        <v>2.1</v>
      </c>
      <c r="C145" s="748" t="s">
        <v>933</v>
      </c>
      <c r="D145" s="413">
        <f>'F2'!M355</f>
        <v>2.262630768580419</v>
      </c>
      <c r="E145" s="485">
        <f>E325</f>
        <v>61.199999999999996</v>
      </c>
      <c r="F145" s="485">
        <f t="shared" ref="F145:P146" si="24">F325</f>
        <v>63.24</v>
      </c>
      <c r="G145" s="485">
        <f t="shared" si="24"/>
        <v>61.199999999999996</v>
      </c>
      <c r="H145" s="485">
        <f t="shared" si="24"/>
        <v>63.24</v>
      </c>
      <c r="I145" s="485">
        <f t="shared" si="24"/>
        <v>63.24</v>
      </c>
      <c r="J145" s="485">
        <f t="shared" si="24"/>
        <v>61.199999999999996</v>
      </c>
      <c r="K145" s="485">
        <f t="shared" si="24"/>
        <v>63.24</v>
      </c>
      <c r="L145" s="485">
        <f t="shared" si="24"/>
        <v>61.199999999999996</v>
      </c>
      <c r="M145" s="485">
        <f t="shared" si="24"/>
        <v>61.199999999999996</v>
      </c>
      <c r="N145" s="485">
        <f t="shared" si="24"/>
        <v>63.24</v>
      </c>
      <c r="O145" s="485">
        <f t="shared" si="24"/>
        <v>59.16</v>
      </c>
      <c r="P145" s="485">
        <f t="shared" si="24"/>
        <v>63.24</v>
      </c>
      <c r="Q145" s="354">
        <f t="shared" si="18"/>
        <v>744.6</v>
      </c>
    </row>
    <row r="146" spans="2:17" x14ac:dyDescent="0.25">
      <c r="B146" s="69">
        <v>2.2000000000000002</v>
      </c>
      <c r="C146" s="77" t="s">
        <v>1630</v>
      </c>
      <c r="D146" s="413">
        <f>'F2'!M356</f>
        <v>2.262630768580419</v>
      </c>
      <c r="E146" s="485">
        <f>E326</f>
        <v>0</v>
      </c>
      <c r="F146" s="485">
        <f t="shared" si="24"/>
        <v>0</v>
      </c>
      <c r="G146" s="485">
        <f t="shared" si="24"/>
        <v>0</v>
      </c>
      <c r="H146" s="485">
        <f t="shared" si="24"/>
        <v>0</v>
      </c>
      <c r="I146" s="485">
        <f t="shared" si="24"/>
        <v>0</v>
      </c>
      <c r="J146" s="485">
        <f t="shared" si="24"/>
        <v>0</v>
      </c>
      <c r="K146" s="485">
        <f t="shared" si="24"/>
        <v>0</v>
      </c>
      <c r="L146" s="485">
        <f t="shared" si="24"/>
        <v>0</v>
      </c>
      <c r="M146" s="485">
        <f t="shared" si="24"/>
        <v>0</v>
      </c>
      <c r="N146" s="485">
        <f t="shared" si="24"/>
        <v>63.24</v>
      </c>
      <c r="O146" s="485">
        <f t="shared" si="24"/>
        <v>59.16</v>
      </c>
      <c r="P146" s="485">
        <f t="shared" si="24"/>
        <v>63.24</v>
      </c>
      <c r="Q146" s="354">
        <f t="shared" si="18"/>
        <v>185.64000000000001</v>
      </c>
    </row>
    <row r="147" spans="2:17" x14ac:dyDescent="0.25">
      <c r="B147" s="69"/>
      <c r="C147" s="77"/>
      <c r="D147" s="413">
        <f>'F2'!M357</f>
        <v>0</v>
      </c>
      <c r="E147" s="485"/>
      <c r="F147" s="353"/>
      <c r="G147" s="353"/>
      <c r="H147" s="353"/>
      <c r="I147" s="353"/>
      <c r="J147" s="353"/>
      <c r="K147" s="353"/>
      <c r="L147" s="353"/>
      <c r="M147" s="353"/>
      <c r="N147" s="353"/>
      <c r="O147" s="353"/>
      <c r="P147" s="353"/>
      <c r="Q147" s="354">
        <f t="shared" si="18"/>
        <v>0</v>
      </c>
    </row>
    <row r="148" spans="2:17" x14ac:dyDescent="0.25">
      <c r="B148" s="70">
        <v>3</v>
      </c>
      <c r="C148" s="213" t="s">
        <v>424</v>
      </c>
      <c r="D148" s="413">
        <f>'F2'!M358</f>
        <v>0</v>
      </c>
      <c r="E148" s="485"/>
      <c r="F148" s="353"/>
      <c r="G148" s="353"/>
      <c r="H148" s="353"/>
      <c r="I148" s="353"/>
      <c r="J148" s="353"/>
      <c r="K148" s="353"/>
      <c r="L148" s="353"/>
      <c r="M148" s="353"/>
      <c r="N148" s="353"/>
      <c r="O148" s="353"/>
      <c r="P148" s="353"/>
      <c r="Q148" s="354">
        <f t="shared" si="18"/>
        <v>0</v>
      </c>
    </row>
    <row r="149" spans="2:17" x14ac:dyDescent="0.25">
      <c r="B149" s="69">
        <v>3.1</v>
      </c>
      <c r="C149" s="77" t="s">
        <v>1989</v>
      </c>
      <c r="D149" s="413">
        <f>'F2'!M359</f>
        <v>4.32</v>
      </c>
      <c r="E149" s="485">
        <f>E329</f>
        <v>18.543376939964048</v>
      </c>
      <c r="F149" s="485">
        <f t="shared" ref="F149:P149" si="25">F329</f>
        <v>18.682452267013776</v>
      </c>
      <c r="G149" s="485">
        <f t="shared" si="25"/>
        <v>17.059906784766923</v>
      </c>
      <c r="H149" s="485">
        <f t="shared" si="25"/>
        <v>12.454968178009185</v>
      </c>
      <c r="I149" s="485">
        <f t="shared" si="25"/>
        <v>13.413042653240661</v>
      </c>
      <c r="J149" s="485">
        <f t="shared" si="25"/>
        <v>12.980363857974833</v>
      </c>
      <c r="K149" s="485">
        <f t="shared" si="25"/>
        <v>19.161489504629518</v>
      </c>
      <c r="L149" s="485">
        <f t="shared" si="25"/>
        <v>14.834701551971238</v>
      </c>
      <c r="M149" s="485">
        <f t="shared" si="25"/>
        <v>15.761870398969441</v>
      </c>
      <c r="N149" s="485">
        <f t="shared" si="25"/>
        <v>19.161489504629518</v>
      </c>
      <c r="O149" s="485">
        <f t="shared" si="25"/>
        <v>19.7186870760472</v>
      </c>
      <c r="P149" s="485">
        <f t="shared" si="25"/>
        <v>21.077638455092465</v>
      </c>
      <c r="Q149" s="354">
        <f t="shared" si="18"/>
        <v>202.84998717230877</v>
      </c>
    </row>
    <row r="150" spans="2:17" x14ac:dyDescent="0.25">
      <c r="B150" s="69">
        <v>3.2</v>
      </c>
      <c r="C150" s="77" t="s">
        <v>1990</v>
      </c>
      <c r="D150" s="413">
        <f>'F2'!M360</f>
        <v>4.32</v>
      </c>
      <c r="E150" s="485">
        <f>E330</f>
        <v>18.258978829389864</v>
      </c>
      <c r="F150" s="485">
        <f t="shared" ref="F150:P150" si="26">F330</f>
        <v>18.867611457036197</v>
      </c>
      <c r="G150" s="485">
        <f t="shared" si="26"/>
        <v>18.258978829389864</v>
      </c>
      <c r="H150" s="485">
        <f t="shared" si="26"/>
        <v>18.867611457036197</v>
      </c>
      <c r="I150" s="485">
        <f t="shared" si="26"/>
        <v>18.867611457036197</v>
      </c>
      <c r="J150" s="485">
        <f t="shared" si="26"/>
        <v>18.258978829389864</v>
      </c>
      <c r="K150" s="485">
        <f t="shared" si="26"/>
        <v>18.867611457036197</v>
      </c>
      <c r="L150" s="485">
        <f t="shared" si="26"/>
        <v>18.258978829389864</v>
      </c>
      <c r="M150" s="485">
        <f t="shared" si="26"/>
        <v>18.258978829389864</v>
      </c>
      <c r="N150" s="485">
        <f t="shared" si="26"/>
        <v>18.867611457036197</v>
      </c>
      <c r="O150" s="485">
        <f t="shared" si="26"/>
        <v>17.650346201743538</v>
      </c>
      <c r="P150" s="485">
        <f t="shared" si="26"/>
        <v>18.867611457036197</v>
      </c>
      <c r="Q150" s="354">
        <f t="shared" si="18"/>
        <v>222.15090909091001</v>
      </c>
    </row>
    <row r="151" spans="2:17" x14ac:dyDescent="0.25">
      <c r="B151" s="69">
        <v>3.3</v>
      </c>
      <c r="C151" s="77" t="s">
        <v>1812</v>
      </c>
      <c r="D151" s="413">
        <f>'F2'!M361</f>
        <v>5.6609285012009121</v>
      </c>
      <c r="E151" s="485">
        <f>E331</f>
        <v>61.199999999999996</v>
      </c>
      <c r="F151" s="485">
        <f t="shared" ref="F151:P151" si="27">F331</f>
        <v>63.24</v>
      </c>
      <c r="G151" s="485">
        <f t="shared" si="27"/>
        <v>61.199999999999996</v>
      </c>
      <c r="H151" s="485">
        <f t="shared" si="27"/>
        <v>63.24</v>
      </c>
      <c r="I151" s="485">
        <f t="shared" si="27"/>
        <v>63.24</v>
      </c>
      <c r="J151" s="485">
        <f t="shared" si="27"/>
        <v>61.199999999999996</v>
      </c>
      <c r="K151" s="485">
        <f t="shared" si="27"/>
        <v>63.24</v>
      </c>
      <c r="L151" s="485">
        <f t="shared" si="27"/>
        <v>61.199999999999996</v>
      </c>
      <c r="M151" s="485">
        <f t="shared" si="27"/>
        <v>61.199999999999996</v>
      </c>
      <c r="N151" s="485">
        <f t="shared" si="27"/>
        <v>63.24</v>
      </c>
      <c r="O151" s="485">
        <f t="shared" si="27"/>
        <v>0</v>
      </c>
      <c r="P151" s="485">
        <f t="shared" si="27"/>
        <v>0</v>
      </c>
      <c r="Q151" s="354">
        <f t="shared" si="18"/>
        <v>622.20000000000005</v>
      </c>
    </row>
    <row r="152" spans="2:17" x14ac:dyDescent="0.25">
      <c r="B152" s="69">
        <v>3.4</v>
      </c>
      <c r="C152" s="77" t="s">
        <v>1813</v>
      </c>
      <c r="D152" s="413">
        <f>'F2'!M362</f>
        <v>4.5875294727666818</v>
      </c>
      <c r="E152" s="485">
        <f>E132-SUM(E137:E151)</f>
        <v>37.744962379899505</v>
      </c>
      <c r="F152" s="485">
        <f t="shared" ref="F152:P152" si="28">F132-SUM(F137:F151)</f>
        <v>85.748275936183916</v>
      </c>
      <c r="G152" s="485">
        <f t="shared" si="28"/>
        <v>78.540280920853888</v>
      </c>
      <c r="H152" s="485">
        <f t="shared" si="28"/>
        <v>38.417745248983181</v>
      </c>
      <c r="I152" s="485">
        <f t="shared" si="28"/>
        <v>30.670489740173537</v>
      </c>
      <c r="J152" s="485">
        <f t="shared" si="28"/>
        <v>42.134720306382576</v>
      </c>
      <c r="K152" s="485">
        <f t="shared" si="28"/>
        <v>50.182042752782024</v>
      </c>
      <c r="L152" s="485">
        <f t="shared" si="28"/>
        <v>89.380436012094776</v>
      </c>
      <c r="M152" s="485">
        <f t="shared" si="28"/>
        <v>36.066170977684067</v>
      </c>
      <c r="N152" s="485">
        <f t="shared" si="28"/>
        <v>-91.242276440813896</v>
      </c>
      <c r="O152" s="485">
        <f t="shared" si="28"/>
        <v>-54.143190308951887</v>
      </c>
      <c r="P152" s="485">
        <f t="shared" si="28"/>
        <v>-64.186482766837003</v>
      </c>
      <c r="Q152" s="354">
        <f t="shared" si="18"/>
        <v>279.31317475843468</v>
      </c>
    </row>
    <row r="153" spans="2:17" x14ac:dyDescent="0.25">
      <c r="B153" s="69"/>
      <c r="C153" s="77"/>
      <c r="D153" s="213"/>
      <c r="E153" s="485"/>
      <c r="F153" s="353"/>
      <c r="G153" s="353"/>
      <c r="H153" s="353"/>
      <c r="I153" s="353"/>
      <c r="J153" s="353"/>
      <c r="K153" s="353"/>
      <c r="L153" s="353"/>
      <c r="M153" s="353"/>
      <c r="N153" s="353"/>
      <c r="O153" s="353"/>
      <c r="P153" s="353"/>
      <c r="Q153" s="354">
        <f t="shared" si="18"/>
        <v>0</v>
      </c>
    </row>
    <row r="154" spans="2:17" s="22" customFormat="1" x14ac:dyDescent="0.25">
      <c r="B154" s="70">
        <v>4</v>
      </c>
      <c r="C154" s="807" t="s">
        <v>541</v>
      </c>
      <c r="D154" s="213"/>
      <c r="E154" s="572">
        <f>SUM(E137:E153)</f>
        <v>418.53965983353834</v>
      </c>
      <c r="F154" s="572">
        <f t="shared" ref="F154:Q154" si="29">SUM(F137:F153)</f>
        <v>478.682692733995</v>
      </c>
      <c r="G154" s="572">
        <f t="shared" si="29"/>
        <v>457.62110821929554</v>
      </c>
      <c r="H154" s="572">
        <f t="shared" si="29"/>
        <v>424.15747795778969</v>
      </c>
      <c r="I154" s="572">
        <f t="shared" si="29"/>
        <v>417.5170969242115</v>
      </c>
      <c r="J154" s="572">
        <f t="shared" si="29"/>
        <v>416.50240467803218</v>
      </c>
      <c r="K154" s="572">
        <f t="shared" si="29"/>
        <v>443.66989678820886</v>
      </c>
      <c r="L154" s="572">
        <f t="shared" si="29"/>
        <v>465.89045807774079</v>
      </c>
      <c r="M154" s="572">
        <f t="shared" si="29"/>
        <v>413.64736189032828</v>
      </c>
      <c r="N154" s="572">
        <f t="shared" si="29"/>
        <v>365.48557759461295</v>
      </c>
      <c r="O154" s="572">
        <f t="shared" si="29"/>
        <v>316.03093031688871</v>
      </c>
      <c r="P154" s="572">
        <f t="shared" si="29"/>
        <v>331.5188236190528</v>
      </c>
      <c r="Q154" s="572">
        <f t="shared" si="29"/>
        <v>4949.2634886336946</v>
      </c>
    </row>
    <row r="155" spans="2:17" x14ac:dyDescent="0.25">
      <c r="B155" s="70">
        <v>5</v>
      </c>
      <c r="C155" s="807" t="s">
        <v>543</v>
      </c>
      <c r="D155" s="77"/>
      <c r="E155" s="485">
        <f>E154-E132</f>
        <v>0</v>
      </c>
      <c r="F155" s="485">
        <f t="shared" ref="F155:P155" si="30">F154-F132</f>
        <v>0</v>
      </c>
      <c r="G155" s="485">
        <f t="shared" si="30"/>
        <v>0</v>
      </c>
      <c r="H155" s="485">
        <f t="shared" si="30"/>
        <v>0</v>
      </c>
      <c r="I155" s="485">
        <f t="shared" si="30"/>
        <v>0</v>
      </c>
      <c r="J155" s="485">
        <f t="shared" si="30"/>
        <v>0</v>
      </c>
      <c r="K155" s="485">
        <f t="shared" si="30"/>
        <v>0</v>
      </c>
      <c r="L155" s="485">
        <f t="shared" si="30"/>
        <v>0</v>
      </c>
      <c r="M155" s="485">
        <f t="shared" si="30"/>
        <v>0</v>
      </c>
      <c r="N155" s="485">
        <f t="shared" si="30"/>
        <v>0</v>
      </c>
      <c r="O155" s="485">
        <f t="shared" si="30"/>
        <v>0</v>
      </c>
      <c r="P155" s="485">
        <f t="shared" si="30"/>
        <v>0</v>
      </c>
      <c r="Q155" s="354">
        <f t="shared" si="18"/>
        <v>0</v>
      </c>
    </row>
    <row r="156" spans="2:17" x14ac:dyDescent="0.25">
      <c r="E156" s="375"/>
      <c r="F156" s="375"/>
      <c r="G156" s="375"/>
      <c r="H156" s="375"/>
      <c r="I156" s="375"/>
      <c r="J156" s="375"/>
      <c r="K156" s="375"/>
      <c r="L156" s="375"/>
      <c r="M156" s="375"/>
      <c r="N156" s="375"/>
      <c r="O156" s="375"/>
      <c r="P156" s="375"/>
      <c r="Q156" s="375"/>
    </row>
    <row r="157" spans="2:17" x14ac:dyDescent="0.25">
      <c r="B157" s="131" t="s">
        <v>838</v>
      </c>
      <c r="C157" s="120"/>
      <c r="D157" s="120"/>
      <c r="E157" s="486"/>
      <c r="F157" s="487"/>
      <c r="G157" s="486"/>
      <c r="H157" s="486"/>
      <c r="I157" s="486"/>
      <c r="J157" s="375"/>
      <c r="K157" s="375"/>
      <c r="L157" s="375"/>
      <c r="M157" s="375"/>
      <c r="N157" s="375"/>
      <c r="O157" s="375"/>
      <c r="P157" s="375"/>
      <c r="Q157" s="375"/>
    </row>
    <row r="158" spans="2:17" x14ac:dyDescent="0.25">
      <c r="B158" s="131"/>
      <c r="C158" s="120"/>
      <c r="D158" s="120"/>
      <c r="E158" s="486"/>
      <c r="F158" s="487"/>
      <c r="G158" s="486"/>
      <c r="H158" s="486"/>
      <c r="I158" s="486"/>
      <c r="J158" s="375"/>
      <c r="K158" s="375"/>
      <c r="L158" s="375"/>
      <c r="M158" s="375"/>
      <c r="N158" s="375"/>
      <c r="O158" s="375"/>
      <c r="P158" s="375"/>
      <c r="Q158" s="375"/>
    </row>
    <row r="159" spans="2:17" ht="28" x14ac:dyDescent="0.25">
      <c r="B159" s="214" t="s">
        <v>187</v>
      </c>
      <c r="C159" s="214" t="s">
        <v>50</v>
      </c>
      <c r="D159" s="214" t="s">
        <v>546</v>
      </c>
      <c r="E159" s="1428" t="s">
        <v>151</v>
      </c>
      <c r="F159" s="1428" t="s">
        <v>152</v>
      </c>
      <c r="G159" s="1428" t="s">
        <v>153</v>
      </c>
      <c r="H159" s="1428" t="s">
        <v>154</v>
      </c>
      <c r="I159" s="1428" t="s">
        <v>155</v>
      </c>
      <c r="J159" s="1428" t="s">
        <v>156</v>
      </c>
      <c r="K159" s="1428" t="s">
        <v>157</v>
      </c>
      <c r="L159" s="1428" t="s">
        <v>158</v>
      </c>
      <c r="M159" s="1428" t="s">
        <v>159</v>
      </c>
      <c r="N159" s="1428" t="s">
        <v>160</v>
      </c>
      <c r="O159" s="1428" t="s">
        <v>161</v>
      </c>
      <c r="P159" s="1428" t="s">
        <v>162</v>
      </c>
      <c r="Q159" s="1428" t="s">
        <v>145</v>
      </c>
    </row>
    <row r="160" spans="2:17" s="242" customFormat="1" x14ac:dyDescent="0.25">
      <c r="B160" s="124"/>
      <c r="C160" s="124"/>
      <c r="D160" s="124"/>
      <c r="E160" s="373"/>
      <c r="F160" s="373"/>
      <c r="G160" s="373"/>
      <c r="H160" s="373"/>
      <c r="I160" s="373"/>
      <c r="J160" s="373"/>
      <c r="K160" s="373"/>
      <c r="L160" s="373"/>
      <c r="M160" s="373"/>
      <c r="N160" s="373"/>
      <c r="O160" s="373"/>
      <c r="P160" s="373"/>
      <c r="Q160" s="373"/>
    </row>
    <row r="161" spans="2:17" s="242" customFormat="1" x14ac:dyDescent="0.25">
      <c r="B161" s="124" t="s">
        <v>419</v>
      </c>
      <c r="C161" s="124" t="s">
        <v>539</v>
      </c>
      <c r="D161" s="124"/>
      <c r="E161" s="373"/>
      <c r="F161" s="373"/>
      <c r="G161" s="373"/>
      <c r="H161" s="373"/>
      <c r="I161" s="373"/>
      <c r="J161" s="373"/>
      <c r="K161" s="373"/>
      <c r="L161" s="373"/>
      <c r="M161" s="373"/>
      <c r="N161" s="373"/>
      <c r="O161" s="373"/>
      <c r="P161" s="373"/>
      <c r="Q161" s="373"/>
    </row>
    <row r="162" spans="2:17" x14ac:dyDescent="0.25">
      <c r="B162" s="69">
        <v>1</v>
      </c>
      <c r="C162" s="210" t="s">
        <v>485</v>
      </c>
      <c r="D162" s="244"/>
      <c r="E162" s="485">
        <f>'Sales Forecast'!D109</f>
        <v>390.95786601852132</v>
      </c>
      <c r="F162" s="485">
        <f>'Sales Forecast'!E109</f>
        <v>447.20497224187329</v>
      </c>
      <c r="G162" s="485">
        <f>'Sales Forecast'!F109</f>
        <v>427.42270085537132</v>
      </c>
      <c r="H162" s="485">
        <f>'Sales Forecast'!G109</f>
        <v>396.10933265693677</v>
      </c>
      <c r="I162" s="485">
        <f>'Sales Forecast'!H109</f>
        <v>389.89946418434533</v>
      </c>
      <c r="J162" s="485">
        <f>'Sales Forecast'!I109</f>
        <v>388.99725081533336</v>
      </c>
      <c r="K162" s="485">
        <f>'Sales Forecast'!J109</f>
        <v>414.50332400059324</v>
      </c>
      <c r="L162" s="485">
        <f>'Sales Forecast'!K109</f>
        <v>435.14570439520816</v>
      </c>
      <c r="M162" s="485">
        <f>'Sales Forecast'!L109</f>
        <v>386.38301845957255</v>
      </c>
      <c r="N162" s="485">
        <f>'Sales Forecast'!M109</f>
        <v>341.37261941442364</v>
      </c>
      <c r="O162" s="485">
        <f>'Sales Forecast'!N109</f>
        <v>295.1092834549338</v>
      </c>
      <c r="P162" s="485">
        <f>'Sales Forecast'!O109</f>
        <v>309.70621721780452</v>
      </c>
      <c r="Q162" s="354">
        <f>SUM(E162:P162)</f>
        <v>4622.8117537149183</v>
      </c>
    </row>
    <row r="163" spans="2:17" x14ac:dyDescent="0.25">
      <c r="B163" s="69">
        <v>2</v>
      </c>
      <c r="C163" s="210" t="s">
        <v>538</v>
      </c>
      <c r="D163" s="244"/>
      <c r="E163" s="1692">
        <f>E162/(1-3.18%)/(1-4.33%)</f>
        <v>422.07448888722342</v>
      </c>
      <c r="F163" s="1692">
        <f t="shared" ref="F163:P163" si="31">F162/(1-3.18%)/(1-4.33%)</f>
        <v>482.79834348663945</v>
      </c>
      <c r="G163" s="1692">
        <f t="shared" si="31"/>
        <v>461.44158663322798</v>
      </c>
      <c r="H163" s="1692">
        <f t="shared" si="31"/>
        <v>427.6359645279918</v>
      </c>
      <c r="I163" s="1692">
        <f t="shared" si="31"/>
        <v>420.93184807596026</v>
      </c>
      <c r="J163" s="1692">
        <f t="shared" si="31"/>
        <v>419.95782688418581</v>
      </c>
      <c r="K163" s="1692">
        <f t="shared" si="31"/>
        <v>447.49394711326102</v>
      </c>
      <c r="L163" s="1692">
        <f t="shared" si="31"/>
        <v>469.7792696806294</v>
      </c>
      <c r="M163" s="1692">
        <f t="shared" si="31"/>
        <v>417.13552586073507</v>
      </c>
      <c r="N163" s="1692">
        <f t="shared" si="31"/>
        <v>368.54271619287385</v>
      </c>
      <c r="O163" s="1692">
        <f t="shared" si="31"/>
        <v>318.59724744408925</v>
      </c>
      <c r="P163" s="1692">
        <f t="shared" si="31"/>
        <v>334.35596185499833</v>
      </c>
      <c r="Q163" s="354">
        <f>SUM(E163:P163)</f>
        <v>4990.7447266418158</v>
      </c>
    </row>
    <row r="164" spans="2:17" x14ac:dyDescent="0.25">
      <c r="B164" s="69"/>
      <c r="C164" s="210"/>
      <c r="D164" s="210"/>
      <c r="E164" s="485"/>
      <c r="F164" s="353">
        <v>0</v>
      </c>
      <c r="G164" s="353">
        <v>0</v>
      </c>
      <c r="H164" s="353">
        <v>0</v>
      </c>
      <c r="I164" s="353">
        <v>0</v>
      </c>
      <c r="J164" s="353">
        <v>0</v>
      </c>
      <c r="K164" s="353">
        <v>0</v>
      </c>
      <c r="L164" s="353">
        <v>0</v>
      </c>
      <c r="M164" s="353">
        <v>0</v>
      </c>
      <c r="N164" s="353">
        <v>0</v>
      </c>
      <c r="O164" s="353">
        <v>0</v>
      </c>
      <c r="P164" s="353">
        <v>0</v>
      </c>
      <c r="Q164" s="353"/>
    </row>
    <row r="165" spans="2:17" x14ac:dyDescent="0.25">
      <c r="B165" s="124" t="s">
        <v>540</v>
      </c>
      <c r="C165" s="213" t="s">
        <v>549</v>
      </c>
      <c r="D165" s="213"/>
      <c r="E165" s="485">
        <v>0</v>
      </c>
      <c r="F165" s="353">
        <v>0</v>
      </c>
      <c r="G165" s="353">
        <v>0</v>
      </c>
      <c r="H165" s="353">
        <v>0</v>
      </c>
      <c r="I165" s="353">
        <v>0</v>
      </c>
      <c r="J165" s="353">
        <v>0</v>
      </c>
      <c r="K165" s="353">
        <v>0</v>
      </c>
      <c r="L165" s="353">
        <v>0</v>
      </c>
      <c r="M165" s="353">
        <v>0</v>
      </c>
      <c r="N165" s="353">
        <v>0</v>
      </c>
      <c r="O165" s="353">
        <v>0</v>
      </c>
      <c r="P165" s="353">
        <v>0</v>
      </c>
      <c r="Q165" s="353"/>
    </row>
    <row r="166" spans="2:17" x14ac:dyDescent="0.25">
      <c r="B166" s="70">
        <v>1</v>
      </c>
      <c r="C166" s="213" t="s">
        <v>422</v>
      </c>
      <c r="D166" s="213"/>
      <c r="E166" s="485">
        <v>0</v>
      </c>
      <c r="F166" s="353">
        <v>0</v>
      </c>
      <c r="G166" s="353">
        <v>0</v>
      </c>
      <c r="H166" s="353">
        <v>0</v>
      </c>
      <c r="I166" s="353">
        <v>0</v>
      </c>
      <c r="J166" s="353">
        <v>0</v>
      </c>
      <c r="K166" s="353">
        <v>0</v>
      </c>
      <c r="L166" s="353">
        <v>0</v>
      </c>
      <c r="M166" s="353">
        <v>0</v>
      </c>
      <c r="N166" s="353">
        <v>0</v>
      </c>
      <c r="O166" s="353">
        <v>0</v>
      </c>
      <c r="P166" s="353">
        <v>0</v>
      </c>
      <c r="Q166" s="353"/>
    </row>
    <row r="167" spans="2:17" x14ac:dyDescent="0.3">
      <c r="B167" s="69">
        <v>1.1000000000000001</v>
      </c>
      <c r="C167" s="747" t="s">
        <v>1631</v>
      </c>
      <c r="D167" s="413">
        <f>'F2'!M390</f>
        <v>1.7433228634082394</v>
      </c>
      <c r="E167" s="485">
        <f>E342</f>
        <v>61.068493150684922</v>
      </c>
      <c r="F167" s="485">
        <f t="shared" ref="F167:P167" si="32">F342</f>
        <v>63.104109589041101</v>
      </c>
      <c r="G167" s="485">
        <f t="shared" si="32"/>
        <v>61.068493150684922</v>
      </c>
      <c r="H167" s="485">
        <f t="shared" si="32"/>
        <v>63.104109589041101</v>
      </c>
      <c r="I167" s="485">
        <f t="shared" si="32"/>
        <v>63.104109589041101</v>
      </c>
      <c r="J167" s="485">
        <f t="shared" si="32"/>
        <v>61.068493150684922</v>
      </c>
      <c r="K167" s="485">
        <f t="shared" si="32"/>
        <v>63.104109589041101</v>
      </c>
      <c r="L167" s="485">
        <f t="shared" si="32"/>
        <v>61.068493150684922</v>
      </c>
      <c r="M167" s="485">
        <f t="shared" si="32"/>
        <v>61.068493150684922</v>
      </c>
      <c r="N167" s="485">
        <f t="shared" si="32"/>
        <v>63.104109589041101</v>
      </c>
      <c r="O167" s="485">
        <f t="shared" si="32"/>
        <v>59.032876712328772</v>
      </c>
      <c r="P167" s="485">
        <f t="shared" si="32"/>
        <v>63.104109589041101</v>
      </c>
      <c r="Q167" s="354">
        <f t="shared" ref="Q167:Q184" si="33">SUM(E167:P167)</f>
        <v>742.99999999999989</v>
      </c>
    </row>
    <row r="168" spans="2:17" ht="28" x14ac:dyDescent="0.25">
      <c r="B168" s="69">
        <v>1.2</v>
      </c>
      <c r="C168" s="748" t="s">
        <v>1332</v>
      </c>
      <c r="D168" s="413">
        <f>'F2'!M391</f>
        <v>8.5586958177801513</v>
      </c>
      <c r="E168" s="485">
        <f>E343</f>
        <v>2.8800000000000003</v>
      </c>
      <c r="F168" s="485">
        <f t="shared" ref="F168:P168" si="34">F343</f>
        <v>2.9016000000000002</v>
      </c>
      <c r="G168" s="485">
        <f t="shared" si="34"/>
        <v>2.6496</v>
      </c>
      <c r="H168" s="485">
        <f t="shared" si="34"/>
        <v>1.9344000000000001</v>
      </c>
      <c r="I168" s="485">
        <f t="shared" si="34"/>
        <v>2.0832000000000002</v>
      </c>
      <c r="J168" s="485">
        <f t="shared" si="34"/>
        <v>2.0160000000000005</v>
      </c>
      <c r="K168" s="485">
        <f t="shared" si="34"/>
        <v>2.9760000000000004</v>
      </c>
      <c r="L168" s="485">
        <f t="shared" si="34"/>
        <v>2.3040000000000003</v>
      </c>
      <c r="M168" s="485">
        <f t="shared" si="34"/>
        <v>2.4480000000000004</v>
      </c>
      <c r="N168" s="485">
        <f t="shared" si="34"/>
        <v>2.9760000000000004</v>
      </c>
      <c r="O168" s="485">
        <f t="shared" si="34"/>
        <v>3.0623999999999998</v>
      </c>
      <c r="P168" s="485">
        <f t="shared" si="34"/>
        <v>3.2736000000000001</v>
      </c>
      <c r="Q168" s="354">
        <f t="shared" si="33"/>
        <v>31.504799999999996</v>
      </c>
    </row>
    <row r="169" spans="2:17" x14ac:dyDescent="0.25">
      <c r="B169" s="69"/>
      <c r="C169" s="77"/>
      <c r="D169" s="413">
        <f>'F2'!M392</f>
        <v>0</v>
      </c>
      <c r="E169" s="485">
        <v>0</v>
      </c>
      <c r="F169" s="353">
        <v>0</v>
      </c>
      <c r="G169" s="353">
        <v>0</v>
      </c>
      <c r="H169" s="353">
        <v>0</v>
      </c>
      <c r="I169" s="353">
        <v>0</v>
      </c>
      <c r="J169" s="353">
        <v>0</v>
      </c>
      <c r="K169" s="353">
        <v>0</v>
      </c>
      <c r="L169" s="353">
        <v>0</v>
      </c>
      <c r="M169" s="353">
        <v>0</v>
      </c>
      <c r="N169" s="353">
        <v>0</v>
      </c>
      <c r="O169" s="353">
        <v>0</v>
      </c>
      <c r="P169" s="353">
        <v>0</v>
      </c>
      <c r="Q169" s="354">
        <f t="shared" si="33"/>
        <v>0</v>
      </c>
    </row>
    <row r="170" spans="2:17" x14ac:dyDescent="0.25">
      <c r="B170" s="70">
        <v>2</v>
      </c>
      <c r="C170" s="213" t="s">
        <v>423</v>
      </c>
      <c r="D170" s="413">
        <f>'F2'!M393</f>
        <v>0</v>
      </c>
      <c r="E170" s="485">
        <v>0</v>
      </c>
      <c r="F170" s="353">
        <v>0</v>
      </c>
      <c r="G170" s="353">
        <v>0</v>
      </c>
      <c r="H170" s="353">
        <v>0</v>
      </c>
      <c r="I170" s="353">
        <v>0</v>
      </c>
      <c r="J170" s="353">
        <v>0</v>
      </c>
      <c r="K170" s="353">
        <v>0</v>
      </c>
      <c r="L170" s="353">
        <v>0</v>
      </c>
      <c r="M170" s="353">
        <v>0</v>
      </c>
      <c r="N170" s="353">
        <v>0</v>
      </c>
      <c r="O170" s="353">
        <v>0</v>
      </c>
      <c r="P170" s="353">
        <v>0</v>
      </c>
      <c r="Q170" s="354">
        <f t="shared" si="33"/>
        <v>0</v>
      </c>
    </row>
    <row r="171" spans="2:17" x14ac:dyDescent="0.25">
      <c r="B171" s="69">
        <v>2.1</v>
      </c>
      <c r="C171" s="748" t="s">
        <v>933</v>
      </c>
      <c r="D171" s="413">
        <f>'F2'!M394</f>
        <v>2.3218220397443812</v>
      </c>
      <c r="E171" s="485">
        <f>E346</f>
        <v>61.199999999999996</v>
      </c>
      <c r="F171" s="485">
        <f t="shared" ref="F171:P171" si="35">F346</f>
        <v>63.24</v>
      </c>
      <c r="G171" s="485">
        <f t="shared" si="35"/>
        <v>61.199999999999996</v>
      </c>
      <c r="H171" s="485">
        <f t="shared" si="35"/>
        <v>63.24</v>
      </c>
      <c r="I171" s="485">
        <f t="shared" si="35"/>
        <v>63.24</v>
      </c>
      <c r="J171" s="485">
        <f t="shared" si="35"/>
        <v>61.199999999999996</v>
      </c>
      <c r="K171" s="485">
        <f t="shared" si="35"/>
        <v>63.24</v>
      </c>
      <c r="L171" s="485">
        <f t="shared" si="35"/>
        <v>61.199999999999996</v>
      </c>
      <c r="M171" s="485">
        <f t="shared" si="35"/>
        <v>61.199999999999996</v>
      </c>
      <c r="N171" s="485">
        <f t="shared" si="35"/>
        <v>63.24</v>
      </c>
      <c r="O171" s="485">
        <f t="shared" si="35"/>
        <v>59.16</v>
      </c>
      <c r="P171" s="485">
        <f t="shared" si="35"/>
        <v>63.24</v>
      </c>
      <c r="Q171" s="354">
        <f t="shared" si="33"/>
        <v>744.6</v>
      </c>
    </row>
    <row r="172" spans="2:17" x14ac:dyDescent="0.25">
      <c r="B172" s="69">
        <v>2.2000000000000002</v>
      </c>
      <c r="C172" s="77" t="s">
        <v>1630</v>
      </c>
      <c r="D172" s="413">
        <f>'F2'!M395</f>
        <v>2.3218220397443812</v>
      </c>
      <c r="E172" s="485">
        <f>E347</f>
        <v>61.199999999999996</v>
      </c>
      <c r="F172" s="485">
        <f t="shared" ref="F172:P172" si="36">F347</f>
        <v>63.24</v>
      </c>
      <c r="G172" s="485">
        <f t="shared" si="36"/>
        <v>61.199999999999996</v>
      </c>
      <c r="H172" s="485">
        <f t="shared" si="36"/>
        <v>63.24</v>
      </c>
      <c r="I172" s="485">
        <f t="shared" si="36"/>
        <v>63.24</v>
      </c>
      <c r="J172" s="485">
        <f t="shared" si="36"/>
        <v>61.199999999999996</v>
      </c>
      <c r="K172" s="485">
        <f t="shared" si="36"/>
        <v>63.24</v>
      </c>
      <c r="L172" s="485">
        <f t="shared" si="36"/>
        <v>61.199999999999996</v>
      </c>
      <c r="M172" s="485">
        <f t="shared" si="36"/>
        <v>61.199999999999996</v>
      </c>
      <c r="N172" s="485">
        <f t="shared" si="36"/>
        <v>63.24</v>
      </c>
      <c r="O172" s="485">
        <f t="shared" si="36"/>
        <v>59.16</v>
      </c>
      <c r="P172" s="485">
        <f t="shared" si="36"/>
        <v>63.24</v>
      </c>
      <c r="Q172" s="354">
        <f t="shared" si="33"/>
        <v>744.6</v>
      </c>
    </row>
    <row r="173" spans="2:17" x14ac:dyDescent="0.25">
      <c r="B173" s="69"/>
      <c r="C173" s="77"/>
      <c r="D173" s="413">
        <f>'F2'!M396</f>
        <v>0</v>
      </c>
      <c r="E173" s="485">
        <v>0</v>
      </c>
      <c r="F173" s="353">
        <v>0</v>
      </c>
      <c r="G173" s="353">
        <v>0</v>
      </c>
      <c r="H173" s="353">
        <v>0</v>
      </c>
      <c r="I173" s="353">
        <v>0</v>
      </c>
      <c r="J173" s="353">
        <v>0</v>
      </c>
      <c r="K173" s="353">
        <v>0</v>
      </c>
      <c r="L173" s="353">
        <v>0</v>
      </c>
      <c r="M173" s="353">
        <v>0</v>
      </c>
      <c r="N173" s="353">
        <v>0</v>
      </c>
      <c r="O173" s="353">
        <v>0</v>
      </c>
      <c r="P173" s="353">
        <v>0</v>
      </c>
      <c r="Q173" s="354">
        <f t="shared" si="33"/>
        <v>0</v>
      </c>
    </row>
    <row r="174" spans="2:17" x14ac:dyDescent="0.25">
      <c r="B174" s="70">
        <v>3</v>
      </c>
      <c r="C174" s="213" t="s">
        <v>424</v>
      </c>
      <c r="D174" s="413">
        <f>'F2'!M397</f>
        <v>0</v>
      </c>
      <c r="E174" s="485">
        <v>0</v>
      </c>
      <c r="F174" s="353">
        <v>0</v>
      </c>
      <c r="G174" s="353">
        <v>0</v>
      </c>
      <c r="H174" s="353">
        <v>0</v>
      </c>
      <c r="I174" s="353">
        <v>0</v>
      </c>
      <c r="J174" s="353">
        <v>0</v>
      </c>
      <c r="K174" s="353">
        <v>0</v>
      </c>
      <c r="L174" s="353">
        <v>0</v>
      </c>
      <c r="M174" s="353">
        <v>0</v>
      </c>
      <c r="N174" s="353">
        <v>0</v>
      </c>
      <c r="O174" s="353">
        <v>0</v>
      </c>
      <c r="P174" s="353">
        <v>0</v>
      </c>
      <c r="Q174" s="354">
        <f t="shared" si="33"/>
        <v>0</v>
      </c>
    </row>
    <row r="175" spans="2:17" x14ac:dyDescent="0.25">
      <c r="B175" s="69">
        <v>3.1</v>
      </c>
      <c r="C175" s="77" t="s">
        <v>1989</v>
      </c>
      <c r="D175" s="413">
        <f>'F2'!M398</f>
        <v>4.32</v>
      </c>
      <c r="E175" s="485">
        <f t="shared" ref="E175" si="37">E350</f>
        <v>27.83575836063077</v>
      </c>
      <c r="F175" s="485">
        <f t="shared" ref="F175:P176" si="38">F350</f>
        <v>28.044526548335497</v>
      </c>
      <c r="G175" s="485">
        <f t="shared" si="38"/>
        <v>25.608897691780303</v>
      </c>
      <c r="H175" s="485">
        <f t="shared" si="38"/>
        <v>18.696351032223664</v>
      </c>
      <c r="I175" s="485">
        <f t="shared" si="38"/>
        <v>20.134531880856255</v>
      </c>
      <c r="J175" s="485">
        <f t="shared" si="38"/>
        <v>19.48503085244154</v>
      </c>
      <c r="K175" s="485">
        <f t="shared" si="38"/>
        <v>28.763616972651793</v>
      </c>
      <c r="L175" s="485">
        <f t="shared" si="38"/>
        <v>22.268606688504615</v>
      </c>
      <c r="M175" s="485">
        <f t="shared" si="38"/>
        <v>23.660394606536155</v>
      </c>
      <c r="N175" s="485">
        <f t="shared" si="38"/>
        <v>28.763616972651793</v>
      </c>
      <c r="O175" s="485">
        <f t="shared" si="38"/>
        <v>29.598689723470709</v>
      </c>
      <c r="P175" s="485">
        <f t="shared" si="38"/>
        <v>31.639978669916967</v>
      </c>
      <c r="Q175" s="354">
        <f t="shared" si="33"/>
        <v>304.50000000000006</v>
      </c>
    </row>
    <row r="176" spans="2:17" x14ac:dyDescent="0.25">
      <c r="B176" s="69">
        <v>3.2</v>
      </c>
      <c r="C176" s="77" t="s">
        <v>1990</v>
      </c>
      <c r="D176" s="413">
        <f>'F2'!M399</f>
        <v>4.32</v>
      </c>
      <c r="E176" s="485">
        <f>E351</f>
        <v>27.410958904109592</v>
      </c>
      <c r="F176" s="485">
        <f t="shared" si="38"/>
        <v>28.32465753424658</v>
      </c>
      <c r="G176" s="485">
        <f t="shared" si="38"/>
        <v>27.410958904109592</v>
      </c>
      <c r="H176" s="485">
        <f t="shared" si="38"/>
        <v>28.32465753424658</v>
      </c>
      <c r="I176" s="485">
        <f t="shared" si="38"/>
        <v>28.32465753424658</v>
      </c>
      <c r="J176" s="485">
        <f t="shared" si="38"/>
        <v>27.410958904109592</v>
      </c>
      <c r="K176" s="485">
        <f t="shared" si="38"/>
        <v>28.32465753424658</v>
      </c>
      <c r="L176" s="485">
        <f t="shared" si="38"/>
        <v>27.410958904109592</v>
      </c>
      <c r="M176" s="485">
        <f t="shared" si="38"/>
        <v>27.410958904109592</v>
      </c>
      <c r="N176" s="485">
        <f t="shared" si="38"/>
        <v>28.32465753424658</v>
      </c>
      <c r="O176" s="485">
        <f t="shared" si="38"/>
        <v>26.497260273972607</v>
      </c>
      <c r="P176" s="485">
        <f t="shared" si="38"/>
        <v>28.32465753424658</v>
      </c>
      <c r="Q176" s="354">
        <f t="shared" si="33"/>
        <v>333.49999999999994</v>
      </c>
    </row>
    <row r="177" spans="2:17" x14ac:dyDescent="0.25">
      <c r="B177" s="69">
        <v>3.3</v>
      </c>
      <c r="C177" s="77" t="s">
        <v>1632</v>
      </c>
      <c r="D177" s="413">
        <f>'F2'!M400</f>
        <v>4.75</v>
      </c>
      <c r="E177" s="485">
        <f ca="1">E352</f>
        <v>65.512500000000003</v>
      </c>
      <c r="F177" s="485">
        <f t="shared" ref="F177:P177" ca="1" si="39">F352</f>
        <v>65.512500000000003</v>
      </c>
      <c r="G177" s="485">
        <f t="shared" ca="1" si="39"/>
        <v>65.512500000000003</v>
      </c>
      <c r="H177" s="485">
        <f t="shared" ca="1" si="39"/>
        <v>65.512500000000003</v>
      </c>
      <c r="I177" s="485">
        <f t="shared" ca="1" si="39"/>
        <v>65.512500000000003</v>
      </c>
      <c r="J177" s="485">
        <f t="shared" ca="1" si="39"/>
        <v>65.512500000000003</v>
      </c>
      <c r="K177" s="485">
        <f t="shared" ca="1" si="39"/>
        <v>65.512500000000003</v>
      </c>
      <c r="L177" s="485">
        <f t="shared" ca="1" si="39"/>
        <v>65.512500000000003</v>
      </c>
      <c r="M177" s="485">
        <f t="shared" ca="1" si="39"/>
        <v>65.512500000000003</v>
      </c>
      <c r="N177" s="485">
        <f t="shared" ca="1" si="39"/>
        <v>65.512500000000003</v>
      </c>
      <c r="O177" s="485">
        <f t="shared" ca="1" si="39"/>
        <v>65.512500000000003</v>
      </c>
      <c r="P177" s="485">
        <f t="shared" ca="1" si="39"/>
        <v>65.512500000000003</v>
      </c>
      <c r="Q177" s="354">
        <f t="shared" ca="1" si="33"/>
        <v>786.1500000000002</v>
      </c>
    </row>
    <row r="178" spans="2:17" x14ac:dyDescent="0.25">
      <c r="B178" s="69">
        <v>3.4</v>
      </c>
      <c r="C178" s="413" t="s">
        <v>1816</v>
      </c>
      <c r="D178" s="413">
        <f>'F2'!M401</f>
        <v>2.4800634235961341</v>
      </c>
      <c r="E178" s="485">
        <f t="shared" ref="E178:P178" si="40">E353</f>
        <v>0</v>
      </c>
      <c r="F178" s="485">
        <f t="shared" si="40"/>
        <v>0</v>
      </c>
      <c r="G178" s="485">
        <f t="shared" si="40"/>
        <v>0</v>
      </c>
      <c r="H178" s="485">
        <f t="shared" si="40"/>
        <v>0</v>
      </c>
      <c r="I178" s="485">
        <f t="shared" si="40"/>
        <v>0</v>
      </c>
      <c r="J178" s="485">
        <f t="shared" si="40"/>
        <v>0</v>
      </c>
      <c r="K178" s="485">
        <f t="shared" si="40"/>
        <v>0</v>
      </c>
      <c r="L178" s="485">
        <f t="shared" si="40"/>
        <v>0</v>
      </c>
      <c r="M178" s="485">
        <f t="shared" si="40"/>
        <v>0</v>
      </c>
      <c r="N178" s="485">
        <f t="shared" si="40"/>
        <v>39.738081600000008</v>
      </c>
      <c r="O178" s="485">
        <f t="shared" si="40"/>
        <v>37.897168680000007</v>
      </c>
      <c r="P178" s="485">
        <f t="shared" si="40"/>
        <v>46.361095200000008</v>
      </c>
      <c r="Q178" s="354">
        <f t="shared" si="33"/>
        <v>123.99634548000002</v>
      </c>
    </row>
    <row r="179" spans="2:17" x14ac:dyDescent="0.25">
      <c r="B179" s="69">
        <v>3.5</v>
      </c>
      <c r="C179" s="413" t="s">
        <v>1817</v>
      </c>
      <c r="D179" s="413">
        <f>'F2'!M402</f>
        <v>2.4799522497704314</v>
      </c>
      <c r="E179" s="485">
        <f t="shared" ref="E179:P180" si="41">E354</f>
        <v>0</v>
      </c>
      <c r="F179" s="485">
        <f t="shared" si="41"/>
        <v>0</v>
      </c>
      <c r="G179" s="485">
        <f t="shared" si="41"/>
        <v>0</v>
      </c>
      <c r="H179" s="485">
        <f t="shared" si="41"/>
        <v>0</v>
      </c>
      <c r="I179" s="485">
        <f t="shared" si="41"/>
        <v>0</v>
      </c>
      <c r="J179" s="485">
        <f t="shared" si="41"/>
        <v>0</v>
      </c>
      <c r="K179" s="485">
        <f t="shared" si="41"/>
        <v>0</v>
      </c>
      <c r="L179" s="485">
        <f t="shared" si="41"/>
        <v>0</v>
      </c>
      <c r="M179" s="485">
        <f t="shared" si="41"/>
        <v>0</v>
      </c>
      <c r="N179" s="485">
        <f t="shared" si="41"/>
        <v>16.134904799999997</v>
      </c>
      <c r="O179" s="485">
        <f t="shared" si="41"/>
        <v>15.165819119999997</v>
      </c>
      <c r="P179" s="485">
        <f t="shared" si="41"/>
        <v>15.696957383999999</v>
      </c>
      <c r="Q179" s="354">
        <f t="shared" si="33"/>
        <v>46.997681303999997</v>
      </c>
    </row>
    <row r="180" spans="2:17" x14ac:dyDescent="0.25">
      <c r="B180" s="69">
        <v>3.6</v>
      </c>
      <c r="C180" s="413" t="s">
        <v>1814</v>
      </c>
      <c r="D180" s="413">
        <f>'F2'!M403</f>
        <v>2.9810000000000003</v>
      </c>
      <c r="E180" s="485">
        <f t="shared" si="41"/>
        <v>45.36</v>
      </c>
      <c r="F180" s="485">
        <f t="shared" si="41"/>
        <v>44.64</v>
      </c>
      <c r="G180" s="485">
        <f t="shared" si="41"/>
        <v>41.04</v>
      </c>
      <c r="H180" s="485">
        <f t="shared" si="41"/>
        <v>31.248000000000001</v>
      </c>
      <c r="I180" s="485">
        <f t="shared" si="41"/>
        <v>33.479999999999997</v>
      </c>
      <c r="J180" s="485">
        <f t="shared" si="41"/>
        <v>34.56</v>
      </c>
      <c r="K180" s="485">
        <f t="shared" si="41"/>
        <v>46.871999999999993</v>
      </c>
      <c r="L180" s="485">
        <f t="shared" si="41"/>
        <v>37.20384</v>
      </c>
      <c r="M180" s="485">
        <f t="shared" si="41"/>
        <v>37.799999999999997</v>
      </c>
      <c r="N180" s="485">
        <f t="shared" si="41"/>
        <v>44.64</v>
      </c>
      <c r="O180" s="485">
        <f t="shared" si="41"/>
        <v>45.936</v>
      </c>
      <c r="P180" s="485">
        <f t="shared" si="41"/>
        <v>50.22</v>
      </c>
      <c r="Q180" s="354">
        <f t="shared" si="33"/>
        <v>492.99983999999995</v>
      </c>
    </row>
    <row r="181" spans="2:17" x14ac:dyDescent="0.25">
      <c r="B181" s="69">
        <v>3.7</v>
      </c>
      <c r="C181" s="77" t="s">
        <v>1818</v>
      </c>
      <c r="D181" s="413">
        <f>'F2'!M404</f>
        <v>4.5875294727666818</v>
      </c>
      <c r="E181" s="485">
        <f ca="1">E163-SUM(E167:E180)</f>
        <v>69.606778471798179</v>
      </c>
      <c r="F181" s="485">
        <f t="shared" ref="F181:P181" ca="1" si="42">F163-SUM(F167:F180)</f>
        <v>123.79094981501629</v>
      </c>
      <c r="G181" s="485">
        <f t="shared" ca="1" si="42"/>
        <v>115.75113688665317</v>
      </c>
      <c r="H181" s="485">
        <f t="shared" ca="1" si="42"/>
        <v>92.335946372480464</v>
      </c>
      <c r="I181" s="485">
        <f t="shared" ca="1" si="42"/>
        <v>81.812849071816288</v>
      </c>
      <c r="J181" s="485">
        <f t="shared" ca="1" si="42"/>
        <v>87.504843976949815</v>
      </c>
      <c r="K181" s="485">
        <f t="shared" ca="1" si="42"/>
        <v>85.461063017321521</v>
      </c>
      <c r="L181" s="485">
        <f t="shared" ca="1" si="42"/>
        <v>131.61087093733028</v>
      </c>
      <c r="M181" s="485">
        <f t="shared" ca="1" si="42"/>
        <v>76.835179199404422</v>
      </c>
      <c r="N181" s="485">
        <f t="shared" ca="1" si="42"/>
        <v>-47.131154303065614</v>
      </c>
      <c r="O181" s="485">
        <f t="shared" ca="1" si="42"/>
        <v>-82.425467065682767</v>
      </c>
      <c r="P181" s="485">
        <f t="shared" ca="1" si="42"/>
        <v>-96.256936522206274</v>
      </c>
      <c r="Q181" s="354">
        <f t="shared" ca="1" si="33"/>
        <v>638.89605985781566</v>
      </c>
    </row>
    <row r="182" spans="2:17" x14ac:dyDescent="0.25">
      <c r="B182" s="69"/>
      <c r="C182" s="77"/>
      <c r="D182" s="77"/>
      <c r="E182" s="485">
        <v>0</v>
      </c>
      <c r="F182" s="353">
        <v>0</v>
      </c>
      <c r="G182" s="353">
        <v>0</v>
      </c>
      <c r="H182" s="353">
        <v>0</v>
      </c>
      <c r="I182" s="353">
        <v>0</v>
      </c>
      <c r="J182" s="353">
        <v>0</v>
      </c>
      <c r="K182" s="353">
        <v>0</v>
      </c>
      <c r="L182" s="353">
        <v>0</v>
      </c>
      <c r="M182" s="353">
        <v>0</v>
      </c>
      <c r="N182" s="353">
        <v>0</v>
      </c>
      <c r="O182" s="353">
        <v>0</v>
      </c>
      <c r="P182" s="353">
        <v>0</v>
      </c>
      <c r="Q182" s="354">
        <f t="shared" si="33"/>
        <v>0</v>
      </c>
    </row>
    <row r="183" spans="2:17" s="22" customFormat="1" x14ac:dyDescent="0.25">
      <c r="B183" s="70">
        <v>4</v>
      </c>
      <c r="C183" s="807" t="s">
        <v>541</v>
      </c>
      <c r="D183" s="213"/>
      <c r="E183" s="572">
        <f ca="1">SUM(E167:E182)</f>
        <v>422.07448888722342</v>
      </c>
      <c r="F183" s="572">
        <f t="shared" ref="F183:P183" ca="1" si="43">SUM(F167:F182)</f>
        <v>482.79834348663945</v>
      </c>
      <c r="G183" s="572">
        <f t="shared" ca="1" si="43"/>
        <v>461.44158663322798</v>
      </c>
      <c r="H183" s="572">
        <f t="shared" ca="1" si="43"/>
        <v>427.6359645279918</v>
      </c>
      <c r="I183" s="572">
        <f t="shared" ca="1" si="43"/>
        <v>420.93184807596026</v>
      </c>
      <c r="J183" s="572">
        <f t="shared" ca="1" si="43"/>
        <v>419.95782688418581</v>
      </c>
      <c r="K183" s="572">
        <f t="shared" ca="1" si="43"/>
        <v>447.49394711326102</v>
      </c>
      <c r="L183" s="572">
        <f t="shared" ca="1" si="43"/>
        <v>469.7792696806294</v>
      </c>
      <c r="M183" s="572">
        <f t="shared" ca="1" si="43"/>
        <v>417.13552586073507</v>
      </c>
      <c r="N183" s="572">
        <f t="shared" ca="1" si="43"/>
        <v>368.54271619287385</v>
      </c>
      <c r="O183" s="572">
        <f t="shared" ca="1" si="43"/>
        <v>318.59724744408925</v>
      </c>
      <c r="P183" s="572">
        <f t="shared" ca="1" si="43"/>
        <v>334.35596185499833</v>
      </c>
      <c r="Q183" s="354">
        <f t="shared" ca="1" si="33"/>
        <v>4990.7447266418158</v>
      </c>
    </row>
    <row r="184" spans="2:17" x14ac:dyDescent="0.25">
      <c r="B184" s="70">
        <v>5</v>
      </c>
      <c r="C184" s="807" t="s">
        <v>543</v>
      </c>
      <c r="D184" s="77"/>
      <c r="E184" s="485">
        <f ca="1">E183-E163</f>
        <v>0</v>
      </c>
      <c r="F184" s="485">
        <f t="shared" ref="F184:P184" ca="1" si="44">F183-F163</f>
        <v>0</v>
      </c>
      <c r="G184" s="485">
        <f t="shared" ca="1" si="44"/>
        <v>0</v>
      </c>
      <c r="H184" s="485">
        <f t="shared" ca="1" si="44"/>
        <v>0</v>
      </c>
      <c r="I184" s="485">
        <f t="shared" ca="1" si="44"/>
        <v>0</v>
      </c>
      <c r="J184" s="485">
        <f t="shared" ca="1" si="44"/>
        <v>0</v>
      </c>
      <c r="K184" s="485">
        <f t="shared" ca="1" si="44"/>
        <v>0</v>
      </c>
      <c r="L184" s="485">
        <f t="shared" ca="1" si="44"/>
        <v>0</v>
      </c>
      <c r="M184" s="485">
        <f t="shared" ca="1" si="44"/>
        <v>0</v>
      </c>
      <c r="N184" s="485">
        <f t="shared" ca="1" si="44"/>
        <v>0</v>
      </c>
      <c r="O184" s="485">
        <f t="shared" ca="1" si="44"/>
        <v>0</v>
      </c>
      <c r="P184" s="485">
        <f t="shared" ca="1" si="44"/>
        <v>0</v>
      </c>
      <c r="Q184" s="354">
        <f t="shared" ca="1" si="33"/>
        <v>0</v>
      </c>
    </row>
    <row r="185" spans="2:17" x14ac:dyDescent="0.25">
      <c r="B185" s="148"/>
      <c r="C185" s="125"/>
      <c r="D185" s="125"/>
      <c r="E185" s="243"/>
      <c r="F185" s="128"/>
      <c r="G185" s="128"/>
      <c r="H185" s="128"/>
      <c r="I185" s="128"/>
      <c r="J185" s="128"/>
      <c r="K185" s="128"/>
      <c r="L185" s="128"/>
      <c r="M185" s="128"/>
      <c r="N185" s="128"/>
      <c r="O185" s="128"/>
      <c r="P185" s="128"/>
      <c r="Q185" s="128"/>
    </row>
    <row r="186" spans="2:17" hidden="1" x14ac:dyDescent="0.25">
      <c r="B186" s="148" t="s">
        <v>550</v>
      </c>
      <c r="C186" s="125"/>
      <c r="D186" s="125"/>
      <c r="E186" s="243"/>
      <c r="F186" s="128"/>
      <c r="G186" s="128"/>
      <c r="H186" s="128"/>
      <c r="I186" s="128"/>
      <c r="J186" s="128"/>
      <c r="K186" s="128"/>
      <c r="L186" s="128"/>
      <c r="M186" s="128"/>
      <c r="N186" s="128"/>
      <c r="O186" s="128"/>
      <c r="P186" s="128"/>
      <c r="Q186" s="128"/>
    </row>
    <row r="187" spans="2:17" hidden="1" x14ac:dyDescent="0.25">
      <c r="B187" s="68">
        <v>1</v>
      </c>
      <c r="C187" s="34" t="s">
        <v>574</v>
      </c>
    </row>
    <row r="188" spans="2:17" hidden="1" x14ac:dyDescent="0.25">
      <c r="B188" s="68">
        <v>2</v>
      </c>
      <c r="C188" s="34" t="s">
        <v>575</v>
      </c>
    </row>
    <row r="189" spans="2:17" x14ac:dyDescent="0.25">
      <c r="B189" s="68"/>
    </row>
    <row r="191" spans="2:17" x14ac:dyDescent="0.25">
      <c r="B191" s="247" t="s">
        <v>545</v>
      </c>
      <c r="C191" s="248"/>
    </row>
    <row r="193" spans="2:9" ht="13.9" customHeight="1" x14ac:dyDescent="0.25">
      <c r="B193" s="2180" t="s">
        <v>187</v>
      </c>
      <c r="C193" s="2180" t="s">
        <v>50</v>
      </c>
      <c r="D193" s="1426" t="s">
        <v>179</v>
      </c>
      <c r="E193" s="1426" t="s">
        <v>186</v>
      </c>
      <c r="F193" s="1426" t="s">
        <v>426</v>
      </c>
      <c r="G193" s="1426" t="s">
        <v>427</v>
      </c>
      <c r="H193" s="1426" t="s">
        <v>428</v>
      </c>
      <c r="I193" s="1426" t="s">
        <v>429</v>
      </c>
    </row>
    <row r="194" spans="2:9" x14ac:dyDescent="0.25">
      <c r="B194" s="2180"/>
      <c r="C194" s="2180"/>
      <c r="D194" s="1427" t="s">
        <v>12</v>
      </c>
      <c r="E194" s="1427" t="s">
        <v>12</v>
      </c>
      <c r="F194" s="1427" t="s">
        <v>12</v>
      </c>
      <c r="G194" s="1426" t="s">
        <v>22</v>
      </c>
      <c r="H194" s="1426" t="s">
        <v>841</v>
      </c>
      <c r="I194" s="1426" t="s">
        <v>841</v>
      </c>
    </row>
    <row r="195" spans="2:9" x14ac:dyDescent="0.25">
      <c r="B195" s="70">
        <v>1</v>
      </c>
      <c r="C195" s="213" t="s">
        <v>422</v>
      </c>
      <c r="D195" s="212"/>
      <c r="E195" s="212"/>
      <c r="F195" s="25"/>
      <c r="G195" s="25"/>
      <c r="H195" s="25"/>
      <c r="I195" s="25"/>
    </row>
    <row r="196" spans="2:9" x14ac:dyDescent="0.25">
      <c r="B196" s="69">
        <v>1.1000000000000001</v>
      </c>
      <c r="C196" s="25" t="s">
        <v>922</v>
      </c>
      <c r="D196" s="212"/>
      <c r="E196" s="212"/>
      <c r="F196" s="25"/>
      <c r="G196" s="25"/>
      <c r="H196" s="25"/>
      <c r="I196" s="25"/>
    </row>
    <row r="197" spans="2:9" x14ac:dyDescent="0.25">
      <c r="B197" s="69">
        <v>1.2</v>
      </c>
      <c r="C197" s="25" t="s">
        <v>1381</v>
      </c>
      <c r="D197" s="1738">
        <v>3.5655779200327782</v>
      </c>
      <c r="E197" s="1738">
        <v>3.2216249978275191</v>
      </c>
      <c r="F197" s="374">
        <v>5.330185701817344</v>
      </c>
      <c r="G197" s="2215">
        <f>'F2'!M233</f>
        <v>7.0518759943990696</v>
      </c>
      <c r="H197" s="2215">
        <f>'F2'!M351</f>
        <v>4.9983565830854992</v>
      </c>
      <c r="I197" s="2212">
        <f>'F2'!M390</f>
        <v>1.7433228634082394</v>
      </c>
    </row>
    <row r="198" spans="2:9" x14ac:dyDescent="0.25">
      <c r="B198" s="69">
        <v>1.3</v>
      </c>
      <c r="C198" s="25" t="s">
        <v>1382</v>
      </c>
      <c r="D198" s="1738">
        <v>2.6360957018262465</v>
      </c>
      <c r="E198" s="1738">
        <v>1.9525053235590422</v>
      </c>
      <c r="F198" s="374">
        <v>2.5838144344495722</v>
      </c>
      <c r="G198" s="2216"/>
      <c r="H198" s="2216"/>
      <c r="I198" s="2213"/>
    </row>
    <row r="199" spans="2:9" x14ac:dyDescent="0.25">
      <c r="B199" s="69">
        <v>1.4</v>
      </c>
      <c r="C199" s="25" t="s">
        <v>1383</v>
      </c>
      <c r="D199" s="1738">
        <v>3.5819993840971605</v>
      </c>
      <c r="E199" s="1738">
        <v>3.4054733069360315</v>
      </c>
      <c r="F199" s="374">
        <v>5.4514779494172512</v>
      </c>
      <c r="G199" s="2216"/>
      <c r="H199" s="2216"/>
      <c r="I199" s="2213"/>
    </row>
    <row r="200" spans="2:9" x14ac:dyDescent="0.25">
      <c r="B200" s="69">
        <v>1.5</v>
      </c>
      <c r="C200" s="25" t="s">
        <v>1384</v>
      </c>
      <c r="D200" s="1738">
        <v>1.1934698335620499</v>
      </c>
      <c r="E200" s="1738">
        <v>1.2204204170798971</v>
      </c>
      <c r="F200" s="374">
        <v>1.2306845248235159</v>
      </c>
      <c r="G200" s="2217"/>
      <c r="H200" s="2217"/>
      <c r="I200" s="2214"/>
    </row>
    <row r="201" spans="2:9" x14ac:dyDescent="0.25">
      <c r="B201" s="69">
        <v>1.6</v>
      </c>
      <c r="C201" s="25" t="s">
        <v>1332</v>
      </c>
      <c r="D201" s="764">
        <f>'F2'!M34</f>
        <v>8.3609302585019663</v>
      </c>
      <c r="E201" s="764">
        <f>'F2'!M94</f>
        <v>8.450015778766268</v>
      </c>
      <c r="F201" s="353">
        <f>'F2'!M152</f>
        <v>8.5284675257585167</v>
      </c>
      <c r="G201" s="353">
        <f>'F2'!M234</f>
        <v>8.5599999990312057</v>
      </c>
      <c r="H201" s="353">
        <f>'F2'!M352</f>
        <v>8.5600000000000023</v>
      </c>
      <c r="I201" s="353">
        <f>'F2'!R352</f>
        <v>8.56</v>
      </c>
    </row>
    <row r="202" spans="2:9" x14ac:dyDescent="0.25">
      <c r="B202" s="70">
        <v>2</v>
      </c>
      <c r="C202" s="213" t="s">
        <v>423</v>
      </c>
      <c r="D202" s="764"/>
      <c r="E202" s="764"/>
      <c r="F202" s="353"/>
      <c r="G202" s="353"/>
      <c r="H202" s="353"/>
      <c r="I202" s="353"/>
    </row>
    <row r="203" spans="2:9" x14ac:dyDescent="0.25">
      <c r="B203" s="69">
        <v>2.1</v>
      </c>
      <c r="C203" s="748" t="s">
        <v>933</v>
      </c>
      <c r="D203" s="764">
        <f>'F2'!M35</f>
        <v>2</v>
      </c>
      <c r="E203" s="764">
        <f>'F2'!M95</f>
        <v>2.0300000038397323</v>
      </c>
      <c r="F203" s="353">
        <f>'F2'!M153</f>
        <v>2.0499999981252155</v>
      </c>
      <c r="G203" s="353">
        <f>'F2'!M237</f>
        <v>2.2033199561848531</v>
      </c>
      <c r="H203" s="353">
        <f>'F2'!M355</f>
        <v>2.262630768580419</v>
      </c>
      <c r="I203" s="353">
        <f>'F2'!R394</f>
        <v>4.4325508556421331</v>
      </c>
    </row>
    <row r="204" spans="2:9" x14ac:dyDescent="0.25">
      <c r="B204" s="69">
        <v>2.2000000000000002</v>
      </c>
      <c r="C204" s="77" t="s">
        <v>1630</v>
      </c>
      <c r="D204" s="25"/>
      <c r="E204" s="25"/>
      <c r="G204" s="353"/>
      <c r="H204" s="353">
        <f>'F2'!M356</f>
        <v>2.262630768580419</v>
      </c>
      <c r="I204" s="353">
        <f>'F2'!R395</f>
        <v>4.4325508556421331</v>
      </c>
    </row>
    <row r="205" spans="2:9" x14ac:dyDescent="0.25">
      <c r="B205" s="70">
        <v>3</v>
      </c>
      <c r="C205" s="213" t="s">
        <v>424</v>
      </c>
      <c r="D205" s="764"/>
      <c r="E205" s="764"/>
      <c r="F205" s="353"/>
      <c r="G205" s="353"/>
      <c r="H205" s="353"/>
      <c r="I205" s="353"/>
    </row>
    <row r="206" spans="2:9" x14ac:dyDescent="0.25">
      <c r="B206" s="70">
        <v>3.1</v>
      </c>
      <c r="C206" s="748" t="s">
        <v>924</v>
      </c>
      <c r="D206" s="764"/>
      <c r="E206" s="764"/>
      <c r="F206" s="353"/>
      <c r="G206" s="353"/>
      <c r="H206" s="353"/>
      <c r="I206" s="353"/>
    </row>
    <row r="207" spans="2:9" x14ac:dyDescent="0.25">
      <c r="B207" s="69" t="s">
        <v>1333</v>
      </c>
      <c r="C207" s="748" t="s">
        <v>1344</v>
      </c>
      <c r="D207" s="764">
        <f>'F2'!M39</f>
        <v>4.9018291409140877</v>
      </c>
      <c r="E207" s="764">
        <f>'F2'!M99</f>
        <v>0</v>
      </c>
      <c r="F207" s="353">
        <f>'F2'!M157</f>
        <v>6.8182542961752057</v>
      </c>
      <c r="G207" s="353">
        <f>'F2'!M241</f>
        <v>5.4935664388109116</v>
      </c>
      <c r="H207" s="353"/>
      <c r="I207" s="353"/>
    </row>
    <row r="208" spans="2:9" x14ac:dyDescent="0.25">
      <c r="B208" s="69" t="s">
        <v>1335</v>
      </c>
      <c r="C208" s="748" t="s">
        <v>1336</v>
      </c>
      <c r="D208" s="764">
        <f>'F2'!M40</f>
        <v>3.3564921328385706</v>
      </c>
      <c r="E208" s="764">
        <f>'F2'!M100</f>
        <v>3.6576723801413435</v>
      </c>
      <c r="F208" s="353">
        <f>'F2'!M158</f>
        <v>4.5708603828693315</v>
      </c>
      <c r="G208" s="353">
        <f>'F2'!M242</f>
        <v>5.7530126560645343</v>
      </c>
      <c r="H208" s="353"/>
      <c r="I208" s="353"/>
    </row>
    <row r="209" spans="2:17" x14ac:dyDescent="0.25">
      <c r="B209" s="69" t="s">
        <v>1337</v>
      </c>
      <c r="C209" s="748" t="s">
        <v>1338</v>
      </c>
      <c r="D209" s="764">
        <f>'F2'!M41</f>
        <v>2.9060297139999496</v>
      </c>
      <c r="E209" s="764">
        <f>'F2'!M101</f>
        <v>2.9178430700588853</v>
      </c>
      <c r="F209" s="353">
        <f>'F2'!M159</f>
        <v>6.8854988377231221</v>
      </c>
      <c r="G209" s="353">
        <f>'F2'!M243</f>
        <v>11.138370680731832</v>
      </c>
      <c r="H209" s="353"/>
      <c r="I209" s="353"/>
    </row>
    <row r="210" spans="2:17" x14ac:dyDescent="0.3">
      <c r="B210" s="69">
        <v>3.2</v>
      </c>
      <c r="C210" s="1096" t="s">
        <v>1339</v>
      </c>
      <c r="D210" s="764">
        <f>'F2'!M43</f>
        <v>6.9733132675845608</v>
      </c>
      <c r="E210" s="764">
        <f>'F2'!M103</f>
        <v>0</v>
      </c>
      <c r="F210" s="353">
        <f>'F2'!M161</f>
        <v>0</v>
      </c>
      <c r="G210" s="353"/>
      <c r="H210" s="353"/>
      <c r="I210" s="353"/>
    </row>
    <row r="211" spans="2:17" x14ac:dyDescent="0.3">
      <c r="B211" s="69">
        <v>3.3</v>
      </c>
      <c r="C211" s="1096" t="s">
        <v>1439</v>
      </c>
      <c r="D211" s="764"/>
      <c r="E211" s="764"/>
      <c r="F211" s="353">
        <f>'F2'!M162</f>
        <v>4.2163305127712025</v>
      </c>
      <c r="G211" s="353">
        <f>'F2'!M244</f>
        <v>4.3287066705756523</v>
      </c>
      <c r="H211" s="353">
        <f>'F2'!R359</f>
        <v>4.32</v>
      </c>
      <c r="I211" s="353">
        <f>'F2'!R398</f>
        <v>4.32</v>
      </c>
    </row>
    <row r="212" spans="2:17" x14ac:dyDescent="0.3">
      <c r="B212" s="69">
        <v>3.4</v>
      </c>
      <c r="C212" s="1096" t="s">
        <v>1440</v>
      </c>
      <c r="D212" s="764"/>
      <c r="E212" s="764"/>
      <c r="F212" s="353">
        <f>'F2'!M163</f>
        <v>0</v>
      </c>
      <c r="G212" s="353"/>
      <c r="H212" s="353"/>
      <c r="I212" s="353"/>
    </row>
    <row r="213" spans="2:17" x14ac:dyDescent="0.3">
      <c r="B213" s="69">
        <v>3.5</v>
      </c>
      <c r="C213" s="1096" t="s">
        <v>1441</v>
      </c>
      <c r="D213" s="764"/>
      <c r="E213" s="764"/>
      <c r="F213" s="353">
        <f>'F2'!M164</f>
        <v>4.152154872244151</v>
      </c>
      <c r="G213" s="353">
        <f>'F2'!M245</f>
        <v>4.3329461271830265</v>
      </c>
      <c r="H213" s="353">
        <f>'F2'!R360</f>
        <v>4.32</v>
      </c>
      <c r="I213" s="353">
        <f>'F2'!R399</f>
        <v>4.32</v>
      </c>
    </row>
    <row r="214" spans="2:17" x14ac:dyDescent="0.3">
      <c r="B214" s="69">
        <v>3.6</v>
      </c>
      <c r="C214" s="1096" t="s">
        <v>1633</v>
      </c>
      <c r="D214" s="764"/>
      <c r="E214" s="764"/>
      <c r="F214" s="353"/>
      <c r="G214" s="353"/>
      <c r="H214" s="353"/>
      <c r="I214" s="353">
        <f ca="1">'F2'!R400</f>
        <v>4.75</v>
      </c>
    </row>
    <row r="215" spans="2:17" x14ac:dyDescent="0.3">
      <c r="B215" s="69"/>
      <c r="C215" s="1096"/>
      <c r="D215" s="764"/>
      <c r="E215" s="764"/>
      <c r="F215" s="353"/>
      <c r="G215" s="353"/>
      <c r="H215" s="353"/>
      <c r="I215" s="353"/>
    </row>
    <row r="216" spans="2:17" x14ac:dyDescent="0.3">
      <c r="B216" s="69"/>
      <c r="C216" s="1096"/>
      <c r="D216" s="764"/>
      <c r="E216" s="764"/>
      <c r="F216" s="25"/>
      <c r="G216" s="353"/>
      <c r="H216" s="353"/>
      <c r="I216" s="353"/>
    </row>
    <row r="217" spans="2:17" x14ac:dyDescent="0.3">
      <c r="B217" s="69"/>
      <c r="C217" s="1096"/>
      <c r="D217" s="764"/>
      <c r="E217" s="764"/>
      <c r="F217" s="25"/>
      <c r="G217" s="353"/>
      <c r="H217" s="353"/>
      <c r="I217" s="353"/>
    </row>
    <row r="218" spans="2:17" x14ac:dyDescent="0.3">
      <c r="B218" s="206"/>
      <c r="C218" s="1442"/>
      <c r="D218" s="128"/>
      <c r="E218" s="128"/>
      <c r="F218" s="128"/>
      <c r="G218" s="128"/>
      <c r="H218" s="128"/>
      <c r="I218" s="128"/>
    </row>
    <row r="219" spans="2:17" x14ac:dyDescent="0.3">
      <c r="B219" s="206"/>
      <c r="C219" s="1442"/>
      <c r="D219" s="128"/>
      <c r="E219" s="128"/>
      <c r="F219" s="128"/>
      <c r="G219" s="128"/>
      <c r="H219" s="128"/>
      <c r="I219" s="128"/>
    </row>
    <row r="220" spans="2:17" x14ac:dyDescent="0.25">
      <c r="B220" s="131" t="s">
        <v>839</v>
      </c>
      <c r="C220" s="120"/>
      <c r="D220" s="120"/>
      <c r="E220" s="17"/>
      <c r="F220" s="18"/>
      <c r="G220" s="17"/>
      <c r="H220" s="17"/>
      <c r="I220" s="17"/>
      <c r="J220" s="34"/>
      <c r="K220" s="34"/>
      <c r="L220" s="34"/>
    </row>
    <row r="221" spans="2:17" x14ac:dyDescent="0.25">
      <c r="B221" s="131"/>
      <c r="C221" s="120"/>
      <c r="D221" s="120"/>
      <c r="E221" s="17"/>
      <c r="F221" s="18"/>
      <c r="G221" s="17"/>
      <c r="H221" s="17"/>
      <c r="I221" s="17"/>
      <c r="J221" s="34"/>
      <c r="K221" s="34"/>
      <c r="L221" s="34"/>
    </row>
    <row r="222" spans="2:17" ht="27.65" customHeight="1" x14ac:dyDescent="0.25">
      <c r="B222" s="2177" t="s">
        <v>187</v>
      </c>
      <c r="C222" s="2219" t="s">
        <v>50</v>
      </c>
      <c r="D222" s="2177" t="s">
        <v>547</v>
      </c>
      <c r="E222" s="2203" t="s">
        <v>12</v>
      </c>
      <c r="F222" s="2224"/>
      <c r="G222" s="2224"/>
      <c r="H222" s="2224"/>
      <c r="I222" s="2224"/>
      <c r="J222" s="2224"/>
      <c r="K222" s="2224"/>
      <c r="L222" s="2224"/>
      <c r="M222" s="2224"/>
      <c r="N222" s="2224"/>
      <c r="O222" s="2224"/>
      <c r="P222" s="2204"/>
      <c r="Q222" s="2180" t="s">
        <v>145</v>
      </c>
    </row>
    <row r="223" spans="2:17" s="242" customFormat="1" x14ac:dyDescent="0.25">
      <c r="B223" s="2218"/>
      <c r="C223" s="2220"/>
      <c r="D223" s="2218"/>
      <c r="E223" s="1426" t="s">
        <v>151</v>
      </c>
      <c r="F223" s="1426" t="s">
        <v>152</v>
      </c>
      <c r="G223" s="1426" t="s">
        <v>153</v>
      </c>
      <c r="H223" s="1426" t="s">
        <v>154</v>
      </c>
      <c r="I223" s="1426" t="s">
        <v>155</v>
      </c>
      <c r="J223" s="1426" t="s">
        <v>156</v>
      </c>
      <c r="K223" s="1426" t="s">
        <v>157</v>
      </c>
      <c r="L223" s="1426" t="s">
        <v>158</v>
      </c>
      <c r="M223" s="1426" t="s">
        <v>159</v>
      </c>
      <c r="N223" s="1426" t="s">
        <v>160</v>
      </c>
      <c r="O223" s="1426" t="s">
        <v>161</v>
      </c>
      <c r="P223" s="1426" t="s">
        <v>162</v>
      </c>
      <c r="Q223" s="2180"/>
    </row>
    <row r="224" spans="2:17" x14ac:dyDescent="0.25">
      <c r="B224" s="70">
        <v>1</v>
      </c>
      <c r="C224" s="213" t="s">
        <v>422</v>
      </c>
      <c r="D224" s="213"/>
      <c r="E224" s="212"/>
      <c r="F224" s="25"/>
      <c r="G224" s="25"/>
      <c r="H224" s="25"/>
      <c r="I224" s="25"/>
      <c r="J224" s="25"/>
      <c r="K224" s="25"/>
      <c r="L224" s="25"/>
      <c r="M224" s="25"/>
      <c r="N224" s="25"/>
      <c r="O224" s="25"/>
      <c r="P224" s="25"/>
      <c r="Q224" s="25"/>
    </row>
    <row r="225" spans="2:17" x14ac:dyDescent="0.3">
      <c r="B225" s="69">
        <v>1.1000000000000001</v>
      </c>
      <c r="C225" s="747" t="s">
        <v>922</v>
      </c>
      <c r="D225" s="1520">
        <f>F1.5!D16</f>
        <v>676.68590000000006</v>
      </c>
      <c r="E225" s="764">
        <f t="shared" ref="E225:P225" si="45">E20</f>
        <v>310.96592137900001</v>
      </c>
      <c r="F225" s="764">
        <f t="shared" si="45"/>
        <v>324.69867600700002</v>
      </c>
      <c r="G225" s="764">
        <f t="shared" si="45"/>
        <v>293.59276867200003</v>
      </c>
      <c r="H225" s="764">
        <f t="shared" si="45"/>
        <v>309.20794328699998</v>
      </c>
      <c r="I225" s="764">
        <f t="shared" si="45"/>
        <v>293.436177982</v>
      </c>
      <c r="J225" s="764">
        <f t="shared" si="45"/>
        <v>249.74740651100001</v>
      </c>
      <c r="K225" s="764">
        <f t="shared" si="45"/>
        <v>294.65375431999996</v>
      </c>
      <c r="L225" s="764">
        <f t="shared" si="45"/>
        <v>304.53425605400002</v>
      </c>
      <c r="M225" s="764">
        <f t="shared" si="45"/>
        <v>258.68017887300005</v>
      </c>
      <c r="N225" s="764">
        <f t="shared" si="45"/>
        <v>284.06608526399998</v>
      </c>
      <c r="O225" s="764">
        <f t="shared" si="45"/>
        <v>251.73784081800002</v>
      </c>
      <c r="P225" s="764">
        <f t="shared" si="45"/>
        <v>271.23961957799997</v>
      </c>
      <c r="Q225" s="408">
        <f>SUM(E225:P225)</f>
        <v>3446.560628745</v>
      </c>
    </row>
    <row r="226" spans="2:17" ht="28" x14ac:dyDescent="0.25">
      <c r="B226" s="69">
        <v>1.2</v>
      </c>
      <c r="C226" s="748" t="s">
        <v>1332</v>
      </c>
      <c r="D226" s="1085">
        <f>F1.5!D17</f>
        <v>20</v>
      </c>
      <c r="E226" s="764">
        <f t="shared" ref="E226:P226" si="46">E21</f>
        <v>3.1755718700000002</v>
      </c>
      <c r="F226" s="764">
        <f t="shared" si="46"/>
        <v>3.3308781199999999</v>
      </c>
      <c r="G226" s="764">
        <f t="shared" si="46"/>
        <v>2.5449031199999999</v>
      </c>
      <c r="H226" s="764">
        <f t="shared" si="46"/>
        <v>2.2470218700000002</v>
      </c>
      <c r="I226" s="764">
        <f t="shared" si="46"/>
        <v>2.3356124999999999</v>
      </c>
      <c r="J226" s="764">
        <f t="shared" si="46"/>
        <v>2.22222813</v>
      </c>
      <c r="K226" s="764">
        <f t="shared" si="46"/>
        <v>2.4040406299999999</v>
      </c>
      <c r="L226" s="764">
        <f t="shared" si="46"/>
        <v>2.6193499999999998</v>
      </c>
      <c r="M226" s="764">
        <f t="shared" si="46"/>
        <v>2.45301562</v>
      </c>
      <c r="N226" s="764">
        <f t="shared" si="46"/>
        <v>2.7359968700000001</v>
      </c>
      <c r="O226" s="764">
        <f t="shared" si="46"/>
        <v>2.8377124999999999</v>
      </c>
      <c r="P226" s="764">
        <f t="shared" si="46"/>
        <v>3.34366889</v>
      </c>
      <c r="Q226" s="408">
        <f t="shared" ref="Q226:Q238" si="47">SUM(E226:P226)</f>
        <v>32.250000119999996</v>
      </c>
    </row>
    <row r="227" spans="2:17" x14ac:dyDescent="0.25">
      <c r="B227" s="69" t="s">
        <v>1433</v>
      </c>
      <c r="C227" s="748"/>
      <c r="D227" s="1085"/>
      <c r="E227" s="764"/>
      <c r="F227" s="764"/>
      <c r="G227" s="764"/>
      <c r="H227" s="764"/>
      <c r="I227" s="764"/>
      <c r="J227" s="764"/>
      <c r="K227" s="764"/>
      <c r="L227" s="764"/>
      <c r="M227" s="764"/>
      <c r="N227" s="764"/>
      <c r="O227" s="764"/>
      <c r="P227" s="764"/>
      <c r="Q227" s="408"/>
    </row>
    <row r="228" spans="2:17" x14ac:dyDescent="0.25">
      <c r="B228" s="70">
        <v>2</v>
      </c>
      <c r="C228" s="213" t="s">
        <v>423</v>
      </c>
      <c r="D228" s="1085"/>
      <c r="E228" s="764">
        <f t="shared" ref="E228:P228" si="48">E23</f>
        <v>0</v>
      </c>
      <c r="F228" s="764">
        <f t="shared" si="48"/>
        <v>0</v>
      </c>
      <c r="G228" s="764">
        <f t="shared" si="48"/>
        <v>0</v>
      </c>
      <c r="H228" s="764">
        <f t="shared" si="48"/>
        <v>0</v>
      </c>
      <c r="I228" s="764">
        <f t="shared" si="48"/>
        <v>0</v>
      </c>
      <c r="J228" s="764">
        <f t="shared" si="48"/>
        <v>0</v>
      </c>
      <c r="K228" s="764">
        <f t="shared" si="48"/>
        <v>0</v>
      </c>
      <c r="L228" s="764">
        <f t="shared" si="48"/>
        <v>0</v>
      </c>
      <c r="M228" s="764">
        <f t="shared" si="48"/>
        <v>0</v>
      </c>
      <c r="N228" s="764">
        <f t="shared" si="48"/>
        <v>0</v>
      </c>
      <c r="O228" s="764">
        <f t="shared" si="48"/>
        <v>0</v>
      </c>
      <c r="P228" s="764">
        <f t="shared" si="48"/>
        <v>0</v>
      </c>
      <c r="Q228" s="408">
        <f t="shared" si="47"/>
        <v>0</v>
      </c>
    </row>
    <row r="229" spans="2:17" x14ac:dyDescent="0.25">
      <c r="B229" s="69">
        <v>2.1</v>
      </c>
      <c r="C229" s="748" t="s">
        <v>933</v>
      </c>
      <c r="D229" s="1085">
        <f>F1.5!D20</f>
        <v>100</v>
      </c>
      <c r="E229" s="764">
        <f t="shared" ref="E229:P229" si="49">E24</f>
        <v>0</v>
      </c>
      <c r="F229" s="764">
        <f t="shared" si="49"/>
        <v>0</v>
      </c>
      <c r="G229" s="764">
        <f t="shared" si="49"/>
        <v>0</v>
      </c>
      <c r="H229" s="764">
        <f t="shared" si="49"/>
        <v>0</v>
      </c>
      <c r="I229" s="764">
        <f t="shared" si="49"/>
        <v>0</v>
      </c>
      <c r="J229" s="764">
        <f t="shared" si="49"/>
        <v>0</v>
      </c>
      <c r="K229" s="764">
        <f t="shared" si="49"/>
        <v>0</v>
      </c>
      <c r="L229" s="764">
        <f t="shared" si="49"/>
        <v>0</v>
      </c>
      <c r="M229" s="764">
        <f t="shared" si="49"/>
        <v>0</v>
      </c>
      <c r="N229" s="764">
        <f t="shared" si="49"/>
        <v>0</v>
      </c>
      <c r="O229" s="764">
        <f t="shared" si="49"/>
        <v>0</v>
      </c>
      <c r="P229" s="764">
        <f t="shared" si="49"/>
        <v>64.206000000000003</v>
      </c>
      <c r="Q229" s="408">
        <f t="shared" si="47"/>
        <v>64.206000000000003</v>
      </c>
    </row>
    <row r="230" spans="2:17" x14ac:dyDescent="0.25">
      <c r="B230" s="70">
        <v>3</v>
      </c>
      <c r="C230" s="213" t="s">
        <v>424</v>
      </c>
      <c r="D230" s="1085"/>
      <c r="E230" s="764">
        <f t="shared" ref="E230:P230" si="50">E25</f>
        <v>0</v>
      </c>
      <c r="F230" s="764">
        <f t="shared" si="50"/>
        <v>0</v>
      </c>
      <c r="G230" s="764">
        <f t="shared" si="50"/>
        <v>0</v>
      </c>
      <c r="H230" s="764">
        <f t="shared" si="50"/>
        <v>0</v>
      </c>
      <c r="I230" s="764">
        <f t="shared" si="50"/>
        <v>0</v>
      </c>
      <c r="J230" s="764">
        <f t="shared" si="50"/>
        <v>0</v>
      </c>
      <c r="K230" s="764">
        <f t="shared" si="50"/>
        <v>0</v>
      </c>
      <c r="L230" s="764">
        <f t="shared" si="50"/>
        <v>0</v>
      </c>
      <c r="M230" s="764">
        <f t="shared" si="50"/>
        <v>0</v>
      </c>
      <c r="N230" s="764">
        <f t="shared" si="50"/>
        <v>0</v>
      </c>
      <c r="O230" s="764">
        <f t="shared" si="50"/>
        <v>0</v>
      </c>
      <c r="P230" s="764">
        <f t="shared" si="50"/>
        <v>0</v>
      </c>
      <c r="Q230" s="408">
        <f t="shared" si="47"/>
        <v>0</v>
      </c>
    </row>
    <row r="231" spans="2:17" x14ac:dyDescent="0.25">
      <c r="B231" s="69">
        <v>3.1</v>
      </c>
      <c r="C231" s="748" t="s">
        <v>924</v>
      </c>
      <c r="D231" s="1085"/>
      <c r="E231" s="764">
        <f t="shared" ref="E231:P231" si="51">E26</f>
        <v>0</v>
      </c>
      <c r="F231" s="764">
        <f t="shared" si="51"/>
        <v>0</v>
      </c>
      <c r="G231" s="764">
        <f t="shared" si="51"/>
        <v>0</v>
      </c>
      <c r="H231" s="764">
        <f t="shared" si="51"/>
        <v>0</v>
      </c>
      <c r="I231" s="764">
        <f t="shared" si="51"/>
        <v>0</v>
      </c>
      <c r="J231" s="764">
        <f t="shared" si="51"/>
        <v>0</v>
      </c>
      <c r="K231" s="764">
        <f t="shared" si="51"/>
        <v>0</v>
      </c>
      <c r="L231" s="764">
        <f t="shared" si="51"/>
        <v>0</v>
      </c>
      <c r="M231" s="764">
        <f t="shared" si="51"/>
        <v>0</v>
      </c>
      <c r="N231" s="764">
        <f t="shared" si="51"/>
        <v>0</v>
      </c>
      <c r="O231" s="764">
        <f t="shared" si="51"/>
        <v>0</v>
      </c>
      <c r="P231" s="764">
        <f t="shared" si="51"/>
        <v>0</v>
      </c>
      <c r="Q231" s="408">
        <f t="shared" si="47"/>
        <v>0</v>
      </c>
    </row>
    <row r="232" spans="2:17" x14ac:dyDescent="0.25">
      <c r="B232" s="69" t="s">
        <v>1333</v>
      </c>
      <c r="C232" s="748" t="s">
        <v>1334</v>
      </c>
      <c r="D232" s="498"/>
      <c r="E232" s="764">
        <f t="shared" ref="E232:P232" si="52">E27</f>
        <v>25.552235</v>
      </c>
      <c r="F232" s="764">
        <f t="shared" si="52"/>
        <v>49.077919999999999</v>
      </c>
      <c r="G232" s="764">
        <f t="shared" si="52"/>
        <v>35.748429999999999</v>
      </c>
      <c r="H232" s="764">
        <f t="shared" si="52"/>
        <v>0</v>
      </c>
      <c r="I232" s="764">
        <f t="shared" si="52"/>
        <v>0</v>
      </c>
      <c r="J232" s="764">
        <f t="shared" si="52"/>
        <v>0</v>
      </c>
      <c r="K232" s="764">
        <f t="shared" si="52"/>
        <v>84.456960000000009</v>
      </c>
      <c r="L232" s="764">
        <f t="shared" si="52"/>
        <v>16.637937999999998</v>
      </c>
      <c r="M232" s="764">
        <f t="shared" si="52"/>
        <v>0</v>
      </c>
      <c r="N232" s="764">
        <f t="shared" si="52"/>
        <v>0</v>
      </c>
      <c r="O232" s="764">
        <f t="shared" si="52"/>
        <v>0</v>
      </c>
      <c r="P232" s="764">
        <f t="shared" si="52"/>
        <v>0</v>
      </c>
      <c r="Q232" s="408">
        <f t="shared" si="47"/>
        <v>211.47348300000002</v>
      </c>
    </row>
    <row r="233" spans="2:17" x14ac:dyDescent="0.25">
      <c r="B233" s="69" t="s">
        <v>1335</v>
      </c>
      <c r="C233" s="748" t="s">
        <v>1336</v>
      </c>
      <c r="D233" s="1085"/>
      <c r="E233" s="764">
        <f t="shared" ref="E233:P233" si="53">E28</f>
        <v>17.480567999999998</v>
      </c>
      <c r="F233" s="764">
        <f t="shared" si="53"/>
        <v>27.477450000000001</v>
      </c>
      <c r="G233" s="764">
        <f t="shared" si="53"/>
        <v>33.805802999999997</v>
      </c>
      <c r="H233" s="764">
        <f t="shared" si="53"/>
        <v>32.113765000000001</v>
      </c>
      <c r="I233" s="764">
        <f t="shared" si="53"/>
        <v>45.972339999999996</v>
      </c>
      <c r="J233" s="764">
        <f t="shared" si="53"/>
        <v>67.439664999999991</v>
      </c>
      <c r="K233" s="764">
        <f t="shared" si="53"/>
        <v>12.600854999999999</v>
      </c>
      <c r="L233" s="764">
        <f t="shared" si="53"/>
        <v>44.471538000000002</v>
      </c>
      <c r="M233" s="764">
        <f t="shared" si="53"/>
        <v>96.191445000000002</v>
      </c>
      <c r="N233" s="764">
        <f t="shared" si="53"/>
        <v>15.97958</v>
      </c>
      <c r="O233" s="764">
        <f t="shared" si="53"/>
        <v>43.186902499999995</v>
      </c>
      <c r="P233" s="764">
        <f t="shared" si="53"/>
        <v>0.87883749999999994</v>
      </c>
      <c r="Q233" s="408">
        <f t="shared" si="47"/>
        <v>437.59874899999988</v>
      </c>
    </row>
    <row r="234" spans="2:17" x14ac:dyDescent="0.25">
      <c r="B234" s="69" t="s">
        <v>1337</v>
      </c>
      <c r="C234" s="748" t="s">
        <v>1338</v>
      </c>
      <c r="D234" s="1085"/>
      <c r="E234" s="764">
        <f t="shared" ref="E234:P234" si="54">E29</f>
        <v>0</v>
      </c>
      <c r="F234" s="764">
        <f t="shared" si="54"/>
        <v>0</v>
      </c>
      <c r="G234" s="764">
        <f t="shared" si="54"/>
        <v>0</v>
      </c>
      <c r="H234" s="764">
        <f t="shared" si="54"/>
        <v>0</v>
      </c>
      <c r="I234" s="764">
        <f t="shared" si="54"/>
        <v>0</v>
      </c>
      <c r="J234" s="764">
        <f t="shared" si="54"/>
        <v>0</v>
      </c>
      <c r="K234" s="764">
        <f t="shared" si="54"/>
        <v>-1.824775</v>
      </c>
      <c r="L234" s="764">
        <f t="shared" si="54"/>
        <v>0</v>
      </c>
      <c r="M234" s="764">
        <f t="shared" si="54"/>
        <v>0</v>
      </c>
      <c r="N234" s="764">
        <f t="shared" si="54"/>
        <v>-9.4892500000000005E-2</v>
      </c>
      <c r="O234" s="764">
        <f t="shared" si="54"/>
        <v>0</v>
      </c>
      <c r="P234" s="764">
        <f t="shared" si="54"/>
        <v>0</v>
      </c>
      <c r="Q234" s="408">
        <f t="shared" si="47"/>
        <v>-1.9196675000000001</v>
      </c>
    </row>
    <row r="235" spans="2:17" x14ac:dyDescent="0.3">
      <c r="B235" s="69">
        <v>3.2</v>
      </c>
      <c r="C235" s="750" t="s">
        <v>1339</v>
      </c>
      <c r="D235" s="1085">
        <f>F1.5!D19</f>
        <v>12</v>
      </c>
      <c r="E235" s="764">
        <f t="shared" ref="E235:P235" si="55">E30</f>
        <v>4.9979840600000003</v>
      </c>
      <c r="F235" s="764">
        <f t="shared" si="55"/>
        <v>5.6687127550000005</v>
      </c>
      <c r="G235" s="764">
        <f t="shared" si="55"/>
        <v>5.1255589749999997</v>
      </c>
      <c r="H235" s="764">
        <f t="shared" si="55"/>
        <v>4.7998799999999999</v>
      </c>
      <c r="I235" s="764">
        <f t="shared" si="55"/>
        <v>4.8929400000000003</v>
      </c>
      <c r="J235" s="764">
        <f t="shared" si="55"/>
        <v>4.89086</v>
      </c>
      <c r="K235" s="764">
        <f t="shared" si="55"/>
        <v>5.0789600000000004</v>
      </c>
      <c r="L235" s="764">
        <f t="shared" si="55"/>
        <v>4.4945399999999998</v>
      </c>
      <c r="M235" s="764">
        <f t="shared" si="55"/>
        <v>5.0645822422000002</v>
      </c>
      <c r="N235" s="764">
        <f t="shared" si="55"/>
        <v>5.1075604499999994</v>
      </c>
      <c r="O235" s="764">
        <f t="shared" si="55"/>
        <v>3.5944982699999999</v>
      </c>
      <c r="P235" s="764">
        <f t="shared" si="55"/>
        <v>5.2365338899999996</v>
      </c>
      <c r="Q235" s="408">
        <f t="shared" si="47"/>
        <v>58.9526106422</v>
      </c>
    </row>
    <row r="236" spans="2:17" x14ac:dyDescent="0.3">
      <c r="B236" s="69">
        <v>3.3</v>
      </c>
      <c r="C236" s="750" t="s">
        <v>1340</v>
      </c>
      <c r="D236" s="1349"/>
      <c r="E236" s="764">
        <f t="shared" ref="E236:P236" si="56">E31</f>
        <v>0</v>
      </c>
      <c r="F236" s="764">
        <f t="shared" si="56"/>
        <v>0.83</v>
      </c>
      <c r="G236" s="764">
        <f t="shared" si="56"/>
        <v>0</v>
      </c>
      <c r="H236" s="764">
        <f t="shared" si="56"/>
        <v>0</v>
      </c>
      <c r="I236" s="764">
        <f t="shared" si="56"/>
        <v>4.7175000000000002</v>
      </c>
      <c r="J236" s="764">
        <f t="shared" si="56"/>
        <v>0</v>
      </c>
      <c r="K236" s="764">
        <f t="shared" si="56"/>
        <v>0</v>
      </c>
      <c r="L236" s="764">
        <f t="shared" si="56"/>
        <v>0</v>
      </c>
      <c r="M236" s="764">
        <f t="shared" si="56"/>
        <v>0</v>
      </c>
      <c r="N236" s="764">
        <f t="shared" si="56"/>
        <v>0</v>
      </c>
      <c r="O236" s="764">
        <f t="shared" si="56"/>
        <v>0</v>
      </c>
      <c r="P236" s="764">
        <f t="shared" si="56"/>
        <v>0</v>
      </c>
      <c r="Q236" s="408">
        <f t="shared" si="47"/>
        <v>5.5475000000000003</v>
      </c>
    </row>
    <row r="237" spans="2:17" x14ac:dyDescent="0.3">
      <c r="B237" s="69">
        <v>3.4</v>
      </c>
      <c r="C237" s="750" t="s">
        <v>1341</v>
      </c>
      <c r="D237" s="1349"/>
      <c r="E237" s="764">
        <f t="shared" ref="E237:P237" si="57">E32</f>
        <v>84.719828587688141</v>
      </c>
      <c r="F237" s="764">
        <f t="shared" si="57"/>
        <v>67.41183073685238</v>
      </c>
      <c r="G237" s="764">
        <f t="shared" si="57"/>
        <v>98.060540401029925</v>
      </c>
      <c r="H237" s="764">
        <f t="shared" si="57"/>
        <v>90.067184795500737</v>
      </c>
      <c r="I237" s="764">
        <f t="shared" si="57"/>
        <v>76.920610860968566</v>
      </c>
      <c r="J237" s="764">
        <f t="shared" si="57"/>
        <v>75.717778137719222</v>
      </c>
      <c r="K237" s="764">
        <f t="shared" si="57"/>
        <v>39.864304360196513</v>
      </c>
      <c r="L237" s="764">
        <f t="shared" si="57"/>
        <v>49.988403708711132</v>
      </c>
      <c r="M237" s="764">
        <f t="shared" si="57"/>
        <v>37.254942577768247</v>
      </c>
      <c r="N237" s="764">
        <f t="shared" si="57"/>
        <v>31.488344131865631</v>
      </c>
      <c r="O237" s="764">
        <f t="shared" si="57"/>
        <v>41.722581678950917</v>
      </c>
      <c r="P237" s="764">
        <f t="shared" si="57"/>
        <v>0.84569469789545004</v>
      </c>
      <c r="Q237" s="408">
        <f t="shared" si="47"/>
        <v>694.06204467514681</v>
      </c>
    </row>
    <row r="238" spans="2:17" x14ac:dyDescent="0.25">
      <c r="B238" s="70">
        <v>4</v>
      </c>
      <c r="C238" s="28" t="s">
        <v>541</v>
      </c>
      <c r="D238" s="1349"/>
      <c r="E238" s="765">
        <f>SUM(E225:E237)</f>
        <v>446.89210889668817</v>
      </c>
      <c r="F238" s="765">
        <f t="shared" ref="F238:P238" si="58">SUM(F225:F237)</f>
        <v>478.49546761885239</v>
      </c>
      <c r="G238" s="765">
        <f t="shared" si="58"/>
        <v>468.87800416802997</v>
      </c>
      <c r="H238" s="765">
        <f t="shared" si="58"/>
        <v>438.43579495250071</v>
      </c>
      <c r="I238" s="765">
        <f t="shared" si="58"/>
        <v>428.27518134296855</v>
      </c>
      <c r="J238" s="765">
        <f t="shared" si="58"/>
        <v>400.01793777871916</v>
      </c>
      <c r="K238" s="765">
        <f t="shared" si="58"/>
        <v>437.23409931019654</v>
      </c>
      <c r="L238" s="765">
        <f t="shared" si="58"/>
        <v>422.74602576271116</v>
      </c>
      <c r="M238" s="765">
        <f t="shared" si="58"/>
        <v>399.64416431296826</v>
      </c>
      <c r="N238" s="765">
        <f t="shared" si="58"/>
        <v>339.2826742158656</v>
      </c>
      <c r="O238" s="765">
        <f t="shared" si="58"/>
        <v>343.07953576695093</v>
      </c>
      <c r="P238" s="765">
        <f t="shared" si="58"/>
        <v>345.7503545558954</v>
      </c>
      <c r="Q238" s="408">
        <f t="shared" si="47"/>
        <v>4948.7313486823477</v>
      </c>
    </row>
    <row r="239" spans="2:17" x14ac:dyDescent="0.25">
      <c r="D239" s="1520"/>
    </row>
    <row r="240" spans="2:17" x14ac:dyDescent="0.25">
      <c r="B240" s="131" t="s">
        <v>840</v>
      </c>
      <c r="C240" s="120"/>
      <c r="D240" s="1523"/>
      <c r="E240" s="17"/>
      <c r="F240" s="18"/>
      <c r="G240" s="17"/>
      <c r="H240" s="17"/>
      <c r="I240" s="17"/>
      <c r="J240" s="34"/>
      <c r="K240" s="34"/>
      <c r="L240" s="34"/>
    </row>
    <row r="241" spans="2:17" x14ac:dyDescent="0.25">
      <c r="B241" s="131"/>
      <c r="C241" s="120"/>
      <c r="D241" s="1523"/>
      <c r="E241" s="17"/>
      <c r="F241" s="18"/>
      <c r="G241" s="17"/>
      <c r="H241" s="17"/>
      <c r="I241" s="17"/>
      <c r="J241" s="34"/>
      <c r="K241" s="34"/>
      <c r="L241" s="34"/>
    </row>
    <row r="242" spans="2:17" ht="27.65" customHeight="1" x14ac:dyDescent="0.25">
      <c r="B242" s="2177" t="s">
        <v>187</v>
      </c>
      <c r="C242" s="2219" t="s">
        <v>50</v>
      </c>
      <c r="D242" s="2221" t="s">
        <v>547</v>
      </c>
      <c r="E242" s="2180" t="s">
        <v>12</v>
      </c>
      <c r="F242" s="2180"/>
      <c r="G242" s="2180"/>
      <c r="H242" s="2180"/>
      <c r="I242" s="2180"/>
      <c r="J242" s="2180"/>
      <c r="K242" s="2180" t="s">
        <v>22</v>
      </c>
      <c r="L242" s="2180"/>
      <c r="M242" s="2180"/>
      <c r="N242" s="2180"/>
      <c r="O242" s="2180"/>
      <c r="P242" s="2180"/>
      <c r="Q242" s="2180" t="s">
        <v>145</v>
      </c>
    </row>
    <row r="243" spans="2:17" s="242" customFormat="1" x14ac:dyDescent="0.25">
      <c r="B243" s="2218"/>
      <c r="C243" s="2220"/>
      <c r="D243" s="2222"/>
      <c r="E243" s="1426" t="s">
        <v>151</v>
      </c>
      <c r="F243" s="1426" t="s">
        <v>152</v>
      </c>
      <c r="G243" s="1426" t="s">
        <v>153</v>
      </c>
      <c r="H243" s="1426" t="s">
        <v>154</v>
      </c>
      <c r="I243" s="1426" t="s">
        <v>155</v>
      </c>
      <c r="J243" s="1426" t="s">
        <v>156</v>
      </c>
      <c r="K243" s="1426" t="s">
        <v>157</v>
      </c>
      <c r="L243" s="1426" t="s">
        <v>158</v>
      </c>
      <c r="M243" s="1426" t="s">
        <v>159</v>
      </c>
      <c r="N243" s="1426" t="s">
        <v>160</v>
      </c>
      <c r="O243" s="1426" t="s">
        <v>161</v>
      </c>
      <c r="P243" s="1426" t="s">
        <v>162</v>
      </c>
      <c r="Q243" s="2180"/>
    </row>
    <row r="244" spans="2:17" x14ac:dyDescent="0.25">
      <c r="B244" s="70">
        <v>1</v>
      </c>
      <c r="C244" s="213" t="s">
        <v>422</v>
      </c>
      <c r="D244" s="498"/>
      <c r="E244" s="212"/>
      <c r="F244" s="25"/>
      <c r="G244" s="25"/>
      <c r="H244" s="25"/>
      <c r="I244" s="25"/>
      <c r="J244" s="25"/>
      <c r="K244" s="25"/>
      <c r="L244" s="25"/>
      <c r="M244" s="25"/>
      <c r="N244" s="25"/>
      <c r="O244" s="25"/>
      <c r="P244" s="25"/>
      <c r="Q244" s="25"/>
    </row>
    <row r="245" spans="2:17" x14ac:dyDescent="0.3">
      <c r="B245" s="69">
        <v>1.1000000000000001</v>
      </c>
      <c r="C245" s="747" t="s">
        <v>922</v>
      </c>
      <c r="D245" s="1085">
        <f>D225</f>
        <v>676.68590000000006</v>
      </c>
      <c r="E245" s="764">
        <f t="shared" ref="E245:P245" si="59">E46</f>
        <v>258.81036699999999</v>
      </c>
      <c r="F245" s="764">
        <f t="shared" si="59"/>
        <v>254.44615579999999</v>
      </c>
      <c r="G245" s="764">
        <f t="shared" si="59"/>
        <v>255.54621099999997</v>
      </c>
      <c r="H245" s="764">
        <f t="shared" si="59"/>
        <v>231.2438506</v>
      </c>
      <c r="I245" s="764">
        <f t="shared" si="59"/>
        <v>240.27795179999998</v>
      </c>
      <c r="J245" s="764">
        <f t="shared" si="59"/>
        <v>237.01714106</v>
      </c>
      <c r="K245" s="764">
        <f t="shared" si="59"/>
        <v>306.48529819999999</v>
      </c>
      <c r="L245" s="764">
        <f t="shared" si="59"/>
        <v>285.58842629999998</v>
      </c>
      <c r="M245" s="764">
        <f t="shared" si="59"/>
        <v>287.14048200000002</v>
      </c>
      <c r="N245" s="764">
        <f t="shared" si="59"/>
        <v>256.49900460000003</v>
      </c>
      <c r="O245" s="764">
        <f t="shared" si="59"/>
        <v>207.92894740000003</v>
      </c>
      <c r="P245" s="764">
        <f t="shared" si="59"/>
        <v>264.24548329999999</v>
      </c>
      <c r="Q245" s="408">
        <f>SUM(E245:P245)</f>
        <v>3085.2293190600008</v>
      </c>
    </row>
    <row r="246" spans="2:17" ht="28" x14ac:dyDescent="0.25">
      <c r="B246" s="69">
        <v>1.2</v>
      </c>
      <c r="C246" s="748" t="s">
        <v>1332</v>
      </c>
      <c r="D246" s="1085">
        <f>D226</f>
        <v>20</v>
      </c>
      <c r="E246" s="764">
        <f t="shared" ref="E246:P246" si="60">E47</f>
        <v>3.1736953799999998</v>
      </c>
      <c r="F246" s="764">
        <f t="shared" si="60"/>
        <v>3.1766749999999999</v>
      </c>
      <c r="G246" s="764">
        <f t="shared" si="60"/>
        <v>2.4805250000000001</v>
      </c>
      <c r="H246" s="764">
        <f t="shared" si="60"/>
        <v>2.3483687500000001</v>
      </c>
      <c r="I246" s="764">
        <f t="shared" si="60"/>
        <v>2.2312656300000002</v>
      </c>
      <c r="J246" s="764">
        <f t="shared" si="60"/>
        <v>2.3225781300000001</v>
      </c>
      <c r="K246" s="764">
        <f t="shared" si="60"/>
        <v>2.3378000000000001</v>
      </c>
      <c r="L246" s="764">
        <f t="shared" si="60"/>
        <v>2.5453031300000002</v>
      </c>
      <c r="M246" s="764">
        <f t="shared" si="60"/>
        <v>2.75446875</v>
      </c>
      <c r="N246" s="764">
        <f t="shared" si="60"/>
        <v>2.5998250000000001</v>
      </c>
      <c r="O246" s="764">
        <f t="shared" si="60"/>
        <v>2.7701812499999998</v>
      </c>
      <c r="P246" s="764">
        <f t="shared" si="60"/>
        <v>3.1693500000000001</v>
      </c>
      <c r="Q246" s="408">
        <f t="shared" ref="Q246:Q257" si="61">SUM(E246:P246)</f>
        <v>31.910036020000003</v>
      </c>
    </row>
    <row r="247" spans="2:17" x14ac:dyDescent="0.25">
      <c r="B247" s="70">
        <v>2</v>
      </c>
      <c r="C247" s="213" t="s">
        <v>423</v>
      </c>
      <c r="D247" s="1085">
        <f>D227</f>
        <v>0</v>
      </c>
      <c r="E247" s="764">
        <f t="shared" ref="E247:P247" si="62">E48</f>
        <v>0</v>
      </c>
      <c r="F247" s="764">
        <f t="shared" si="62"/>
        <v>0</v>
      </c>
      <c r="G247" s="764">
        <f t="shared" si="62"/>
        <v>0</v>
      </c>
      <c r="H247" s="764">
        <f t="shared" si="62"/>
        <v>0</v>
      </c>
      <c r="I247" s="764">
        <f t="shared" si="62"/>
        <v>0</v>
      </c>
      <c r="J247" s="764">
        <f t="shared" si="62"/>
        <v>0</v>
      </c>
      <c r="K247" s="764">
        <f t="shared" si="62"/>
        <v>0</v>
      </c>
      <c r="L247" s="764">
        <f t="shared" si="62"/>
        <v>0</v>
      </c>
      <c r="M247" s="764">
        <f t="shared" si="62"/>
        <v>0</v>
      </c>
      <c r="N247" s="764">
        <f t="shared" si="62"/>
        <v>0</v>
      </c>
      <c r="O247" s="764">
        <f t="shared" si="62"/>
        <v>0</v>
      </c>
      <c r="P247" s="764">
        <f t="shared" si="62"/>
        <v>0</v>
      </c>
      <c r="Q247" s="408">
        <f t="shared" si="61"/>
        <v>0</v>
      </c>
    </row>
    <row r="248" spans="2:17" x14ac:dyDescent="0.25">
      <c r="B248" s="69">
        <v>2.1</v>
      </c>
      <c r="C248" s="748" t="s">
        <v>933</v>
      </c>
      <c r="D248" s="1085">
        <f>D229</f>
        <v>100</v>
      </c>
      <c r="E248" s="764">
        <f t="shared" ref="E248:P248" si="63">E49</f>
        <v>70.385000000000005</v>
      </c>
      <c r="F248" s="764">
        <f t="shared" si="63"/>
        <v>73.598500000000001</v>
      </c>
      <c r="G248" s="764">
        <f t="shared" si="63"/>
        <v>68.916749999999993</v>
      </c>
      <c r="H248" s="764">
        <f t="shared" si="63"/>
        <v>70.655249999999995</v>
      </c>
      <c r="I248" s="764">
        <f t="shared" si="63"/>
        <v>67.972250000000003</v>
      </c>
      <c r="J248" s="764">
        <f t="shared" si="63"/>
        <v>68.870999999999995</v>
      </c>
      <c r="K248" s="764">
        <f t="shared" si="63"/>
        <v>73.006</v>
      </c>
      <c r="L248" s="764">
        <f t="shared" si="63"/>
        <v>71.157250000000005</v>
      </c>
      <c r="M248" s="764">
        <f t="shared" si="63"/>
        <v>69.424875</v>
      </c>
      <c r="N248" s="764">
        <f t="shared" si="63"/>
        <v>72.184250000000006</v>
      </c>
      <c r="O248" s="764">
        <f t="shared" si="63"/>
        <v>66.296250000000001</v>
      </c>
      <c r="P248" s="764">
        <f t="shared" si="63"/>
        <v>73.945750000000004</v>
      </c>
      <c r="Q248" s="408">
        <f t="shared" si="61"/>
        <v>846.41312499999992</v>
      </c>
    </row>
    <row r="249" spans="2:17" x14ac:dyDescent="0.25">
      <c r="B249" s="70">
        <v>3</v>
      </c>
      <c r="C249" s="213" t="s">
        <v>424</v>
      </c>
      <c r="E249" s="764">
        <f t="shared" ref="E249:P249" si="64">E50</f>
        <v>0</v>
      </c>
      <c r="F249" s="764">
        <f t="shared" si="64"/>
        <v>0</v>
      </c>
      <c r="G249" s="764">
        <f t="shared" si="64"/>
        <v>0</v>
      </c>
      <c r="H249" s="764">
        <f t="shared" si="64"/>
        <v>0</v>
      </c>
      <c r="I249" s="764">
        <f t="shared" si="64"/>
        <v>0</v>
      </c>
      <c r="J249" s="764">
        <f t="shared" si="64"/>
        <v>0</v>
      </c>
      <c r="K249" s="764">
        <f t="shared" si="64"/>
        <v>0</v>
      </c>
      <c r="L249" s="764">
        <f t="shared" si="64"/>
        <v>0</v>
      </c>
      <c r="M249" s="764">
        <f t="shared" si="64"/>
        <v>0</v>
      </c>
      <c r="N249" s="764">
        <f t="shared" si="64"/>
        <v>0</v>
      </c>
      <c r="O249" s="764">
        <f t="shared" si="64"/>
        <v>0</v>
      </c>
      <c r="P249" s="764">
        <f t="shared" si="64"/>
        <v>0</v>
      </c>
      <c r="Q249" s="408">
        <f t="shared" si="61"/>
        <v>0</v>
      </c>
    </row>
    <row r="250" spans="2:17" x14ac:dyDescent="0.25">
      <c r="B250" s="69">
        <v>3.1</v>
      </c>
      <c r="C250" s="748" t="s">
        <v>924</v>
      </c>
      <c r="D250" s="1085"/>
      <c r="E250" s="764">
        <f t="shared" ref="E250:P250" si="65">E51</f>
        <v>0</v>
      </c>
      <c r="F250" s="764">
        <f t="shared" si="65"/>
        <v>0</v>
      </c>
      <c r="G250" s="764">
        <f t="shared" si="65"/>
        <v>0</v>
      </c>
      <c r="H250" s="764">
        <f t="shared" si="65"/>
        <v>0</v>
      </c>
      <c r="I250" s="764">
        <f t="shared" si="65"/>
        <v>0</v>
      </c>
      <c r="J250" s="764">
        <f t="shared" si="65"/>
        <v>0</v>
      </c>
      <c r="K250" s="764">
        <f t="shared" si="65"/>
        <v>0</v>
      </c>
      <c r="L250" s="764">
        <f t="shared" si="65"/>
        <v>0</v>
      </c>
      <c r="M250" s="764">
        <f t="shared" si="65"/>
        <v>0</v>
      </c>
      <c r="N250" s="764">
        <f t="shared" si="65"/>
        <v>0</v>
      </c>
      <c r="O250" s="764">
        <f t="shared" si="65"/>
        <v>0</v>
      </c>
      <c r="P250" s="764">
        <f t="shared" si="65"/>
        <v>0</v>
      </c>
      <c r="Q250" s="408">
        <f t="shared" si="61"/>
        <v>0</v>
      </c>
    </row>
    <row r="251" spans="2:17" x14ac:dyDescent="0.25">
      <c r="B251" s="69" t="s">
        <v>1333</v>
      </c>
      <c r="C251" s="748" t="s">
        <v>1334</v>
      </c>
      <c r="D251" s="498"/>
      <c r="E251" s="764">
        <f t="shared" ref="E251:P251" si="66">E52</f>
        <v>0</v>
      </c>
      <c r="F251" s="764">
        <f t="shared" si="66"/>
        <v>0</v>
      </c>
      <c r="G251" s="764">
        <f t="shared" si="66"/>
        <v>0</v>
      </c>
      <c r="H251" s="764">
        <f t="shared" si="66"/>
        <v>0</v>
      </c>
      <c r="I251" s="764">
        <f t="shared" si="66"/>
        <v>0</v>
      </c>
      <c r="J251" s="764">
        <f t="shared" si="66"/>
        <v>0</v>
      </c>
      <c r="K251" s="764">
        <f t="shared" si="66"/>
        <v>0</v>
      </c>
      <c r="L251" s="764">
        <f t="shared" si="66"/>
        <v>0</v>
      </c>
      <c r="M251" s="764">
        <f t="shared" si="66"/>
        <v>0</v>
      </c>
      <c r="N251" s="764">
        <f t="shared" si="66"/>
        <v>0</v>
      </c>
      <c r="O251" s="764">
        <f t="shared" si="66"/>
        <v>0</v>
      </c>
      <c r="P251" s="764">
        <f t="shared" si="66"/>
        <v>0</v>
      </c>
      <c r="Q251" s="408">
        <f t="shared" si="61"/>
        <v>0</v>
      </c>
    </row>
    <row r="252" spans="2:17" x14ac:dyDescent="0.25">
      <c r="B252" s="69" t="s">
        <v>1335</v>
      </c>
      <c r="C252" s="748" t="s">
        <v>1336</v>
      </c>
      <c r="D252" s="1085"/>
      <c r="E252" s="764">
        <f t="shared" ref="E252:P252" si="67">E53</f>
        <v>0</v>
      </c>
      <c r="F252" s="764">
        <f t="shared" si="67"/>
        <v>7.5451874999999999</v>
      </c>
      <c r="G252" s="764">
        <f t="shared" si="67"/>
        <v>3.932175</v>
      </c>
      <c r="H252" s="764">
        <f t="shared" si="67"/>
        <v>9.3245249999999995</v>
      </c>
      <c r="I252" s="764">
        <f t="shared" si="67"/>
        <v>4.1445675</v>
      </c>
      <c r="J252" s="764">
        <f t="shared" si="67"/>
        <v>11.9164525</v>
      </c>
      <c r="K252" s="764">
        <f t="shared" si="67"/>
        <v>14.209709999999999</v>
      </c>
      <c r="L252" s="764">
        <f t="shared" si="67"/>
        <v>5.3774350000000002</v>
      </c>
      <c r="M252" s="764">
        <f t="shared" si="67"/>
        <v>1.03677</v>
      </c>
      <c r="N252" s="764">
        <f t="shared" si="67"/>
        <v>5.4395024999999997</v>
      </c>
      <c r="O252" s="764">
        <f t="shared" si="67"/>
        <v>25.750696475000002</v>
      </c>
      <c r="P252" s="764">
        <f t="shared" si="67"/>
        <v>45.308309583499998</v>
      </c>
      <c r="Q252" s="408">
        <f t="shared" si="61"/>
        <v>133.98533105849998</v>
      </c>
    </row>
    <row r="253" spans="2:17" x14ac:dyDescent="0.25">
      <c r="B253" s="69" t="s">
        <v>1337</v>
      </c>
      <c r="C253" s="748" t="s">
        <v>1338</v>
      </c>
      <c r="D253" s="1085"/>
      <c r="E253" s="764">
        <f t="shared" ref="E253:P253" si="68">E54</f>
        <v>0</v>
      </c>
      <c r="F253" s="764">
        <f t="shared" si="68"/>
        <v>0</v>
      </c>
      <c r="G253" s="764">
        <f t="shared" si="68"/>
        <v>-7.137645</v>
      </c>
      <c r="H253" s="764">
        <f t="shared" si="68"/>
        <v>-4.1161374999999998</v>
      </c>
      <c r="I253" s="764">
        <f t="shared" si="68"/>
        <v>-2.7962100000000003</v>
      </c>
      <c r="J253" s="764">
        <f t="shared" si="68"/>
        <v>-3.1611225000000003</v>
      </c>
      <c r="K253" s="764">
        <f t="shared" si="68"/>
        <v>-0.30062749999999999</v>
      </c>
      <c r="L253" s="764">
        <f t="shared" si="68"/>
        <v>-0.39440750000000002</v>
      </c>
      <c r="M253" s="764">
        <f t="shared" si="68"/>
        <v>-0.34791749999999999</v>
      </c>
      <c r="N253" s="764">
        <f t="shared" si="68"/>
        <v>-0.7831825</v>
      </c>
      <c r="O253" s="764">
        <f t="shared" si="68"/>
        <v>-9.7500000000000003E-2</v>
      </c>
      <c r="P253" s="764">
        <f t="shared" si="68"/>
        <v>-0.30018</v>
      </c>
      <c r="Q253" s="408">
        <f t="shared" si="61"/>
        <v>-19.434930000000001</v>
      </c>
    </row>
    <row r="254" spans="2:17" x14ac:dyDescent="0.3">
      <c r="B254" s="69">
        <v>3.2</v>
      </c>
      <c r="C254" s="750" t="s">
        <v>1339</v>
      </c>
      <c r="D254" s="1085"/>
      <c r="E254" s="764">
        <f t="shared" ref="E254:P254" si="69">E55</f>
        <v>0</v>
      </c>
      <c r="F254" s="764">
        <f t="shared" si="69"/>
        <v>0</v>
      </c>
      <c r="G254" s="764">
        <f t="shared" si="69"/>
        <v>0</v>
      </c>
      <c r="H254" s="764">
        <f t="shared" si="69"/>
        <v>0</v>
      </c>
      <c r="I254" s="764">
        <f t="shared" si="69"/>
        <v>0</v>
      </c>
      <c r="J254" s="764">
        <f t="shared" si="69"/>
        <v>0</v>
      </c>
      <c r="K254" s="764">
        <f t="shared" si="69"/>
        <v>0</v>
      </c>
      <c r="L254" s="764">
        <f t="shared" si="69"/>
        <v>0</v>
      </c>
      <c r="M254" s="764">
        <f t="shared" si="69"/>
        <v>0</v>
      </c>
      <c r="N254" s="764">
        <f t="shared" si="69"/>
        <v>0</v>
      </c>
      <c r="O254" s="764">
        <f t="shared" si="69"/>
        <v>0</v>
      </c>
      <c r="P254" s="764">
        <f t="shared" si="69"/>
        <v>0</v>
      </c>
      <c r="Q254" s="408">
        <f t="shared" si="61"/>
        <v>0</v>
      </c>
    </row>
    <row r="255" spans="2:17" x14ac:dyDescent="0.3">
      <c r="B255" s="69">
        <v>3.3</v>
      </c>
      <c r="C255" s="750" t="s">
        <v>1340</v>
      </c>
      <c r="D255" s="1349"/>
      <c r="E255" s="764">
        <f t="shared" ref="E255:P255" si="70">E56</f>
        <v>0</v>
      </c>
      <c r="F255" s="764">
        <f t="shared" si="70"/>
        <v>0.20499999999999999</v>
      </c>
      <c r="G255" s="764">
        <f t="shared" si="70"/>
        <v>0</v>
      </c>
      <c r="H255" s="764">
        <f t="shared" si="70"/>
        <v>0</v>
      </c>
      <c r="I255" s="764">
        <f t="shared" si="70"/>
        <v>0</v>
      </c>
      <c r="J255" s="764">
        <f t="shared" si="70"/>
        <v>0</v>
      </c>
      <c r="K255" s="764">
        <f t="shared" si="70"/>
        <v>0.26024999999999998</v>
      </c>
      <c r="L255" s="764">
        <f t="shared" si="70"/>
        <v>0.06</v>
      </c>
      <c r="M255" s="764">
        <f t="shared" si="70"/>
        <v>0</v>
      </c>
      <c r="N255" s="764">
        <f t="shared" si="70"/>
        <v>1.609</v>
      </c>
      <c r="O255" s="764">
        <f t="shared" si="70"/>
        <v>0.29499999999999998</v>
      </c>
      <c r="P255" s="764">
        <f t="shared" si="70"/>
        <v>0.43269999999999997</v>
      </c>
      <c r="Q255" s="408">
        <f t="shared" si="61"/>
        <v>2.8619499999999998</v>
      </c>
    </row>
    <row r="256" spans="2:17" x14ac:dyDescent="0.3">
      <c r="B256" s="69">
        <v>3.4</v>
      </c>
      <c r="C256" s="750" t="s">
        <v>1341</v>
      </c>
      <c r="D256" s="438"/>
      <c r="E256" s="764">
        <f t="shared" ref="E256:P256" si="71">E57</f>
        <v>-10.28949223431573</v>
      </c>
      <c r="F256" s="764">
        <f t="shared" si="71"/>
        <v>20.110133215572546</v>
      </c>
      <c r="G256" s="764">
        <f t="shared" si="71"/>
        <v>-1.3028455801836003</v>
      </c>
      <c r="H256" s="764">
        <f t="shared" si="71"/>
        <v>16.016183814371914</v>
      </c>
      <c r="I256" s="764">
        <f t="shared" si="71"/>
        <v>4.0039981512506415</v>
      </c>
      <c r="J256" s="764">
        <f t="shared" si="71"/>
        <v>25.366736603211166</v>
      </c>
      <c r="K256" s="764">
        <f t="shared" si="71"/>
        <v>-16.3978964514734</v>
      </c>
      <c r="L256" s="764">
        <f t="shared" si="71"/>
        <v>-19.998279199349724</v>
      </c>
      <c r="M256" s="764">
        <f t="shared" si="71"/>
        <v>-31.532146429579143</v>
      </c>
      <c r="N256" s="764">
        <f t="shared" si="71"/>
        <v>-24.470416285178317</v>
      </c>
      <c r="O256" s="764">
        <f t="shared" si="71"/>
        <v>0.3689422810770111</v>
      </c>
      <c r="P256" s="764">
        <f t="shared" si="71"/>
        <v>7.2791667425650797</v>
      </c>
      <c r="Q256" s="408">
        <f t="shared" si="61"/>
        <v>-30.845915372031556</v>
      </c>
    </row>
    <row r="257" spans="2:17" x14ac:dyDescent="0.25">
      <c r="B257" s="70">
        <v>4</v>
      </c>
      <c r="C257" s="28" t="s">
        <v>541</v>
      </c>
      <c r="D257" s="438"/>
      <c r="E257" s="765">
        <f>SUM(E245:E256)</f>
        <v>322.07957014568427</v>
      </c>
      <c r="F257" s="765">
        <f t="shared" ref="F257:P257" si="72">SUM(F245:F256)</f>
        <v>359.0816515155725</v>
      </c>
      <c r="G257" s="765">
        <f t="shared" si="72"/>
        <v>322.4351704198163</v>
      </c>
      <c r="H257" s="765">
        <f t="shared" si="72"/>
        <v>325.47204066437189</v>
      </c>
      <c r="I257" s="765">
        <f t="shared" si="72"/>
        <v>315.83382308125061</v>
      </c>
      <c r="J257" s="765">
        <f t="shared" si="72"/>
        <v>342.3327857932112</v>
      </c>
      <c r="K257" s="765">
        <f t="shared" si="72"/>
        <v>379.60053424852651</v>
      </c>
      <c r="L257" s="765">
        <f t="shared" si="72"/>
        <v>344.33572773065026</v>
      </c>
      <c r="M257" s="765">
        <f t="shared" si="72"/>
        <v>328.47653182042086</v>
      </c>
      <c r="N257" s="765">
        <f t="shared" si="72"/>
        <v>313.07798331482172</v>
      </c>
      <c r="O257" s="765">
        <f t="shared" si="72"/>
        <v>303.31251740607701</v>
      </c>
      <c r="P257" s="765">
        <f t="shared" si="72"/>
        <v>394.08057962606506</v>
      </c>
      <c r="Q257" s="408">
        <f t="shared" si="61"/>
        <v>4050.1189157664685</v>
      </c>
    </row>
    <row r="258" spans="2:17" x14ac:dyDescent="0.25">
      <c r="D258" s="1520"/>
    </row>
    <row r="259" spans="2:17" x14ac:dyDescent="0.25">
      <c r="D259" s="1520"/>
    </row>
    <row r="260" spans="2:17" x14ac:dyDescent="0.25">
      <c r="B260" s="131" t="s">
        <v>832</v>
      </c>
      <c r="C260" s="120"/>
      <c r="D260" s="1523"/>
      <c r="E260" s="17"/>
      <c r="F260" s="18"/>
      <c r="G260" s="17"/>
      <c r="H260" s="17"/>
      <c r="I260" s="17"/>
      <c r="J260" s="34"/>
      <c r="K260" s="34"/>
      <c r="L260" s="34"/>
    </row>
    <row r="261" spans="2:17" x14ac:dyDescent="0.25">
      <c r="B261" s="131"/>
      <c r="C261" s="120"/>
      <c r="D261" s="1523"/>
      <c r="E261" s="17"/>
      <c r="F261" s="18"/>
      <c r="G261" s="17"/>
      <c r="H261" s="17"/>
      <c r="I261" s="17"/>
      <c r="J261" s="34"/>
      <c r="K261" s="34"/>
      <c r="L261" s="34"/>
    </row>
    <row r="262" spans="2:17" ht="27.65" customHeight="1" x14ac:dyDescent="0.25">
      <c r="B262" s="2177" t="s">
        <v>187</v>
      </c>
      <c r="C262" s="2219" t="s">
        <v>50</v>
      </c>
      <c r="D262" s="2221" t="s">
        <v>547</v>
      </c>
      <c r="E262" s="2180" t="s">
        <v>12</v>
      </c>
      <c r="F262" s="2180"/>
      <c r="G262" s="2180"/>
      <c r="H262" s="2180"/>
      <c r="I262" s="2180"/>
      <c r="J262" s="2180"/>
      <c r="K262" s="2180" t="s">
        <v>22</v>
      </c>
      <c r="L262" s="2180"/>
      <c r="M262" s="2180"/>
      <c r="N262" s="2180"/>
      <c r="O262" s="2180"/>
      <c r="P262" s="2180"/>
      <c r="Q262" s="2180" t="s">
        <v>145</v>
      </c>
    </row>
    <row r="263" spans="2:17" s="242" customFormat="1" x14ac:dyDescent="0.25">
      <c r="B263" s="2218"/>
      <c r="C263" s="2220"/>
      <c r="D263" s="2222"/>
      <c r="E263" s="1426" t="s">
        <v>151</v>
      </c>
      <c r="F263" s="1426" t="s">
        <v>152</v>
      </c>
      <c r="G263" s="1426" t="s">
        <v>153</v>
      </c>
      <c r="H263" s="1426" t="s">
        <v>154</v>
      </c>
      <c r="I263" s="1426" t="s">
        <v>155</v>
      </c>
      <c r="J263" s="1426" t="s">
        <v>156</v>
      </c>
      <c r="K263" s="1426" t="s">
        <v>157</v>
      </c>
      <c r="L263" s="1426" t="s">
        <v>158</v>
      </c>
      <c r="M263" s="1426" t="s">
        <v>159</v>
      </c>
      <c r="N263" s="1426" t="s">
        <v>160</v>
      </c>
      <c r="O263" s="1426" t="s">
        <v>161</v>
      </c>
      <c r="P263" s="1426" t="s">
        <v>162</v>
      </c>
      <c r="Q263" s="2180"/>
    </row>
    <row r="264" spans="2:17" x14ac:dyDescent="0.25">
      <c r="B264" s="70">
        <v>1</v>
      </c>
      <c r="C264" s="213" t="s">
        <v>422</v>
      </c>
      <c r="D264" s="498"/>
      <c r="E264" s="212"/>
      <c r="F264" s="25"/>
      <c r="G264" s="25"/>
      <c r="H264" s="25"/>
      <c r="I264" s="25"/>
      <c r="J264" s="25"/>
      <c r="K264" s="25"/>
      <c r="L264" s="25"/>
      <c r="M264" s="25"/>
      <c r="N264" s="25"/>
      <c r="O264" s="25"/>
      <c r="P264" s="25"/>
      <c r="Q264" s="25"/>
    </row>
    <row r="265" spans="2:17" x14ac:dyDescent="0.3">
      <c r="B265" s="69">
        <v>1.1000000000000001</v>
      </c>
      <c r="C265" s="258" t="s">
        <v>922</v>
      </c>
      <c r="D265" s="1085">
        <f>D245</f>
        <v>676.68590000000006</v>
      </c>
      <c r="E265" s="764">
        <f t="shared" ref="E265:P265" si="73">E69</f>
        <v>308.60818260000002</v>
      </c>
      <c r="F265" s="764">
        <f t="shared" si="73"/>
        <v>316.5717851</v>
      </c>
      <c r="G265" s="764">
        <f t="shared" si="73"/>
        <v>301.55985699999997</v>
      </c>
      <c r="H265" s="764">
        <f t="shared" si="73"/>
        <v>265.54648780000002</v>
      </c>
      <c r="I265" s="764">
        <f t="shared" si="73"/>
        <v>281.30631360000001</v>
      </c>
      <c r="J265" s="764">
        <f t="shared" si="73"/>
        <v>285.82819890000002</v>
      </c>
      <c r="K265" s="764">
        <f t="shared" si="73"/>
        <v>318.096585</v>
      </c>
      <c r="L265" s="764">
        <f t="shared" si="73"/>
        <v>258.40011600000003</v>
      </c>
      <c r="M265" s="764">
        <f t="shared" si="73"/>
        <v>225.01465000000002</v>
      </c>
      <c r="N265" s="764">
        <f t="shared" si="73"/>
        <v>209.65356399999999</v>
      </c>
      <c r="O265" s="764">
        <f t="shared" si="73"/>
        <v>218.65031200000001</v>
      </c>
      <c r="P265" s="764">
        <f t="shared" si="73"/>
        <v>295.50174799999996</v>
      </c>
      <c r="Q265" s="408">
        <f t="shared" ref="Q265:Q284" si="74">SUM(E265:P265)</f>
        <v>3284.7378000000008</v>
      </c>
    </row>
    <row r="266" spans="2:17" ht="28" x14ac:dyDescent="0.25">
      <c r="B266" s="69">
        <v>1.2</v>
      </c>
      <c r="C266" s="748" t="s">
        <v>1332</v>
      </c>
      <c r="D266" s="1085">
        <f>D246</f>
        <v>20</v>
      </c>
      <c r="E266" s="764">
        <f t="shared" ref="E266:P266" si="75">E70</f>
        <v>3.05673438</v>
      </c>
      <c r="F266" s="764">
        <f t="shared" si="75"/>
        <v>3.0296562499999999</v>
      </c>
      <c r="G266" s="764">
        <f t="shared" si="75"/>
        <v>2.5730781299999999</v>
      </c>
      <c r="H266" s="764">
        <f t="shared" si="75"/>
        <v>2.2036750000000001</v>
      </c>
      <c r="I266" s="764">
        <f t="shared" si="75"/>
        <v>2.4060999999999999</v>
      </c>
      <c r="J266" s="764">
        <f t="shared" si="75"/>
        <v>2.3617062500000001</v>
      </c>
      <c r="K266" s="764">
        <f t="shared" si="75"/>
        <v>2.7709250000000001</v>
      </c>
      <c r="L266" s="764">
        <f t="shared" si="75"/>
        <v>2.1906062500000001</v>
      </c>
      <c r="M266" s="764">
        <f t="shared" si="75"/>
        <v>2.3639000000000001</v>
      </c>
      <c r="N266" s="764">
        <f t="shared" si="75"/>
        <v>2.7837000000000001</v>
      </c>
      <c r="O266" s="764">
        <f t="shared" si="75"/>
        <v>2.8826687500000001</v>
      </c>
      <c r="P266" s="764">
        <f t="shared" si="75"/>
        <v>2.9937156300000001</v>
      </c>
      <c r="Q266" s="408">
        <f t="shared" si="74"/>
        <v>31.616465640000001</v>
      </c>
    </row>
    <row r="267" spans="2:17" x14ac:dyDescent="0.25">
      <c r="B267" s="69">
        <v>1.3</v>
      </c>
      <c r="C267" s="77" t="s">
        <v>395</v>
      </c>
      <c r="D267" s="1085">
        <f>D247</f>
        <v>0</v>
      </c>
      <c r="E267" s="764">
        <f t="shared" ref="E267:P267" si="76">E71</f>
        <v>0</v>
      </c>
      <c r="F267" s="764">
        <f t="shared" si="76"/>
        <v>0</v>
      </c>
      <c r="G267" s="764">
        <f t="shared" si="76"/>
        <v>0</v>
      </c>
      <c r="H267" s="764">
        <f t="shared" si="76"/>
        <v>0</v>
      </c>
      <c r="I267" s="764">
        <f t="shared" si="76"/>
        <v>0</v>
      </c>
      <c r="J267" s="764">
        <f t="shared" si="76"/>
        <v>0</v>
      </c>
      <c r="K267" s="764">
        <f t="shared" si="76"/>
        <v>0</v>
      </c>
      <c r="L267" s="764">
        <f t="shared" si="76"/>
        <v>0</v>
      </c>
      <c r="M267" s="764">
        <f t="shared" si="76"/>
        <v>0</v>
      </c>
      <c r="N267" s="764">
        <f t="shared" si="76"/>
        <v>0</v>
      </c>
      <c r="O267" s="764">
        <f t="shared" si="76"/>
        <v>0</v>
      </c>
      <c r="P267" s="764">
        <f t="shared" si="76"/>
        <v>0</v>
      </c>
      <c r="Q267" s="408">
        <f t="shared" si="74"/>
        <v>0</v>
      </c>
    </row>
    <row r="268" spans="2:17" x14ac:dyDescent="0.25">
      <c r="B268" s="70">
        <v>2</v>
      </c>
      <c r="C268" s="213" t="s">
        <v>423</v>
      </c>
      <c r="D268" s="1085">
        <f>D248</f>
        <v>100</v>
      </c>
      <c r="E268" s="764">
        <f t="shared" ref="E268:P268" si="77">E72</f>
        <v>0</v>
      </c>
      <c r="F268" s="764">
        <f t="shared" si="77"/>
        <v>0</v>
      </c>
      <c r="G268" s="764">
        <f t="shared" si="77"/>
        <v>0</v>
      </c>
      <c r="H268" s="764">
        <f t="shared" si="77"/>
        <v>0</v>
      </c>
      <c r="I268" s="764">
        <f t="shared" si="77"/>
        <v>0</v>
      </c>
      <c r="J268" s="764">
        <f t="shared" si="77"/>
        <v>0</v>
      </c>
      <c r="K268" s="764">
        <f t="shared" si="77"/>
        <v>0</v>
      </c>
      <c r="L268" s="764">
        <f t="shared" si="77"/>
        <v>0</v>
      </c>
      <c r="M268" s="764">
        <f t="shared" si="77"/>
        <v>0</v>
      </c>
      <c r="N268" s="764">
        <f t="shared" si="77"/>
        <v>0</v>
      </c>
      <c r="O268" s="764">
        <f t="shared" si="77"/>
        <v>0</v>
      </c>
      <c r="P268" s="764">
        <f t="shared" si="77"/>
        <v>0</v>
      </c>
      <c r="Q268" s="408">
        <f t="shared" si="74"/>
        <v>0</v>
      </c>
    </row>
    <row r="269" spans="2:17" x14ac:dyDescent="0.25">
      <c r="B269" s="69">
        <v>2.1</v>
      </c>
      <c r="C269" s="748" t="s">
        <v>933</v>
      </c>
      <c r="D269" s="1085"/>
      <c r="E269" s="764">
        <f t="shared" ref="E269:P269" si="78">E73</f>
        <v>64.892375000000001</v>
      </c>
      <c r="F269" s="764">
        <f t="shared" si="78"/>
        <v>69.572000000000003</v>
      </c>
      <c r="G269" s="764">
        <f t="shared" si="78"/>
        <v>71.622249999999994</v>
      </c>
      <c r="H269" s="764">
        <f t="shared" si="78"/>
        <v>70.868250000000003</v>
      </c>
      <c r="I269" s="764">
        <f t="shared" si="78"/>
        <v>44.632018000000002</v>
      </c>
      <c r="J269" s="764">
        <f t="shared" si="78"/>
        <v>43.790999999999997</v>
      </c>
      <c r="K269" s="764">
        <f t="shared" si="78"/>
        <v>45.084345999999996</v>
      </c>
      <c r="L269" s="764">
        <f t="shared" si="78"/>
        <v>65.489407</v>
      </c>
      <c r="M269" s="764">
        <f t="shared" si="78"/>
        <v>66.999943000000002</v>
      </c>
      <c r="N269" s="764">
        <f t="shared" si="78"/>
        <v>57.709975</v>
      </c>
      <c r="O269" s="764">
        <f t="shared" si="78"/>
        <v>60.105347999999999</v>
      </c>
      <c r="P269" s="764">
        <f t="shared" si="78"/>
        <v>59.316094999999997</v>
      </c>
      <c r="Q269" s="408">
        <f t="shared" si="74"/>
        <v>720.08300700000007</v>
      </c>
    </row>
    <row r="270" spans="2:17" x14ac:dyDescent="0.25">
      <c r="B270" s="69">
        <v>2.2000000000000002</v>
      </c>
      <c r="C270" s="77"/>
      <c r="D270" s="1085"/>
      <c r="E270" s="764">
        <f t="shared" ref="E270:P270" si="79">E74</f>
        <v>0</v>
      </c>
      <c r="F270" s="764">
        <f t="shared" si="79"/>
        <v>0</v>
      </c>
      <c r="G270" s="764">
        <f t="shared" si="79"/>
        <v>0</v>
      </c>
      <c r="H270" s="764">
        <f t="shared" si="79"/>
        <v>0</v>
      </c>
      <c r="I270" s="764">
        <f t="shared" si="79"/>
        <v>0</v>
      </c>
      <c r="J270" s="764">
        <f t="shared" si="79"/>
        <v>0</v>
      </c>
      <c r="K270" s="764">
        <f t="shared" si="79"/>
        <v>0</v>
      </c>
      <c r="L270" s="764">
        <f t="shared" si="79"/>
        <v>0</v>
      </c>
      <c r="M270" s="764">
        <f t="shared" si="79"/>
        <v>0</v>
      </c>
      <c r="N270" s="764">
        <f t="shared" si="79"/>
        <v>0</v>
      </c>
      <c r="O270" s="764">
        <f t="shared" si="79"/>
        <v>0</v>
      </c>
      <c r="P270" s="764">
        <f t="shared" si="79"/>
        <v>0</v>
      </c>
      <c r="Q270" s="408">
        <f t="shared" si="74"/>
        <v>0</v>
      </c>
    </row>
    <row r="271" spans="2:17" x14ac:dyDescent="0.25">
      <c r="B271" s="70">
        <v>3</v>
      </c>
      <c r="C271" s="213" t="s">
        <v>424</v>
      </c>
      <c r="D271" s="498"/>
      <c r="E271" s="764">
        <f t="shared" ref="E271:P271" si="80">E75</f>
        <v>0</v>
      </c>
      <c r="F271" s="764">
        <f t="shared" si="80"/>
        <v>0</v>
      </c>
      <c r="G271" s="764">
        <f t="shared" si="80"/>
        <v>0</v>
      </c>
      <c r="H271" s="764">
        <f t="shared" si="80"/>
        <v>0</v>
      </c>
      <c r="I271" s="764">
        <f t="shared" si="80"/>
        <v>0</v>
      </c>
      <c r="J271" s="764">
        <f t="shared" si="80"/>
        <v>0</v>
      </c>
      <c r="K271" s="764">
        <f t="shared" si="80"/>
        <v>0</v>
      </c>
      <c r="L271" s="764">
        <f t="shared" si="80"/>
        <v>0</v>
      </c>
      <c r="M271" s="764">
        <f t="shared" si="80"/>
        <v>0</v>
      </c>
      <c r="N271" s="764">
        <f t="shared" si="80"/>
        <v>0</v>
      </c>
      <c r="O271" s="764">
        <f t="shared" si="80"/>
        <v>0</v>
      </c>
      <c r="P271" s="764">
        <f t="shared" si="80"/>
        <v>0</v>
      </c>
      <c r="Q271" s="408">
        <f t="shared" si="74"/>
        <v>0</v>
      </c>
    </row>
    <row r="272" spans="2:17" x14ac:dyDescent="0.25">
      <c r="B272" s="69">
        <v>3.1</v>
      </c>
      <c r="C272" s="748" t="s">
        <v>924</v>
      </c>
      <c r="D272" s="498"/>
      <c r="E272" s="764">
        <f t="shared" ref="E272:P272" si="81">E76</f>
        <v>0</v>
      </c>
      <c r="F272" s="764">
        <f t="shared" si="81"/>
        <v>0</v>
      </c>
      <c r="G272" s="764">
        <f t="shared" si="81"/>
        <v>0</v>
      </c>
      <c r="H272" s="764">
        <f t="shared" si="81"/>
        <v>0</v>
      </c>
      <c r="I272" s="764">
        <f t="shared" si="81"/>
        <v>0</v>
      </c>
      <c r="J272" s="764">
        <f t="shared" si="81"/>
        <v>0</v>
      </c>
      <c r="K272" s="764">
        <f t="shared" si="81"/>
        <v>0</v>
      </c>
      <c r="L272" s="764">
        <f t="shared" si="81"/>
        <v>0</v>
      </c>
      <c r="M272" s="764">
        <f t="shared" si="81"/>
        <v>0</v>
      </c>
      <c r="N272" s="764">
        <f t="shared" si="81"/>
        <v>0</v>
      </c>
      <c r="O272" s="764">
        <f t="shared" si="81"/>
        <v>0</v>
      </c>
      <c r="P272" s="764">
        <f t="shared" si="81"/>
        <v>0</v>
      </c>
      <c r="Q272" s="408">
        <f t="shared" si="74"/>
        <v>0</v>
      </c>
    </row>
    <row r="273" spans="2:17" x14ac:dyDescent="0.25">
      <c r="B273" s="69">
        <v>3.2</v>
      </c>
      <c r="C273" s="748" t="s">
        <v>1334</v>
      </c>
      <c r="D273" s="498"/>
      <c r="E273" s="764">
        <f t="shared" ref="E273:P273" si="82">E77</f>
        <v>0</v>
      </c>
      <c r="F273" s="764">
        <f t="shared" si="82"/>
        <v>0</v>
      </c>
      <c r="G273" s="764">
        <f t="shared" si="82"/>
        <v>0</v>
      </c>
      <c r="H273" s="764">
        <f t="shared" si="82"/>
        <v>0</v>
      </c>
      <c r="I273" s="764">
        <f t="shared" si="82"/>
        <v>0</v>
      </c>
      <c r="J273" s="764">
        <f t="shared" si="82"/>
        <v>0</v>
      </c>
      <c r="K273" s="764">
        <f t="shared" si="82"/>
        <v>17.108541700000011</v>
      </c>
      <c r="L273" s="764">
        <f t="shared" si="82"/>
        <v>0</v>
      </c>
      <c r="M273" s="764">
        <f t="shared" si="82"/>
        <v>25.202866999999998</v>
      </c>
      <c r="N273" s="764">
        <f t="shared" si="82"/>
        <v>0</v>
      </c>
      <c r="O273" s="764">
        <f t="shared" si="82"/>
        <v>0</v>
      </c>
      <c r="P273" s="764">
        <f t="shared" si="82"/>
        <v>0</v>
      </c>
      <c r="Q273" s="408">
        <f t="shared" si="74"/>
        <v>42.311408700000008</v>
      </c>
    </row>
    <row r="274" spans="2:17" x14ac:dyDescent="0.25">
      <c r="B274" s="69">
        <v>3.3000000000000003</v>
      </c>
      <c r="C274" s="748" t="s">
        <v>1336</v>
      </c>
      <c r="D274" s="498"/>
      <c r="E274" s="764">
        <f t="shared" ref="E274:P274" si="83">E78</f>
        <v>3.8589081249999988</v>
      </c>
      <c r="F274" s="764">
        <f t="shared" si="83"/>
        <v>5.4888509999999986</v>
      </c>
      <c r="G274" s="764">
        <f t="shared" si="83"/>
        <v>6.4609075000000002</v>
      </c>
      <c r="H274" s="764">
        <f t="shared" si="83"/>
        <v>20.474697500000001</v>
      </c>
      <c r="I274" s="764">
        <f t="shared" si="83"/>
        <v>18.991644999999998</v>
      </c>
      <c r="J274" s="764">
        <f t="shared" si="83"/>
        <v>29.816717500000014</v>
      </c>
      <c r="K274" s="764">
        <f t="shared" si="83"/>
        <v>35.322991045000002</v>
      </c>
      <c r="L274" s="764">
        <f t="shared" si="83"/>
        <v>48.926726308749998</v>
      </c>
      <c r="M274" s="764">
        <f t="shared" si="83"/>
        <v>23.712767226249994</v>
      </c>
      <c r="N274" s="764">
        <f t="shared" si="83"/>
        <v>28.836601759500006</v>
      </c>
      <c r="O274" s="764">
        <f t="shared" si="83"/>
        <v>15.337678214500002</v>
      </c>
      <c r="P274" s="764">
        <f t="shared" si="83"/>
        <v>53.012607006000003</v>
      </c>
      <c r="Q274" s="408">
        <f t="shared" si="74"/>
        <v>290.241098185</v>
      </c>
    </row>
    <row r="275" spans="2:17" x14ac:dyDescent="0.25">
      <c r="B275" s="69">
        <v>3.4</v>
      </c>
      <c r="C275" s="748" t="s">
        <v>1338</v>
      </c>
      <c r="D275" s="498"/>
      <c r="E275" s="764">
        <f t="shared" ref="E275:P275" si="84">E79</f>
        <v>0</v>
      </c>
      <c r="F275" s="764">
        <f t="shared" si="84"/>
        <v>0</v>
      </c>
      <c r="G275" s="764">
        <f t="shared" si="84"/>
        <v>-3.1335925000000002</v>
      </c>
      <c r="H275" s="764">
        <f t="shared" si="84"/>
        <v>-0.9546</v>
      </c>
      <c r="I275" s="764">
        <f t="shared" si="84"/>
        <v>-0.21124999999999999</v>
      </c>
      <c r="J275" s="764">
        <f t="shared" si="84"/>
        <v>-1.5615025</v>
      </c>
      <c r="K275" s="764">
        <f t="shared" si="84"/>
        <v>-1.9123824999999999</v>
      </c>
      <c r="L275" s="764">
        <f t="shared" si="84"/>
        <v>-0.51936249999999995</v>
      </c>
      <c r="M275" s="764">
        <f t="shared" si="84"/>
        <v>-1.4848074999999998</v>
      </c>
      <c r="N275" s="764">
        <f t="shared" si="84"/>
        <v>-2.0987049999999998</v>
      </c>
      <c r="O275" s="764">
        <f t="shared" si="84"/>
        <v>-10.543777500000001</v>
      </c>
      <c r="P275" s="764">
        <f t="shared" si="84"/>
        <v>-1.0600750000000001</v>
      </c>
      <c r="Q275" s="408">
        <f t="shared" si="74"/>
        <v>-23.480055</v>
      </c>
    </row>
    <row r="276" spans="2:17" x14ac:dyDescent="0.3">
      <c r="B276" s="69">
        <v>3.5</v>
      </c>
      <c r="C276" s="1096" t="s">
        <v>1339</v>
      </c>
      <c r="D276" s="498"/>
      <c r="E276" s="764">
        <f t="shared" ref="E276:P276" si="85">E80</f>
        <v>0</v>
      </c>
      <c r="F276" s="764">
        <f t="shared" si="85"/>
        <v>0</v>
      </c>
      <c r="G276" s="764">
        <f t="shared" si="85"/>
        <v>0</v>
      </c>
      <c r="H276" s="764">
        <f t="shared" si="85"/>
        <v>0</v>
      </c>
      <c r="I276" s="764">
        <f t="shared" si="85"/>
        <v>0</v>
      </c>
      <c r="J276" s="764">
        <f t="shared" si="85"/>
        <v>0</v>
      </c>
      <c r="K276" s="764">
        <f t="shared" si="85"/>
        <v>0</v>
      </c>
      <c r="L276" s="764">
        <f t="shared" si="85"/>
        <v>0</v>
      </c>
      <c r="M276" s="764">
        <f t="shared" si="85"/>
        <v>0</v>
      </c>
      <c r="N276" s="764">
        <f t="shared" si="85"/>
        <v>0</v>
      </c>
      <c r="O276" s="764">
        <f t="shared" si="85"/>
        <v>0</v>
      </c>
      <c r="P276" s="764">
        <f t="shared" si="85"/>
        <v>0</v>
      </c>
      <c r="Q276" s="408">
        <f t="shared" si="74"/>
        <v>0</v>
      </c>
    </row>
    <row r="277" spans="2:17" x14ac:dyDescent="0.25">
      <c r="B277" s="69">
        <v>3.6</v>
      </c>
      <c r="C277" s="1439" t="s">
        <v>1991</v>
      </c>
      <c r="D277" s="498"/>
      <c r="E277" s="764">
        <f t="shared" ref="E277:P277" si="86">E81</f>
        <v>0</v>
      </c>
      <c r="F277" s="764">
        <f t="shared" si="86"/>
        <v>0</v>
      </c>
      <c r="G277" s="764">
        <f t="shared" si="86"/>
        <v>0</v>
      </c>
      <c r="H277" s="764">
        <f t="shared" si="86"/>
        <v>0</v>
      </c>
      <c r="I277" s="764">
        <f t="shared" si="86"/>
        <v>0</v>
      </c>
      <c r="J277" s="764">
        <f t="shared" si="86"/>
        <v>0</v>
      </c>
      <c r="K277" s="764">
        <f t="shared" si="86"/>
        <v>1.0070000000000001E-2</v>
      </c>
      <c r="L277" s="764">
        <f t="shared" si="86"/>
        <v>0.23494000000000001</v>
      </c>
      <c r="M277" s="764">
        <f t="shared" si="86"/>
        <v>0.20793</v>
      </c>
      <c r="N277" s="764">
        <f t="shared" si="86"/>
        <v>0.11905</v>
      </c>
      <c r="O277" s="764">
        <f t="shared" si="86"/>
        <v>0</v>
      </c>
      <c r="P277" s="764">
        <f t="shared" si="86"/>
        <v>0</v>
      </c>
      <c r="Q277" s="408">
        <f t="shared" si="74"/>
        <v>0.57199</v>
      </c>
    </row>
    <row r="278" spans="2:17" x14ac:dyDescent="0.3">
      <c r="B278" s="69">
        <v>3.7</v>
      </c>
      <c r="C278" s="1440" t="s">
        <v>1440</v>
      </c>
      <c r="D278" s="498"/>
      <c r="E278" s="764">
        <f t="shared" ref="E278:P278" si="87">E82</f>
        <v>0</v>
      </c>
      <c r="F278" s="764">
        <f t="shared" si="87"/>
        <v>0</v>
      </c>
      <c r="G278" s="764">
        <f t="shared" si="87"/>
        <v>0</v>
      </c>
      <c r="H278" s="764">
        <f t="shared" si="87"/>
        <v>0</v>
      </c>
      <c r="I278" s="764">
        <f t="shared" si="87"/>
        <v>0</v>
      </c>
      <c r="J278" s="764">
        <f t="shared" si="87"/>
        <v>0</v>
      </c>
      <c r="K278" s="764">
        <f t="shared" si="87"/>
        <v>0</v>
      </c>
      <c r="L278" s="764">
        <f t="shared" si="87"/>
        <v>0</v>
      </c>
      <c r="M278" s="764">
        <f t="shared" si="87"/>
        <v>0</v>
      </c>
      <c r="N278" s="764">
        <f t="shared" si="87"/>
        <v>0</v>
      </c>
      <c r="O278" s="764">
        <f t="shared" si="87"/>
        <v>0</v>
      </c>
      <c r="P278" s="764">
        <f t="shared" si="87"/>
        <v>0</v>
      </c>
      <c r="Q278" s="408">
        <f t="shared" si="74"/>
        <v>0</v>
      </c>
    </row>
    <row r="279" spans="2:17" x14ac:dyDescent="0.25">
      <c r="B279" s="69">
        <v>3.8</v>
      </c>
      <c r="C279" s="1439" t="s">
        <v>1989</v>
      </c>
      <c r="D279" s="498"/>
      <c r="E279" s="764">
        <f t="shared" ref="E279:P279" si="88">E83</f>
        <v>0</v>
      </c>
      <c r="F279" s="764">
        <f t="shared" si="88"/>
        <v>0</v>
      </c>
      <c r="G279" s="764">
        <f t="shared" si="88"/>
        <v>0</v>
      </c>
      <c r="H279" s="764">
        <f t="shared" si="88"/>
        <v>0</v>
      </c>
      <c r="I279" s="764">
        <f t="shared" si="88"/>
        <v>0</v>
      </c>
      <c r="J279" s="764">
        <f t="shared" si="88"/>
        <v>5.4205199999999998</v>
      </c>
      <c r="K279" s="764">
        <f t="shared" si="88"/>
        <v>0.81037999999999999</v>
      </c>
      <c r="L279" s="764">
        <f t="shared" si="88"/>
        <v>11.369009999999999</v>
      </c>
      <c r="M279" s="764">
        <f t="shared" si="88"/>
        <v>2.1029599999999999</v>
      </c>
      <c r="N279" s="764">
        <f t="shared" si="88"/>
        <v>8.9569999999999997E-2</v>
      </c>
      <c r="O279" s="764">
        <f t="shared" si="88"/>
        <v>0</v>
      </c>
      <c r="P279" s="764">
        <f t="shared" si="88"/>
        <v>0</v>
      </c>
      <c r="Q279" s="408">
        <f t="shared" si="74"/>
        <v>19.792439999999999</v>
      </c>
    </row>
    <row r="280" spans="2:17" x14ac:dyDescent="0.3">
      <c r="B280" s="69">
        <v>3.9</v>
      </c>
      <c r="C280" s="1440" t="s">
        <v>1340</v>
      </c>
      <c r="D280" s="498"/>
      <c r="E280" s="764">
        <f t="shared" ref="E280:P280" si="89">E84</f>
        <v>0.254</v>
      </c>
      <c r="F280" s="764">
        <f t="shared" si="89"/>
        <v>0</v>
      </c>
      <c r="G280" s="764">
        <f t="shared" si="89"/>
        <v>0.28699999999999998</v>
      </c>
      <c r="H280" s="764">
        <f t="shared" si="89"/>
        <v>0.19775000000000001</v>
      </c>
      <c r="I280" s="764">
        <f t="shared" si="89"/>
        <v>0</v>
      </c>
      <c r="J280" s="764">
        <f t="shared" si="89"/>
        <v>0</v>
      </c>
      <c r="K280" s="764">
        <f t="shared" si="89"/>
        <v>2.7595000000000001</v>
      </c>
      <c r="L280" s="764">
        <f t="shared" si="89"/>
        <v>0</v>
      </c>
      <c r="M280" s="764">
        <f t="shared" si="89"/>
        <v>0</v>
      </c>
      <c r="N280" s="764">
        <f t="shared" si="89"/>
        <v>0.17</v>
      </c>
      <c r="O280" s="764">
        <f t="shared" si="89"/>
        <v>0.161</v>
      </c>
      <c r="P280" s="764">
        <f t="shared" si="89"/>
        <v>0</v>
      </c>
      <c r="Q280" s="408">
        <f t="shared" si="74"/>
        <v>3.82925</v>
      </c>
    </row>
    <row r="281" spans="2:17" x14ac:dyDescent="0.3">
      <c r="B281" s="763">
        <v>3.1</v>
      </c>
      <c r="C281" s="1440" t="s">
        <v>1442</v>
      </c>
      <c r="D281" s="498"/>
      <c r="E281" s="764">
        <f t="shared" ref="E281:P281" si="90">E85</f>
        <v>0</v>
      </c>
      <c r="F281" s="764">
        <f t="shared" si="90"/>
        <v>0</v>
      </c>
      <c r="G281" s="764">
        <f t="shared" si="90"/>
        <v>0</v>
      </c>
      <c r="H281" s="764">
        <f t="shared" si="90"/>
        <v>0</v>
      </c>
      <c r="I281" s="764">
        <f t="shared" si="90"/>
        <v>0</v>
      </c>
      <c r="J281" s="764">
        <f t="shared" si="90"/>
        <v>0</v>
      </c>
      <c r="K281" s="764">
        <f t="shared" si="90"/>
        <v>0.41932380939606001</v>
      </c>
      <c r="L281" s="764">
        <f t="shared" si="90"/>
        <v>-0.74957622124117385</v>
      </c>
      <c r="M281" s="764">
        <f t="shared" si="90"/>
        <v>2.0493634019960685</v>
      </c>
      <c r="N281" s="764">
        <f t="shared" si="90"/>
        <v>2.5739710416952328</v>
      </c>
      <c r="O281" s="764">
        <f t="shared" si="90"/>
        <v>-1.4867386188934282</v>
      </c>
      <c r="P281" s="764">
        <f t="shared" si="90"/>
        <v>-0.30062897458667454</v>
      </c>
      <c r="Q281" s="408">
        <f t="shared" si="74"/>
        <v>2.5057144383660854</v>
      </c>
    </row>
    <row r="282" spans="2:17" x14ac:dyDescent="0.3">
      <c r="B282" s="69">
        <v>3.11</v>
      </c>
      <c r="C282" s="1440" t="s">
        <v>1341</v>
      </c>
      <c r="D282" s="498"/>
      <c r="E282" s="764">
        <f t="shared" ref="E282:P282" si="91">E86</f>
        <v>-1.1241109210135392</v>
      </c>
      <c r="F282" s="764">
        <f t="shared" si="91"/>
        <v>-10.903616758117664</v>
      </c>
      <c r="G282" s="764">
        <f t="shared" si="91"/>
        <v>-13.080005706190207</v>
      </c>
      <c r="H282" s="764">
        <f t="shared" si="91"/>
        <v>24.932106610987717</v>
      </c>
      <c r="I282" s="764">
        <f t="shared" si="91"/>
        <v>31.084521380655701</v>
      </c>
      <c r="J282" s="764">
        <f t="shared" si="91"/>
        <v>7.1785810545396771</v>
      </c>
      <c r="K282" s="764">
        <f t="shared" si="91"/>
        <v>-2.4664415749830937</v>
      </c>
      <c r="L282" s="764">
        <f t="shared" si="91"/>
        <v>-0.97483988072883676</v>
      </c>
      <c r="M282" s="764">
        <f t="shared" si="91"/>
        <v>-2.5904199600089441</v>
      </c>
      <c r="N282" s="764">
        <f t="shared" si="91"/>
        <v>-0.94313984596584532</v>
      </c>
      <c r="O282" s="764">
        <f t="shared" si="91"/>
        <v>2.0237942901871975E-2</v>
      </c>
      <c r="P282" s="764">
        <f t="shared" si="91"/>
        <v>3.8603716869565119</v>
      </c>
      <c r="Q282" s="408">
        <f t="shared" si="74"/>
        <v>34.993244029033349</v>
      </c>
    </row>
    <row r="283" spans="2:17" x14ac:dyDescent="0.25">
      <c r="B283" s="69">
        <v>3.12</v>
      </c>
      <c r="C283" s="806" t="s">
        <v>395</v>
      </c>
      <c r="D283" s="498"/>
      <c r="E283" s="764">
        <f t="shared" ref="E283:P283" si="92">E87</f>
        <v>0</v>
      </c>
      <c r="F283" s="764">
        <f t="shared" si="92"/>
        <v>0</v>
      </c>
      <c r="G283" s="764">
        <f t="shared" si="92"/>
        <v>0</v>
      </c>
      <c r="H283" s="764">
        <f t="shared" si="92"/>
        <v>0</v>
      </c>
      <c r="I283" s="764">
        <f t="shared" si="92"/>
        <v>0</v>
      </c>
      <c r="J283" s="764">
        <f t="shared" si="92"/>
        <v>0</v>
      </c>
      <c r="K283" s="764">
        <f t="shared" si="92"/>
        <v>0</v>
      </c>
      <c r="L283" s="764">
        <f t="shared" si="92"/>
        <v>0</v>
      </c>
      <c r="M283" s="764">
        <f t="shared" si="92"/>
        <v>0</v>
      </c>
      <c r="N283" s="764">
        <f t="shared" si="92"/>
        <v>0</v>
      </c>
      <c r="O283" s="764">
        <f t="shared" si="92"/>
        <v>0</v>
      </c>
      <c r="P283" s="764">
        <f t="shared" si="92"/>
        <v>0</v>
      </c>
      <c r="Q283" s="408">
        <f t="shared" si="74"/>
        <v>0</v>
      </c>
    </row>
    <row r="284" spans="2:17" x14ac:dyDescent="0.25">
      <c r="B284" s="69">
        <v>4</v>
      </c>
      <c r="C284" s="807" t="s">
        <v>541</v>
      </c>
      <c r="D284" s="1085"/>
      <c r="E284" s="765">
        <f>SUM(E265:E283)</f>
        <v>379.54608918398651</v>
      </c>
      <c r="F284" s="765">
        <f t="shared" ref="F284:P284" si="93">SUM(F265:F283)</f>
        <v>383.75867559188237</v>
      </c>
      <c r="G284" s="765">
        <f t="shared" si="93"/>
        <v>366.28949442380974</v>
      </c>
      <c r="H284" s="765">
        <f t="shared" si="93"/>
        <v>383.26836691098765</v>
      </c>
      <c r="I284" s="765">
        <f t="shared" si="93"/>
        <v>378.20934798065571</v>
      </c>
      <c r="J284" s="765">
        <f t="shared" si="93"/>
        <v>372.83522120453972</v>
      </c>
      <c r="K284" s="765">
        <f t="shared" si="93"/>
        <v>418.00383847941293</v>
      </c>
      <c r="L284" s="765">
        <f t="shared" si="93"/>
        <v>384.36702695678002</v>
      </c>
      <c r="M284" s="765">
        <f t="shared" si="93"/>
        <v>343.5791531682371</v>
      </c>
      <c r="N284" s="765">
        <f t="shared" si="93"/>
        <v>298.89458695522944</v>
      </c>
      <c r="O284" s="765">
        <f t="shared" si="93"/>
        <v>285.1267287885085</v>
      </c>
      <c r="P284" s="765">
        <f t="shared" si="93"/>
        <v>413.32383334836982</v>
      </c>
      <c r="Q284" s="408">
        <f t="shared" si="74"/>
        <v>4407.2023629923997</v>
      </c>
    </row>
    <row r="285" spans="2:17" x14ac:dyDescent="0.25">
      <c r="D285" s="1520"/>
      <c r="E285"/>
      <c r="F285"/>
      <c r="G285"/>
      <c r="H285"/>
      <c r="I285"/>
      <c r="J285"/>
      <c r="K285"/>
      <c r="L285"/>
      <c r="M285"/>
      <c r="N285"/>
      <c r="O285"/>
      <c r="P285"/>
      <c r="Q285"/>
    </row>
    <row r="286" spans="2:17" x14ac:dyDescent="0.25">
      <c r="B286" s="131" t="s">
        <v>834</v>
      </c>
      <c r="C286" s="120"/>
      <c r="D286" s="1523"/>
      <c r="E286" s="17"/>
      <c r="F286" s="18"/>
      <c r="G286" s="17"/>
      <c r="H286" s="17"/>
      <c r="I286" s="17"/>
      <c r="J286" s="34"/>
      <c r="K286" s="34"/>
      <c r="L286" s="34"/>
    </row>
    <row r="287" spans="2:17" x14ac:dyDescent="0.25">
      <c r="B287" s="131"/>
      <c r="C287" s="120"/>
      <c r="D287" s="1523"/>
      <c r="E287" s="17"/>
      <c r="F287" s="18"/>
      <c r="G287" s="17"/>
      <c r="H287" s="17"/>
      <c r="I287" s="17"/>
      <c r="J287" s="34"/>
      <c r="K287" s="34"/>
      <c r="L287" s="34"/>
    </row>
    <row r="288" spans="2:17" ht="28" x14ac:dyDescent="0.25">
      <c r="B288" s="214" t="s">
        <v>187</v>
      </c>
      <c r="C288" s="214" t="s">
        <v>50</v>
      </c>
      <c r="D288" s="1521" t="s">
        <v>547</v>
      </c>
      <c r="E288" s="1426" t="s">
        <v>151</v>
      </c>
      <c r="F288" s="1426" t="s">
        <v>152</v>
      </c>
      <c r="G288" s="1426" t="s">
        <v>153</v>
      </c>
      <c r="H288" s="1426" t="s">
        <v>154</v>
      </c>
      <c r="I288" s="1426" t="s">
        <v>155</v>
      </c>
      <c r="J288" s="1426" t="s">
        <v>156</v>
      </c>
      <c r="K288" s="1426" t="s">
        <v>157</v>
      </c>
      <c r="L288" s="1426" t="s">
        <v>158</v>
      </c>
      <c r="M288" s="1426" t="s">
        <v>159</v>
      </c>
      <c r="N288" s="1426" t="s">
        <v>160</v>
      </c>
      <c r="O288" s="1426" t="s">
        <v>161</v>
      </c>
      <c r="P288" s="1426" t="s">
        <v>162</v>
      </c>
      <c r="Q288" s="1426" t="s">
        <v>145</v>
      </c>
    </row>
    <row r="289" spans="2:17" x14ac:dyDescent="0.25">
      <c r="B289" s="70">
        <v>1</v>
      </c>
      <c r="C289" s="213" t="s">
        <v>422</v>
      </c>
      <c r="D289" s="498"/>
      <c r="E289" s="212"/>
      <c r="F289" s="25"/>
      <c r="G289" s="25"/>
      <c r="H289" s="25"/>
      <c r="I289" s="25"/>
      <c r="J289" s="25"/>
      <c r="K289" s="25"/>
      <c r="L289" s="25"/>
      <c r="M289" s="25"/>
      <c r="N289" s="25"/>
      <c r="O289" s="25"/>
      <c r="P289" s="25"/>
      <c r="Q289" s="25"/>
    </row>
    <row r="290" spans="2:17" x14ac:dyDescent="0.3">
      <c r="B290" s="69">
        <v>1.1000000000000001</v>
      </c>
      <c r="C290" s="258" t="s">
        <v>922</v>
      </c>
      <c r="D290" s="1085">
        <f>D265</f>
        <v>676.68590000000006</v>
      </c>
      <c r="E290" s="764">
        <f t="shared" ref="E290:P290" si="94">E103</f>
        <v>341.05557400000004</v>
      </c>
      <c r="F290" s="764">
        <f t="shared" si="94"/>
        <v>302.76214299999998</v>
      </c>
      <c r="G290" s="764">
        <f t="shared" si="94"/>
        <v>275.26943499999999</v>
      </c>
      <c r="H290" s="764">
        <f t="shared" si="94"/>
        <v>236.31412</v>
      </c>
      <c r="I290" s="764">
        <f t="shared" si="94"/>
        <v>271.85710999999998</v>
      </c>
      <c r="J290" s="764">
        <f t="shared" si="94"/>
        <v>239.81564600000002</v>
      </c>
      <c r="K290" s="764">
        <f t="shared" si="94"/>
        <v>300.1492112462272</v>
      </c>
      <c r="L290" s="764">
        <f t="shared" si="94"/>
        <v>315.2640517034996</v>
      </c>
      <c r="M290" s="764">
        <f t="shared" si="94"/>
        <v>279.89497816957032</v>
      </c>
      <c r="N290" s="764">
        <f t="shared" si="94"/>
        <v>247.33060353681398</v>
      </c>
      <c r="O290" s="764">
        <f t="shared" si="94"/>
        <v>213.9246337217657</v>
      </c>
      <c r="P290" s="764">
        <f t="shared" si="94"/>
        <v>224.30742044456105</v>
      </c>
      <c r="Q290" s="408">
        <f t="shared" ref="Q290:Q309" si="95">SUM(E290:P290)</f>
        <v>3247.944926822438</v>
      </c>
    </row>
    <row r="291" spans="2:17" ht="28" x14ac:dyDescent="0.25">
      <c r="B291" s="69">
        <v>1.2</v>
      </c>
      <c r="C291" s="748" t="s">
        <v>1332</v>
      </c>
      <c r="D291" s="1085">
        <f>D266</f>
        <v>20</v>
      </c>
      <c r="E291" s="764">
        <f t="shared" ref="E291:P291" si="96">E104</f>
        <v>2.8953031299999998</v>
      </c>
      <c r="F291" s="764">
        <f t="shared" si="96"/>
        <v>2.8414874999999999</v>
      </c>
      <c r="G291" s="764">
        <f t="shared" si="96"/>
        <v>2.6613656300000001</v>
      </c>
      <c r="H291" s="764">
        <f t="shared" si="96"/>
        <v>1.9004343800000001</v>
      </c>
      <c r="I291" s="764">
        <f t="shared" si="96"/>
        <v>2.0535468799999999</v>
      </c>
      <c r="J291" s="764">
        <f t="shared" si="96"/>
        <v>2.0988156299999998</v>
      </c>
      <c r="K291" s="764">
        <f t="shared" si="96"/>
        <v>2.9908800000000002</v>
      </c>
      <c r="L291" s="764">
        <f t="shared" si="96"/>
        <v>2.3184</v>
      </c>
      <c r="M291" s="764">
        <f t="shared" si="96"/>
        <v>2.5296000000000003</v>
      </c>
      <c r="N291" s="764">
        <f t="shared" si="96"/>
        <v>2.9760000000000004</v>
      </c>
      <c r="O291" s="764">
        <f t="shared" si="96"/>
        <v>2.9567999999999999</v>
      </c>
      <c r="P291" s="764">
        <f t="shared" si="96"/>
        <v>3.2736000000000001</v>
      </c>
      <c r="Q291" s="408">
        <f t="shared" si="95"/>
        <v>31.496233150000002</v>
      </c>
    </row>
    <row r="292" spans="2:17" x14ac:dyDescent="0.25">
      <c r="B292" s="69">
        <v>1.3</v>
      </c>
      <c r="C292" s="77"/>
      <c r="D292" s="1085">
        <f>D267</f>
        <v>0</v>
      </c>
      <c r="E292" s="764">
        <f t="shared" ref="E292:P292" si="97">E105</f>
        <v>0</v>
      </c>
      <c r="F292" s="764">
        <f t="shared" si="97"/>
        <v>0</v>
      </c>
      <c r="G292" s="764">
        <f t="shared" si="97"/>
        <v>0</v>
      </c>
      <c r="H292" s="764">
        <f t="shared" si="97"/>
        <v>0</v>
      </c>
      <c r="I292" s="764">
        <f t="shared" si="97"/>
        <v>0</v>
      </c>
      <c r="J292" s="764">
        <f t="shared" si="97"/>
        <v>0</v>
      </c>
      <c r="K292" s="764">
        <f t="shared" si="97"/>
        <v>0</v>
      </c>
      <c r="L292" s="764">
        <f t="shared" si="97"/>
        <v>0</v>
      </c>
      <c r="M292" s="764">
        <f t="shared" si="97"/>
        <v>0</v>
      </c>
      <c r="N292" s="764">
        <f t="shared" si="97"/>
        <v>0</v>
      </c>
      <c r="O292" s="764">
        <f t="shared" si="97"/>
        <v>0</v>
      </c>
      <c r="P292" s="764">
        <f t="shared" si="97"/>
        <v>0</v>
      </c>
      <c r="Q292" s="408">
        <f t="shared" si="95"/>
        <v>0</v>
      </c>
    </row>
    <row r="293" spans="2:17" x14ac:dyDescent="0.25">
      <c r="B293" s="70">
        <v>2</v>
      </c>
      <c r="C293" s="213" t="s">
        <v>423</v>
      </c>
      <c r="E293" s="764">
        <f t="shared" ref="E293:P293" si="98">E106</f>
        <v>0</v>
      </c>
      <c r="F293" s="764">
        <f t="shared" si="98"/>
        <v>0</v>
      </c>
      <c r="G293" s="764">
        <f t="shared" si="98"/>
        <v>0</v>
      </c>
      <c r="H293" s="764">
        <f t="shared" si="98"/>
        <v>0</v>
      </c>
      <c r="I293" s="764">
        <f t="shared" si="98"/>
        <v>0</v>
      </c>
      <c r="J293" s="764">
        <f t="shared" si="98"/>
        <v>0</v>
      </c>
      <c r="K293" s="764">
        <f t="shared" si="98"/>
        <v>0</v>
      </c>
      <c r="L293" s="764">
        <f t="shared" si="98"/>
        <v>0</v>
      </c>
      <c r="M293" s="764">
        <f t="shared" si="98"/>
        <v>0</v>
      </c>
      <c r="N293" s="764">
        <f t="shared" si="98"/>
        <v>0</v>
      </c>
      <c r="O293" s="764">
        <f t="shared" si="98"/>
        <v>0</v>
      </c>
      <c r="P293" s="764">
        <f t="shared" si="98"/>
        <v>0</v>
      </c>
      <c r="Q293" s="408">
        <f t="shared" si="95"/>
        <v>0</v>
      </c>
    </row>
    <row r="294" spans="2:17" x14ac:dyDescent="0.25">
      <c r="B294" s="69">
        <v>2.1</v>
      </c>
      <c r="C294" s="748" t="s">
        <v>933</v>
      </c>
      <c r="D294" s="1085">
        <f>D268</f>
        <v>100</v>
      </c>
      <c r="E294" s="764">
        <f t="shared" ref="E294:P294" si="99">E107</f>
        <v>63.572178000000001</v>
      </c>
      <c r="F294" s="764">
        <f t="shared" si="99"/>
        <v>69.024376000000004</v>
      </c>
      <c r="G294" s="764">
        <f t="shared" si="99"/>
        <v>65.700748000000004</v>
      </c>
      <c r="H294" s="764">
        <f t="shared" si="99"/>
        <v>53.565384999999999</v>
      </c>
      <c r="I294" s="764">
        <f t="shared" si="99"/>
        <v>46.808590000000002</v>
      </c>
      <c r="J294" s="764">
        <f t="shared" si="99"/>
        <v>38.024346999999999</v>
      </c>
      <c r="K294" s="764">
        <f t="shared" si="99"/>
        <v>51.846171077471688</v>
      </c>
      <c r="L294" s="764">
        <f t="shared" si="99"/>
        <v>75.311617009686074</v>
      </c>
      <c r="M294" s="764">
        <f t="shared" si="99"/>
        <v>77.048705707272589</v>
      </c>
      <c r="N294" s="764">
        <f t="shared" si="99"/>
        <v>66.365412880262568</v>
      </c>
      <c r="O294" s="764">
        <f t="shared" si="99"/>
        <v>69.120047900416949</v>
      </c>
      <c r="P294" s="764">
        <f t="shared" si="99"/>
        <v>68.212421424890209</v>
      </c>
      <c r="Q294" s="408">
        <f t="shared" si="95"/>
        <v>744.59999999999991</v>
      </c>
    </row>
    <row r="295" spans="2:17" x14ac:dyDescent="0.25">
      <c r="B295" s="69">
        <v>2.2000000000000002</v>
      </c>
      <c r="C295" s="77"/>
      <c r="D295" s="498"/>
      <c r="E295" s="764">
        <f t="shared" ref="E295:P295" si="100">E108</f>
        <v>0</v>
      </c>
      <c r="F295" s="764">
        <f t="shared" si="100"/>
        <v>0</v>
      </c>
      <c r="G295" s="764">
        <f t="shared" si="100"/>
        <v>0</v>
      </c>
      <c r="H295" s="764">
        <f t="shared" si="100"/>
        <v>0</v>
      </c>
      <c r="I295" s="764">
        <f t="shared" si="100"/>
        <v>0</v>
      </c>
      <c r="J295" s="764">
        <f t="shared" si="100"/>
        <v>0</v>
      </c>
      <c r="K295" s="764">
        <f t="shared" si="100"/>
        <v>0</v>
      </c>
      <c r="L295" s="764">
        <f t="shared" si="100"/>
        <v>0</v>
      </c>
      <c r="M295" s="764">
        <f t="shared" si="100"/>
        <v>0</v>
      </c>
      <c r="N295" s="764">
        <f t="shared" si="100"/>
        <v>0</v>
      </c>
      <c r="O295" s="764">
        <f t="shared" si="100"/>
        <v>0</v>
      </c>
      <c r="P295" s="764">
        <f t="shared" si="100"/>
        <v>0</v>
      </c>
      <c r="Q295" s="408">
        <f t="shared" si="95"/>
        <v>0</v>
      </c>
    </row>
    <row r="296" spans="2:17" x14ac:dyDescent="0.25">
      <c r="B296" s="70">
        <v>3</v>
      </c>
      <c r="C296" s="213" t="s">
        <v>424</v>
      </c>
      <c r="D296" s="498"/>
      <c r="E296" s="764">
        <f t="shared" ref="E296:P296" si="101">E109</f>
        <v>0</v>
      </c>
      <c r="F296" s="764">
        <f t="shared" si="101"/>
        <v>0</v>
      </c>
      <c r="G296" s="764">
        <f t="shared" si="101"/>
        <v>0</v>
      </c>
      <c r="H296" s="764">
        <f t="shared" si="101"/>
        <v>0</v>
      </c>
      <c r="I296" s="764">
        <f t="shared" si="101"/>
        <v>0</v>
      </c>
      <c r="J296" s="764">
        <f t="shared" si="101"/>
        <v>0</v>
      </c>
      <c r="K296" s="764">
        <f t="shared" si="101"/>
        <v>0</v>
      </c>
      <c r="L296" s="764">
        <f t="shared" si="101"/>
        <v>0</v>
      </c>
      <c r="M296" s="764">
        <f t="shared" si="101"/>
        <v>0</v>
      </c>
      <c r="N296" s="764">
        <f t="shared" si="101"/>
        <v>0</v>
      </c>
      <c r="O296" s="764">
        <f t="shared" si="101"/>
        <v>0</v>
      </c>
      <c r="P296" s="764">
        <f t="shared" si="101"/>
        <v>0</v>
      </c>
      <c r="Q296" s="408">
        <f t="shared" si="95"/>
        <v>0</v>
      </c>
    </row>
    <row r="297" spans="2:17" x14ac:dyDescent="0.25">
      <c r="B297" s="69">
        <v>3.1</v>
      </c>
      <c r="C297" s="748" t="s">
        <v>924</v>
      </c>
      <c r="D297" s="498"/>
      <c r="E297" s="764">
        <f t="shared" ref="E297:P297" si="102">E110</f>
        <v>0</v>
      </c>
      <c r="F297" s="764">
        <f t="shared" si="102"/>
        <v>0</v>
      </c>
      <c r="G297" s="764">
        <f t="shared" si="102"/>
        <v>0</v>
      </c>
      <c r="H297" s="764">
        <f t="shared" si="102"/>
        <v>0</v>
      </c>
      <c r="I297" s="764">
        <f t="shared" si="102"/>
        <v>0</v>
      </c>
      <c r="J297" s="764">
        <f t="shared" si="102"/>
        <v>0</v>
      </c>
      <c r="K297" s="764">
        <f t="shared" si="102"/>
        <v>0</v>
      </c>
      <c r="L297" s="764">
        <f t="shared" si="102"/>
        <v>0</v>
      </c>
      <c r="M297" s="764">
        <f t="shared" si="102"/>
        <v>0</v>
      </c>
      <c r="N297" s="764">
        <f t="shared" si="102"/>
        <v>0</v>
      </c>
      <c r="O297" s="764">
        <f t="shared" si="102"/>
        <v>0</v>
      </c>
      <c r="P297" s="764">
        <f t="shared" si="102"/>
        <v>0</v>
      </c>
      <c r="Q297" s="408">
        <f t="shared" si="95"/>
        <v>0</v>
      </c>
    </row>
    <row r="298" spans="2:17" x14ac:dyDescent="0.25">
      <c r="B298" s="69" t="s">
        <v>1333</v>
      </c>
      <c r="C298" s="748" t="s">
        <v>1334</v>
      </c>
      <c r="D298" s="498"/>
      <c r="E298" s="764">
        <f t="shared" ref="E298:P298" si="103">E111</f>
        <v>20.410834999999999</v>
      </c>
      <c r="F298" s="764">
        <f t="shared" si="103"/>
        <v>22.91929</v>
      </c>
      <c r="G298" s="764">
        <f t="shared" si="103"/>
        <v>20.324902039000001</v>
      </c>
      <c r="H298" s="764">
        <f t="shared" si="103"/>
        <v>0</v>
      </c>
      <c r="I298" s="764">
        <f t="shared" si="103"/>
        <v>2.6031999999999997</v>
      </c>
      <c r="J298" s="764">
        <f t="shared" si="103"/>
        <v>11.136712499999998</v>
      </c>
      <c r="K298" s="764">
        <f t="shared" si="103"/>
        <v>16.666666666666668</v>
      </c>
      <c r="L298" s="764">
        <f t="shared" si="103"/>
        <v>16.666666666666668</v>
      </c>
      <c r="M298" s="764">
        <f t="shared" si="103"/>
        <v>16.666666666666668</v>
      </c>
      <c r="N298" s="764">
        <f t="shared" si="103"/>
        <v>16.666666666666668</v>
      </c>
      <c r="O298" s="764">
        <f t="shared" si="103"/>
        <v>73.786666666666662</v>
      </c>
      <c r="P298" s="764">
        <f t="shared" si="103"/>
        <v>79.906666666666666</v>
      </c>
      <c r="Q298" s="408">
        <f t="shared" si="95"/>
        <v>297.75493953900002</v>
      </c>
    </row>
    <row r="299" spans="2:17" x14ac:dyDescent="0.25">
      <c r="B299" s="69" t="s">
        <v>1335</v>
      </c>
      <c r="C299" s="748" t="s">
        <v>1336</v>
      </c>
      <c r="D299" s="498"/>
      <c r="E299" s="764">
        <f t="shared" ref="E299:P299" si="104">E112</f>
        <v>25.649741376999998</v>
      </c>
      <c r="F299" s="764">
        <f t="shared" si="104"/>
        <v>87.74203998325001</v>
      </c>
      <c r="G299" s="764">
        <f t="shared" si="104"/>
        <v>76.333855000000014</v>
      </c>
      <c r="H299" s="764">
        <f t="shared" si="104"/>
        <v>81.906945000000007</v>
      </c>
      <c r="I299" s="764">
        <f t="shared" si="104"/>
        <v>72.250464999999991</v>
      </c>
      <c r="J299" s="764">
        <f t="shared" si="104"/>
        <v>109.04895999999999</v>
      </c>
      <c r="K299" s="764">
        <f t="shared" si="104"/>
        <v>0</v>
      </c>
      <c r="L299" s="764">
        <f t="shared" si="104"/>
        <v>0</v>
      </c>
      <c r="M299" s="764">
        <f t="shared" si="104"/>
        <v>0</v>
      </c>
      <c r="N299" s="764">
        <f t="shared" si="104"/>
        <v>0</v>
      </c>
      <c r="O299" s="764">
        <f t="shared" si="104"/>
        <v>0</v>
      </c>
      <c r="P299" s="764">
        <f t="shared" si="104"/>
        <v>0</v>
      </c>
      <c r="Q299" s="408">
        <f t="shared" si="95"/>
        <v>452.93200636024994</v>
      </c>
    </row>
    <row r="300" spans="2:17" x14ac:dyDescent="0.25">
      <c r="B300" s="69" t="s">
        <v>1337</v>
      </c>
      <c r="C300" s="748" t="s">
        <v>1338</v>
      </c>
      <c r="D300" s="498"/>
      <c r="E300" s="764">
        <f t="shared" ref="E300:P300" si="105">E113</f>
        <v>-1.3582075</v>
      </c>
      <c r="F300" s="764">
        <f t="shared" si="105"/>
        <v>0</v>
      </c>
      <c r="G300" s="764">
        <f t="shared" si="105"/>
        <v>0</v>
      </c>
      <c r="H300" s="764">
        <f t="shared" si="105"/>
        <v>-0.23242500000000002</v>
      </c>
      <c r="I300" s="764">
        <f t="shared" si="105"/>
        <v>-2.1442975</v>
      </c>
      <c r="J300" s="764">
        <f t="shared" si="105"/>
        <v>-1.5229774999999999</v>
      </c>
      <c r="K300" s="764">
        <f t="shared" si="105"/>
        <v>0</v>
      </c>
      <c r="L300" s="764">
        <f t="shared" si="105"/>
        <v>0</v>
      </c>
      <c r="M300" s="764">
        <f t="shared" si="105"/>
        <v>0</v>
      </c>
      <c r="N300" s="764">
        <f t="shared" si="105"/>
        <v>0</v>
      </c>
      <c r="O300" s="764">
        <f t="shared" si="105"/>
        <v>0</v>
      </c>
      <c r="P300" s="764">
        <f t="shared" si="105"/>
        <v>0</v>
      </c>
      <c r="Q300" s="408">
        <f t="shared" si="95"/>
        <v>-5.2579075</v>
      </c>
    </row>
    <row r="301" spans="2:17" x14ac:dyDescent="0.3">
      <c r="B301" s="69">
        <v>3.2</v>
      </c>
      <c r="C301" s="1096" t="s">
        <v>1339</v>
      </c>
      <c r="D301" s="1085"/>
      <c r="E301" s="764">
        <f t="shared" ref="E301:P301" si="106">E114</f>
        <v>0</v>
      </c>
      <c r="F301" s="764">
        <f t="shared" si="106"/>
        <v>0</v>
      </c>
      <c r="G301" s="764">
        <f t="shared" si="106"/>
        <v>0</v>
      </c>
      <c r="H301" s="764">
        <f t="shared" si="106"/>
        <v>0</v>
      </c>
      <c r="I301" s="764">
        <f t="shared" si="106"/>
        <v>0</v>
      </c>
      <c r="J301" s="764">
        <f t="shared" si="106"/>
        <v>0</v>
      </c>
      <c r="K301" s="764">
        <f t="shared" si="106"/>
        <v>0</v>
      </c>
      <c r="L301" s="764">
        <f t="shared" si="106"/>
        <v>0</v>
      </c>
      <c r="M301" s="764">
        <f t="shared" si="106"/>
        <v>0</v>
      </c>
      <c r="N301" s="764">
        <f t="shared" si="106"/>
        <v>0</v>
      </c>
      <c r="O301" s="764">
        <f t="shared" si="106"/>
        <v>0</v>
      </c>
      <c r="P301" s="764">
        <f t="shared" si="106"/>
        <v>0</v>
      </c>
      <c r="Q301" s="408">
        <f t="shared" si="95"/>
        <v>0</v>
      </c>
    </row>
    <row r="302" spans="2:17" x14ac:dyDescent="0.25">
      <c r="B302" s="69" t="s">
        <v>1354</v>
      </c>
      <c r="C302" s="1441" t="s">
        <v>1990</v>
      </c>
      <c r="D302" s="1085"/>
      <c r="E302" s="764">
        <f t="shared" ref="E302:P302" si="107">E115</f>
        <v>0</v>
      </c>
      <c r="F302" s="764">
        <f t="shared" si="107"/>
        <v>4.3299999999999996E-3</v>
      </c>
      <c r="G302" s="764">
        <f t="shared" si="107"/>
        <v>0.85650000000000004</v>
      </c>
      <c r="H302" s="764">
        <f t="shared" si="107"/>
        <v>2.63794</v>
      </c>
      <c r="I302" s="764">
        <f t="shared" si="107"/>
        <v>1.7613399999999999</v>
      </c>
      <c r="J302" s="764">
        <f t="shared" si="107"/>
        <v>0</v>
      </c>
      <c r="K302" s="764">
        <f t="shared" si="107"/>
        <v>0</v>
      </c>
      <c r="L302" s="764">
        <f t="shared" si="107"/>
        <v>1.2590606137141089E-2</v>
      </c>
      <c r="M302" s="764">
        <f t="shared" si="107"/>
        <v>2.4904974957185555</v>
      </c>
      <c r="N302" s="764">
        <f t="shared" si="107"/>
        <v>7.6704996659145426</v>
      </c>
      <c r="O302" s="764">
        <f t="shared" si="107"/>
        <v>5.1215561694208054</v>
      </c>
      <c r="P302" s="764">
        <f t="shared" si="107"/>
        <v>0</v>
      </c>
      <c r="Q302" s="408">
        <f t="shared" si="95"/>
        <v>20.555253937191043</v>
      </c>
    </row>
    <row r="303" spans="2:17" x14ac:dyDescent="0.3">
      <c r="B303" s="69">
        <v>3.3</v>
      </c>
      <c r="C303" s="1096" t="s">
        <v>1440</v>
      </c>
      <c r="D303" s="1085"/>
      <c r="E303" s="764">
        <f t="shared" ref="E303:P303" si="108">E116</f>
        <v>0</v>
      </c>
      <c r="F303" s="764">
        <f t="shared" si="108"/>
        <v>0</v>
      </c>
      <c r="G303" s="764">
        <f t="shared" si="108"/>
        <v>0</v>
      </c>
      <c r="H303" s="764">
        <f t="shared" si="108"/>
        <v>0</v>
      </c>
      <c r="I303" s="764">
        <f t="shared" si="108"/>
        <v>0</v>
      </c>
      <c r="J303" s="764">
        <f t="shared" si="108"/>
        <v>0</v>
      </c>
      <c r="K303" s="764">
        <f t="shared" si="108"/>
        <v>0</v>
      </c>
      <c r="L303" s="764">
        <f t="shared" si="108"/>
        <v>0</v>
      </c>
      <c r="M303" s="764">
        <f t="shared" si="108"/>
        <v>0</v>
      </c>
      <c r="N303" s="764">
        <f t="shared" si="108"/>
        <v>0</v>
      </c>
      <c r="O303" s="764">
        <f t="shared" si="108"/>
        <v>0</v>
      </c>
      <c r="P303" s="764">
        <f t="shared" si="108"/>
        <v>0</v>
      </c>
      <c r="Q303" s="408">
        <f t="shared" si="95"/>
        <v>0</v>
      </c>
    </row>
    <row r="304" spans="2:17" x14ac:dyDescent="0.25">
      <c r="B304" s="69" t="s">
        <v>1443</v>
      </c>
      <c r="C304" s="1441" t="s">
        <v>1989</v>
      </c>
      <c r="D304" s="498"/>
      <c r="E304" s="764">
        <f t="shared" ref="E304:P304" si="109">E117</f>
        <v>0</v>
      </c>
      <c r="F304" s="764">
        <f t="shared" si="109"/>
        <v>4.666E-2</v>
      </c>
      <c r="G304" s="764">
        <f t="shared" si="109"/>
        <v>4.9911200000000013</v>
      </c>
      <c r="H304" s="764">
        <f t="shared" si="109"/>
        <v>17.976610000000001</v>
      </c>
      <c r="I304" s="764">
        <f t="shared" si="109"/>
        <v>6.1163999999999996</v>
      </c>
      <c r="J304" s="764">
        <f t="shared" si="109"/>
        <v>0</v>
      </c>
      <c r="K304" s="764">
        <f t="shared" si="109"/>
        <v>0</v>
      </c>
      <c r="L304" s="764">
        <f t="shared" si="109"/>
        <v>0.13567529695867042</v>
      </c>
      <c r="M304" s="764">
        <f t="shared" si="109"/>
        <v>14.512895159801955</v>
      </c>
      <c r="N304" s="764">
        <f t="shared" si="109"/>
        <v>52.271365196318136</v>
      </c>
      <c r="O304" s="764">
        <f t="shared" si="109"/>
        <v>17.784920409730212</v>
      </c>
      <c r="P304" s="764">
        <f t="shared" si="109"/>
        <v>0</v>
      </c>
      <c r="Q304" s="408">
        <f t="shared" si="95"/>
        <v>113.83564606280896</v>
      </c>
    </row>
    <row r="305" spans="1:19" x14ac:dyDescent="0.3">
      <c r="B305" s="69">
        <v>3.4</v>
      </c>
      <c r="C305" s="1096" t="s">
        <v>1340</v>
      </c>
      <c r="D305" s="1085"/>
      <c r="E305" s="764">
        <f t="shared" ref="E305:P305" si="110">E118</f>
        <v>4.0124032500000002</v>
      </c>
      <c r="F305" s="764">
        <f t="shared" si="110"/>
        <v>2.8000000000000001E-2</v>
      </c>
      <c r="G305" s="764">
        <f t="shared" si="110"/>
        <v>2.2499999999999999E-2</v>
      </c>
      <c r="H305" s="764">
        <f t="shared" si="110"/>
        <v>2.6345000000000001</v>
      </c>
      <c r="I305" s="764">
        <f t="shared" si="110"/>
        <v>0.19725000000000001</v>
      </c>
      <c r="J305" s="764">
        <f t="shared" si="110"/>
        <v>0.20649999999999999</v>
      </c>
      <c r="K305" s="764">
        <f t="shared" si="110"/>
        <v>0</v>
      </c>
      <c r="L305" s="764">
        <f t="shared" si="110"/>
        <v>0</v>
      </c>
      <c r="M305" s="764">
        <f t="shared" si="110"/>
        <v>0</v>
      </c>
      <c r="N305" s="764">
        <f t="shared" si="110"/>
        <v>0</v>
      </c>
      <c r="O305" s="764">
        <f t="shared" si="110"/>
        <v>0</v>
      </c>
      <c r="P305" s="764">
        <f t="shared" si="110"/>
        <v>0</v>
      </c>
      <c r="Q305" s="408">
        <f t="shared" si="95"/>
        <v>7.1011532500000003</v>
      </c>
    </row>
    <row r="306" spans="1:19" x14ac:dyDescent="0.3">
      <c r="B306" s="69">
        <v>3.5</v>
      </c>
      <c r="C306" s="1096" t="s">
        <v>1442</v>
      </c>
      <c r="D306" s="1085"/>
      <c r="E306" s="764">
        <f t="shared" ref="E306:P306" si="111">E119</f>
        <v>0.98967465430353574</v>
      </c>
      <c r="F306" s="764">
        <f t="shared" si="111"/>
        <v>-5.6186703898366286</v>
      </c>
      <c r="G306" s="764">
        <f t="shared" si="111"/>
        <v>-7.3802713424030513</v>
      </c>
      <c r="H306" s="764">
        <f t="shared" si="111"/>
        <v>6.9527624817696756</v>
      </c>
      <c r="I306" s="764">
        <f t="shared" si="111"/>
        <v>-6.5619330413851369</v>
      </c>
      <c r="J306" s="764">
        <f t="shared" si="111"/>
        <v>-8.5095952046769607</v>
      </c>
      <c r="K306" s="764">
        <f t="shared" si="111"/>
        <v>0</v>
      </c>
      <c r="L306" s="764">
        <f t="shared" si="111"/>
        <v>0</v>
      </c>
      <c r="M306" s="764">
        <f t="shared" si="111"/>
        <v>0</v>
      </c>
      <c r="N306" s="764">
        <f t="shared" si="111"/>
        <v>0</v>
      </c>
      <c r="O306" s="764">
        <f t="shared" si="111"/>
        <v>0</v>
      </c>
      <c r="P306" s="764">
        <f t="shared" si="111"/>
        <v>0</v>
      </c>
      <c r="Q306" s="408">
        <f t="shared" si="95"/>
        <v>-20.128032842228563</v>
      </c>
    </row>
    <row r="307" spans="1:19" x14ac:dyDescent="0.3">
      <c r="B307" s="69">
        <v>3.6</v>
      </c>
      <c r="C307" s="1096" t="s">
        <v>1341</v>
      </c>
      <c r="D307" s="498"/>
      <c r="E307" s="764">
        <f t="shared" ref="E307:P307" si="112">E120</f>
        <v>-0.26458508193877606</v>
      </c>
      <c r="F307" s="764">
        <f t="shared" si="112"/>
        <v>-0.93806973922079351</v>
      </c>
      <c r="G307" s="764">
        <f t="shared" si="112"/>
        <v>0.43389990150080848</v>
      </c>
      <c r="H307" s="764">
        <f t="shared" si="112"/>
        <v>-1.8952994207987786</v>
      </c>
      <c r="I307" s="764">
        <f t="shared" si="112"/>
        <v>9.3609532692779567</v>
      </c>
      <c r="J307" s="764">
        <f t="shared" si="112"/>
        <v>13.028978911864272</v>
      </c>
      <c r="K307" s="764">
        <f t="shared" si="112"/>
        <v>0</v>
      </c>
      <c r="L307" s="764">
        <f t="shared" si="112"/>
        <v>0</v>
      </c>
      <c r="M307" s="764">
        <f t="shared" si="112"/>
        <v>0</v>
      </c>
      <c r="N307" s="764">
        <f t="shared" si="112"/>
        <v>0</v>
      </c>
      <c r="O307" s="764">
        <f t="shared" si="112"/>
        <v>0</v>
      </c>
      <c r="P307" s="764">
        <f t="shared" si="112"/>
        <v>0</v>
      </c>
      <c r="Q307" s="408">
        <f t="shared" si="95"/>
        <v>19.725877840684689</v>
      </c>
    </row>
    <row r="308" spans="1:19" x14ac:dyDescent="0.25">
      <c r="B308" s="69">
        <v>3.7</v>
      </c>
      <c r="C308" s="77" t="s">
        <v>395</v>
      </c>
      <c r="D308" s="1085"/>
      <c r="E308" s="764">
        <f t="shared" ref="E308:P308" si="113">E121</f>
        <v>0</v>
      </c>
      <c r="F308" s="764">
        <f t="shared" si="113"/>
        <v>0</v>
      </c>
      <c r="G308" s="764">
        <f t="shared" si="113"/>
        <v>-1.9897000000000001E-2</v>
      </c>
      <c r="H308" s="764">
        <f t="shared" si="113"/>
        <v>-0.25792199999999998</v>
      </c>
      <c r="I308" s="764">
        <f t="shared" si="113"/>
        <v>-0.58712900000000001</v>
      </c>
      <c r="J308" s="764">
        <f t="shared" si="113"/>
        <v>-0.27924599999999999</v>
      </c>
      <c r="K308" s="764">
        <f t="shared" si="113"/>
        <v>0</v>
      </c>
      <c r="L308" s="764">
        <f t="shared" si="113"/>
        <v>0</v>
      </c>
      <c r="M308" s="764">
        <f t="shared" si="113"/>
        <v>0</v>
      </c>
      <c r="N308" s="764">
        <f t="shared" si="113"/>
        <v>0</v>
      </c>
      <c r="O308" s="764">
        <f t="shared" si="113"/>
        <v>0</v>
      </c>
      <c r="P308" s="764">
        <f t="shared" si="113"/>
        <v>0</v>
      </c>
      <c r="Q308" s="408">
        <f t="shared" si="95"/>
        <v>-1.1441940000000002</v>
      </c>
    </row>
    <row r="309" spans="1:19" x14ac:dyDescent="0.25">
      <c r="B309" s="70">
        <v>4</v>
      </c>
      <c r="C309" s="28" t="s">
        <v>541</v>
      </c>
      <c r="D309" s="1522">
        <f t="shared" ref="D309:J309" si="114">SUM(D290:D308)</f>
        <v>796.68590000000006</v>
      </c>
      <c r="E309" s="765">
        <f t="shared" si="114"/>
        <v>456.96291682936481</v>
      </c>
      <c r="F309" s="765">
        <f t="shared" si="114"/>
        <v>478.81158635419263</v>
      </c>
      <c r="G309" s="765">
        <f t="shared" si="114"/>
        <v>439.19415722809777</v>
      </c>
      <c r="H309" s="765">
        <f t="shared" si="114"/>
        <v>401.50305044097098</v>
      </c>
      <c r="I309" s="765">
        <f t="shared" si="114"/>
        <v>403.71549560789282</v>
      </c>
      <c r="J309" s="765">
        <f t="shared" si="114"/>
        <v>403.04814133718725</v>
      </c>
      <c r="K309" s="765">
        <f t="shared" ref="K309:P309" si="115">SUM(K290:K308)</f>
        <v>371.65292899036558</v>
      </c>
      <c r="L309" s="765">
        <f t="shared" si="115"/>
        <v>409.70900128294818</v>
      </c>
      <c r="M309" s="765">
        <f t="shared" si="115"/>
        <v>393.14334319903008</v>
      </c>
      <c r="N309" s="765">
        <f t="shared" si="115"/>
        <v>393.28054794597585</v>
      </c>
      <c r="O309" s="765">
        <f t="shared" si="115"/>
        <v>382.69462486800023</v>
      </c>
      <c r="P309" s="765">
        <f t="shared" si="115"/>
        <v>375.70010853611791</v>
      </c>
      <c r="Q309" s="408">
        <f t="shared" si="95"/>
        <v>4909.4159026201442</v>
      </c>
    </row>
    <row r="310" spans="1:19" x14ac:dyDescent="0.25">
      <c r="D310" s="1520"/>
    </row>
    <row r="311" spans="1:19" x14ac:dyDescent="0.25">
      <c r="B311" s="131" t="s">
        <v>836</v>
      </c>
      <c r="C311" s="120"/>
      <c r="D311" s="1523"/>
      <c r="E311" s="17"/>
      <c r="F311" s="18"/>
      <c r="G311" s="17"/>
      <c r="H311" s="17"/>
      <c r="I311" s="17"/>
      <c r="J311" s="34"/>
      <c r="K311" s="34"/>
      <c r="L311" s="34"/>
    </row>
    <row r="312" spans="1:19" x14ac:dyDescent="0.25">
      <c r="B312" s="131"/>
      <c r="C312" s="120"/>
      <c r="D312" s="1523"/>
      <c r="E312" s="1731">
        <v>30</v>
      </c>
      <c r="F312" s="1732">
        <v>31</v>
      </c>
      <c r="G312" s="1731">
        <v>30</v>
      </c>
      <c r="H312" s="1731">
        <v>31</v>
      </c>
      <c r="I312" s="1731">
        <v>31</v>
      </c>
      <c r="J312" s="1731">
        <v>30</v>
      </c>
      <c r="K312" s="1731">
        <v>31</v>
      </c>
      <c r="L312" s="1731">
        <v>30</v>
      </c>
      <c r="M312" s="1731">
        <v>31</v>
      </c>
      <c r="N312" s="1731">
        <v>31</v>
      </c>
      <c r="O312" s="1731">
        <v>29</v>
      </c>
      <c r="P312" s="1731">
        <v>31</v>
      </c>
      <c r="Q312" s="1731">
        <f>SUM(E312:P312)</f>
        <v>366</v>
      </c>
    </row>
    <row r="313" spans="1:19" ht="28" x14ac:dyDescent="0.25">
      <c r="B313" s="214" t="s">
        <v>187</v>
      </c>
      <c r="C313" s="214" t="s">
        <v>50</v>
      </c>
      <c r="D313" s="1521" t="s">
        <v>547</v>
      </c>
      <c r="E313" s="1426" t="s">
        <v>151</v>
      </c>
      <c r="F313" s="1426" t="s">
        <v>152</v>
      </c>
      <c r="G313" s="1426" t="s">
        <v>153</v>
      </c>
      <c r="H313" s="1426" t="s">
        <v>154</v>
      </c>
      <c r="I313" s="1426" t="s">
        <v>155</v>
      </c>
      <c r="J313" s="1426" t="s">
        <v>156</v>
      </c>
      <c r="K313" s="1426" t="s">
        <v>157</v>
      </c>
      <c r="L313" s="1426" t="s">
        <v>158</v>
      </c>
      <c r="M313" s="1426" t="s">
        <v>159</v>
      </c>
      <c r="N313" s="1426" t="s">
        <v>160</v>
      </c>
      <c r="O313" s="1426" t="s">
        <v>161</v>
      </c>
      <c r="P313" s="1426" t="s">
        <v>162</v>
      </c>
      <c r="Q313" s="1426" t="s">
        <v>145</v>
      </c>
    </row>
    <row r="314" spans="1:19" x14ac:dyDescent="0.25">
      <c r="B314" s="1433"/>
      <c r="C314" s="418" t="s">
        <v>549</v>
      </c>
      <c r="D314" s="498">
        <f>D134</f>
        <v>0</v>
      </c>
      <c r="E314" s="572">
        <f>E132</f>
        <v>418.53965983353834</v>
      </c>
      <c r="F314" s="572">
        <f t="shared" ref="F314:P314" si="116">F132</f>
        <v>478.682692733995</v>
      </c>
      <c r="G314" s="572">
        <f t="shared" si="116"/>
        <v>457.62110821929554</v>
      </c>
      <c r="H314" s="572">
        <f t="shared" si="116"/>
        <v>424.15747795778969</v>
      </c>
      <c r="I314" s="572">
        <f t="shared" si="116"/>
        <v>417.5170969242115</v>
      </c>
      <c r="J314" s="572">
        <f t="shared" si="116"/>
        <v>416.50240467803218</v>
      </c>
      <c r="K314" s="572">
        <f t="shared" si="116"/>
        <v>443.66989678820886</v>
      </c>
      <c r="L314" s="572">
        <f t="shared" si="116"/>
        <v>465.89045807774079</v>
      </c>
      <c r="M314" s="572">
        <f t="shared" si="116"/>
        <v>413.64736189032828</v>
      </c>
      <c r="N314" s="572">
        <f t="shared" si="116"/>
        <v>365.48557759461295</v>
      </c>
      <c r="O314" s="572">
        <f t="shared" si="116"/>
        <v>316.03093031688871</v>
      </c>
      <c r="P314" s="572">
        <f t="shared" si="116"/>
        <v>331.5188236190528</v>
      </c>
      <c r="Q314" s="354">
        <f>SUM(E314:P314)</f>
        <v>4949.2634886336946</v>
      </c>
    </row>
    <row r="315" spans="1:19" x14ac:dyDescent="0.25">
      <c r="B315" s="1433">
        <v>1</v>
      </c>
      <c r="C315" s="418" t="s">
        <v>422</v>
      </c>
      <c r="D315" s="498">
        <f t="shared" ref="D315:P315" si="117">D135</f>
        <v>0</v>
      </c>
      <c r="E315" s="485">
        <f t="shared" si="117"/>
        <v>0</v>
      </c>
      <c r="F315" s="353">
        <f t="shared" si="117"/>
        <v>0</v>
      </c>
      <c r="G315" s="353">
        <f t="shared" si="117"/>
        <v>0</v>
      </c>
      <c r="H315" s="353">
        <f t="shared" si="117"/>
        <v>0</v>
      </c>
      <c r="I315" s="353">
        <f t="shared" si="117"/>
        <v>0</v>
      </c>
      <c r="J315" s="353">
        <f t="shared" si="117"/>
        <v>0</v>
      </c>
      <c r="K315" s="353">
        <f t="shared" si="117"/>
        <v>0</v>
      </c>
      <c r="L315" s="353">
        <f t="shared" si="117"/>
        <v>0</v>
      </c>
      <c r="M315" s="353">
        <f t="shared" si="117"/>
        <v>0</v>
      </c>
      <c r="N315" s="353">
        <f t="shared" si="117"/>
        <v>0</v>
      </c>
      <c r="O315" s="353">
        <f t="shared" si="117"/>
        <v>0</v>
      </c>
      <c r="P315" s="353">
        <f t="shared" si="117"/>
        <v>0</v>
      </c>
      <c r="Q315" s="353">
        <f t="shared" ref="Q315:Q333" si="118">SUM(E315:P315)</f>
        <v>0</v>
      </c>
    </row>
    <row r="316" spans="1:19" x14ac:dyDescent="0.25">
      <c r="B316" s="1433">
        <v>1.1000000000000001</v>
      </c>
      <c r="C316" s="418" t="s">
        <v>922</v>
      </c>
      <c r="D316" s="498">
        <f>D290</f>
        <v>676.68590000000006</v>
      </c>
      <c r="E316" s="485"/>
      <c r="F316" s="353"/>
      <c r="G316" s="353"/>
      <c r="H316" s="353"/>
      <c r="I316" s="353"/>
      <c r="J316" s="353"/>
      <c r="K316" s="353"/>
      <c r="L316" s="353"/>
      <c r="M316" s="353"/>
      <c r="N316" s="353"/>
      <c r="O316" s="353"/>
      <c r="P316" s="353"/>
      <c r="Q316" s="353">
        <f t="shared" si="118"/>
        <v>0</v>
      </c>
    </row>
    <row r="317" spans="1:19" x14ac:dyDescent="0.25">
      <c r="B317" s="1621"/>
      <c r="C317" s="413" t="s">
        <v>1799</v>
      </c>
      <c r="D317" s="1729">
        <v>255.85</v>
      </c>
      <c r="E317" s="485">
        <f>$D317*24*30/1000*85%</f>
        <v>156.58019999999999</v>
      </c>
      <c r="F317" s="485">
        <f>$D317*24*31/1000*85%</f>
        <v>161.79953999999998</v>
      </c>
      <c r="G317" s="485">
        <f>$D317*24*30/1000*85%</f>
        <v>156.58019999999999</v>
      </c>
      <c r="H317" s="485">
        <f t="shared" ref="H317:I319" si="119">$D317*24*31/1000*85%</f>
        <v>161.79953999999998</v>
      </c>
      <c r="I317" s="485">
        <f t="shared" si="119"/>
        <v>161.79953999999998</v>
      </c>
      <c r="J317" s="485">
        <f>$D317*24*30/1000*85%</f>
        <v>156.58019999999999</v>
      </c>
      <c r="K317" s="485">
        <f>$D317*24*31/1000*85%</f>
        <v>161.79953999999998</v>
      </c>
      <c r="L317" s="485">
        <f t="shared" ref="L317:M319" si="120">$D317*24*30/1000*85%</f>
        <v>156.58019999999999</v>
      </c>
      <c r="M317" s="485">
        <f t="shared" si="120"/>
        <v>156.58019999999999</v>
      </c>
      <c r="N317" s="485">
        <f>$D317*24*31/1000*85%</f>
        <v>161.79953999999998</v>
      </c>
      <c r="O317" s="485">
        <f>$D317*24*29/1000*85%</f>
        <v>151.36085999999997</v>
      </c>
      <c r="P317" s="485">
        <f>$D317*24*31/1000*85%</f>
        <v>161.79953999999998</v>
      </c>
      <c r="Q317" s="353">
        <f t="shared" si="118"/>
        <v>1905.0590999999997</v>
      </c>
      <c r="S317" s="635"/>
    </row>
    <row r="318" spans="1:19" x14ac:dyDescent="0.25">
      <c r="B318" s="1621"/>
      <c r="C318" s="413" t="s">
        <v>1800</v>
      </c>
      <c r="D318" s="1729">
        <v>92.11</v>
      </c>
      <c r="E318" s="485">
        <f>$D318*24*30/1000*85%</f>
        <v>56.371319999999997</v>
      </c>
      <c r="F318" s="485">
        <f>$D318*24*31/1000*85%</f>
        <v>58.25036399999999</v>
      </c>
      <c r="G318" s="485">
        <f>$D318*24*30/1000*85%</f>
        <v>56.371319999999997</v>
      </c>
      <c r="H318" s="485">
        <f t="shared" si="119"/>
        <v>58.25036399999999</v>
      </c>
      <c r="I318" s="485">
        <f t="shared" si="119"/>
        <v>58.25036399999999</v>
      </c>
      <c r="J318" s="485">
        <f>$D318*24*30/1000*85%</f>
        <v>56.371319999999997</v>
      </c>
      <c r="K318" s="485">
        <f>$D318*24*31/1000*85%</f>
        <v>58.25036399999999</v>
      </c>
      <c r="L318" s="485">
        <f t="shared" si="120"/>
        <v>56.371319999999997</v>
      </c>
      <c r="M318" s="485">
        <f t="shared" si="120"/>
        <v>56.371319999999997</v>
      </c>
      <c r="N318" s="485">
        <f>$D318*24*31/1000*85%</f>
        <v>58.25036399999999</v>
      </c>
      <c r="O318" s="485">
        <f>$D318*24*29/1000*85.001%</f>
        <v>54.492917085599998</v>
      </c>
      <c r="P318" s="485">
        <f>$D318*24*31/1000*85%+0.01</f>
        <v>58.260363999999988</v>
      </c>
      <c r="Q318" s="353">
        <f t="shared" ref="Q318:Q319" si="121">SUM(E318:P318)</f>
        <v>685.86170108559986</v>
      </c>
    </row>
    <row r="319" spans="1:19" x14ac:dyDescent="0.25">
      <c r="B319" s="1621"/>
      <c r="C319" s="413" t="s">
        <v>1801</v>
      </c>
      <c r="D319" s="1729">
        <v>100</v>
      </c>
      <c r="E319" s="485">
        <f>$D319*24*30/1000*85%</f>
        <v>61.199999999999996</v>
      </c>
      <c r="F319" s="485">
        <f>$D319*24*31/1000*85%</f>
        <v>63.24</v>
      </c>
      <c r="G319" s="485">
        <f>$D319*24*30/1000*85%</f>
        <v>61.199999999999996</v>
      </c>
      <c r="H319" s="485">
        <f t="shared" si="119"/>
        <v>63.24</v>
      </c>
      <c r="I319" s="485">
        <f t="shared" si="119"/>
        <v>63.24</v>
      </c>
      <c r="J319" s="485">
        <f>$D319*24*30/1000*85%</f>
        <v>61.199999999999996</v>
      </c>
      <c r="K319" s="485">
        <f>$D319*24*31/1000*85%</f>
        <v>63.24</v>
      </c>
      <c r="L319" s="485">
        <f t="shared" si="120"/>
        <v>61.199999999999996</v>
      </c>
      <c r="M319" s="485">
        <f t="shared" si="120"/>
        <v>61.199999999999996</v>
      </c>
      <c r="N319" s="485">
        <f>$D319*24*31/1000*85%</f>
        <v>63.24</v>
      </c>
      <c r="O319" s="485">
        <f>$D319*24*29/1000*85.001%</f>
        <v>59.160696000000002</v>
      </c>
      <c r="P319" s="485">
        <f>$D319*24*31/1000*85%</f>
        <v>63.24</v>
      </c>
      <c r="Q319" s="353">
        <f t="shared" si="121"/>
        <v>744.60069600000008</v>
      </c>
    </row>
    <row r="320" spans="1:19" x14ac:dyDescent="0.25">
      <c r="A320" s="1730">
        <f>743/((365*24/1000)*D320)</f>
        <v>0.3708186577981617</v>
      </c>
      <c r="B320" s="1621"/>
      <c r="C320" s="413" t="s">
        <v>1811</v>
      </c>
      <c r="D320" s="1729">
        <v>228.73</v>
      </c>
      <c r="E320" s="485">
        <f>$D320*24*30/1000*$A320</f>
        <v>61.068493150684922</v>
      </c>
      <c r="F320" s="485">
        <f>$D320*24*31/1000*$A320</f>
        <v>63.104109589041101</v>
      </c>
      <c r="G320" s="485">
        <f>$D320*24*30/1000*$A320</f>
        <v>61.068493150684922</v>
      </c>
      <c r="H320" s="485">
        <f>$D320*24*31/1000*$A320</f>
        <v>63.104109589041101</v>
      </c>
      <c r="I320" s="485">
        <f>$D320*24*31/1000*$A320</f>
        <v>63.104109589041101</v>
      </c>
      <c r="J320" s="485">
        <f>$D320*24*30/1000*$A320</f>
        <v>61.068493150684922</v>
      </c>
      <c r="K320" s="485">
        <f>$D320*24*31/1000*$A320</f>
        <v>63.104109589041101</v>
      </c>
      <c r="L320" s="485">
        <f>$D320*24*30/1000*$A320</f>
        <v>61.068493150684922</v>
      </c>
      <c r="M320" s="485">
        <f>$D320*24*30/1000*$A320</f>
        <v>61.068493150684922</v>
      </c>
      <c r="N320" s="485">
        <f>$D320*24*31/1000*$A320</f>
        <v>63.104109589041101</v>
      </c>
      <c r="O320" s="485">
        <f>$D320*24*29/1000*$A320</f>
        <v>59.032876712328772</v>
      </c>
      <c r="P320" s="485">
        <f>$D320*24*31/1000*$A320</f>
        <v>63.104109589041101</v>
      </c>
      <c r="Q320" s="353">
        <f>SUM(E320:P320)</f>
        <v>742.99999999999989</v>
      </c>
    </row>
    <row r="321" spans="2:18" x14ac:dyDescent="0.25">
      <c r="B321" s="1621"/>
      <c r="C321" s="418"/>
      <c r="D321" s="498"/>
      <c r="E321" s="485"/>
      <c r="F321" s="353"/>
      <c r="G321" s="353"/>
      <c r="H321" s="353"/>
      <c r="I321" s="353"/>
      <c r="J321" s="353"/>
      <c r="K321" s="353"/>
      <c r="L321" s="353"/>
      <c r="M321" s="353"/>
      <c r="N321" s="353"/>
      <c r="O321" s="353"/>
      <c r="P321" s="353"/>
      <c r="Q321" s="353">
        <f t="shared" si="118"/>
        <v>0</v>
      </c>
    </row>
    <row r="322" spans="2:18" ht="28" x14ac:dyDescent="0.25">
      <c r="B322" s="1433">
        <v>1.2</v>
      </c>
      <c r="C322" s="418" t="s">
        <v>1332</v>
      </c>
      <c r="D322" s="498">
        <f>D291</f>
        <v>20</v>
      </c>
      <c r="E322" s="485">
        <f>$D322*24*30/1000*20%</f>
        <v>2.8800000000000003</v>
      </c>
      <c r="F322" s="485">
        <f>$D322*24*31/1000*19.5%</f>
        <v>2.9016000000000002</v>
      </c>
      <c r="G322" s="485">
        <f>$D322*24*30/1000*18.4%</f>
        <v>2.6496</v>
      </c>
      <c r="H322" s="485">
        <f>$D322*24*31/1000*13%</f>
        <v>1.9344000000000001</v>
      </c>
      <c r="I322" s="485">
        <f>$D322*24*31/1000*14%</f>
        <v>2.0832000000000002</v>
      </c>
      <c r="J322" s="485">
        <f>$D322*24*30/1000*14%</f>
        <v>2.0160000000000005</v>
      </c>
      <c r="K322" s="485">
        <f>$D322*24*31/1000*20%</f>
        <v>2.9760000000000004</v>
      </c>
      <c r="L322" s="485">
        <f>$D322*24*30/1000*16%</f>
        <v>2.3040000000000003</v>
      </c>
      <c r="M322" s="485">
        <f>$D322*24*30/1000*17%</f>
        <v>2.4480000000000004</v>
      </c>
      <c r="N322" s="485">
        <f>$D322*24*31/1000*20%</f>
        <v>2.9760000000000004</v>
      </c>
      <c r="O322" s="485">
        <f>$D322*24*29/1000*22.001%</f>
        <v>3.0625392000000002</v>
      </c>
      <c r="P322" s="485">
        <f>$D322*24*31/1000*22%</f>
        <v>3.2736000000000001</v>
      </c>
      <c r="Q322" s="353">
        <f t="shared" si="118"/>
        <v>31.504939199999995</v>
      </c>
    </row>
    <row r="323" spans="2:18" x14ac:dyDescent="0.25">
      <c r="B323" s="1433">
        <v>0</v>
      </c>
      <c r="C323" s="418">
        <v>0</v>
      </c>
      <c r="D323" s="498">
        <f t="shared" ref="D323:P323" si="122">D143</f>
        <v>0</v>
      </c>
      <c r="E323" s="485">
        <f t="shared" si="122"/>
        <v>0</v>
      </c>
      <c r="F323" s="353">
        <f t="shared" si="122"/>
        <v>0</v>
      </c>
      <c r="G323" s="353">
        <f t="shared" si="122"/>
        <v>0</v>
      </c>
      <c r="H323" s="353">
        <f t="shared" si="122"/>
        <v>0</v>
      </c>
      <c r="I323" s="353">
        <f t="shared" si="122"/>
        <v>0</v>
      </c>
      <c r="J323" s="353">
        <f t="shared" si="122"/>
        <v>0</v>
      </c>
      <c r="K323" s="353">
        <f t="shared" si="122"/>
        <v>0</v>
      </c>
      <c r="L323" s="353">
        <f t="shared" si="122"/>
        <v>0</v>
      </c>
      <c r="M323" s="353">
        <f t="shared" si="122"/>
        <v>0</v>
      </c>
      <c r="N323" s="353">
        <f t="shared" si="122"/>
        <v>0</v>
      </c>
      <c r="O323" s="353">
        <f t="shared" si="122"/>
        <v>0</v>
      </c>
      <c r="P323" s="353">
        <f t="shared" si="122"/>
        <v>0</v>
      </c>
      <c r="Q323" s="353">
        <f t="shared" si="118"/>
        <v>0</v>
      </c>
    </row>
    <row r="324" spans="2:18" x14ac:dyDescent="0.25">
      <c r="B324" s="1433">
        <v>2</v>
      </c>
      <c r="C324" s="418" t="s">
        <v>423</v>
      </c>
      <c r="D324" s="498"/>
      <c r="E324" s="485"/>
      <c r="F324" s="353"/>
      <c r="G324" s="353"/>
      <c r="H324" s="353"/>
      <c r="I324" s="353"/>
      <c r="J324" s="353"/>
      <c r="K324" s="353"/>
      <c r="L324" s="353"/>
      <c r="M324" s="353"/>
      <c r="N324" s="353"/>
      <c r="O324" s="353"/>
      <c r="P324" s="353"/>
      <c r="Q324" s="353">
        <f t="shared" si="118"/>
        <v>0</v>
      </c>
    </row>
    <row r="325" spans="2:18" x14ac:dyDescent="0.25">
      <c r="B325" s="1433">
        <v>2.1</v>
      </c>
      <c r="C325" s="418" t="s">
        <v>933</v>
      </c>
      <c r="D325" s="498">
        <v>100</v>
      </c>
      <c r="E325" s="485">
        <f>$D325*24*30/1000*85%</f>
        <v>61.199999999999996</v>
      </c>
      <c r="F325" s="485">
        <f>$D325*24*31/1000*85%</f>
        <v>63.24</v>
      </c>
      <c r="G325" s="485">
        <f>$D325*24*30/1000*85%</f>
        <v>61.199999999999996</v>
      </c>
      <c r="H325" s="485">
        <f>$D325*24*31/1000*85%</f>
        <v>63.24</v>
      </c>
      <c r="I325" s="485">
        <f>$D325*24*31/1000*85%</f>
        <v>63.24</v>
      </c>
      <c r="J325" s="485">
        <f>$D325*24*30/1000*85%</f>
        <v>61.199999999999996</v>
      </c>
      <c r="K325" s="485">
        <f>$D325*24*31/1000*85%</f>
        <v>63.24</v>
      </c>
      <c r="L325" s="485">
        <f>$D325*24*30/1000*85%</f>
        <v>61.199999999999996</v>
      </c>
      <c r="M325" s="485">
        <f>$D325*24*30/1000*85%</f>
        <v>61.199999999999996</v>
      </c>
      <c r="N325" s="485">
        <f>$D325*24*31/1000*85%</f>
        <v>63.24</v>
      </c>
      <c r="O325" s="485">
        <f>$D325*24*29/1000*85%</f>
        <v>59.16</v>
      </c>
      <c r="P325" s="485">
        <f>$D325*24*31/1000*85%</f>
        <v>63.24</v>
      </c>
      <c r="Q325" s="353">
        <f t="shared" si="118"/>
        <v>744.6</v>
      </c>
    </row>
    <row r="326" spans="2:18" x14ac:dyDescent="0.25">
      <c r="B326" s="1433">
        <v>2.2000000000000002</v>
      </c>
      <c r="C326" s="418" t="s">
        <v>1630</v>
      </c>
      <c r="D326" s="498">
        <v>100</v>
      </c>
      <c r="E326" s="485"/>
      <c r="F326" s="353"/>
      <c r="G326" s="353"/>
      <c r="H326" s="353"/>
      <c r="I326" s="353"/>
      <c r="J326" s="353"/>
      <c r="K326" s="353"/>
      <c r="L326" s="353"/>
      <c r="M326" s="353"/>
      <c r="N326" s="485">
        <f>$D326*24*31/1000*85%</f>
        <v>63.24</v>
      </c>
      <c r="O326" s="485">
        <f>$D326*24*29/1000*85%</f>
        <v>59.16</v>
      </c>
      <c r="P326" s="485">
        <f>$D326*24*31/1000*85%</f>
        <v>63.24</v>
      </c>
      <c r="Q326" s="353">
        <f t="shared" si="118"/>
        <v>185.64000000000001</v>
      </c>
    </row>
    <row r="327" spans="2:18" x14ac:dyDescent="0.25">
      <c r="B327" s="1433">
        <v>0</v>
      </c>
      <c r="C327" s="418">
        <v>0</v>
      </c>
      <c r="D327" s="498">
        <f t="shared" ref="D327:P327" si="123">D147</f>
        <v>0</v>
      </c>
      <c r="E327" s="485">
        <f t="shared" si="123"/>
        <v>0</v>
      </c>
      <c r="F327" s="353">
        <f t="shared" si="123"/>
        <v>0</v>
      </c>
      <c r="G327" s="353">
        <f t="shared" si="123"/>
        <v>0</v>
      </c>
      <c r="H327" s="353">
        <f t="shared" si="123"/>
        <v>0</v>
      </c>
      <c r="I327" s="353">
        <f t="shared" si="123"/>
        <v>0</v>
      </c>
      <c r="J327" s="353">
        <f t="shared" si="123"/>
        <v>0</v>
      </c>
      <c r="K327" s="353">
        <f t="shared" si="123"/>
        <v>0</v>
      </c>
      <c r="L327" s="353">
        <f t="shared" si="123"/>
        <v>0</v>
      </c>
      <c r="M327" s="353">
        <f t="shared" si="123"/>
        <v>0</v>
      </c>
      <c r="N327" s="353">
        <f t="shared" si="123"/>
        <v>0</v>
      </c>
      <c r="O327" s="353">
        <f t="shared" si="123"/>
        <v>0</v>
      </c>
      <c r="P327" s="353">
        <f t="shared" si="123"/>
        <v>0</v>
      </c>
      <c r="Q327" s="353">
        <f t="shared" si="118"/>
        <v>0</v>
      </c>
    </row>
    <row r="328" spans="2:18" x14ac:dyDescent="0.25">
      <c r="B328" s="1433">
        <v>3</v>
      </c>
      <c r="C328" s="418" t="s">
        <v>424</v>
      </c>
      <c r="D328" s="498">
        <f t="shared" ref="D328:P328" si="124">D148</f>
        <v>0</v>
      </c>
      <c r="E328" s="485">
        <f t="shared" si="124"/>
        <v>0</v>
      </c>
      <c r="F328" s="353">
        <f t="shared" si="124"/>
        <v>0</v>
      </c>
      <c r="G328" s="353">
        <f t="shared" si="124"/>
        <v>0</v>
      </c>
      <c r="H328" s="353">
        <f t="shared" si="124"/>
        <v>0</v>
      </c>
      <c r="I328" s="353">
        <f t="shared" si="124"/>
        <v>0</v>
      </c>
      <c r="J328" s="353">
        <f t="shared" si="124"/>
        <v>0</v>
      </c>
      <c r="K328" s="353">
        <f t="shared" si="124"/>
        <v>0</v>
      </c>
      <c r="L328" s="353">
        <f t="shared" si="124"/>
        <v>0</v>
      </c>
      <c r="M328" s="353">
        <f t="shared" si="124"/>
        <v>0</v>
      </c>
      <c r="N328" s="353">
        <f t="shared" si="124"/>
        <v>0</v>
      </c>
      <c r="O328" s="353">
        <f t="shared" si="124"/>
        <v>0</v>
      </c>
      <c r="P328" s="353">
        <f t="shared" si="124"/>
        <v>0</v>
      </c>
      <c r="Q328" s="353">
        <f t="shared" si="118"/>
        <v>0</v>
      </c>
      <c r="R328" s="15" t="s">
        <v>2014</v>
      </c>
    </row>
    <row r="329" spans="2:18" x14ac:dyDescent="0.25">
      <c r="B329" s="390">
        <v>3.1</v>
      </c>
      <c r="C329" s="413" t="s">
        <v>1989</v>
      </c>
      <c r="D329" s="1085"/>
      <c r="E329" s="485">
        <f>$R329*E322/$Q$343</f>
        <v>18.543376939964048</v>
      </c>
      <c r="F329" s="485">
        <f t="shared" ref="F329:P329" si="125">$R329*F322/$Q$343</f>
        <v>18.682452267013776</v>
      </c>
      <c r="G329" s="485">
        <f t="shared" si="125"/>
        <v>17.059906784766923</v>
      </c>
      <c r="H329" s="485">
        <f t="shared" si="125"/>
        <v>12.454968178009185</v>
      </c>
      <c r="I329" s="485">
        <f t="shared" si="125"/>
        <v>13.413042653240661</v>
      </c>
      <c r="J329" s="485">
        <f t="shared" si="125"/>
        <v>12.980363857974833</v>
      </c>
      <c r="K329" s="485">
        <f t="shared" si="125"/>
        <v>19.161489504629518</v>
      </c>
      <c r="L329" s="485">
        <f t="shared" si="125"/>
        <v>14.834701551971238</v>
      </c>
      <c r="M329" s="485">
        <f t="shared" si="125"/>
        <v>15.761870398969441</v>
      </c>
      <c r="N329" s="485">
        <f t="shared" si="125"/>
        <v>19.161489504629518</v>
      </c>
      <c r="O329" s="485">
        <f t="shared" si="125"/>
        <v>19.7186870760472</v>
      </c>
      <c r="P329" s="485">
        <f t="shared" si="125"/>
        <v>21.077638455092465</v>
      </c>
      <c r="Q329" s="353">
        <f t="shared" si="118"/>
        <v>202.84998717230877</v>
      </c>
      <c r="R329" s="409">
        <v>202.84909090908999</v>
      </c>
    </row>
    <row r="330" spans="2:18" x14ac:dyDescent="0.25">
      <c r="B330" s="390">
        <v>3.2</v>
      </c>
      <c r="C330" s="413" t="s">
        <v>1990</v>
      </c>
      <c r="D330" s="1085"/>
      <c r="E330" s="485">
        <f>$R330*E320/$Q$342</f>
        <v>18.258978829389864</v>
      </c>
      <c r="F330" s="485">
        <f t="shared" ref="F330:P330" si="126">$R330*F320/$Q$342</f>
        <v>18.867611457036197</v>
      </c>
      <c r="G330" s="485">
        <f t="shared" si="126"/>
        <v>18.258978829389864</v>
      </c>
      <c r="H330" s="485">
        <f t="shared" si="126"/>
        <v>18.867611457036197</v>
      </c>
      <c r="I330" s="485">
        <f t="shared" si="126"/>
        <v>18.867611457036197</v>
      </c>
      <c r="J330" s="485">
        <f t="shared" si="126"/>
        <v>18.258978829389864</v>
      </c>
      <c r="K330" s="485">
        <f t="shared" si="126"/>
        <v>18.867611457036197</v>
      </c>
      <c r="L330" s="485">
        <f t="shared" si="126"/>
        <v>18.258978829389864</v>
      </c>
      <c r="M330" s="485">
        <f t="shared" si="126"/>
        <v>18.258978829389864</v>
      </c>
      <c r="N330" s="485">
        <f t="shared" si="126"/>
        <v>18.867611457036197</v>
      </c>
      <c r="O330" s="485">
        <f t="shared" si="126"/>
        <v>17.650346201743538</v>
      </c>
      <c r="P330" s="485">
        <f t="shared" si="126"/>
        <v>18.867611457036197</v>
      </c>
      <c r="Q330" s="353">
        <f t="shared" si="118"/>
        <v>222.15090909091001</v>
      </c>
      <c r="R330" s="409">
        <f>425-R329</f>
        <v>222.15090909091001</v>
      </c>
    </row>
    <row r="331" spans="2:18" x14ac:dyDescent="0.25">
      <c r="B331" s="390">
        <v>3.3</v>
      </c>
      <c r="C331" s="413" t="s">
        <v>1812</v>
      </c>
      <c r="D331" s="1085">
        <v>100</v>
      </c>
      <c r="E331" s="485">
        <f>$D331*24*30/1000*85%</f>
        <v>61.199999999999996</v>
      </c>
      <c r="F331" s="485">
        <f>$D331*24*31/1000*85%</f>
        <v>63.24</v>
      </c>
      <c r="G331" s="485">
        <f>$D331*24*30/1000*85%</f>
        <v>61.199999999999996</v>
      </c>
      <c r="H331" s="485">
        <f>$D331*24*31/1000*85%</f>
        <v>63.24</v>
      </c>
      <c r="I331" s="485">
        <f>$D331*24*31/1000*85%</f>
        <v>63.24</v>
      </c>
      <c r="J331" s="485">
        <f>$D331*24*30/1000*85%</f>
        <v>61.199999999999996</v>
      </c>
      <c r="K331" s="485">
        <f>$D331*24*31/1000*85%</f>
        <v>63.24</v>
      </c>
      <c r="L331" s="485">
        <f>$D331*24*30/1000*85%</f>
        <v>61.199999999999996</v>
      </c>
      <c r="M331" s="485">
        <f>$D331*24*30/1000*85%</f>
        <v>61.199999999999996</v>
      </c>
      <c r="N331" s="485">
        <f>$D331*24*31/1000*85%</f>
        <v>63.24</v>
      </c>
      <c r="O331" s="485"/>
      <c r="P331" s="485"/>
      <c r="Q331" s="353">
        <f t="shared" si="118"/>
        <v>622.20000000000005</v>
      </c>
    </row>
    <row r="332" spans="2:18" x14ac:dyDescent="0.25">
      <c r="B332" s="390">
        <v>3.4</v>
      </c>
      <c r="C332" s="413" t="s">
        <v>1813</v>
      </c>
      <c r="D332" s="1085"/>
      <c r="E332" s="485"/>
      <c r="F332" s="485"/>
      <c r="G332" s="485"/>
      <c r="H332" s="485"/>
      <c r="I332" s="485"/>
      <c r="J332" s="485"/>
      <c r="K332" s="485"/>
      <c r="L332" s="485"/>
      <c r="M332" s="485"/>
      <c r="N332" s="485"/>
      <c r="O332" s="485"/>
      <c r="P332" s="485"/>
      <c r="Q332" s="353"/>
    </row>
    <row r="333" spans="2:18" x14ac:dyDescent="0.25">
      <c r="B333" s="390">
        <v>0</v>
      </c>
      <c r="C333" s="413">
        <v>0</v>
      </c>
      <c r="D333" s="1085">
        <f t="shared" ref="D333:P333" si="127">D153</f>
        <v>0</v>
      </c>
      <c r="E333" s="485">
        <f t="shared" si="127"/>
        <v>0</v>
      </c>
      <c r="F333" s="353">
        <f t="shared" si="127"/>
        <v>0</v>
      </c>
      <c r="G333" s="353">
        <f t="shared" si="127"/>
        <v>0</v>
      </c>
      <c r="H333" s="353">
        <f t="shared" si="127"/>
        <v>0</v>
      </c>
      <c r="I333" s="353">
        <f t="shared" si="127"/>
        <v>0</v>
      </c>
      <c r="J333" s="353">
        <f t="shared" si="127"/>
        <v>0</v>
      </c>
      <c r="K333" s="353">
        <f t="shared" si="127"/>
        <v>0</v>
      </c>
      <c r="L333" s="353">
        <f t="shared" si="127"/>
        <v>0</v>
      </c>
      <c r="M333" s="353">
        <f t="shared" si="127"/>
        <v>0</v>
      </c>
      <c r="N333" s="353">
        <f t="shared" si="127"/>
        <v>0</v>
      </c>
      <c r="O333" s="353">
        <f t="shared" si="127"/>
        <v>0</v>
      </c>
      <c r="P333" s="353">
        <f t="shared" si="127"/>
        <v>0</v>
      </c>
      <c r="Q333" s="353">
        <f t="shared" si="118"/>
        <v>0</v>
      </c>
    </row>
    <row r="334" spans="2:18" x14ac:dyDescent="0.25">
      <c r="B334" s="1433">
        <v>4</v>
      </c>
      <c r="C334" s="418" t="s">
        <v>541</v>
      </c>
      <c r="D334" s="572">
        <f>SUM(D317:D333)</f>
        <v>996.68999999999994</v>
      </c>
      <c r="E334" s="572">
        <f>SUM(E317:E333)</f>
        <v>497.30236892003882</v>
      </c>
      <c r="F334" s="572">
        <f t="shared" ref="F334:Q334" si="128">SUM(F317:F333)</f>
        <v>513.32567731309109</v>
      </c>
      <c r="G334" s="572">
        <f t="shared" si="128"/>
        <v>495.58849876484175</v>
      </c>
      <c r="H334" s="572">
        <f t="shared" si="128"/>
        <v>506.13099322408652</v>
      </c>
      <c r="I334" s="572">
        <f t="shared" si="128"/>
        <v>507.23786769931797</v>
      </c>
      <c r="J334" s="572">
        <f t="shared" si="128"/>
        <v>490.87535583804964</v>
      </c>
      <c r="K334" s="572">
        <f t="shared" si="128"/>
        <v>513.87911455070684</v>
      </c>
      <c r="L334" s="572">
        <f t="shared" si="128"/>
        <v>493.017693532046</v>
      </c>
      <c r="M334" s="572">
        <f t="shared" si="128"/>
        <v>494.0888623790442</v>
      </c>
      <c r="N334" s="572">
        <f t="shared" si="128"/>
        <v>577.11911455070685</v>
      </c>
      <c r="O334" s="572">
        <f t="shared" si="128"/>
        <v>482.79892227571952</v>
      </c>
      <c r="P334" s="572">
        <f t="shared" si="128"/>
        <v>516.10286350116974</v>
      </c>
      <c r="Q334" s="572">
        <f t="shared" si="128"/>
        <v>6087.4673325488193</v>
      </c>
    </row>
    <row r="335" spans="2:18" x14ac:dyDescent="0.25">
      <c r="D335" s="1520"/>
    </row>
    <row r="336" spans="2:18" x14ac:dyDescent="0.25">
      <c r="D336" s="1520"/>
    </row>
    <row r="337" spans="1:18" x14ac:dyDescent="0.25">
      <c r="B337" s="131" t="s">
        <v>838</v>
      </c>
      <c r="C337" s="120"/>
      <c r="D337" s="1523"/>
      <c r="E337" s="17"/>
      <c r="F337" s="18"/>
      <c r="G337" s="17"/>
      <c r="H337" s="17"/>
      <c r="I337" s="17"/>
      <c r="J337" s="34"/>
      <c r="K337" s="34"/>
      <c r="L337" s="34"/>
    </row>
    <row r="338" spans="1:18" x14ac:dyDescent="0.25">
      <c r="B338" s="131"/>
      <c r="C338" s="120"/>
      <c r="D338" s="1523"/>
      <c r="E338" s="17"/>
      <c r="F338" s="18"/>
      <c r="G338" s="17"/>
      <c r="H338" s="17"/>
      <c r="I338" s="17"/>
      <c r="J338" s="34"/>
      <c r="K338" s="34"/>
      <c r="L338" s="34"/>
    </row>
    <row r="339" spans="1:18" ht="28" x14ac:dyDescent="0.25">
      <c r="B339" s="214" t="s">
        <v>187</v>
      </c>
      <c r="C339" s="214" t="s">
        <v>50</v>
      </c>
      <c r="D339" s="1521" t="s">
        <v>547</v>
      </c>
      <c r="E339" s="1426" t="s">
        <v>151</v>
      </c>
      <c r="F339" s="1426" t="s">
        <v>152</v>
      </c>
      <c r="G339" s="1426" t="s">
        <v>153</v>
      </c>
      <c r="H339" s="1426" t="s">
        <v>154</v>
      </c>
      <c r="I339" s="1426" t="s">
        <v>155</v>
      </c>
      <c r="J339" s="1426" t="s">
        <v>156</v>
      </c>
      <c r="K339" s="1426" t="s">
        <v>157</v>
      </c>
      <c r="L339" s="1426" t="s">
        <v>158</v>
      </c>
      <c r="M339" s="1426" t="s">
        <v>159</v>
      </c>
      <c r="N339" s="1426" t="s">
        <v>160</v>
      </c>
      <c r="O339" s="1426" t="s">
        <v>161</v>
      </c>
      <c r="P339" s="1426" t="s">
        <v>162</v>
      </c>
      <c r="Q339" s="1426" t="s">
        <v>145</v>
      </c>
    </row>
    <row r="340" spans="1:18" x14ac:dyDescent="0.25">
      <c r="B340" s="1433"/>
      <c r="C340" s="418" t="s">
        <v>549</v>
      </c>
      <c r="D340" s="498">
        <f t="shared" ref="D340:P340" si="129">D165</f>
        <v>0</v>
      </c>
      <c r="E340" s="485">
        <f t="shared" si="129"/>
        <v>0</v>
      </c>
      <c r="F340" s="353">
        <f t="shared" si="129"/>
        <v>0</v>
      </c>
      <c r="G340" s="353">
        <f t="shared" si="129"/>
        <v>0</v>
      </c>
      <c r="H340" s="353">
        <f t="shared" si="129"/>
        <v>0</v>
      </c>
      <c r="I340" s="353">
        <f t="shared" si="129"/>
        <v>0</v>
      </c>
      <c r="J340" s="353">
        <f t="shared" si="129"/>
        <v>0</v>
      </c>
      <c r="K340" s="353">
        <f t="shared" si="129"/>
        <v>0</v>
      </c>
      <c r="L340" s="353">
        <f t="shared" si="129"/>
        <v>0</v>
      </c>
      <c r="M340" s="353">
        <f t="shared" si="129"/>
        <v>0</v>
      </c>
      <c r="N340" s="353">
        <f t="shared" si="129"/>
        <v>0</v>
      </c>
      <c r="O340" s="353">
        <f t="shared" si="129"/>
        <v>0</v>
      </c>
      <c r="P340" s="353">
        <f t="shared" si="129"/>
        <v>0</v>
      </c>
      <c r="Q340" s="353">
        <f>SUM(E340:P340)</f>
        <v>0</v>
      </c>
    </row>
    <row r="341" spans="1:18" x14ac:dyDescent="0.25">
      <c r="B341" s="1433">
        <v>1</v>
      </c>
      <c r="C341" s="418" t="s">
        <v>422</v>
      </c>
      <c r="D341" s="498">
        <f t="shared" ref="D341:P341" si="130">D166</f>
        <v>0</v>
      </c>
      <c r="E341" s="485">
        <f t="shared" si="130"/>
        <v>0</v>
      </c>
      <c r="F341" s="353">
        <f t="shared" si="130"/>
        <v>0</v>
      </c>
      <c r="G341" s="353">
        <f t="shared" si="130"/>
        <v>0</v>
      </c>
      <c r="H341" s="353">
        <f t="shared" si="130"/>
        <v>0</v>
      </c>
      <c r="I341" s="353">
        <f t="shared" si="130"/>
        <v>0</v>
      </c>
      <c r="J341" s="353">
        <f t="shared" si="130"/>
        <v>0</v>
      </c>
      <c r="K341" s="353">
        <f t="shared" si="130"/>
        <v>0</v>
      </c>
      <c r="L341" s="353">
        <f t="shared" si="130"/>
        <v>0</v>
      </c>
      <c r="M341" s="353">
        <f t="shared" si="130"/>
        <v>0</v>
      </c>
      <c r="N341" s="353">
        <f t="shared" si="130"/>
        <v>0</v>
      </c>
      <c r="O341" s="353">
        <f t="shared" si="130"/>
        <v>0</v>
      </c>
      <c r="P341" s="353">
        <f t="shared" si="130"/>
        <v>0</v>
      </c>
      <c r="Q341" s="353">
        <f t="shared" ref="Q341:Q356" si="131">SUM(E341:P341)</f>
        <v>0</v>
      </c>
    </row>
    <row r="342" spans="1:18" x14ac:dyDescent="0.25">
      <c r="A342" s="1735">
        <f>A320</f>
        <v>0.3708186577981617</v>
      </c>
      <c r="B342" s="1433">
        <v>1.1000000000000001</v>
      </c>
      <c r="C342" s="418" t="s">
        <v>1631</v>
      </c>
      <c r="D342" s="498">
        <f>F1.5!I16</f>
        <v>228.73</v>
      </c>
      <c r="E342" s="485">
        <f>$D342*24*30/1000*$A342</f>
        <v>61.068493150684922</v>
      </c>
      <c r="F342" s="485">
        <f>$D342*24*31/1000*$A342</f>
        <v>63.104109589041101</v>
      </c>
      <c r="G342" s="485">
        <f>$D342*24*30/1000*$A342</f>
        <v>61.068493150684922</v>
      </c>
      <c r="H342" s="485">
        <f>$D342*24*31/1000*$A342</f>
        <v>63.104109589041101</v>
      </c>
      <c r="I342" s="485">
        <f>$D342*24*31/1000*$A342</f>
        <v>63.104109589041101</v>
      </c>
      <c r="J342" s="485">
        <f>$D342*24*30/1000*$A342</f>
        <v>61.068493150684922</v>
      </c>
      <c r="K342" s="485">
        <f>$D342*24*31/1000*$A342</f>
        <v>63.104109589041101</v>
      </c>
      <c r="L342" s="485">
        <f>$D342*24*30/1000*$A342</f>
        <v>61.068493150684922</v>
      </c>
      <c r="M342" s="485">
        <f>$D342*24*30/1000*$A342</f>
        <v>61.068493150684922</v>
      </c>
      <c r="N342" s="485">
        <f>$D342*24*31/1000*$A342</f>
        <v>63.104109589041101</v>
      </c>
      <c r="O342" s="485">
        <f>$D342*24*29/1000*$A342</f>
        <v>59.032876712328772</v>
      </c>
      <c r="P342" s="485">
        <f>$D342*24*31/1000*$A342</f>
        <v>63.104109589041101</v>
      </c>
      <c r="Q342" s="353">
        <f t="shared" si="131"/>
        <v>742.99999999999989</v>
      </c>
    </row>
    <row r="343" spans="1:18" ht="28" x14ac:dyDescent="0.25">
      <c r="B343" s="1433">
        <v>1.2</v>
      </c>
      <c r="C343" s="418" t="s">
        <v>1332</v>
      </c>
      <c r="D343" s="498">
        <v>20</v>
      </c>
      <c r="E343" s="485">
        <f>$D343*24*30/1000*20%</f>
        <v>2.8800000000000003</v>
      </c>
      <c r="F343" s="485">
        <f>$D343*24*31/1000*19.5%</f>
        <v>2.9016000000000002</v>
      </c>
      <c r="G343" s="485">
        <f>$D343*24*30/1000*18.4%</f>
        <v>2.6496</v>
      </c>
      <c r="H343" s="485">
        <f>$D343*24*31/1000*13%</f>
        <v>1.9344000000000001</v>
      </c>
      <c r="I343" s="485">
        <f>$D343*24*31/1000*14%</f>
        <v>2.0832000000000002</v>
      </c>
      <c r="J343" s="485">
        <f>$D343*24*30/1000*14%</f>
        <v>2.0160000000000005</v>
      </c>
      <c r="K343" s="485">
        <f>$D343*24*31/1000*20%</f>
        <v>2.9760000000000004</v>
      </c>
      <c r="L343" s="485">
        <f>$D343*24*30/1000*16%</f>
        <v>2.3040000000000003</v>
      </c>
      <c r="M343" s="485">
        <f>$D343*24*30/1000*17%</f>
        <v>2.4480000000000004</v>
      </c>
      <c r="N343" s="485">
        <f>$D343*24*31/1000*20%</f>
        <v>2.9760000000000004</v>
      </c>
      <c r="O343" s="485">
        <f>$D343*24*29/1000*22%</f>
        <v>3.0623999999999998</v>
      </c>
      <c r="P343" s="485">
        <f>$D343*24*31/1000*22%</f>
        <v>3.2736000000000001</v>
      </c>
      <c r="Q343" s="353">
        <f t="shared" si="131"/>
        <v>31.504799999999996</v>
      </c>
    </row>
    <row r="344" spans="1:18" x14ac:dyDescent="0.25">
      <c r="B344" s="1433">
        <v>0</v>
      </c>
      <c r="C344" s="418">
        <v>0</v>
      </c>
      <c r="D344" s="498">
        <f t="shared" ref="D344:P344" si="132">D169</f>
        <v>0</v>
      </c>
      <c r="E344" s="485">
        <f t="shared" si="132"/>
        <v>0</v>
      </c>
      <c r="F344" s="353">
        <f t="shared" si="132"/>
        <v>0</v>
      </c>
      <c r="G344" s="353">
        <f t="shared" si="132"/>
        <v>0</v>
      </c>
      <c r="H344" s="353">
        <f t="shared" si="132"/>
        <v>0</v>
      </c>
      <c r="I344" s="353">
        <f t="shared" si="132"/>
        <v>0</v>
      </c>
      <c r="J344" s="353">
        <f t="shared" si="132"/>
        <v>0</v>
      </c>
      <c r="K344" s="353">
        <f t="shared" si="132"/>
        <v>0</v>
      </c>
      <c r="L344" s="353">
        <f t="shared" si="132"/>
        <v>0</v>
      </c>
      <c r="M344" s="353">
        <f t="shared" si="132"/>
        <v>0</v>
      </c>
      <c r="N344" s="353">
        <f t="shared" si="132"/>
        <v>0</v>
      </c>
      <c r="O344" s="353">
        <f t="shared" si="132"/>
        <v>0</v>
      </c>
      <c r="P344" s="353">
        <f t="shared" si="132"/>
        <v>0</v>
      </c>
      <c r="Q344" s="353">
        <f t="shared" si="131"/>
        <v>0</v>
      </c>
    </row>
    <row r="345" spans="1:18" x14ac:dyDescent="0.25">
      <c r="B345" s="1433">
        <v>2</v>
      </c>
      <c r="C345" s="418" t="s">
        <v>423</v>
      </c>
      <c r="D345" s="498">
        <f t="shared" ref="D345:P345" si="133">D170</f>
        <v>0</v>
      </c>
      <c r="E345" s="485">
        <f t="shared" si="133"/>
        <v>0</v>
      </c>
      <c r="F345" s="353">
        <f t="shared" si="133"/>
        <v>0</v>
      </c>
      <c r="G345" s="353">
        <f t="shared" si="133"/>
        <v>0</v>
      </c>
      <c r="H345" s="353">
        <f t="shared" si="133"/>
        <v>0</v>
      </c>
      <c r="I345" s="353">
        <f t="shared" si="133"/>
        <v>0</v>
      </c>
      <c r="J345" s="353">
        <f t="shared" si="133"/>
        <v>0</v>
      </c>
      <c r="K345" s="353">
        <f t="shared" si="133"/>
        <v>0</v>
      </c>
      <c r="L345" s="353">
        <f t="shared" si="133"/>
        <v>0</v>
      </c>
      <c r="M345" s="353">
        <f t="shared" si="133"/>
        <v>0</v>
      </c>
      <c r="N345" s="353">
        <f t="shared" si="133"/>
        <v>0</v>
      </c>
      <c r="O345" s="353">
        <f t="shared" si="133"/>
        <v>0</v>
      </c>
      <c r="P345" s="353">
        <f t="shared" si="133"/>
        <v>0</v>
      </c>
      <c r="Q345" s="353">
        <f t="shared" si="131"/>
        <v>0</v>
      </c>
    </row>
    <row r="346" spans="1:18" x14ac:dyDescent="0.25">
      <c r="B346" s="1433">
        <v>2.1</v>
      </c>
      <c r="C346" s="418" t="s">
        <v>933</v>
      </c>
      <c r="D346" s="498">
        <v>100</v>
      </c>
      <c r="E346" s="485">
        <f>$D346*24*30/1000*85%</f>
        <v>61.199999999999996</v>
      </c>
      <c r="F346" s="485">
        <f>$D346*24*31/1000*85%</f>
        <v>63.24</v>
      </c>
      <c r="G346" s="485">
        <f>$D346*24*30/1000*85%</f>
        <v>61.199999999999996</v>
      </c>
      <c r="H346" s="485">
        <f>$D346*24*31/1000*85%</f>
        <v>63.24</v>
      </c>
      <c r="I346" s="485">
        <f>$D346*24*31/1000*85%</f>
        <v>63.24</v>
      </c>
      <c r="J346" s="485">
        <f>$D346*24*30/1000*85%</f>
        <v>61.199999999999996</v>
      </c>
      <c r="K346" s="485">
        <f>$D346*24*31/1000*85%</f>
        <v>63.24</v>
      </c>
      <c r="L346" s="485">
        <f>$D346*24*30/1000*85%</f>
        <v>61.199999999999996</v>
      </c>
      <c r="M346" s="485">
        <f>$D346*24*30/1000*85%</f>
        <v>61.199999999999996</v>
      </c>
      <c r="N346" s="485">
        <f>$D346*24*31/1000*85%</f>
        <v>63.24</v>
      </c>
      <c r="O346" s="485">
        <f>$D346*24*29/1000*85%</f>
        <v>59.16</v>
      </c>
      <c r="P346" s="485">
        <f>$D346*24*31/1000*85%</f>
        <v>63.24</v>
      </c>
      <c r="Q346" s="353">
        <f t="shared" si="131"/>
        <v>744.6</v>
      </c>
    </row>
    <row r="347" spans="1:18" x14ac:dyDescent="0.25">
      <c r="B347" s="1433">
        <v>2.2000000000000002</v>
      </c>
      <c r="C347" s="418" t="s">
        <v>1630</v>
      </c>
      <c r="D347" s="498">
        <v>100</v>
      </c>
      <c r="E347" s="485">
        <f>$D347*24*30/1000*85%</f>
        <v>61.199999999999996</v>
      </c>
      <c r="F347" s="485">
        <f>$D347*24*31/1000*85%</f>
        <v>63.24</v>
      </c>
      <c r="G347" s="485">
        <f>$D347*24*30/1000*85%</f>
        <v>61.199999999999996</v>
      </c>
      <c r="H347" s="485">
        <f>$D347*24*31/1000*85%</f>
        <v>63.24</v>
      </c>
      <c r="I347" s="485">
        <f>$D347*24*31/1000*85%</f>
        <v>63.24</v>
      </c>
      <c r="J347" s="485">
        <f>$D347*24*30/1000*85%</f>
        <v>61.199999999999996</v>
      </c>
      <c r="K347" s="485">
        <f>$D347*24*31/1000*85%</f>
        <v>63.24</v>
      </c>
      <c r="L347" s="485">
        <f>$D347*24*30/1000*85%</f>
        <v>61.199999999999996</v>
      </c>
      <c r="M347" s="485">
        <f>$D347*24*30/1000*85%</f>
        <v>61.199999999999996</v>
      </c>
      <c r="N347" s="485">
        <f>$D347*24*31/1000*85%</f>
        <v>63.24</v>
      </c>
      <c r="O347" s="485">
        <f>$D347*24*29/1000*85%</f>
        <v>59.16</v>
      </c>
      <c r="P347" s="485">
        <f>$D347*24*31/1000*85%</f>
        <v>63.24</v>
      </c>
      <c r="Q347" s="353">
        <f t="shared" si="131"/>
        <v>744.6</v>
      </c>
    </row>
    <row r="348" spans="1:18" x14ac:dyDescent="0.25">
      <c r="B348" s="1433">
        <v>0</v>
      </c>
      <c r="C348" s="418">
        <v>0</v>
      </c>
      <c r="D348" s="498">
        <f t="shared" ref="D348:P348" si="134">D173</f>
        <v>0</v>
      </c>
      <c r="E348" s="485">
        <f t="shared" si="134"/>
        <v>0</v>
      </c>
      <c r="F348" s="353">
        <f t="shared" si="134"/>
        <v>0</v>
      </c>
      <c r="G348" s="353">
        <f t="shared" si="134"/>
        <v>0</v>
      </c>
      <c r="H348" s="353">
        <f t="shared" si="134"/>
        <v>0</v>
      </c>
      <c r="I348" s="353">
        <f t="shared" si="134"/>
        <v>0</v>
      </c>
      <c r="J348" s="353">
        <f t="shared" si="134"/>
        <v>0</v>
      </c>
      <c r="K348" s="353">
        <f t="shared" si="134"/>
        <v>0</v>
      </c>
      <c r="L348" s="353">
        <f t="shared" si="134"/>
        <v>0</v>
      </c>
      <c r="M348" s="353">
        <f t="shared" si="134"/>
        <v>0</v>
      </c>
      <c r="N348" s="353">
        <f t="shared" si="134"/>
        <v>0</v>
      </c>
      <c r="O348" s="353">
        <f t="shared" si="134"/>
        <v>0</v>
      </c>
      <c r="P348" s="353">
        <f t="shared" si="134"/>
        <v>0</v>
      </c>
      <c r="Q348" s="353">
        <f t="shared" si="131"/>
        <v>0</v>
      </c>
    </row>
    <row r="349" spans="1:18" x14ac:dyDescent="0.25">
      <c r="B349" s="1433">
        <v>3</v>
      </c>
      <c r="C349" s="418" t="s">
        <v>424</v>
      </c>
      <c r="D349" s="498">
        <f t="shared" ref="D349:P349" si="135">D174</f>
        <v>0</v>
      </c>
      <c r="E349" s="485">
        <f t="shared" si="135"/>
        <v>0</v>
      </c>
      <c r="F349" s="353">
        <f t="shared" si="135"/>
        <v>0</v>
      </c>
      <c r="G349" s="353">
        <f t="shared" si="135"/>
        <v>0</v>
      </c>
      <c r="H349" s="353">
        <f t="shared" si="135"/>
        <v>0</v>
      </c>
      <c r="I349" s="353">
        <f t="shared" si="135"/>
        <v>0</v>
      </c>
      <c r="J349" s="353">
        <f t="shared" si="135"/>
        <v>0</v>
      </c>
      <c r="K349" s="353">
        <f t="shared" si="135"/>
        <v>0</v>
      </c>
      <c r="L349" s="353">
        <f t="shared" si="135"/>
        <v>0</v>
      </c>
      <c r="M349" s="353">
        <f t="shared" si="135"/>
        <v>0</v>
      </c>
      <c r="N349" s="353">
        <f t="shared" si="135"/>
        <v>0</v>
      </c>
      <c r="O349" s="353">
        <f t="shared" si="135"/>
        <v>0</v>
      </c>
      <c r="P349" s="353">
        <f t="shared" si="135"/>
        <v>0</v>
      </c>
      <c r="Q349" s="353">
        <f t="shared" si="131"/>
        <v>0</v>
      </c>
      <c r="R349" s="15" t="s">
        <v>2014</v>
      </c>
    </row>
    <row r="350" spans="1:18" x14ac:dyDescent="0.25">
      <c r="B350" s="390">
        <v>3.1</v>
      </c>
      <c r="C350" s="413" t="s">
        <v>1989</v>
      </c>
      <c r="D350" s="1085"/>
      <c r="E350" s="485">
        <f>$R350*E343/$Q$343</f>
        <v>27.83575836063077</v>
      </c>
      <c r="F350" s="485">
        <f t="shared" ref="F350:P350" si="136">$R350*F343/$Q$343</f>
        <v>28.044526548335497</v>
      </c>
      <c r="G350" s="485">
        <f t="shared" si="136"/>
        <v>25.608897691780303</v>
      </c>
      <c r="H350" s="485">
        <f t="shared" si="136"/>
        <v>18.696351032223664</v>
      </c>
      <c r="I350" s="485">
        <f t="shared" si="136"/>
        <v>20.134531880856255</v>
      </c>
      <c r="J350" s="485">
        <f t="shared" si="136"/>
        <v>19.48503085244154</v>
      </c>
      <c r="K350" s="485">
        <f t="shared" si="136"/>
        <v>28.763616972651793</v>
      </c>
      <c r="L350" s="485">
        <f t="shared" si="136"/>
        <v>22.268606688504615</v>
      </c>
      <c r="M350" s="485">
        <f t="shared" si="136"/>
        <v>23.660394606536155</v>
      </c>
      <c r="N350" s="485">
        <f t="shared" si="136"/>
        <v>28.763616972651793</v>
      </c>
      <c r="O350" s="485">
        <f t="shared" si="136"/>
        <v>29.598689723470709</v>
      </c>
      <c r="P350" s="485">
        <f t="shared" si="136"/>
        <v>31.639978669916967</v>
      </c>
      <c r="Q350" s="353">
        <f>SUM(E350:P350)</f>
        <v>304.50000000000006</v>
      </c>
      <c r="R350" s="1733">
        <v>304.5</v>
      </c>
    </row>
    <row r="351" spans="1:18" x14ac:dyDescent="0.25">
      <c r="B351" s="390">
        <v>3.2</v>
      </c>
      <c r="C351" s="413" t="s">
        <v>1990</v>
      </c>
      <c r="D351" s="1085"/>
      <c r="E351" s="485">
        <f>$R351*E342/$Q$342</f>
        <v>27.410958904109592</v>
      </c>
      <c r="F351" s="485">
        <f t="shared" ref="F351:P351" si="137">$R351*F342/$Q$342</f>
        <v>28.32465753424658</v>
      </c>
      <c r="G351" s="485">
        <f t="shared" si="137"/>
        <v>27.410958904109592</v>
      </c>
      <c r="H351" s="485">
        <f t="shared" si="137"/>
        <v>28.32465753424658</v>
      </c>
      <c r="I351" s="485">
        <f t="shared" si="137"/>
        <v>28.32465753424658</v>
      </c>
      <c r="J351" s="485">
        <f t="shared" si="137"/>
        <v>27.410958904109592</v>
      </c>
      <c r="K351" s="485">
        <f t="shared" si="137"/>
        <v>28.32465753424658</v>
      </c>
      <c r="L351" s="485">
        <f t="shared" si="137"/>
        <v>27.410958904109592</v>
      </c>
      <c r="M351" s="485">
        <f t="shared" si="137"/>
        <v>27.410958904109592</v>
      </c>
      <c r="N351" s="485">
        <f t="shared" si="137"/>
        <v>28.32465753424658</v>
      </c>
      <c r="O351" s="485">
        <f t="shared" si="137"/>
        <v>26.497260273972607</v>
      </c>
      <c r="P351" s="485">
        <f t="shared" si="137"/>
        <v>28.32465753424658</v>
      </c>
      <c r="Q351" s="353">
        <f t="shared" si="131"/>
        <v>333.49999999999994</v>
      </c>
      <c r="R351" s="1733">
        <v>333.5</v>
      </c>
    </row>
    <row r="352" spans="1:18" x14ac:dyDescent="0.25">
      <c r="B352" s="390">
        <v>3.3</v>
      </c>
      <c r="C352" s="413" t="s">
        <v>1632</v>
      </c>
      <c r="D352" s="1085"/>
      <c r="E352" s="485">
        <f t="shared" ref="E352:P352" ca="1" si="138">E177</f>
        <v>65.512500000000003</v>
      </c>
      <c r="F352" s="353">
        <f t="shared" ca="1" si="138"/>
        <v>65.512500000000003</v>
      </c>
      <c r="G352" s="353">
        <f t="shared" ca="1" si="138"/>
        <v>65.512500000000003</v>
      </c>
      <c r="H352" s="353">
        <f t="shared" ca="1" si="138"/>
        <v>65.512500000000003</v>
      </c>
      <c r="I352" s="353">
        <f t="shared" ca="1" si="138"/>
        <v>65.512500000000003</v>
      </c>
      <c r="J352" s="353">
        <f t="shared" ca="1" si="138"/>
        <v>65.512500000000003</v>
      </c>
      <c r="K352" s="353">
        <f t="shared" ca="1" si="138"/>
        <v>65.512500000000003</v>
      </c>
      <c r="L352" s="353">
        <f t="shared" ca="1" si="138"/>
        <v>65.512500000000003</v>
      </c>
      <c r="M352" s="353">
        <f t="shared" ca="1" si="138"/>
        <v>65.512500000000003</v>
      </c>
      <c r="N352" s="353">
        <f t="shared" ca="1" si="138"/>
        <v>65.512500000000003</v>
      </c>
      <c r="O352" s="353">
        <f t="shared" ca="1" si="138"/>
        <v>65.512500000000003</v>
      </c>
      <c r="P352" s="353">
        <f t="shared" ca="1" si="138"/>
        <v>65.512500000000003</v>
      </c>
      <c r="Q352" s="353">
        <f t="shared" ca="1" si="131"/>
        <v>786.1500000000002</v>
      </c>
    </row>
    <row r="353" spans="2:18" x14ac:dyDescent="0.25">
      <c r="B353" s="390">
        <v>3.4</v>
      </c>
      <c r="C353" s="413" t="s">
        <v>1816</v>
      </c>
      <c r="D353" s="1085">
        <v>296.73</v>
      </c>
      <c r="E353" s="485"/>
      <c r="F353" s="485"/>
      <c r="G353" s="485"/>
      <c r="H353" s="485"/>
      <c r="I353" s="485"/>
      <c r="J353" s="485"/>
      <c r="K353" s="485"/>
      <c r="L353" s="485"/>
      <c r="M353" s="485"/>
      <c r="N353" s="485">
        <f>$D353*24*31/1000*18%</f>
        <v>39.738081600000008</v>
      </c>
      <c r="O353" s="485">
        <f>$D353*24*29/1000*18.35%</f>
        <v>37.897168680000007</v>
      </c>
      <c r="P353" s="485">
        <f>$D353*24*31/1000*21%</f>
        <v>46.361095200000008</v>
      </c>
      <c r="Q353" s="353">
        <f t="shared" si="131"/>
        <v>123.99634548000002</v>
      </c>
    </row>
    <row r="354" spans="2:18" x14ac:dyDescent="0.25">
      <c r="B354" s="390">
        <v>3.5</v>
      </c>
      <c r="C354" s="413" t="s">
        <v>1817</v>
      </c>
      <c r="D354" s="1085">
        <f>400-D353</f>
        <v>103.26999999999998</v>
      </c>
      <c r="E354" s="485"/>
      <c r="F354" s="353"/>
      <c r="G354" s="353"/>
      <c r="H354" s="353"/>
      <c r="I354" s="353"/>
      <c r="J354" s="353"/>
      <c r="K354" s="353"/>
      <c r="L354" s="353"/>
      <c r="M354" s="353"/>
      <c r="N354" s="485">
        <f>$D354*24*31/1000*21%</f>
        <v>16.134904799999997</v>
      </c>
      <c r="O354" s="485">
        <f>$D354*24*29/1000*21.1%</f>
        <v>15.165819119999997</v>
      </c>
      <c r="P354" s="485">
        <f>$D354*24*31/1000*20.43%</f>
        <v>15.696957383999999</v>
      </c>
      <c r="Q354" s="353">
        <f t="shared" si="131"/>
        <v>46.997681303999997</v>
      </c>
    </row>
    <row r="355" spans="2:18" x14ac:dyDescent="0.25">
      <c r="B355" s="390"/>
      <c r="C355" s="413" t="s">
        <v>1815</v>
      </c>
      <c r="D355" s="1085">
        <v>300</v>
      </c>
      <c r="E355" s="485">
        <f>$D355*24*30/1000*21%</f>
        <v>45.36</v>
      </c>
      <c r="F355" s="485">
        <f>$D355*24*31/1000*20%</f>
        <v>44.64</v>
      </c>
      <c r="G355" s="485">
        <f>$D355*24*30/1000*19%</f>
        <v>41.04</v>
      </c>
      <c r="H355" s="485">
        <f>$D355*24*31/1000*14%</f>
        <v>31.248000000000001</v>
      </c>
      <c r="I355" s="485">
        <f>$D355*24*31/1000*15%</f>
        <v>33.479999999999997</v>
      </c>
      <c r="J355" s="485">
        <f>$D355*24*30/1000*16%</f>
        <v>34.56</v>
      </c>
      <c r="K355" s="485">
        <f>$D355*24*31/1000*21%</f>
        <v>46.871999999999993</v>
      </c>
      <c r="L355" s="485">
        <f>$D355*24*30/1000*17.224%</f>
        <v>37.20384</v>
      </c>
      <c r="M355" s="485">
        <f>$D355*24*30/1000*17.5%</f>
        <v>37.799999999999997</v>
      </c>
      <c r="N355" s="485">
        <f>$D355*24*31/1000*20%</f>
        <v>44.64</v>
      </c>
      <c r="O355" s="485">
        <f>$D355*24*29/1000*22%</f>
        <v>45.936</v>
      </c>
      <c r="P355" s="485">
        <f>$D355*24*31/1000*22.5%</f>
        <v>50.22</v>
      </c>
      <c r="Q355" s="353">
        <f t="shared" si="131"/>
        <v>492.99983999999995</v>
      </c>
      <c r="R355" s="409"/>
    </row>
    <row r="356" spans="2:18" x14ac:dyDescent="0.25">
      <c r="B356" s="1433">
        <v>0</v>
      </c>
      <c r="C356" s="413" t="s">
        <v>1813</v>
      </c>
      <c r="D356" s="498">
        <f t="shared" ref="D356:P356" si="139">D182</f>
        <v>0</v>
      </c>
      <c r="E356" s="485">
        <f t="shared" si="139"/>
        <v>0</v>
      </c>
      <c r="F356" s="353">
        <f t="shared" si="139"/>
        <v>0</v>
      </c>
      <c r="G356" s="353">
        <f t="shared" si="139"/>
        <v>0</v>
      </c>
      <c r="H356" s="353">
        <f t="shared" si="139"/>
        <v>0</v>
      </c>
      <c r="I356" s="353">
        <f t="shared" si="139"/>
        <v>0</v>
      </c>
      <c r="J356" s="353">
        <f t="shared" si="139"/>
        <v>0</v>
      </c>
      <c r="K356" s="353">
        <f t="shared" si="139"/>
        <v>0</v>
      </c>
      <c r="L356" s="353">
        <f t="shared" si="139"/>
        <v>0</v>
      </c>
      <c r="M356" s="353">
        <f t="shared" si="139"/>
        <v>0</v>
      </c>
      <c r="N356" s="353">
        <f t="shared" si="139"/>
        <v>0</v>
      </c>
      <c r="O356" s="353">
        <f t="shared" si="139"/>
        <v>0</v>
      </c>
      <c r="P356" s="353">
        <f t="shared" si="139"/>
        <v>0</v>
      </c>
      <c r="Q356" s="353">
        <f t="shared" si="131"/>
        <v>0</v>
      </c>
    </row>
    <row r="357" spans="2:18" x14ac:dyDescent="0.25">
      <c r="B357" s="1621"/>
      <c r="C357" s="413"/>
      <c r="D357" s="498"/>
      <c r="E357" s="485"/>
      <c r="F357" s="353"/>
      <c r="G357" s="353"/>
      <c r="H357" s="353"/>
      <c r="I357" s="353"/>
      <c r="J357" s="353"/>
      <c r="K357" s="353"/>
      <c r="L357" s="353"/>
      <c r="M357" s="353"/>
      <c r="N357" s="353"/>
      <c r="O357" s="353"/>
      <c r="P357" s="353"/>
      <c r="Q357" s="353"/>
    </row>
    <row r="358" spans="2:18" x14ac:dyDescent="0.25">
      <c r="B358" s="1433">
        <v>4</v>
      </c>
      <c r="C358" s="418" t="s">
        <v>541</v>
      </c>
      <c r="D358" s="572">
        <f>SUM(D342:D356)</f>
        <v>1148.73</v>
      </c>
      <c r="E358" s="572">
        <f t="shared" ref="E358:Q358" ca="1" si="140">SUM(E342:E356)</f>
        <v>352.46771041542524</v>
      </c>
      <c r="F358" s="572">
        <f t="shared" ca="1" si="140"/>
        <v>359.00739367162316</v>
      </c>
      <c r="G358" s="572">
        <f t="shared" ca="1" si="140"/>
        <v>345.69044974657481</v>
      </c>
      <c r="H358" s="572">
        <f t="shared" ca="1" si="140"/>
        <v>335.30001815551134</v>
      </c>
      <c r="I358" s="572">
        <f t="shared" ca="1" si="140"/>
        <v>339.11899900414397</v>
      </c>
      <c r="J358" s="572">
        <f t="shared" ca="1" si="140"/>
        <v>332.45298290723599</v>
      </c>
      <c r="K358" s="572">
        <f t="shared" ca="1" si="140"/>
        <v>362.03288409593949</v>
      </c>
      <c r="L358" s="572">
        <f t="shared" ca="1" si="140"/>
        <v>338.16839874329912</v>
      </c>
      <c r="M358" s="572">
        <f t="shared" ca="1" si="140"/>
        <v>340.30034666133065</v>
      </c>
      <c r="N358" s="572">
        <f t="shared" ca="1" si="140"/>
        <v>415.67387049593947</v>
      </c>
      <c r="O358" s="572">
        <f t="shared" ca="1" si="140"/>
        <v>401.02271450977202</v>
      </c>
      <c r="P358" s="572">
        <f t="shared" ca="1" si="140"/>
        <v>430.6128983772046</v>
      </c>
      <c r="Q358" s="572">
        <f t="shared" ca="1" si="140"/>
        <v>4351.8486667839998</v>
      </c>
    </row>
    <row r="360" spans="2:18" hidden="1" x14ac:dyDescent="0.25">
      <c r="B360" s="148" t="s">
        <v>550</v>
      </c>
      <c r="C360" s="125"/>
    </row>
    <row r="361" spans="2:18" hidden="1" x14ac:dyDescent="0.25">
      <c r="B361" s="68">
        <v>1</v>
      </c>
      <c r="C361" s="34" t="s">
        <v>577</v>
      </c>
    </row>
    <row r="362" spans="2:18" hidden="1" x14ac:dyDescent="0.25">
      <c r="B362" s="68"/>
      <c r="C362" s="34"/>
    </row>
    <row r="363" spans="2:18" x14ac:dyDescent="0.25">
      <c r="B363" s="68"/>
    </row>
    <row r="369" spans="3:13" ht="26" hidden="1" customHeight="1" x14ac:dyDescent="0.25">
      <c r="C369" s="1721" t="s">
        <v>1802</v>
      </c>
      <c r="D369" s="2225" t="s">
        <v>1805</v>
      </c>
      <c r="E369" s="2225"/>
      <c r="F369" s="2226" t="s">
        <v>1806</v>
      </c>
      <c r="G369" s="2226"/>
      <c r="H369" s="2226"/>
      <c r="I369" s="2229" t="s">
        <v>1809</v>
      </c>
      <c r="J369" s="2229"/>
      <c r="K369" s="15" t="s">
        <v>1810</v>
      </c>
      <c r="L369" s="2227" t="s">
        <v>1808</v>
      </c>
      <c r="M369" s="2228"/>
    </row>
    <row r="370" spans="3:13" hidden="1" x14ac:dyDescent="0.25">
      <c r="C370" s="25"/>
      <c r="D370" s="1718" t="s">
        <v>1803</v>
      </c>
      <c r="E370" s="1718" t="s">
        <v>1804</v>
      </c>
      <c r="F370" s="69" t="s">
        <v>1807</v>
      </c>
      <c r="G370" s="1718" t="s">
        <v>1803</v>
      </c>
      <c r="H370" s="1718" t="s">
        <v>1804</v>
      </c>
      <c r="I370" s="1718" t="s">
        <v>1803</v>
      </c>
      <c r="J370" s="1718" t="s">
        <v>1804</v>
      </c>
      <c r="L370" s="1718" t="s">
        <v>1803</v>
      </c>
      <c r="M370" s="1718" t="s">
        <v>1804</v>
      </c>
    </row>
    <row r="371" spans="3:13" hidden="1" x14ac:dyDescent="0.25">
      <c r="C371" s="1717" t="s">
        <v>1796</v>
      </c>
      <c r="D371" s="1720">
        <v>172.58384000000004</v>
      </c>
      <c r="E371" s="1720">
        <v>172.58384000000004</v>
      </c>
      <c r="F371" s="1719">
        <v>0.51170000000000004</v>
      </c>
      <c r="G371" s="353">
        <f>D371*$F371</f>
        <v>88.311150928000032</v>
      </c>
      <c r="H371" s="353">
        <f>E371*$F371</f>
        <v>88.311150928000032</v>
      </c>
      <c r="I371" s="1727">
        <v>88.311150928000032</v>
      </c>
      <c r="J371" s="1727">
        <v>88.311150928000032</v>
      </c>
      <c r="K371" s="2223">
        <v>743</v>
      </c>
      <c r="L371" s="1723">
        <v>3.9584837528188959</v>
      </c>
      <c r="M371" s="1723">
        <v>4.0952384212570854</v>
      </c>
    </row>
    <row r="372" spans="3:13" hidden="1" x14ac:dyDescent="0.25">
      <c r="C372" s="1717" t="s">
        <v>1797</v>
      </c>
      <c r="D372" s="1720">
        <v>736.67880000000002</v>
      </c>
      <c r="E372" s="1720">
        <v>736.67880000000002</v>
      </c>
      <c r="F372" s="1719">
        <v>0.51170000000000004</v>
      </c>
      <c r="G372" s="353">
        <f t="shared" ref="G372:G376" si="141">D372*$F372</f>
        <v>376.95854196000005</v>
      </c>
      <c r="H372" s="353">
        <f t="shared" ref="H372:H376" si="142">E372*$F372</f>
        <v>376.95854196000005</v>
      </c>
      <c r="I372" s="1727">
        <v>376.95854196000005</v>
      </c>
      <c r="J372" s="1727">
        <v>376.95854196000005</v>
      </c>
      <c r="K372" s="2223"/>
      <c r="L372" s="1723">
        <v>0.99028826182437535</v>
      </c>
      <c r="M372" s="1723">
        <v>1.0241112311579008</v>
      </c>
    </row>
    <row r="373" spans="3:13" hidden="1" x14ac:dyDescent="0.25">
      <c r="C373" s="1717" t="s">
        <v>1798</v>
      </c>
      <c r="D373" s="1720">
        <v>190.91123999999994</v>
      </c>
      <c r="E373" s="1720">
        <v>190.91123999999994</v>
      </c>
      <c r="F373" s="1719">
        <v>0.51170000000000004</v>
      </c>
      <c r="G373" s="353">
        <f t="shared" si="141"/>
        <v>97.689281507999979</v>
      </c>
      <c r="H373" s="353">
        <f t="shared" si="142"/>
        <v>97.689281507999979</v>
      </c>
      <c r="I373" s="1727">
        <v>97.689281507999979</v>
      </c>
      <c r="J373" s="1727">
        <v>97.689281507999979</v>
      </c>
      <c r="K373" s="2223"/>
      <c r="L373" s="1723">
        <v>2.3126399703592786</v>
      </c>
      <c r="M373" s="1723">
        <v>2.3924483096780582</v>
      </c>
    </row>
    <row r="374" spans="3:13" hidden="1" x14ac:dyDescent="0.25">
      <c r="C374" s="1717" t="s">
        <v>1799</v>
      </c>
      <c r="D374" s="1720">
        <v>3148.9975146243996</v>
      </c>
      <c r="E374" s="1720">
        <v>3182.4194912849598</v>
      </c>
      <c r="F374" s="1719">
        <v>0.51170000000000004</v>
      </c>
      <c r="G374" s="353">
        <f t="shared" si="141"/>
        <v>1611.3420282333054</v>
      </c>
      <c r="H374" s="353">
        <f t="shared" si="142"/>
        <v>1628.444053690514</v>
      </c>
      <c r="I374" s="1727">
        <v>1159</v>
      </c>
      <c r="J374" s="1728">
        <v>1159</v>
      </c>
      <c r="L374" s="1724">
        <v>6.547593349302522</v>
      </c>
      <c r="M374" s="1724">
        <v>5.1286540240518042</v>
      </c>
    </row>
    <row r="375" spans="3:13" hidden="1" x14ac:dyDescent="0.25">
      <c r="C375" s="1717" t="s">
        <v>1800</v>
      </c>
      <c r="D375" s="1720">
        <v>1241.1218018077002</v>
      </c>
      <c r="E375" s="1720">
        <v>1161.355999815795</v>
      </c>
      <c r="F375" s="1719">
        <v>0.51170000000000004</v>
      </c>
      <c r="G375" s="353">
        <f t="shared" si="141"/>
        <v>635.0820259850002</v>
      </c>
      <c r="H375" s="353">
        <f t="shared" si="142"/>
        <v>594.26586510574236</v>
      </c>
      <c r="I375" s="1727">
        <v>784</v>
      </c>
      <c r="J375" s="1728">
        <v>784</v>
      </c>
      <c r="L375" s="1724">
        <v>4.7327973847287463</v>
      </c>
      <c r="M375" s="1724">
        <v>4.7327973847287463</v>
      </c>
    </row>
    <row r="376" spans="3:13" hidden="1" x14ac:dyDescent="0.25">
      <c r="C376" s="1717" t="s">
        <v>1801</v>
      </c>
      <c r="D376" s="1720">
        <v>1609.8000000842849</v>
      </c>
      <c r="E376" s="1720">
        <v>1784.0251333331501</v>
      </c>
      <c r="F376" s="1719">
        <v>0.4</v>
      </c>
      <c r="G376" s="353">
        <f t="shared" si="141"/>
        <v>643.92000003371402</v>
      </c>
      <c r="H376" s="353">
        <f t="shared" si="142"/>
        <v>713.61005333326011</v>
      </c>
      <c r="I376" s="1727">
        <v>442</v>
      </c>
      <c r="J376" s="1728">
        <v>442</v>
      </c>
      <c r="L376" s="1724">
        <v>6.4274239074175474</v>
      </c>
      <c r="M376" s="1724">
        <v>5.0404271586109699</v>
      </c>
    </row>
    <row r="377" spans="3:13" hidden="1" x14ac:dyDescent="0.25">
      <c r="C377" s="25"/>
      <c r="D377" s="1722">
        <f>SUM(D371:D376)</f>
        <v>7100.0931965163845</v>
      </c>
      <c r="E377" s="1722">
        <f t="shared" ref="E377:H377" si="143">SUM(E371:E376)</f>
        <v>7227.9745044339052</v>
      </c>
      <c r="F377" s="1720"/>
      <c r="G377" s="354">
        <f t="shared" si="143"/>
        <v>3453.3030286480198</v>
      </c>
      <c r="H377" s="354">
        <f t="shared" si="143"/>
        <v>3499.2789465255164</v>
      </c>
      <c r="I377" s="354">
        <f t="shared" ref="I377" si="144">SUM(I371:I376)</f>
        <v>2947.958974396</v>
      </c>
      <c r="J377" s="354">
        <f t="shared" ref="J377" si="145">SUM(J371:J376)</f>
        <v>2947.958974396</v>
      </c>
      <c r="L377" s="1725" t="e">
        <f>SUMPRODUCT(L371:L376,T371:T376)/T377</f>
        <v>#DIV/0!</v>
      </c>
      <c r="M377" s="1725" t="e">
        <f>SUMPRODUCT(M371:M376,U371:U376)/U377</f>
        <v>#DIV/0!</v>
      </c>
    </row>
    <row r="378" spans="3:13" hidden="1" x14ac:dyDescent="0.25">
      <c r="L378" s="1726" t="e">
        <f>SUMPRODUCT(L371:L373,T371:T373)/T378</f>
        <v>#DIV/0!</v>
      </c>
      <c r="M378" s="1726" t="e">
        <f>SUMPRODUCT(M371:M373,U371:U373)/U378</f>
        <v>#DIV/0!</v>
      </c>
    </row>
  </sheetData>
  <mergeCells count="27">
    <mergeCell ref="K371:K373"/>
    <mergeCell ref="E222:P222"/>
    <mergeCell ref="D369:E369"/>
    <mergeCell ref="F369:H369"/>
    <mergeCell ref="L369:M369"/>
    <mergeCell ref="I369:J369"/>
    <mergeCell ref="C242:C243"/>
    <mergeCell ref="D242:D243"/>
    <mergeCell ref="E242:J242"/>
    <mergeCell ref="K242:P242"/>
    <mergeCell ref="Q242:Q243"/>
    <mergeCell ref="I197:I200"/>
    <mergeCell ref="H197:H200"/>
    <mergeCell ref="G197:G200"/>
    <mergeCell ref="Q262:Q263"/>
    <mergeCell ref="B193:B194"/>
    <mergeCell ref="C193:C194"/>
    <mergeCell ref="B262:B263"/>
    <mergeCell ref="C262:C263"/>
    <mergeCell ref="D262:D263"/>
    <mergeCell ref="E262:J262"/>
    <mergeCell ref="K262:P262"/>
    <mergeCell ref="B222:B223"/>
    <mergeCell ref="C222:C223"/>
    <mergeCell ref="D222:D223"/>
    <mergeCell ref="Q222:Q223"/>
    <mergeCell ref="B242:B243"/>
  </mergeCells>
  <pageMargins left="0.35433070866141736" right="0.19685039370078741" top="0.47244094488188981" bottom="0.31496062992125984" header="0.23622047244094491" footer="0.23622047244094491"/>
  <pageSetup paperSize="9" scale="50" fitToHeight="2" orientation="landscape" r:id="rId1"/>
  <headerFooter alignWithMargins="0">
    <oddHeader>&amp;F</oddHeader>
  </headerFooter>
  <rowBreaks count="11" manualBreakCount="11">
    <brk id="34" max="16383" man="1"/>
    <brk id="58" max="16" man="1"/>
    <brk id="89" max="16" man="1"/>
    <brk id="155" max="16" man="1"/>
    <brk id="184" max="16" man="1"/>
    <brk id="217" max="16" man="1"/>
    <brk id="238" max="16383" man="1"/>
    <brk id="257" max="16" man="1"/>
    <brk id="284" max="16383" man="1"/>
    <brk id="309" max="16" man="1"/>
    <brk id="334"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8"/>
  <sheetViews>
    <sheetView showGridLines="0" view="pageBreakPreview" zoomScale="85" zoomScaleNormal="80" zoomScaleSheetLayoutView="85" workbookViewId="0">
      <selection activeCell="V12" sqref="V12"/>
    </sheetView>
  </sheetViews>
  <sheetFormatPr defaultColWidth="8.81640625" defaultRowHeight="14" x14ac:dyDescent="0.3"/>
  <cols>
    <col min="1" max="1" width="8.81640625" style="129"/>
    <col min="2" max="2" width="7.26953125" style="129" bestFit="1" customWidth="1"/>
    <col min="3" max="3" width="33.54296875" style="129" customWidth="1"/>
    <col min="4" max="9" width="15.453125" style="129" customWidth="1"/>
    <col min="10" max="12" width="12.7265625" style="129" customWidth="1"/>
    <col min="13" max="13" width="14" style="129" customWidth="1"/>
    <col min="14" max="23" width="12.7265625" style="129" customWidth="1"/>
    <col min="24" max="16384" width="8.81640625" style="129"/>
  </cols>
  <sheetData>
    <row r="2" spans="2:23" x14ac:dyDescent="0.3">
      <c r="B2" s="66"/>
      <c r="C2" s="66"/>
      <c r="D2" s="66"/>
      <c r="E2" s="66"/>
      <c r="F2" s="66"/>
      <c r="G2" s="66"/>
      <c r="H2" s="66"/>
      <c r="I2" s="66"/>
      <c r="J2" s="66"/>
      <c r="K2" s="66"/>
      <c r="L2" s="66"/>
      <c r="M2" s="66"/>
      <c r="N2" s="66"/>
      <c r="O2" s="66"/>
      <c r="P2" s="66"/>
      <c r="Q2" s="66"/>
    </row>
    <row r="3" spans="2:23" x14ac:dyDescent="0.3">
      <c r="B3" s="66"/>
      <c r="C3" s="66"/>
      <c r="D3" s="66"/>
      <c r="E3" s="66"/>
      <c r="F3" s="66"/>
      <c r="G3" s="66"/>
      <c r="H3" s="66"/>
      <c r="I3" s="66"/>
      <c r="J3" s="66"/>
      <c r="K3" s="66"/>
      <c r="L3" s="190" t="s">
        <v>1027</v>
      </c>
      <c r="M3" s="66"/>
      <c r="N3" s="66"/>
      <c r="O3" s="66"/>
      <c r="P3" s="66"/>
      <c r="Q3" s="66"/>
    </row>
    <row r="4" spans="2:23" x14ac:dyDescent="0.3">
      <c r="B4" s="66"/>
      <c r="C4" s="66"/>
      <c r="D4" s="66"/>
      <c r="E4" s="66"/>
      <c r="F4" s="66"/>
      <c r="G4" s="66"/>
      <c r="H4" s="66"/>
      <c r="I4" s="66"/>
      <c r="J4" s="66"/>
      <c r="K4" s="66"/>
      <c r="L4" s="191" t="s">
        <v>827</v>
      </c>
      <c r="M4" s="66"/>
      <c r="N4" s="66"/>
      <c r="O4" s="66"/>
      <c r="P4" s="66"/>
      <c r="Q4" s="66"/>
    </row>
    <row r="5" spans="2:23" x14ac:dyDescent="0.3">
      <c r="B5" s="133"/>
      <c r="C5" s="133"/>
      <c r="D5" s="133"/>
      <c r="E5" s="133"/>
      <c r="F5" s="133"/>
      <c r="G5" s="133"/>
      <c r="H5" s="133"/>
      <c r="I5" s="133"/>
      <c r="J5" s="133"/>
      <c r="K5" s="133"/>
      <c r="L5" s="234" t="s">
        <v>533</v>
      </c>
      <c r="M5" s="133"/>
      <c r="N5" s="133"/>
      <c r="O5" s="133"/>
      <c r="P5" s="133"/>
      <c r="Q5" s="133"/>
    </row>
    <row r="6" spans="2:23" x14ac:dyDescent="0.3">
      <c r="B6" s="133"/>
      <c r="C6" s="133"/>
      <c r="D6" s="133"/>
      <c r="E6" s="133"/>
      <c r="F6" s="133"/>
      <c r="G6" s="133"/>
      <c r="H6" s="133"/>
      <c r="I6" s="133"/>
      <c r="J6" s="133"/>
      <c r="K6" s="133"/>
      <c r="L6" s="133"/>
      <c r="M6" s="133"/>
      <c r="N6" s="133"/>
      <c r="O6" s="133"/>
      <c r="P6" s="133"/>
      <c r="Q6" s="133"/>
    </row>
    <row r="7" spans="2:23" x14ac:dyDescent="0.3">
      <c r="B7" s="133"/>
      <c r="C7" s="133"/>
      <c r="D7" s="133"/>
      <c r="E7" s="133"/>
      <c r="F7" s="133"/>
      <c r="G7" s="133"/>
      <c r="H7" s="133"/>
      <c r="I7" s="133"/>
      <c r="J7" s="133"/>
      <c r="K7" s="133"/>
      <c r="L7" s="133"/>
      <c r="M7" s="133"/>
      <c r="N7" s="133"/>
      <c r="O7" s="133"/>
      <c r="P7" s="133"/>
      <c r="Q7" s="133"/>
    </row>
    <row r="8" spans="2:23" x14ac:dyDescent="0.3">
      <c r="B8" s="133"/>
      <c r="C8" s="133"/>
      <c r="D8" s="133"/>
      <c r="E8" s="133"/>
      <c r="F8" s="133"/>
      <c r="G8" s="133"/>
      <c r="H8" s="133"/>
      <c r="I8" s="133"/>
      <c r="J8" s="133"/>
      <c r="K8" s="133"/>
      <c r="L8" s="133"/>
      <c r="M8" s="133"/>
      <c r="N8" s="133"/>
      <c r="O8" s="133"/>
      <c r="P8" s="133"/>
      <c r="V8" s="186" t="s">
        <v>16</v>
      </c>
    </row>
    <row r="9" spans="2:23" s="15" customFormat="1" ht="15" customHeight="1" x14ac:dyDescent="0.25">
      <c r="B9" s="2177" t="s">
        <v>187</v>
      </c>
      <c r="C9" s="2182" t="s">
        <v>50</v>
      </c>
      <c r="D9" s="2172" t="s">
        <v>804</v>
      </c>
      <c r="E9" s="2176"/>
      <c r="F9" s="2173"/>
      <c r="G9" s="2172" t="s">
        <v>186</v>
      </c>
      <c r="H9" s="2176"/>
      <c r="I9" s="2173"/>
      <c r="J9" s="2172" t="s">
        <v>426</v>
      </c>
      <c r="K9" s="2176"/>
      <c r="L9" s="2173"/>
      <c r="M9" s="2172" t="s">
        <v>427</v>
      </c>
      <c r="N9" s="2176"/>
      <c r="O9" s="2176"/>
      <c r="P9" s="2176"/>
      <c r="Q9" s="2173"/>
      <c r="R9" s="2172" t="s">
        <v>428</v>
      </c>
      <c r="S9" s="2173"/>
      <c r="T9" s="2172" t="s">
        <v>429</v>
      </c>
      <c r="U9" s="2173"/>
      <c r="V9" s="2174" t="s">
        <v>39</v>
      </c>
    </row>
    <row r="10" spans="2:23" s="15" customFormat="1" ht="42" x14ac:dyDescent="0.25">
      <c r="B10" s="2178"/>
      <c r="C10" s="2182"/>
      <c r="D10" s="318" t="s">
        <v>404</v>
      </c>
      <c r="E10" s="307" t="s">
        <v>405</v>
      </c>
      <c r="F10" s="307" t="s">
        <v>406</v>
      </c>
      <c r="G10" s="318" t="s">
        <v>404</v>
      </c>
      <c r="H10" s="307" t="s">
        <v>405</v>
      </c>
      <c r="I10" s="307" t="s">
        <v>406</v>
      </c>
      <c r="J10" s="318" t="s">
        <v>404</v>
      </c>
      <c r="K10" s="307" t="s">
        <v>405</v>
      </c>
      <c r="L10" s="307" t="s">
        <v>406</v>
      </c>
      <c r="M10" s="307" t="s">
        <v>404</v>
      </c>
      <c r="N10" s="307" t="s">
        <v>408</v>
      </c>
      <c r="O10" s="307" t="s">
        <v>333</v>
      </c>
      <c r="P10" s="307" t="s">
        <v>72</v>
      </c>
      <c r="Q10" s="307" t="s">
        <v>409</v>
      </c>
      <c r="R10" s="307" t="s">
        <v>404</v>
      </c>
      <c r="S10" s="307" t="s">
        <v>805</v>
      </c>
      <c r="T10" s="307" t="s">
        <v>404</v>
      </c>
      <c r="U10" s="307" t="s">
        <v>805</v>
      </c>
      <c r="V10" s="2174"/>
    </row>
    <row r="11" spans="2:23" s="15" customFormat="1" x14ac:dyDescent="0.25">
      <c r="B11" s="2179"/>
      <c r="C11" s="2183"/>
      <c r="D11" s="307" t="s">
        <v>73</v>
      </c>
      <c r="E11" s="307" t="s">
        <v>74</v>
      </c>
      <c r="F11" s="307" t="s">
        <v>806</v>
      </c>
      <c r="G11" s="307" t="s">
        <v>411</v>
      </c>
      <c r="H11" s="307" t="s">
        <v>412</v>
      </c>
      <c r="I11" s="307" t="s">
        <v>439</v>
      </c>
      <c r="J11" s="307" t="s">
        <v>668</v>
      </c>
      <c r="K11" s="307" t="s">
        <v>582</v>
      </c>
      <c r="L11" s="307" t="s">
        <v>675</v>
      </c>
      <c r="M11" s="307" t="s">
        <v>782</v>
      </c>
      <c r="N11" s="307" t="s">
        <v>583</v>
      </c>
      <c r="O11" s="307" t="s">
        <v>760</v>
      </c>
      <c r="P11" s="307" t="s">
        <v>807</v>
      </c>
      <c r="Q11" s="307" t="s">
        <v>808</v>
      </c>
      <c r="R11" s="307" t="s">
        <v>784</v>
      </c>
      <c r="S11" s="307" t="s">
        <v>762</v>
      </c>
      <c r="T11" s="307" t="s">
        <v>763</v>
      </c>
      <c r="U11" s="307" t="s">
        <v>764</v>
      </c>
      <c r="V11" s="2175"/>
    </row>
    <row r="12" spans="2:23" x14ac:dyDescent="0.3">
      <c r="B12" s="185">
        <v>1</v>
      </c>
      <c r="C12" s="114" t="s">
        <v>258</v>
      </c>
      <c r="D12" s="344">
        <v>224.52</v>
      </c>
      <c r="E12" s="344">
        <v>224.88313170000004</v>
      </c>
      <c r="F12" s="344">
        <f>E12-D12</f>
        <v>0.36313170000002515</v>
      </c>
      <c r="G12" s="344">
        <v>258.8</v>
      </c>
      <c r="H12" s="344">
        <v>258.47686829999998</v>
      </c>
      <c r="I12" s="344">
        <f>H12-G12</f>
        <v>-0.32313170000003311</v>
      </c>
      <c r="J12" s="345">
        <v>257.95999999999998</v>
      </c>
      <c r="K12" s="808">
        <v>258</v>
      </c>
      <c r="L12" s="347">
        <f>K12-J12</f>
        <v>4.0000000000020464E-2</v>
      </c>
      <c r="M12" s="347">
        <v>256.72000000000003</v>
      </c>
      <c r="N12" s="343">
        <v>128.3599998</v>
      </c>
      <c r="O12" s="343">
        <v>128.3599998</v>
      </c>
      <c r="P12" s="343">
        <f>O12+N12</f>
        <v>256.71999959999999</v>
      </c>
      <c r="Q12" s="343">
        <f>P12-M12</f>
        <v>-4.000000330961484E-7</v>
      </c>
      <c r="R12" s="343">
        <v>254.91</v>
      </c>
      <c r="S12" s="343">
        <f>R12</f>
        <v>254.91</v>
      </c>
      <c r="T12" s="343">
        <v>250.31</v>
      </c>
      <c r="U12" s="343">
        <f>T12</f>
        <v>250.31</v>
      </c>
      <c r="V12" s="11"/>
      <c r="W12" s="1149"/>
    </row>
    <row r="13" spans="2:23" x14ac:dyDescent="0.3">
      <c r="B13" s="185">
        <v>2</v>
      </c>
      <c r="C13" s="52" t="s">
        <v>387</v>
      </c>
      <c r="D13" s="348">
        <v>1.1299999999999999</v>
      </c>
      <c r="E13" s="348">
        <v>1.1279999999999999</v>
      </c>
      <c r="F13" s="344">
        <f>E13-D13</f>
        <v>-2.0000000000000018E-3</v>
      </c>
      <c r="G13" s="348">
        <v>1.29</v>
      </c>
      <c r="H13" s="348">
        <v>1.2927600000000001</v>
      </c>
      <c r="I13" s="344">
        <f>H13-G13</f>
        <v>2.7600000000000957E-3</v>
      </c>
      <c r="J13" s="343">
        <v>1.2</v>
      </c>
      <c r="K13" s="808">
        <v>1.19808</v>
      </c>
      <c r="L13" s="347">
        <f>K13-J13</f>
        <v>-1.9199999999999218E-3</v>
      </c>
      <c r="M13" s="347">
        <v>1.27</v>
      </c>
      <c r="N13" s="343">
        <v>0.63629999999999998</v>
      </c>
      <c r="O13" s="343">
        <v>0.63630000000000009</v>
      </c>
      <c r="P13" s="343">
        <f>O13+N13</f>
        <v>1.2726000000000002</v>
      </c>
      <c r="Q13" s="343">
        <f>P13-M13</f>
        <v>2.6000000000001577E-3</v>
      </c>
      <c r="R13" s="343">
        <v>1.35</v>
      </c>
      <c r="S13" s="343">
        <f>R13</f>
        <v>1.35</v>
      </c>
      <c r="T13" s="343">
        <v>1.36</v>
      </c>
      <c r="U13" s="343">
        <f>T13</f>
        <v>1.36</v>
      </c>
      <c r="V13" s="11"/>
      <c r="W13" s="1149"/>
    </row>
    <row r="15" spans="2:23" x14ac:dyDescent="0.3">
      <c r="B15" s="15" t="s">
        <v>809</v>
      </c>
    </row>
    <row r="18" spans="8:8" x14ac:dyDescent="0.3">
      <c r="H18" s="891"/>
    </row>
    <row r="19" spans="8:8" x14ac:dyDescent="0.3">
      <c r="H19" s="891"/>
    </row>
    <row r="20" spans="8:8" x14ac:dyDescent="0.3">
      <c r="H20" s="425"/>
    </row>
    <row r="33" spans="1:2" ht="14.5" x14ac:dyDescent="0.35">
      <c r="A33" s="791"/>
    </row>
    <row r="38" spans="1:2" ht="14.5" x14ac:dyDescent="0.35">
      <c r="B38" s="791"/>
    </row>
  </sheetData>
  <mergeCells count="9">
    <mergeCell ref="R9:S9"/>
    <mergeCell ref="T9:U9"/>
    <mergeCell ref="V9:V11"/>
    <mergeCell ref="B9:B11"/>
    <mergeCell ref="C9:C11"/>
    <mergeCell ref="J9:L9"/>
    <mergeCell ref="M9:Q9"/>
    <mergeCell ref="D9:F9"/>
    <mergeCell ref="G9:I9"/>
  </mergeCells>
  <pageMargins left="0.70866141732283472" right="0.70866141732283472" top="0.74803149606299213" bottom="0.74803149606299213" header="0.31496062992125984" footer="0.31496062992125984"/>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zoomScale="101" workbookViewId="0">
      <selection activeCell="A6" sqref="A6"/>
    </sheetView>
  </sheetViews>
  <sheetFormatPr defaultColWidth="9.08984375" defaultRowHeight="13" x14ac:dyDescent="0.25"/>
  <cols>
    <col min="1" max="1" width="33.7265625" style="1263" customWidth="1"/>
    <col min="2" max="2" width="17.453125" style="1290" bestFit="1" customWidth="1"/>
    <col min="3" max="3" width="11.90625" style="1263" bestFit="1" customWidth="1"/>
    <col min="4" max="4" width="19.36328125" style="1263" bestFit="1" customWidth="1"/>
    <col min="5" max="5" width="10.81640625" style="1263" bestFit="1" customWidth="1"/>
    <col min="6" max="6" width="11.90625" style="1263" bestFit="1" customWidth="1"/>
    <col min="7" max="7" width="18.1796875" style="1263" bestFit="1" customWidth="1"/>
    <col min="8" max="8" width="16.81640625" style="1263" bestFit="1" customWidth="1"/>
    <col min="9" max="9" width="15.36328125" style="1263" hidden="1" customWidth="1"/>
    <col min="10" max="10" width="14.6328125" style="1263" hidden="1" customWidth="1"/>
    <col min="11" max="11" width="0" style="1263" hidden="1" customWidth="1"/>
    <col min="12" max="12" width="15.26953125" style="1263" hidden="1" customWidth="1"/>
    <col min="13" max="13" width="14.453125" style="1263" bestFit="1" customWidth="1"/>
    <col min="14" max="16384" width="9.08984375" style="1263"/>
  </cols>
  <sheetData>
    <row r="1" spans="1:12" s="2154" customFormat="1" x14ac:dyDescent="0.25">
      <c r="A1" s="2154" t="s">
        <v>1576</v>
      </c>
    </row>
    <row r="2" spans="1:12" ht="13.5" thickBot="1" x14ac:dyDescent="0.3">
      <c r="A2" s="2155" t="s">
        <v>428</v>
      </c>
      <c r="B2" s="2155"/>
      <c r="C2" s="2155"/>
      <c r="D2" s="2155"/>
      <c r="E2" s="2155"/>
      <c r="F2" s="2155"/>
      <c r="G2" s="2155"/>
      <c r="I2" s="1432" t="s">
        <v>1231</v>
      </c>
      <c r="J2" s="1432" t="s">
        <v>886</v>
      </c>
    </row>
    <row r="3" spans="1:12" ht="26" x14ac:dyDescent="0.25">
      <c r="A3" s="2151" t="s">
        <v>391</v>
      </c>
      <c r="B3" s="2153" t="s">
        <v>1577</v>
      </c>
      <c r="C3" s="2153"/>
      <c r="D3" s="2153" t="s">
        <v>1578</v>
      </c>
      <c r="E3" s="2153"/>
      <c r="F3" s="2153" t="s">
        <v>1579</v>
      </c>
      <c r="G3" s="2153"/>
      <c r="I3" s="1432" t="s">
        <v>1602</v>
      </c>
      <c r="J3" s="1432"/>
      <c r="L3" s="1452" t="s">
        <v>1628</v>
      </c>
    </row>
    <row r="4" spans="1:12" x14ac:dyDescent="0.25">
      <c r="A4" s="2152"/>
      <c r="B4" s="1264" t="s">
        <v>1580</v>
      </c>
      <c r="C4" s="1265" t="s">
        <v>1581</v>
      </c>
      <c r="D4" s="1264" t="s">
        <v>1581</v>
      </c>
      <c r="E4" s="1264" t="s">
        <v>1580</v>
      </c>
      <c r="F4" s="1264" t="s">
        <v>1581</v>
      </c>
      <c r="G4" s="1264" t="s">
        <v>1580</v>
      </c>
      <c r="I4" s="1402"/>
      <c r="J4" s="1402"/>
      <c r="L4" s="1449"/>
    </row>
    <row r="5" spans="1:12" s="1268" customFormat="1" x14ac:dyDescent="0.25">
      <c r="A5" s="1291" t="s">
        <v>293</v>
      </c>
      <c r="B5" s="1266"/>
      <c r="C5" s="1267"/>
      <c r="D5" s="1769">
        <v>0.21</v>
      </c>
      <c r="E5" s="1769">
        <v>0.23</v>
      </c>
      <c r="F5" s="1267"/>
      <c r="G5" s="1267"/>
      <c r="I5" s="1267"/>
      <c r="J5" s="1267"/>
      <c r="L5" s="1450"/>
    </row>
    <row r="6" spans="1:12" s="1272" customFormat="1" x14ac:dyDescent="0.3">
      <c r="A6" s="1292" t="s">
        <v>891</v>
      </c>
      <c r="B6" s="1269">
        <v>375</v>
      </c>
      <c r="C6" s="2101">
        <v>5.28</v>
      </c>
      <c r="D6" s="1774">
        <f>$D$5-5%</f>
        <v>0.15999999999999998</v>
      </c>
      <c r="E6" s="1774">
        <f>$E$5</f>
        <v>0.23</v>
      </c>
      <c r="F6" s="2101">
        <f t="shared" ref="F6:F12" si="0">C6*(1+D6)</f>
        <v>6.1247999999999996</v>
      </c>
      <c r="G6" s="1271">
        <f>ROUNDUP(B6*(1+E6),-1)</f>
        <v>470</v>
      </c>
      <c r="H6" s="1918"/>
      <c r="I6" s="1403">
        <v>0.51</v>
      </c>
      <c r="J6" s="1404">
        <f ca="1">wheeling!$C$15</f>
        <v>0.84</v>
      </c>
      <c r="L6" s="1449">
        <f>F13.2!C14</f>
        <v>37</v>
      </c>
    </row>
    <row r="7" spans="1:12" s="1272" customFormat="1" x14ac:dyDescent="0.3">
      <c r="A7" s="1292" t="s">
        <v>1582</v>
      </c>
      <c r="B7" s="1269">
        <v>375</v>
      </c>
      <c r="C7" s="2101">
        <v>5.53</v>
      </c>
      <c r="D7" s="1770">
        <f>D6-6%</f>
        <v>9.9999999999999978E-2</v>
      </c>
      <c r="E7" s="1774">
        <f t="shared" ref="E7:E11" si="1">$E$5</f>
        <v>0.23</v>
      </c>
      <c r="F7" s="2101">
        <f t="shared" si="0"/>
        <v>6.0830000000000011</v>
      </c>
      <c r="G7" s="1271">
        <f t="shared" ref="G7:G12" si="2">ROUNDUP(B7*(1+E7),-1)</f>
        <v>470</v>
      </c>
      <c r="H7" s="1918"/>
      <c r="I7" s="1403">
        <v>0.51</v>
      </c>
      <c r="J7" s="1404">
        <f ca="1">wheeling!$C$15</f>
        <v>0.84</v>
      </c>
      <c r="L7" s="1450">
        <f>F13.2!C15</f>
        <v>96</v>
      </c>
    </row>
    <row r="8" spans="1:12" s="1268" customFormat="1" x14ac:dyDescent="0.3">
      <c r="A8" s="1292" t="s">
        <v>1583</v>
      </c>
      <c r="B8" s="1269">
        <v>375</v>
      </c>
      <c r="C8" s="2101">
        <v>5.39</v>
      </c>
      <c r="D8" s="1774">
        <f>$D$5-3.5%</f>
        <v>0.17499999999999999</v>
      </c>
      <c r="E8" s="1774">
        <f t="shared" si="1"/>
        <v>0.23</v>
      </c>
      <c r="F8" s="2101">
        <f t="shared" si="0"/>
        <v>6.3332499999999996</v>
      </c>
      <c r="G8" s="1271">
        <f t="shared" si="2"/>
        <v>470</v>
      </c>
      <c r="H8" s="1918"/>
      <c r="I8" s="1403">
        <v>0.51</v>
      </c>
      <c r="J8" s="1404">
        <f ca="1">wheeling!$C$15</f>
        <v>0.84</v>
      </c>
      <c r="L8" s="1451">
        <f>F13.2!C16</f>
        <v>12</v>
      </c>
    </row>
    <row r="9" spans="1:12" s="1268" customFormat="1" ht="13.75" customHeight="1" x14ac:dyDescent="0.3">
      <c r="A9" s="1292" t="s">
        <v>1584</v>
      </c>
      <c r="B9" s="1274">
        <v>375</v>
      </c>
      <c r="C9" s="2101">
        <v>5.4</v>
      </c>
      <c r="D9" s="1774">
        <f>$D$5-15.4%</f>
        <v>5.5999999999999994E-2</v>
      </c>
      <c r="E9" s="1774">
        <f t="shared" si="1"/>
        <v>0.23</v>
      </c>
      <c r="F9" s="2101">
        <f t="shared" si="0"/>
        <v>5.7024000000000008</v>
      </c>
      <c r="G9" s="1271">
        <f t="shared" si="2"/>
        <v>470</v>
      </c>
      <c r="H9" s="1918"/>
      <c r="I9" s="1403">
        <v>0.51</v>
      </c>
      <c r="J9" s="1404">
        <f ca="1">wheeling!$C$15</f>
        <v>0.84</v>
      </c>
      <c r="L9" s="1451">
        <f>F13.2!C17</f>
        <v>3</v>
      </c>
    </row>
    <row r="10" spans="1:12" s="1268" customFormat="1" ht="26" x14ac:dyDescent="0.3">
      <c r="A10" s="1294" t="s">
        <v>1585</v>
      </c>
      <c r="B10" s="1269">
        <v>375</v>
      </c>
      <c r="C10" s="2101">
        <v>4.93</v>
      </c>
      <c r="D10" s="1774">
        <f>$D$5-3%</f>
        <v>0.18</v>
      </c>
      <c r="E10" s="1774">
        <f t="shared" si="1"/>
        <v>0.23</v>
      </c>
      <c r="F10" s="2101">
        <f t="shared" si="0"/>
        <v>5.8173999999999992</v>
      </c>
      <c r="G10" s="1271">
        <f t="shared" si="2"/>
        <v>470</v>
      </c>
      <c r="H10" s="1918"/>
      <c r="I10" s="1403">
        <v>0.51</v>
      </c>
      <c r="J10" s="1404">
        <f ca="1">wheeling!$C$15</f>
        <v>0.84</v>
      </c>
      <c r="L10" s="1450">
        <f>F13.2!C18</f>
        <v>4</v>
      </c>
    </row>
    <row r="11" spans="1:12" s="1268" customFormat="1" x14ac:dyDescent="0.3">
      <c r="A11" s="1292" t="s">
        <v>1586</v>
      </c>
      <c r="B11" s="1269">
        <v>375</v>
      </c>
      <c r="C11" s="2101">
        <v>5.46</v>
      </c>
      <c r="D11" s="1770">
        <f>D10-1%</f>
        <v>0.16999999999999998</v>
      </c>
      <c r="E11" s="1774">
        <f t="shared" si="1"/>
        <v>0.23</v>
      </c>
      <c r="F11" s="2101">
        <f t="shared" si="0"/>
        <v>6.3881999999999994</v>
      </c>
      <c r="G11" s="1271">
        <f t="shared" si="2"/>
        <v>470</v>
      </c>
      <c r="H11" s="1918"/>
      <c r="I11" s="1403">
        <v>0.51</v>
      </c>
      <c r="J11" s="1404">
        <f ca="1">wheeling!$C$15</f>
        <v>0.84</v>
      </c>
      <c r="L11" s="1450">
        <f>F13.2!C19</f>
        <v>46</v>
      </c>
    </row>
    <row r="12" spans="1:12" s="1268" customFormat="1" x14ac:dyDescent="0.3">
      <c r="A12" s="1292" t="s">
        <v>1587</v>
      </c>
      <c r="B12" s="1269">
        <v>70</v>
      </c>
      <c r="C12" s="2101">
        <v>4.99</v>
      </c>
      <c r="D12" s="1774">
        <v>0</v>
      </c>
      <c r="E12" s="1774">
        <v>0</v>
      </c>
      <c r="F12" s="2101">
        <f t="shared" si="0"/>
        <v>4.99</v>
      </c>
      <c r="G12" s="1271">
        <f t="shared" si="2"/>
        <v>70</v>
      </c>
      <c r="H12" s="1918"/>
      <c r="I12" s="1403">
        <v>0.51</v>
      </c>
      <c r="J12" s="1404">
        <f ca="1">wheeling!$C$15</f>
        <v>0.84</v>
      </c>
      <c r="L12" s="1450">
        <f>F13.2!C20</f>
        <v>0</v>
      </c>
    </row>
    <row r="13" spans="1:12" s="1276" customFormat="1" x14ac:dyDescent="0.3">
      <c r="A13" s="1295" t="s">
        <v>416</v>
      </c>
      <c r="B13" s="1296"/>
      <c r="C13" s="1297"/>
      <c r="D13" s="1771"/>
      <c r="E13" s="1770"/>
      <c r="F13" s="1270"/>
      <c r="G13" s="1275"/>
      <c r="I13" s="1267"/>
      <c r="J13" s="1267"/>
      <c r="L13" s="1453">
        <f>SUM(L6:L12)</f>
        <v>198</v>
      </c>
    </row>
    <row r="14" spans="1:12" s="1268" customFormat="1" x14ac:dyDescent="0.3">
      <c r="A14" s="1298"/>
      <c r="B14" s="1277"/>
      <c r="C14" s="1299"/>
      <c r="D14" s="1772"/>
      <c r="E14" s="1773"/>
      <c r="F14" s="1278"/>
      <c r="G14" s="1279"/>
      <c r="H14" s="1921"/>
      <c r="I14" s="1267"/>
      <c r="J14" s="1267"/>
      <c r="L14" s="1450"/>
    </row>
    <row r="15" spans="1:12" s="1268" customFormat="1" x14ac:dyDescent="0.25">
      <c r="A15" s="1300" t="s">
        <v>294</v>
      </c>
      <c r="B15" s="1280"/>
      <c r="C15" s="1281"/>
      <c r="D15" s="1769">
        <f>D5</f>
        <v>0.21</v>
      </c>
      <c r="E15" s="1769">
        <v>0.23</v>
      </c>
      <c r="F15" s="1270"/>
      <c r="G15" s="1282"/>
      <c r="I15" s="1267"/>
      <c r="J15" s="1267"/>
      <c r="L15" s="1450"/>
    </row>
    <row r="16" spans="1:12" s="1268" customFormat="1" x14ac:dyDescent="0.3">
      <c r="A16" s="1292" t="s">
        <v>1588</v>
      </c>
      <c r="B16" s="1301">
        <v>10</v>
      </c>
      <c r="C16" s="1293">
        <v>1.21</v>
      </c>
      <c r="D16" s="1920">
        <v>0.01</v>
      </c>
      <c r="E16" s="1770">
        <v>0.05</v>
      </c>
      <c r="F16" s="1270">
        <f>C16*(1+D16)</f>
        <v>1.2221</v>
      </c>
      <c r="G16" s="1271">
        <f t="shared" ref="G16" si="3">ROUNDUP(B16*(1+E16),0)</f>
        <v>11</v>
      </c>
      <c r="H16" s="1918"/>
      <c r="I16" s="1267">
        <f>1.47</f>
        <v>1.47</v>
      </c>
      <c r="J16" s="1405">
        <f ca="1">wheeling!$C$16</f>
        <v>2.2599999999999998</v>
      </c>
      <c r="L16" s="1450">
        <f>F13.2!$C$26</f>
        <v>59</v>
      </c>
    </row>
    <row r="17" spans="1:12" s="1268" customFormat="1" x14ac:dyDescent="0.3">
      <c r="A17" s="1292" t="s">
        <v>1589</v>
      </c>
      <c r="B17" s="1296"/>
      <c r="C17" s="1293"/>
      <c r="D17" s="1771"/>
      <c r="E17" s="1770"/>
      <c r="F17" s="1283"/>
      <c r="G17" s="1275"/>
      <c r="I17" s="1267"/>
      <c r="J17" s="1405"/>
      <c r="L17" s="1450"/>
    </row>
    <row r="18" spans="1:12" s="1268" customFormat="1" x14ac:dyDescent="0.3">
      <c r="A18" s="1292" t="s">
        <v>1590</v>
      </c>
      <c r="B18" s="1301">
        <v>85</v>
      </c>
      <c r="C18" s="1293">
        <v>1.71</v>
      </c>
      <c r="D18" s="1774">
        <f>$D$15-10%</f>
        <v>0.10999999999999999</v>
      </c>
      <c r="E18" s="1770">
        <f t="shared" ref="E18:E30" si="4">$E$15</f>
        <v>0.23</v>
      </c>
      <c r="F18" s="1270">
        <f t="shared" ref="F18:F31" si="5">C18*(1+D18)</f>
        <v>1.8980999999999997</v>
      </c>
      <c r="G18" s="1271">
        <f t="shared" ref="G18:G20" si="6">ROUNDUP(B18*(1+E18),-1)</f>
        <v>110</v>
      </c>
      <c r="H18" s="2148"/>
      <c r="I18" s="1267">
        <f t="shared" ref="I18:I31" si="7">1.47</f>
        <v>1.47</v>
      </c>
      <c r="J18" s="1405">
        <f ca="1">wheeling!$C$16</f>
        <v>2.2599999999999998</v>
      </c>
      <c r="L18" s="1450">
        <f>F13.2!C28</f>
        <v>326558</v>
      </c>
    </row>
    <row r="19" spans="1:12" s="1268" customFormat="1" x14ac:dyDescent="0.3">
      <c r="A19" s="1292" t="s">
        <v>1591</v>
      </c>
      <c r="B19" s="1302">
        <v>125</v>
      </c>
      <c r="C19" s="1293">
        <v>4.34</v>
      </c>
      <c r="D19" s="1774">
        <f>$D$15-11%</f>
        <v>9.9999999999999992E-2</v>
      </c>
      <c r="E19" s="1770">
        <f t="shared" si="4"/>
        <v>0.23</v>
      </c>
      <c r="F19" s="1270">
        <f t="shared" si="5"/>
        <v>4.774</v>
      </c>
      <c r="G19" s="1271">
        <f t="shared" si="6"/>
        <v>160</v>
      </c>
      <c r="H19" s="2148"/>
      <c r="I19" s="1267">
        <f t="shared" si="7"/>
        <v>1.47</v>
      </c>
      <c r="J19" s="1405">
        <f ca="1">wheeling!$C$16</f>
        <v>2.2599999999999998</v>
      </c>
      <c r="L19" s="1450">
        <f>F13.2!C29</f>
        <v>363597</v>
      </c>
    </row>
    <row r="20" spans="1:12" s="1268" customFormat="1" x14ac:dyDescent="0.3">
      <c r="A20" s="1292" t="s">
        <v>1592</v>
      </c>
      <c r="B20" s="1302">
        <v>125</v>
      </c>
      <c r="C20" s="1293">
        <v>7.18</v>
      </c>
      <c r="D20" s="1774">
        <f>D15-12%</f>
        <v>0.09</v>
      </c>
      <c r="E20" s="1770">
        <f t="shared" si="4"/>
        <v>0.23</v>
      </c>
      <c r="F20" s="1270">
        <f t="shared" si="5"/>
        <v>7.8262</v>
      </c>
      <c r="G20" s="1271">
        <f t="shared" si="6"/>
        <v>160</v>
      </c>
      <c r="H20" s="2148"/>
      <c r="I20" s="1267">
        <f t="shared" si="7"/>
        <v>1.47</v>
      </c>
      <c r="J20" s="1405">
        <f ca="1">wheeling!$C$16</f>
        <v>2.2599999999999998</v>
      </c>
      <c r="L20" s="1450">
        <f>F13.2!C30</f>
        <v>52738</v>
      </c>
    </row>
    <row r="21" spans="1:12" s="1272" customFormat="1" x14ac:dyDescent="0.3">
      <c r="A21" s="1292" t="s">
        <v>1593</v>
      </c>
      <c r="B21" s="1301">
        <v>155</v>
      </c>
      <c r="C21" s="1293">
        <v>8.74</v>
      </c>
      <c r="D21" s="1774">
        <f>D15-12%</f>
        <v>0.09</v>
      </c>
      <c r="E21" s="1770">
        <f t="shared" si="4"/>
        <v>0.23</v>
      </c>
      <c r="F21" s="1270">
        <f t="shared" si="5"/>
        <v>9.5266000000000002</v>
      </c>
      <c r="G21" s="1271">
        <f>ROUNDUP(B21*(1+E21),-1)</f>
        <v>200</v>
      </c>
      <c r="H21" s="2148"/>
      <c r="I21" s="1267">
        <f t="shared" si="7"/>
        <v>1.47</v>
      </c>
      <c r="J21" s="1405">
        <f ca="1">wheeling!$C$16</f>
        <v>2.2599999999999998</v>
      </c>
      <c r="L21" s="1451">
        <f>F13.2!C31</f>
        <v>30583</v>
      </c>
    </row>
    <row r="22" spans="1:12" s="1268" customFormat="1" x14ac:dyDescent="0.3">
      <c r="A22" s="1284" t="s">
        <v>904</v>
      </c>
      <c r="B22" s="1301">
        <v>450</v>
      </c>
      <c r="C22" s="1293">
        <v>4.82</v>
      </c>
      <c r="D22" s="1774">
        <f>D15-12%</f>
        <v>0.09</v>
      </c>
      <c r="E22" s="1770">
        <f t="shared" si="4"/>
        <v>0.23</v>
      </c>
      <c r="F22" s="1270">
        <f t="shared" si="5"/>
        <v>5.2538000000000009</v>
      </c>
      <c r="G22" s="1271">
        <f t="shared" ref="G22:G31" si="8">ROUNDUP(B22*(1+E22),-1)</f>
        <v>560</v>
      </c>
      <c r="H22" s="1919"/>
      <c r="I22" s="1267">
        <f t="shared" si="7"/>
        <v>1.47</v>
      </c>
      <c r="J22" s="1405">
        <f ca="1">wheeling!$C$16</f>
        <v>2.2599999999999998</v>
      </c>
      <c r="L22" s="1450">
        <f>F13.2!C32</f>
        <v>253800</v>
      </c>
    </row>
    <row r="23" spans="1:12" s="1268" customFormat="1" x14ac:dyDescent="0.3">
      <c r="A23" s="1285" t="s">
        <v>1024</v>
      </c>
      <c r="B23" s="1274">
        <v>375</v>
      </c>
      <c r="C23" s="1293">
        <v>4.8600000000000003</v>
      </c>
      <c r="D23" s="1770">
        <f>D15-18%</f>
        <v>0.03</v>
      </c>
      <c r="E23" s="1770">
        <f>$E$15</f>
        <v>0.23</v>
      </c>
      <c r="F23" s="1270">
        <f t="shared" si="5"/>
        <v>5.0058000000000007</v>
      </c>
      <c r="G23" s="1269">
        <f t="shared" si="8"/>
        <v>470</v>
      </c>
      <c r="H23" s="1919"/>
      <c r="I23" s="1267">
        <f t="shared" si="7"/>
        <v>1.47</v>
      </c>
      <c r="J23" s="1405">
        <f ca="1">wheeling!$C$16</f>
        <v>2.2599999999999998</v>
      </c>
      <c r="L23" s="1450">
        <f>F13.2!C33</f>
        <v>5852</v>
      </c>
    </row>
    <row r="24" spans="1:12" s="1268" customFormat="1" x14ac:dyDescent="0.3">
      <c r="A24" s="1285" t="s">
        <v>907</v>
      </c>
      <c r="B24" s="1274">
        <v>375</v>
      </c>
      <c r="C24" s="1293">
        <v>5.2</v>
      </c>
      <c r="D24" s="1770">
        <f>D15-18%</f>
        <v>0.03</v>
      </c>
      <c r="E24" s="1770">
        <f t="shared" si="4"/>
        <v>0.23</v>
      </c>
      <c r="F24" s="1270">
        <f t="shared" si="5"/>
        <v>5.3560000000000008</v>
      </c>
      <c r="G24" s="1269">
        <f t="shared" si="8"/>
        <v>470</v>
      </c>
      <c r="H24" s="1919"/>
      <c r="I24" s="1267">
        <f t="shared" si="7"/>
        <v>1.47</v>
      </c>
      <c r="J24" s="1405">
        <f ca="1">wheeling!$C$16</f>
        <v>2.2599999999999998</v>
      </c>
      <c r="L24" s="1450">
        <f>F13.2!C34</f>
        <v>3136</v>
      </c>
    </row>
    <row r="25" spans="1:12" s="1268" customFormat="1" x14ac:dyDescent="0.3">
      <c r="A25" s="1284" t="s">
        <v>908</v>
      </c>
      <c r="B25" s="1301">
        <v>450</v>
      </c>
      <c r="C25" s="1293">
        <v>4.51</v>
      </c>
      <c r="D25" s="1898">
        <f>$D$15-15%</f>
        <v>0.06</v>
      </c>
      <c r="E25" s="1770">
        <f t="shared" si="4"/>
        <v>0.23</v>
      </c>
      <c r="F25" s="1270">
        <f t="shared" si="5"/>
        <v>4.7805999999999997</v>
      </c>
      <c r="G25" s="1271">
        <f t="shared" si="8"/>
        <v>560</v>
      </c>
      <c r="H25" s="1919"/>
      <c r="I25" s="1267">
        <f t="shared" si="7"/>
        <v>1.47</v>
      </c>
      <c r="J25" s="1405">
        <f ca="1">wheeling!$C$16</f>
        <v>2.2599999999999998</v>
      </c>
      <c r="L25" s="1450">
        <f>F13.2!C35</f>
        <v>8347</v>
      </c>
    </row>
    <row r="26" spans="1:12" s="1268" customFormat="1" x14ac:dyDescent="0.3">
      <c r="A26" s="1284" t="s">
        <v>1594</v>
      </c>
      <c r="B26" s="1269">
        <v>375</v>
      </c>
      <c r="C26" s="1293">
        <v>4.78</v>
      </c>
      <c r="D26" s="1774">
        <f>$D$15-15%</f>
        <v>0.06</v>
      </c>
      <c r="E26" s="1770">
        <f t="shared" si="4"/>
        <v>0.23</v>
      </c>
      <c r="F26" s="1270">
        <f t="shared" si="5"/>
        <v>5.0668000000000006</v>
      </c>
      <c r="G26" s="1269">
        <f t="shared" si="8"/>
        <v>470</v>
      </c>
      <c r="H26" s="1919"/>
      <c r="I26" s="1267">
        <f t="shared" si="7"/>
        <v>1.47</v>
      </c>
      <c r="J26" s="1405">
        <f ca="1">wheeling!$C$16</f>
        <v>2.2599999999999998</v>
      </c>
      <c r="L26" s="1451">
        <f>F13.2!C36</f>
        <v>1007</v>
      </c>
    </row>
    <row r="27" spans="1:12" s="1272" customFormat="1" ht="26" x14ac:dyDescent="0.3">
      <c r="A27" s="1285" t="s">
        <v>1595</v>
      </c>
      <c r="B27" s="1301">
        <v>450</v>
      </c>
      <c r="C27" s="1293">
        <v>4.97</v>
      </c>
      <c r="D27" s="1770">
        <v>0.1</v>
      </c>
      <c r="E27" s="1771">
        <f t="shared" si="4"/>
        <v>0.23</v>
      </c>
      <c r="F27" s="1270">
        <f t="shared" si="5"/>
        <v>5.4670000000000005</v>
      </c>
      <c r="G27" s="1271">
        <f t="shared" si="8"/>
        <v>560</v>
      </c>
      <c r="H27" s="1918"/>
      <c r="I27" s="1267">
        <f t="shared" si="7"/>
        <v>1.47</v>
      </c>
      <c r="J27" s="1405">
        <f ca="1">wheeling!$C$16</f>
        <v>2.2599999999999998</v>
      </c>
      <c r="L27" s="1450">
        <f>F13.2!C37</f>
        <v>671</v>
      </c>
    </row>
    <row r="28" spans="1:12" s="1268" customFormat="1" x14ac:dyDescent="0.3">
      <c r="A28" s="1285" t="s">
        <v>1596</v>
      </c>
      <c r="B28" s="1301">
        <v>450</v>
      </c>
      <c r="C28" s="1293">
        <v>4.93</v>
      </c>
      <c r="D28" s="1770">
        <f>$D$15-10%</f>
        <v>0.10999999999999999</v>
      </c>
      <c r="E28" s="1770">
        <f t="shared" si="4"/>
        <v>0.23</v>
      </c>
      <c r="F28" s="1270">
        <f t="shared" si="5"/>
        <v>5.4722999999999988</v>
      </c>
      <c r="G28" s="1271">
        <f t="shared" si="8"/>
        <v>560</v>
      </c>
      <c r="H28" s="1919"/>
      <c r="I28" s="1267">
        <f t="shared" si="7"/>
        <v>1.47</v>
      </c>
      <c r="J28" s="1405">
        <f ca="1">wheeling!$C$16</f>
        <v>2.2599999999999998</v>
      </c>
      <c r="L28" s="1450">
        <f>F13.2!C38</f>
        <v>7003</v>
      </c>
    </row>
    <row r="29" spans="1:12" s="1268" customFormat="1" x14ac:dyDescent="0.3">
      <c r="A29" s="1284" t="s">
        <v>1597</v>
      </c>
      <c r="B29" s="1269">
        <v>40</v>
      </c>
      <c r="C29" s="1293">
        <v>2.13</v>
      </c>
      <c r="D29" s="1770">
        <v>0.1</v>
      </c>
      <c r="E29" s="1770">
        <f t="shared" si="4"/>
        <v>0.23</v>
      </c>
      <c r="F29" s="1270">
        <f t="shared" si="5"/>
        <v>2.343</v>
      </c>
      <c r="G29" s="1269">
        <f t="shared" si="8"/>
        <v>50</v>
      </c>
      <c r="H29" s="1919"/>
      <c r="I29" s="1267">
        <f t="shared" si="7"/>
        <v>1.47</v>
      </c>
      <c r="J29" s="1405">
        <f ca="1">wheeling!$C$16</f>
        <v>2.2599999999999998</v>
      </c>
      <c r="L29" s="1450">
        <f>F13.2!C39</f>
        <v>0</v>
      </c>
    </row>
    <row r="30" spans="1:12" s="1268" customFormat="1" x14ac:dyDescent="0.3">
      <c r="A30" s="1284" t="s">
        <v>1598</v>
      </c>
      <c r="B30" s="1269">
        <v>90</v>
      </c>
      <c r="C30" s="1293">
        <v>3.53</v>
      </c>
      <c r="D30" s="1775">
        <f>$D$15-14.5%</f>
        <v>6.5000000000000002E-2</v>
      </c>
      <c r="E30" s="1770">
        <f t="shared" si="4"/>
        <v>0.23</v>
      </c>
      <c r="F30" s="1270">
        <f t="shared" si="5"/>
        <v>3.7594499999999997</v>
      </c>
      <c r="G30" s="1269">
        <f t="shared" si="8"/>
        <v>120</v>
      </c>
      <c r="H30" s="1919"/>
      <c r="I30" s="1267">
        <f t="shared" si="7"/>
        <v>1.47</v>
      </c>
      <c r="J30" s="1405">
        <f ca="1">wheeling!$C$16</f>
        <v>2.2599999999999998</v>
      </c>
      <c r="L30" s="1450">
        <f>F13.2!C40</f>
        <v>1</v>
      </c>
    </row>
    <row r="31" spans="1:12" s="1268" customFormat="1" x14ac:dyDescent="0.3">
      <c r="A31" s="1284" t="s">
        <v>1599</v>
      </c>
      <c r="B31" s="1269">
        <v>70</v>
      </c>
      <c r="C31" s="1293">
        <v>4.03</v>
      </c>
      <c r="D31" s="1770">
        <v>0</v>
      </c>
      <c r="E31" s="1770">
        <v>0</v>
      </c>
      <c r="F31" s="1270">
        <f t="shared" si="5"/>
        <v>4.03</v>
      </c>
      <c r="G31" s="1269">
        <f t="shared" si="8"/>
        <v>70</v>
      </c>
      <c r="H31" s="1919"/>
      <c r="I31" s="1267">
        <f t="shared" si="7"/>
        <v>1.47</v>
      </c>
      <c r="J31" s="1405">
        <f ca="1">wheeling!$C$16</f>
        <v>2.2599999999999998</v>
      </c>
      <c r="L31" s="1450">
        <f>F13.2!C41</f>
        <v>28</v>
      </c>
    </row>
    <row r="32" spans="1:12" s="1268" customFormat="1" x14ac:dyDescent="0.3">
      <c r="A32" s="1295" t="s">
        <v>416</v>
      </c>
      <c r="B32" s="1296"/>
      <c r="C32" s="1297"/>
      <c r="D32" s="1273"/>
      <c r="E32" s="1273"/>
      <c r="F32" s="1270"/>
      <c r="G32" s="1267"/>
      <c r="I32" s="1267"/>
      <c r="J32" s="1267"/>
      <c r="L32" s="1454">
        <f>SUM(L16:L31)</f>
        <v>1053380</v>
      </c>
    </row>
    <row r="33" spans="1:12" s="1268" customFormat="1" x14ac:dyDescent="0.3">
      <c r="A33" s="1284"/>
      <c r="B33" s="1269"/>
      <c r="C33" s="1281"/>
      <c r="D33" s="1273"/>
      <c r="E33" s="1273"/>
      <c r="F33" s="1270"/>
      <c r="G33" s="1267"/>
      <c r="I33" s="1267"/>
      <c r="J33" s="1267"/>
      <c r="L33" s="1450">
        <v>0</v>
      </c>
    </row>
    <row r="34" spans="1:12" ht="13.5" thickBot="1" x14ac:dyDescent="0.3">
      <c r="A34" s="1286" t="s">
        <v>145</v>
      </c>
      <c r="B34" s="1287"/>
      <c r="C34" s="1288"/>
      <c r="D34" s="1289"/>
      <c r="E34" s="1289"/>
      <c r="F34" s="1288"/>
      <c r="G34" s="1288"/>
      <c r="I34" s="1402"/>
      <c r="J34" s="1402"/>
      <c r="L34" s="1453">
        <f>SUM(L32,L13)</f>
        <v>1053578</v>
      </c>
    </row>
    <row r="35" spans="1:12" x14ac:dyDescent="0.25">
      <c r="I35" s="1402"/>
      <c r="J35" s="1402"/>
      <c r="L35" s="1641">
        <f>F13.2!C52-L34</f>
        <v>0</v>
      </c>
    </row>
    <row r="36" spans="1:12" ht="13.5" thickBot="1" x14ac:dyDescent="0.3">
      <c r="A36" s="2150" t="s">
        <v>429</v>
      </c>
      <c r="B36" s="2150"/>
      <c r="C36" s="2150"/>
      <c r="D36" s="2150"/>
      <c r="E36" s="2150"/>
      <c r="F36" s="2150"/>
      <c r="G36" s="2150"/>
      <c r="I36" s="1402"/>
      <c r="J36" s="1402"/>
    </row>
    <row r="37" spans="1:12" x14ac:dyDescent="0.25">
      <c r="A37" s="2151" t="s">
        <v>391</v>
      </c>
      <c r="B37" s="2153" t="s">
        <v>1577</v>
      </c>
      <c r="C37" s="2153"/>
      <c r="D37" s="2153" t="s">
        <v>1578</v>
      </c>
      <c r="E37" s="2153"/>
      <c r="F37" s="2153" t="s">
        <v>1579</v>
      </c>
      <c r="G37" s="2153"/>
      <c r="I37" s="1402"/>
      <c r="J37" s="1402"/>
    </row>
    <row r="38" spans="1:12" ht="26" x14ac:dyDescent="0.25">
      <c r="A38" s="2152"/>
      <c r="B38" s="1264" t="s">
        <v>1580</v>
      </c>
      <c r="C38" s="1265" t="s">
        <v>1581</v>
      </c>
      <c r="D38" s="1264" t="s">
        <v>1581</v>
      </c>
      <c r="E38" s="1264" t="s">
        <v>1580</v>
      </c>
      <c r="F38" s="1264" t="s">
        <v>1581</v>
      </c>
      <c r="G38" s="1264" t="s">
        <v>1580</v>
      </c>
      <c r="I38" s="1402"/>
      <c r="J38" s="1402"/>
      <c r="L38" s="1452" t="s">
        <v>1629</v>
      </c>
    </row>
    <row r="39" spans="1:12" x14ac:dyDescent="0.25">
      <c r="A39" s="1291" t="s">
        <v>293</v>
      </c>
      <c r="B39" s="1306"/>
      <c r="C39" s="1267"/>
      <c r="D39" s="1769">
        <v>0.01</v>
      </c>
      <c r="E39" s="1769">
        <v>0.02</v>
      </c>
      <c r="F39" s="1267"/>
      <c r="G39" s="1267"/>
      <c r="I39" s="1402"/>
      <c r="J39" s="1402"/>
      <c r="L39" s="1449"/>
    </row>
    <row r="40" spans="1:12" x14ac:dyDescent="0.3">
      <c r="A40" s="1292" t="s">
        <v>891</v>
      </c>
      <c r="B40" s="1269">
        <f t="shared" ref="B40:B65" si="9">G6</f>
        <v>470</v>
      </c>
      <c r="C40" s="2101">
        <f t="shared" ref="C40:C65" si="10">F6</f>
        <v>6.1247999999999996</v>
      </c>
      <c r="D40" s="1770">
        <f>$D$39</f>
        <v>0.01</v>
      </c>
      <c r="E40" s="1770">
        <f t="shared" ref="E40:E45" si="11">$E$39</f>
        <v>0.02</v>
      </c>
      <c r="F40" s="2101">
        <f t="shared" ref="F40:F46" si="12">C40*(1+D40)</f>
        <v>6.1860479999999995</v>
      </c>
      <c r="G40" s="1269">
        <f>ROUNDUP(B40*(1+E40),-1)</f>
        <v>480</v>
      </c>
      <c r="H40" s="1641"/>
      <c r="I40" s="1402">
        <f>0.51</f>
        <v>0.51</v>
      </c>
      <c r="J40" s="1406">
        <f ca="1">wheeling!$D$15</f>
        <v>0.92</v>
      </c>
      <c r="L40" s="1449">
        <f>F13.3!C14</f>
        <v>37</v>
      </c>
    </row>
    <row r="41" spans="1:12" x14ac:dyDescent="0.3">
      <c r="A41" s="1292" t="s">
        <v>1582</v>
      </c>
      <c r="B41" s="1269">
        <f t="shared" si="9"/>
        <v>470</v>
      </c>
      <c r="C41" s="2101">
        <f t="shared" si="10"/>
        <v>6.0830000000000011</v>
      </c>
      <c r="D41" s="1770">
        <f>D39</f>
        <v>0.01</v>
      </c>
      <c r="E41" s="1770">
        <f>E39</f>
        <v>0.02</v>
      </c>
      <c r="F41" s="2101">
        <f t="shared" si="12"/>
        <v>6.1438300000000012</v>
      </c>
      <c r="G41" s="1269">
        <f t="shared" ref="G41:G46" si="13">ROUNDUP(B41*(1+E41),-1)</f>
        <v>480</v>
      </c>
      <c r="H41" s="1641"/>
      <c r="I41" s="1402">
        <f t="shared" ref="I41:I46" si="14">0.51</f>
        <v>0.51</v>
      </c>
      <c r="J41" s="1406">
        <f ca="1">wheeling!$D$15</f>
        <v>0.92</v>
      </c>
      <c r="L41" s="1450">
        <f>F13.3!C15</f>
        <v>98</v>
      </c>
    </row>
    <row r="42" spans="1:12" x14ac:dyDescent="0.3">
      <c r="A42" s="1292" t="s">
        <v>1583</v>
      </c>
      <c r="B42" s="1269">
        <f t="shared" si="9"/>
        <v>470</v>
      </c>
      <c r="C42" s="2101">
        <f t="shared" si="10"/>
        <v>6.3332499999999996</v>
      </c>
      <c r="D42" s="1770">
        <f>$D$39</f>
        <v>0.01</v>
      </c>
      <c r="E42" s="1770">
        <f t="shared" si="11"/>
        <v>0.02</v>
      </c>
      <c r="F42" s="2101">
        <f t="shared" si="12"/>
        <v>6.3965825000000001</v>
      </c>
      <c r="G42" s="1269">
        <f t="shared" si="13"/>
        <v>480</v>
      </c>
      <c r="H42" s="1641"/>
      <c r="I42" s="1402">
        <f t="shared" si="14"/>
        <v>0.51</v>
      </c>
      <c r="J42" s="1406">
        <f ca="1">wheeling!$D$15</f>
        <v>0.92</v>
      </c>
      <c r="L42" s="1451">
        <f>F13.3!C16</f>
        <v>12</v>
      </c>
    </row>
    <row r="43" spans="1:12" x14ac:dyDescent="0.3">
      <c r="A43" s="1292" t="s">
        <v>1584</v>
      </c>
      <c r="B43" s="1269">
        <f t="shared" si="9"/>
        <v>470</v>
      </c>
      <c r="C43" s="2101">
        <f t="shared" si="10"/>
        <v>5.7024000000000008</v>
      </c>
      <c r="D43" s="1770">
        <f>$D$39</f>
        <v>0.01</v>
      </c>
      <c r="E43" s="1770">
        <f t="shared" si="11"/>
        <v>0.02</v>
      </c>
      <c r="F43" s="2101">
        <f t="shared" si="12"/>
        <v>5.759424000000001</v>
      </c>
      <c r="G43" s="1269">
        <f t="shared" si="13"/>
        <v>480</v>
      </c>
      <c r="H43" s="1641"/>
      <c r="I43" s="1402">
        <f t="shared" si="14"/>
        <v>0.51</v>
      </c>
      <c r="J43" s="1406">
        <f ca="1">wheeling!$D$15</f>
        <v>0.92</v>
      </c>
      <c r="L43" s="1451">
        <f>F13.3!C17</f>
        <v>3</v>
      </c>
    </row>
    <row r="44" spans="1:12" ht="26" x14ac:dyDescent="0.25">
      <c r="A44" s="1294" t="s">
        <v>1585</v>
      </c>
      <c r="B44" s="1269">
        <f t="shared" si="9"/>
        <v>470</v>
      </c>
      <c r="C44" s="2101">
        <f t="shared" si="10"/>
        <v>5.8173999999999992</v>
      </c>
      <c r="D44" s="1771">
        <f>D39+1%</f>
        <v>0.02</v>
      </c>
      <c r="E44" s="1771">
        <f t="shared" si="11"/>
        <v>0.02</v>
      </c>
      <c r="F44" s="2101">
        <f t="shared" si="12"/>
        <v>5.9337479999999996</v>
      </c>
      <c r="G44" s="1269">
        <f t="shared" si="13"/>
        <v>480</v>
      </c>
      <c r="H44" s="1641"/>
      <c r="I44" s="1402">
        <f t="shared" si="14"/>
        <v>0.51</v>
      </c>
      <c r="J44" s="1406">
        <f ca="1">wheeling!$D$15</f>
        <v>0.92</v>
      </c>
      <c r="L44" s="1450">
        <f>F13.3!C18</f>
        <v>4</v>
      </c>
    </row>
    <row r="45" spans="1:12" x14ac:dyDescent="0.3">
      <c r="A45" s="1292" t="s">
        <v>1586</v>
      </c>
      <c r="B45" s="1269">
        <f t="shared" si="9"/>
        <v>470</v>
      </c>
      <c r="C45" s="2101">
        <f t="shared" si="10"/>
        <v>6.3881999999999994</v>
      </c>
      <c r="D45" s="1770">
        <f>D39</f>
        <v>0.01</v>
      </c>
      <c r="E45" s="1770">
        <f t="shared" si="11"/>
        <v>0.02</v>
      </c>
      <c r="F45" s="2101">
        <f t="shared" si="12"/>
        <v>6.4520819999999999</v>
      </c>
      <c r="G45" s="1269">
        <f t="shared" si="13"/>
        <v>480</v>
      </c>
      <c r="H45" s="1641"/>
      <c r="I45" s="1402">
        <f t="shared" si="14"/>
        <v>0.51</v>
      </c>
      <c r="J45" s="1406">
        <f ca="1">wheeling!$D$15</f>
        <v>0.92</v>
      </c>
      <c r="L45" s="1450">
        <f>F13.3!C19</f>
        <v>46</v>
      </c>
    </row>
    <row r="46" spans="1:12" x14ac:dyDescent="0.3">
      <c r="A46" s="1292" t="s">
        <v>1587</v>
      </c>
      <c r="B46" s="1269">
        <f t="shared" si="9"/>
        <v>70</v>
      </c>
      <c r="C46" s="2101">
        <f t="shared" si="10"/>
        <v>4.99</v>
      </c>
      <c r="D46" s="1770">
        <v>0</v>
      </c>
      <c r="E46" s="1770">
        <v>0</v>
      </c>
      <c r="F46" s="2101">
        <f t="shared" si="12"/>
        <v>4.99</v>
      </c>
      <c r="G46" s="1269">
        <f t="shared" si="13"/>
        <v>70</v>
      </c>
      <c r="H46" s="1641"/>
      <c r="I46" s="1402">
        <f t="shared" si="14"/>
        <v>0.51</v>
      </c>
      <c r="J46" s="1406">
        <f ca="1">wheeling!$D$15</f>
        <v>0.92</v>
      </c>
      <c r="L46" s="1450">
        <f>F13.3!C20</f>
        <v>0</v>
      </c>
    </row>
    <row r="47" spans="1:12" x14ac:dyDescent="0.3">
      <c r="A47" s="1295" t="s">
        <v>416</v>
      </c>
      <c r="B47" s="1507"/>
      <c r="C47" s="1297"/>
      <c r="D47" s="1771"/>
      <c r="E47" s="1770"/>
      <c r="F47" s="1270"/>
      <c r="G47" s="1271"/>
      <c r="I47" s="1402"/>
      <c r="J47" s="1402"/>
      <c r="L47" s="1453">
        <f>SUM(L40:L46)</f>
        <v>200</v>
      </c>
    </row>
    <row r="48" spans="1:12" x14ac:dyDescent="0.3">
      <c r="A48" s="1298"/>
      <c r="B48" s="1508"/>
      <c r="C48" s="1299"/>
      <c r="D48" s="1772"/>
      <c r="E48" s="1773"/>
      <c r="F48" s="1278"/>
      <c r="G48" s="1271"/>
      <c r="I48" s="1402"/>
      <c r="J48" s="1402"/>
      <c r="L48" s="1402"/>
    </row>
    <row r="49" spans="1:12" x14ac:dyDescent="0.25">
      <c r="A49" s="1300" t="s">
        <v>294</v>
      </c>
      <c r="B49" s="1509"/>
      <c r="C49" s="1303"/>
      <c r="D49" s="1769">
        <f>D39</f>
        <v>0.01</v>
      </c>
      <c r="E49" s="1769">
        <f>E39</f>
        <v>0.02</v>
      </c>
      <c r="F49" s="1270"/>
      <c r="G49" s="1271"/>
      <c r="I49" s="1402"/>
      <c r="J49" s="1402"/>
      <c r="L49" s="1450"/>
    </row>
    <row r="50" spans="1:12" x14ac:dyDescent="0.3">
      <c r="A50" s="1292" t="s">
        <v>1588</v>
      </c>
      <c r="B50" s="1507">
        <f t="shared" si="9"/>
        <v>11</v>
      </c>
      <c r="C50" s="1293">
        <f t="shared" si="10"/>
        <v>1.2221</v>
      </c>
      <c r="D50" s="1770">
        <f>D49</f>
        <v>0.01</v>
      </c>
      <c r="E50" s="1770">
        <f>E49</f>
        <v>0.02</v>
      </c>
      <c r="F50" s="1270">
        <f>C50*(1+D50)</f>
        <v>1.234321</v>
      </c>
      <c r="G50" s="1271">
        <f>ROUNDUP(B50*(1+E50),0)</f>
        <v>12</v>
      </c>
      <c r="H50" s="1641"/>
      <c r="I50" s="1402">
        <f>1.49</f>
        <v>1.49</v>
      </c>
      <c r="J50" s="1406">
        <f ca="1">wheeling!$D$16</f>
        <v>2.48</v>
      </c>
      <c r="L50" s="1450">
        <f>F13.3!$C$26</f>
        <v>59</v>
      </c>
    </row>
    <row r="51" spans="1:12" x14ac:dyDescent="0.3">
      <c r="A51" s="1292" t="s">
        <v>1589</v>
      </c>
      <c r="B51" s="1507"/>
      <c r="C51" s="1293"/>
      <c r="D51" s="1771"/>
      <c r="E51" s="1770"/>
      <c r="F51" s="1283"/>
      <c r="G51" s="1271"/>
      <c r="I51" s="1402"/>
      <c r="J51" s="1406"/>
      <c r="L51" s="1450"/>
    </row>
    <row r="52" spans="1:12" x14ac:dyDescent="0.3">
      <c r="A52" s="1292" t="s">
        <v>1590</v>
      </c>
      <c r="B52" s="1507">
        <f t="shared" si="9"/>
        <v>110</v>
      </c>
      <c r="C52" s="1305">
        <f t="shared" si="10"/>
        <v>1.8980999999999997</v>
      </c>
      <c r="D52" s="1770">
        <f>D49+0.25%</f>
        <v>1.2500000000000001E-2</v>
      </c>
      <c r="E52" s="1770">
        <f t="shared" ref="E52:E65" si="15">$E$49</f>
        <v>0.02</v>
      </c>
      <c r="F52" s="1270">
        <f t="shared" ref="F52:F65" si="16">C52*(1+D52)</f>
        <v>1.9218262499999996</v>
      </c>
      <c r="G52" s="1271">
        <f t="shared" ref="G52:G65" si="17">ROUNDUP(B52*(1+E52),-1)</f>
        <v>120</v>
      </c>
      <c r="H52" s="2149"/>
      <c r="I52" s="1402">
        <f t="shared" ref="I52:I65" si="18">1.49</f>
        <v>1.49</v>
      </c>
      <c r="J52" s="1406">
        <f ca="1">wheeling!$D$16</f>
        <v>2.48</v>
      </c>
      <c r="L52" s="1450">
        <f>F13.3!C28</f>
        <v>328223</v>
      </c>
    </row>
    <row r="53" spans="1:12" x14ac:dyDescent="0.3">
      <c r="A53" s="1292" t="s">
        <v>1591</v>
      </c>
      <c r="B53" s="1507">
        <f t="shared" si="9"/>
        <v>160</v>
      </c>
      <c r="C53" s="1305">
        <f t="shared" si="10"/>
        <v>4.774</v>
      </c>
      <c r="D53" s="1770">
        <f>D49-0.25%</f>
        <v>7.4999999999999997E-3</v>
      </c>
      <c r="E53" s="1770">
        <f t="shared" si="15"/>
        <v>0.02</v>
      </c>
      <c r="F53" s="1270">
        <f t="shared" si="16"/>
        <v>4.8098049999999999</v>
      </c>
      <c r="G53" s="1271">
        <f t="shared" si="17"/>
        <v>170</v>
      </c>
      <c r="H53" s="2149"/>
      <c r="I53" s="1402">
        <f t="shared" si="18"/>
        <v>1.49</v>
      </c>
      <c r="J53" s="1406">
        <f ca="1">wheeling!$D$16</f>
        <v>2.48</v>
      </c>
      <c r="L53" s="1402">
        <f>F13.3!C29</f>
        <v>365451</v>
      </c>
    </row>
    <row r="54" spans="1:12" x14ac:dyDescent="0.3">
      <c r="A54" s="1292" t="s">
        <v>1592</v>
      </c>
      <c r="B54" s="1507">
        <f t="shared" si="9"/>
        <v>160</v>
      </c>
      <c r="C54" s="1305">
        <f t="shared" si="10"/>
        <v>7.8262</v>
      </c>
      <c r="D54" s="1770">
        <f>D50-0.25%</f>
        <v>7.4999999999999997E-3</v>
      </c>
      <c r="E54" s="1770">
        <f t="shared" si="15"/>
        <v>0.02</v>
      </c>
      <c r="F54" s="1270">
        <f t="shared" si="16"/>
        <v>7.8848965000000009</v>
      </c>
      <c r="G54" s="1271">
        <f t="shared" si="17"/>
        <v>170</v>
      </c>
      <c r="H54" s="2149"/>
      <c r="I54" s="1402">
        <f t="shared" si="18"/>
        <v>1.49</v>
      </c>
      <c r="J54" s="1406">
        <f ca="1">wheeling!$D$16</f>
        <v>2.48</v>
      </c>
      <c r="L54" s="1402">
        <f>F13.3!C30</f>
        <v>53007</v>
      </c>
    </row>
    <row r="55" spans="1:12" x14ac:dyDescent="0.3">
      <c r="A55" s="1292" t="s">
        <v>1593</v>
      </c>
      <c r="B55" s="1507">
        <f t="shared" si="9"/>
        <v>200</v>
      </c>
      <c r="C55" s="1305">
        <f t="shared" si="10"/>
        <v>9.5266000000000002</v>
      </c>
      <c r="D55" s="1770">
        <f>D50-0.25%</f>
        <v>7.4999999999999997E-3</v>
      </c>
      <c r="E55" s="1770">
        <f t="shared" si="15"/>
        <v>0.02</v>
      </c>
      <c r="F55" s="1270">
        <f t="shared" si="16"/>
        <v>9.5980495000000001</v>
      </c>
      <c r="G55" s="1271">
        <f t="shared" si="17"/>
        <v>210</v>
      </c>
      <c r="H55" s="2149"/>
      <c r="I55" s="1402">
        <f t="shared" si="18"/>
        <v>1.49</v>
      </c>
      <c r="J55" s="1406">
        <f ca="1">wheeling!$D$16</f>
        <v>2.48</v>
      </c>
      <c r="L55" s="1402">
        <f>F13.3!C31</f>
        <v>30739</v>
      </c>
    </row>
    <row r="56" spans="1:12" x14ac:dyDescent="0.3">
      <c r="A56" s="1284" t="s">
        <v>904</v>
      </c>
      <c r="B56" s="1507">
        <f t="shared" si="9"/>
        <v>560</v>
      </c>
      <c r="C56" s="1305">
        <f t="shared" si="10"/>
        <v>5.2538000000000009</v>
      </c>
      <c r="D56" s="1770">
        <f>D55</f>
        <v>7.4999999999999997E-3</v>
      </c>
      <c r="E56" s="1770">
        <f t="shared" si="15"/>
        <v>0.02</v>
      </c>
      <c r="F56" s="1270">
        <f t="shared" si="16"/>
        <v>5.2932035000000015</v>
      </c>
      <c r="G56" s="1271">
        <f t="shared" si="17"/>
        <v>580</v>
      </c>
      <c r="H56" s="1641"/>
      <c r="I56" s="1402">
        <f t="shared" si="18"/>
        <v>1.49</v>
      </c>
      <c r="J56" s="1406">
        <f ca="1">wheeling!$D$16</f>
        <v>2.48</v>
      </c>
      <c r="L56" s="1450">
        <f>F13.3!C32</f>
        <v>255069</v>
      </c>
    </row>
    <row r="57" spans="1:12" ht="26" x14ac:dyDescent="0.3">
      <c r="A57" s="1285" t="s">
        <v>1600</v>
      </c>
      <c r="B57" s="1304">
        <f t="shared" si="9"/>
        <v>470</v>
      </c>
      <c r="C57" s="1305">
        <f t="shared" si="10"/>
        <v>5.0058000000000007</v>
      </c>
      <c r="D57" s="1771">
        <f>D49-0.5%</f>
        <v>5.0000000000000001E-3</v>
      </c>
      <c r="E57" s="1771">
        <f t="shared" si="15"/>
        <v>0.02</v>
      </c>
      <c r="F57" s="1270">
        <f t="shared" si="16"/>
        <v>5.0308289999999998</v>
      </c>
      <c r="G57" s="1274">
        <f t="shared" si="17"/>
        <v>480</v>
      </c>
      <c r="H57" s="1641"/>
      <c r="I57" s="1402">
        <f t="shared" si="18"/>
        <v>1.49</v>
      </c>
      <c r="J57" s="1406">
        <f ca="1">wheeling!$D$16</f>
        <v>2.48</v>
      </c>
      <c r="L57" s="1450">
        <f>F13.3!C33</f>
        <v>5911</v>
      </c>
    </row>
    <row r="58" spans="1:12" ht="26" x14ac:dyDescent="0.3">
      <c r="A58" s="1285" t="s">
        <v>1601</v>
      </c>
      <c r="B58" s="1304">
        <f t="shared" si="9"/>
        <v>470</v>
      </c>
      <c r="C58" s="1305">
        <f t="shared" si="10"/>
        <v>5.3560000000000008</v>
      </c>
      <c r="D58" s="1771">
        <f>D49-0.5%</f>
        <v>5.0000000000000001E-3</v>
      </c>
      <c r="E58" s="1771">
        <f t="shared" si="15"/>
        <v>0.02</v>
      </c>
      <c r="F58" s="1270">
        <f t="shared" si="16"/>
        <v>5.3827800000000003</v>
      </c>
      <c r="G58" s="1274">
        <f t="shared" si="17"/>
        <v>480</v>
      </c>
      <c r="H58" s="1641"/>
      <c r="I58" s="1402">
        <f t="shared" si="18"/>
        <v>1.49</v>
      </c>
      <c r="J58" s="1406">
        <f ca="1">wheeling!$D$16</f>
        <v>2.48</v>
      </c>
      <c r="L58" s="1450">
        <f>F13.3!C34</f>
        <v>3211</v>
      </c>
    </row>
    <row r="59" spans="1:12" x14ac:dyDescent="0.3">
      <c r="A59" s="1284" t="s">
        <v>908</v>
      </c>
      <c r="B59" s="1507">
        <f t="shared" si="9"/>
        <v>560</v>
      </c>
      <c r="C59" s="1305">
        <f t="shared" si="10"/>
        <v>4.7805999999999997</v>
      </c>
      <c r="D59" s="1770">
        <f>$D$49</f>
        <v>0.01</v>
      </c>
      <c r="E59" s="1770">
        <f t="shared" si="15"/>
        <v>0.02</v>
      </c>
      <c r="F59" s="1270">
        <f t="shared" si="16"/>
        <v>4.8284060000000002</v>
      </c>
      <c r="G59" s="1271">
        <f t="shared" si="17"/>
        <v>580</v>
      </c>
      <c r="H59" s="1641"/>
      <c r="I59" s="1402">
        <f t="shared" si="18"/>
        <v>1.49</v>
      </c>
      <c r="J59" s="1406">
        <f ca="1">wheeling!$D$16</f>
        <v>2.48</v>
      </c>
      <c r="L59" s="1450">
        <f>F13.3!C35</f>
        <v>8597</v>
      </c>
    </row>
    <row r="60" spans="1:12" x14ac:dyDescent="0.3">
      <c r="A60" s="1284" t="s">
        <v>1594</v>
      </c>
      <c r="B60" s="1269">
        <f t="shared" si="9"/>
        <v>470</v>
      </c>
      <c r="C60" s="1305">
        <f t="shared" si="10"/>
        <v>5.0668000000000006</v>
      </c>
      <c r="D60" s="1770">
        <f t="shared" ref="D60:D64" si="19">$D$49</f>
        <v>0.01</v>
      </c>
      <c r="E60" s="1770">
        <f t="shared" si="15"/>
        <v>0.02</v>
      </c>
      <c r="F60" s="1270">
        <f t="shared" si="16"/>
        <v>5.1174680000000006</v>
      </c>
      <c r="G60" s="1274">
        <f t="shared" si="17"/>
        <v>480</v>
      </c>
      <c r="H60" s="1641"/>
      <c r="I60" s="1402">
        <f t="shared" si="18"/>
        <v>1.49</v>
      </c>
      <c r="J60" s="1406">
        <f ca="1">wheeling!$D$16</f>
        <v>2.48</v>
      </c>
      <c r="L60" s="1451">
        <f>F13.3!C36</f>
        <v>1017</v>
      </c>
    </row>
    <row r="61" spans="1:12" ht="26" x14ac:dyDescent="0.3">
      <c r="A61" s="1285" t="s">
        <v>1595</v>
      </c>
      <c r="B61" s="1507">
        <f t="shared" si="9"/>
        <v>560</v>
      </c>
      <c r="C61" s="1305">
        <f t="shared" si="10"/>
        <v>5.4670000000000005</v>
      </c>
      <c r="D61" s="1771">
        <f>D49+1%</f>
        <v>0.02</v>
      </c>
      <c r="E61" s="1771">
        <f t="shared" si="15"/>
        <v>0.02</v>
      </c>
      <c r="F61" s="1270">
        <f t="shared" si="16"/>
        <v>5.576340000000001</v>
      </c>
      <c r="G61" s="1271">
        <f t="shared" si="17"/>
        <v>580</v>
      </c>
      <c r="H61" s="1641"/>
      <c r="I61" s="1402">
        <f t="shared" si="18"/>
        <v>1.49</v>
      </c>
      <c r="J61" s="1406">
        <f ca="1">wheeling!$D$16</f>
        <v>2.48</v>
      </c>
      <c r="L61" s="1450">
        <f>F13.3!C37</f>
        <v>677</v>
      </c>
    </row>
    <row r="62" spans="1:12" x14ac:dyDescent="0.3">
      <c r="A62" s="1285" t="s">
        <v>1596</v>
      </c>
      <c r="B62" s="1507">
        <f t="shared" si="9"/>
        <v>560</v>
      </c>
      <c r="C62" s="1305">
        <f t="shared" si="10"/>
        <v>5.4722999999999988</v>
      </c>
      <c r="D62" s="1770">
        <f t="shared" si="19"/>
        <v>0.01</v>
      </c>
      <c r="E62" s="1770">
        <f t="shared" si="15"/>
        <v>0.02</v>
      </c>
      <c r="F62" s="1270">
        <f t="shared" si="16"/>
        <v>5.5270229999999989</v>
      </c>
      <c r="G62" s="1271">
        <f t="shared" si="17"/>
        <v>580</v>
      </c>
      <c r="H62" s="1641"/>
      <c r="I62" s="1402">
        <f t="shared" si="18"/>
        <v>1.49</v>
      </c>
      <c r="J62" s="1406">
        <f ca="1">wheeling!$D$16</f>
        <v>2.48</v>
      </c>
      <c r="L62" s="1450">
        <f>F13.3!C38</f>
        <v>7064</v>
      </c>
    </row>
    <row r="63" spans="1:12" x14ac:dyDescent="0.3">
      <c r="A63" s="1284" t="s">
        <v>1597</v>
      </c>
      <c r="B63" s="1269">
        <f t="shared" si="9"/>
        <v>50</v>
      </c>
      <c r="C63" s="1305">
        <f t="shared" si="10"/>
        <v>2.343</v>
      </c>
      <c r="D63" s="1770">
        <f t="shared" si="19"/>
        <v>0.01</v>
      </c>
      <c r="E63" s="1770">
        <f t="shared" si="15"/>
        <v>0.02</v>
      </c>
      <c r="F63" s="1270">
        <f t="shared" si="16"/>
        <v>2.3664299999999998</v>
      </c>
      <c r="G63" s="1271">
        <f t="shared" si="17"/>
        <v>60</v>
      </c>
      <c r="H63" s="1641"/>
      <c r="I63" s="1402">
        <f t="shared" si="18"/>
        <v>1.49</v>
      </c>
      <c r="J63" s="1406">
        <f ca="1">wheeling!$D$16</f>
        <v>2.48</v>
      </c>
      <c r="L63" s="1450">
        <f>F13.3!C39</f>
        <v>0</v>
      </c>
    </row>
    <row r="64" spans="1:12" x14ac:dyDescent="0.3">
      <c r="A64" s="1284" t="s">
        <v>1598</v>
      </c>
      <c r="B64" s="1269">
        <f t="shared" si="9"/>
        <v>120</v>
      </c>
      <c r="C64" s="1305">
        <f t="shared" si="10"/>
        <v>3.7594499999999997</v>
      </c>
      <c r="D64" s="1770">
        <f t="shared" si="19"/>
        <v>0.01</v>
      </c>
      <c r="E64" s="1770">
        <f t="shared" si="15"/>
        <v>0.02</v>
      </c>
      <c r="F64" s="1270">
        <f t="shared" si="16"/>
        <v>3.7970444999999997</v>
      </c>
      <c r="G64" s="1271">
        <f t="shared" si="17"/>
        <v>130</v>
      </c>
      <c r="H64" s="1641"/>
      <c r="I64" s="1402">
        <f t="shared" si="18"/>
        <v>1.49</v>
      </c>
      <c r="J64" s="1406">
        <f ca="1">wheeling!$D$16</f>
        <v>2.48</v>
      </c>
      <c r="L64" s="1450">
        <f>F13.3!C40</f>
        <v>1</v>
      </c>
    </row>
    <row r="65" spans="1:12" x14ac:dyDescent="0.3">
      <c r="A65" s="1284" t="s">
        <v>1599</v>
      </c>
      <c r="B65" s="1269">
        <f t="shared" si="9"/>
        <v>70</v>
      </c>
      <c r="C65" s="1305">
        <f t="shared" si="10"/>
        <v>4.03</v>
      </c>
      <c r="D65" s="1770">
        <v>0</v>
      </c>
      <c r="E65" s="1770">
        <f t="shared" si="15"/>
        <v>0.02</v>
      </c>
      <c r="F65" s="1270">
        <f t="shared" si="16"/>
        <v>4.03</v>
      </c>
      <c r="G65" s="1271">
        <f t="shared" si="17"/>
        <v>80</v>
      </c>
      <c r="H65" s="1641"/>
      <c r="I65" s="1402">
        <f t="shared" si="18"/>
        <v>1.49</v>
      </c>
      <c r="J65" s="1406">
        <f ca="1">wheeling!$D$16</f>
        <v>2.48</v>
      </c>
      <c r="K65" s="1524"/>
      <c r="L65" s="1450">
        <f>F13.3!C41</f>
        <v>35</v>
      </c>
    </row>
    <row r="66" spans="1:12" x14ac:dyDescent="0.3">
      <c r="A66" s="1295" t="s">
        <v>416</v>
      </c>
      <c r="B66" s="1296"/>
      <c r="C66" s="1297"/>
      <c r="D66" s="1273"/>
      <c r="E66" s="1273"/>
      <c r="F66" s="1270"/>
      <c r="G66" s="1267"/>
      <c r="L66" s="1454">
        <f>SUM(L50:L65)</f>
        <v>1059061</v>
      </c>
    </row>
    <row r="67" spans="1:12" x14ac:dyDescent="0.3">
      <c r="A67" s="1284"/>
      <c r="B67" s="1269"/>
      <c r="C67" s="1303"/>
      <c r="D67" s="1273"/>
      <c r="E67" s="1273"/>
      <c r="F67" s="1270"/>
      <c r="G67" s="1267"/>
      <c r="L67" s="1450">
        <v>0</v>
      </c>
    </row>
    <row r="68" spans="1:12" ht="13.5" thickBot="1" x14ac:dyDescent="0.3">
      <c r="A68" s="1286" t="s">
        <v>145</v>
      </c>
      <c r="B68" s="1287"/>
      <c r="C68" s="1288"/>
      <c r="D68" s="1289"/>
      <c r="E68" s="1289"/>
      <c r="F68" s="1288"/>
      <c r="G68" s="1288"/>
      <c r="L68" s="1453">
        <f>SUM(L66,L47)</f>
        <v>1059261</v>
      </c>
    </row>
    <row r="69" spans="1:12" ht="13.5" thickBot="1" x14ac:dyDescent="0.3">
      <c r="A69" s="2156" t="s">
        <v>1692</v>
      </c>
      <c r="B69" s="2156"/>
      <c r="C69" s="2156"/>
      <c r="L69" s="1641">
        <f>F13.3!$C$52-L68</f>
        <v>0</v>
      </c>
    </row>
    <row r="70" spans="1:12" x14ac:dyDescent="0.25">
      <c r="A70" s="2151" t="s">
        <v>391</v>
      </c>
      <c r="B70" s="2153" t="s">
        <v>1577</v>
      </c>
      <c r="C70" s="2153"/>
    </row>
    <row r="71" spans="1:12" x14ac:dyDescent="0.25">
      <c r="A71" s="2152"/>
      <c r="B71" s="1264" t="s">
        <v>1580</v>
      </c>
      <c r="C71" s="1265" t="s">
        <v>1581</v>
      </c>
    </row>
    <row r="72" spans="1:12" x14ac:dyDescent="0.25">
      <c r="A72" s="1291" t="s">
        <v>293</v>
      </c>
      <c r="B72" s="1266"/>
      <c r="C72" s="1267"/>
    </row>
    <row r="73" spans="1:12" x14ac:dyDescent="0.25">
      <c r="A73" s="1292" t="s">
        <v>891</v>
      </c>
      <c r="B73" s="1269">
        <v>375</v>
      </c>
      <c r="C73" s="1293">
        <v>5.28</v>
      </c>
    </row>
    <row r="74" spans="1:12" x14ac:dyDescent="0.25">
      <c r="A74" s="1292" t="s">
        <v>1582</v>
      </c>
      <c r="B74" s="1269">
        <v>375</v>
      </c>
      <c r="C74" s="1293">
        <v>5.53</v>
      </c>
    </row>
    <row r="75" spans="1:12" x14ac:dyDescent="0.25">
      <c r="A75" s="1292" t="s">
        <v>1583</v>
      </c>
      <c r="B75" s="1269">
        <v>375</v>
      </c>
      <c r="C75" s="1293">
        <v>5.39</v>
      </c>
    </row>
    <row r="76" spans="1:12" x14ac:dyDescent="0.25">
      <c r="A76" s="1292" t="s">
        <v>1584</v>
      </c>
      <c r="B76" s="1274">
        <v>375</v>
      </c>
      <c r="C76" s="1293">
        <v>5.4</v>
      </c>
    </row>
    <row r="77" spans="1:12" ht="26" x14ac:dyDescent="0.25">
      <c r="A77" s="1294" t="s">
        <v>1585</v>
      </c>
      <c r="B77" s="1269">
        <v>375</v>
      </c>
      <c r="C77" s="1293">
        <v>4.93</v>
      </c>
    </row>
    <row r="78" spans="1:12" x14ac:dyDescent="0.25">
      <c r="A78" s="1292" t="s">
        <v>1586</v>
      </c>
      <c r="B78" s="1269">
        <v>375</v>
      </c>
      <c r="C78" s="1293">
        <v>5.46</v>
      </c>
    </row>
    <row r="79" spans="1:12" x14ac:dyDescent="0.25">
      <c r="A79" s="1292" t="s">
        <v>1587</v>
      </c>
      <c r="B79" s="1269">
        <v>70</v>
      </c>
      <c r="C79" s="1293">
        <v>4.99</v>
      </c>
    </row>
    <row r="80" spans="1:12" x14ac:dyDescent="0.3">
      <c r="A80" s="1295" t="s">
        <v>416</v>
      </c>
      <c r="B80" s="1296"/>
      <c r="C80" s="1297"/>
    </row>
    <row r="81" spans="1:3" x14ac:dyDescent="0.25">
      <c r="A81" s="1298"/>
      <c r="B81" s="1277"/>
      <c r="C81" s="1299"/>
    </row>
    <row r="82" spans="1:3" x14ac:dyDescent="0.25">
      <c r="A82" s="1300" t="s">
        <v>294</v>
      </c>
      <c r="B82" s="1280"/>
      <c r="C82" s="1281"/>
    </row>
    <row r="83" spans="1:3" x14ac:dyDescent="0.25">
      <c r="A83" s="1292" t="s">
        <v>1588</v>
      </c>
      <c r="B83" s="1507">
        <v>10</v>
      </c>
      <c r="C83" s="1293">
        <v>1.21</v>
      </c>
    </row>
    <row r="84" spans="1:3" x14ac:dyDescent="0.25">
      <c r="A84" s="1292" t="s">
        <v>1589</v>
      </c>
      <c r="B84" s="1507"/>
      <c r="C84" s="1293"/>
    </row>
    <row r="85" spans="1:3" x14ac:dyDescent="0.25">
      <c r="A85" s="1292" t="s">
        <v>1590</v>
      </c>
      <c r="B85" s="1507">
        <v>85</v>
      </c>
      <c r="C85" s="1293">
        <v>1.71</v>
      </c>
    </row>
    <row r="86" spans="1:3" x14ac:dyDescent="0.25">
      <c r="A86" s="1292" t="s">
        <v>1591</v>
      </c>
      <c r="B86" s="1510">
        <v>125</v>
      </c>
      <c r="C86" s="1293">
        <v>4.34</v>
      </c>
    </row>
    <row r="87" spans="1:3" x14ac:dyDescent="0.25">
      <c r="A87" s="1292" t="s">
        <v>1592</v>
      </c>
      <c r="B87" s="1510">
        <v>125</v>
      </c>
      <c r="C87" s="1293">
        <v>7.18</v>
      </c>
    </row>
    <row r="88" spans="1:3" x14ac:dyDescent="0.25">
      <c r="A88" s="1292" t="s">
        <v>1593</v>
      </c>
      <c r="B88" s="1507">
        <v>155</v>
      </c>
      <c r="C88" s="1293">
        <v>8.74</v>
      </c>
    </row>
    <row r="89" spans="1:3" x14ac:dyDescent="0.3">
      <c r="A89" s="1284" t="s">
        <v>904</v>
      </c>
      <c r="B89" s="1507">
        <v>450</v>
      </c>
      <c r="C89" s="1293">
        <v>4.82</v>
      </c>
    </row>
    <row r="90" spans="1:3" x14ac:dyDescent="0.3">
      <c r="A90" s="1285" t="s">
        <v>1024</v>
      </c>
      <c r="B90" s="1274">
        <v>375</v>
      </c>
      <c r="C90" s="1293">
        <v>4.8600000000000003</v>
      </c>
    </row>
    <row r="91" spans="1:3" x14ac:dyDescent="0.3">
      <c r="A91" s="1285" t="s">
        <v>907</v>
      </c>
      <c r="B91" s="1274">
        <v>375</v>
      </c>
      <c r="C91" s="1293">
        <v>5.2</v>
      </c>
    </row>
    <row r="92" spans="1:3" x14ac:dyDescent="0.3">
      <c r="A92" s="1284" t="s">
        <v>908</v>
      </c>
      <c r="B92" s="1510">
        <v>450</v>
      </c>
      <c r="C92" s="1293">
        <v>4.51</v>
      </c>
    </row>
    <row r="93" spans="1:3" x14ac:dyDescent="0.3">
      <c r="A93" s="1284" t="s">
        <v>1594</v>
      </c>
      <c r="B93" s="1269">
        <v>375</v>
      </c>
      <c r="C93" s="1293">
        <v>4.78</v>
      </c>
    </row>
    <row r="94" spans="1:3" ht="26" x14ac:dyDescent="0.3">
      <c r="A94" s="1285" t="s">
        <v>1595</v>
      </c>
      <c r="B94" s="1510">
        <v>450</v>
      </c>
      <c r="C94" s="1293">
        <v>4.97</v>
      </c>
    </row>
    <row r="95" spans="1:3" x14ac:dyDescent="0.3">
      <c r="A95" s="1285" t="s">
        <v>1596</v>
      </c>
      <c r="B95" s="1510">
        <v>450</v>
      </c>
      <c r="C95" s="1293">
        <v>4.93</v>
      </c>
    </row>
    <row r="96" spans="1:3" x14ac:dyDescent="0.3">
      <c r="A96" s="1284" t="s">
        <v>1597</v>
      </c>
      <c r="B96" s="1269">
        <v>40</v>
      </c>
      <c r="C96" s="1293">
        <v>2.13</v>
      </c>
    </row>
    <row r="97" spans="1:3" x14ac:dyDescent="0.3">
      <c r="A97" s="1284" t="s">
        <v>1598</v>
      </c>
      <c r="B97" s="1269">
        <v>90</v>
      </c>
      <c r="C97" s="1293">
        <v>3.53</v>
      </c>
    </row>
    <row r="98" spans="1:3" x14ac:dyDescent="0.3">
      <c r="A98" s="1284" t="s">
        <v>1599</v>
      </c>
      <c r="B98" s="1269">
        <v>70</v>
      </c>
      <c r="C98" s="1293">
        <v>4.03</v>
      </c>
    </row>
    <row r="99" spans="1:3" x14ac:dyDescent="0.3">
      <c r="A99" s="1295" t="s">
        <v>416</v>
      </c>
      <c r="B99" s="1296"/>
      <c r="C99" s="1297"/>
    </row>
    <row r="100" spans="1:3" x14ac:dyDescent="0.3">
      <c r="A100" s="1284"/>
      <c r="B100" s="1269"/>
      <c r="C100" s="1281"/>
    </row>
    <row r="101" spans="1:3" ht="13.5" thickBot="1" x14ac:dyDescent="0.3">
      <c r="A101" s="1286" t="s">
        <v>145</v>
      </c>
      <c r="B101" s="1287"/>
      <c r="C101" s="1288"/>
    </row>
    <row r="102" spans="1:3" ht="13.5" thickBot="1" x14ac:dyDescent="0.3"/>
    <row r="103" spans="1:3" ht="13.5" thickBot="1" x14ac:dyDescent="0.3">
      <c r="A103" s="2156" t="s">
        <v>1689</v>
      </c>
      <c r="B103" s="2156"/>
      <c r="C103" s="2156"/>
    </row>
    <row r="104" spans="1:3" x14ac:dyDescent="0.25">
      <c r="A104" s="2151" t="s">
        <v>391</v>
      </c>
      <c r="B104" s="2153" t="s">
        <v>1577</v>
      </c>
      <c r="C104" s="2153"/>
    </row>
    <row r="105" spans="1:3" x14ac:dyDescent="0.25">
      <c r="A105" s="2152"/>
      <c r="B105" s="1264" t="s">
        <v>1580</v>
      </c>
      <c r="C105" s="1265" t="s">
        <v>1581</v>
      </c>
    </row>
    <row r="106" spans="1:3" x14ac:dyDescent="0.25">
      <c r="A106" s="1291" t="s">
        <v>293</v>
      </c>
      <c r="B106" s="1306"/>
      <c r="C106" s="1267"/>
    </row>
    <row r="107" spans="1:3" x14ac:dyDescent="0.25">
      <c r="A107" s="1292" t="s">
        <v>891</v>
      </c>
      <c r="B107" s="1269">
        <v>395</v>
      </c>
      <c r="C107" s="1293">
        <v>5.1100000000000003</v>
      </c>
    </row>
    <row r="108" spans="1:3" x14ac:dyDescent="0.25">
      <c r="A108" s="1292" t="s">
        <v>1582</v>
      </c>
      <c r="B108" s="1269">
        <v>395</v>
      </c>
      <c r="C108" s="1293">
        <v>5.35</v>
      </c>
    </row>
    <row r="109" spans="1:3" x14ac:dyDescent="0.25">
      <c r="A109" s="1292" t="s">
        <v>1583</v>
      </c>
      <c r="B109" s="1269">
        <v>395</v>
      </c>
      <c r="C109" s="1293">
        <v>5.34</v>
      </c>
    </row>
    <row r="110" spans="1:3" x14ac:dyDescent="0.25">
      <c r="A110" s="1292" t="s">
        <v>1584</v>
      </c>
      <c r="B110" s="1269">
        <v>395</v>
      </c>
      <c r="C110" s="1293">
        <v>5.35</v>
      </c>
    </row>
    <row r="111" spans="1:3" ht="26" x14ac:dyDescent="0.25">
      <c r="A111" s="1294" t="s">
        <v>1585</v>
      </c>
      <c r="B111" s="1269">
        <v>395</v>
      </c>
      <c r="C111" s="1293">
        <v>4.83</v>
      </c>
    </row>
    <row r="112" spans="1:3" x14ac:dyDescent="0.25">
      <c r="A112" s="1292" t="s">
        <v>1586</v>
      </c>
      <c r="B112" s="1269">
        <v>395</v>
      </c>
      <c r="C112" s="1293">
        <v>5.44</v>
      </c>
    </row>
    <row r="113" spans="1:3" x14ac:dyDescent="0.25">
      <c r="A113" s="1292" t="s">
        <v>1587</v>
      </c>
      <c r="B113" s="1269">
        <v>70</v>
      </c>
      <c r="C113" s="1293">
        <v>4.99</v>
      </c>
    </row>
    <row r="114" spans="1:3" x14ac:dyDescent="0.3">
      <c r="A114" s="1295" t="s">
        <v>416</v>
      </c>
      <c r="B114" s="1296"/>
      <c r="C114" s="1297"/>
    </row>
    <row r="115" spans="1:3" x14ac:dyDescent="0.3">
      <c r="A115" s="1298"/>
      <c r="B115" s="1307"/>
      <c r="C115" s="1299"/>
    </row>
    <row r="116" spans="1:3" x14ac:dyDescent="0.25">
      <c r="A116" s="1300" t="s">
        <v>294</v>
      </c>
      <c r="B116" s="1308"/>
      <c r="C116" s="1303"/>
    </row>
    <row r="117" spans="1:3" x14ac:dyDescent="0.25">
      <c r="A117" s="1292" t="s">
        <v>1588</v>
      </c>
      <c r="B117" s="1507">
        <v>10</v>
      </c>
      <c r="C117" s="1293">
        <v>1.19</v>
      </c>
    </row>
    <row r="118" spans="1:3" x14ac:dyDescent="0.25">
      <c r="A118" s="1292" t="s">
        <v>1589</v>
      </c>
      <c r="B118" s="1507"/>
      <c r="C118" s="1293"/>
    </row>
    <row r="119" spans="1:3" x14ac:dyDescent="0.25">
      <c r="A119" s="1292" t="s">
        <v>1590</v>
      </c>
      <c r="B119" s="1507">
        <v>90</v>
      </c>
      <c r="C119" s="1305">
        <v>1.69</v>
      </c>
    </row>
    <row r="120" spans="1:3" x14ac:dyDescent="0.25">
      <c r="A120" s="1292" t="s">
        <v>1591</v>
      </c>
      <c r="B120" s="1510">
        <v>130</v>
      </c>
      <c r="C120" s="1305">
        <v>4.32</v>
      </c>
    </row>
    <row r="121" spans="1:3" x14ac:dyDescent="0.25">
      <c r="A121" s="1292" t="s">
        <v>1592</v>
      </c>
      <c r="B121" s="1510">
        <v>130</v>
      </c>
      <c r="C121" s="1305">
        <v>7.16</v>
      </c>
    </row>
    <row r="122" spans="1:3" x14ac:dyDescent="0.25">
      <c r="A122" s="1292" t="s">
        <v>1593</v>
      </c>
      <c r="B122" s="1507">
        <v>165</v>
      </c>
      <c r="C122" s="1305">
        <v>8.7200000000000006</v>
      </c>
    </row>
    <row r="123" spans="1:3" x14ac:dyDescent="0.3">
      <c r="A123" s="1284" t="s">
        <v>904</v>
      </c>
      <c r="B123" s="1507">
        <v>475</v>
      </c>
      <c r="C123" s="1305">
        <v>4.71</v>
      </c>
    </row>
    <row r="124" spans="1:3" ht="26" x14ac:dyDescent="0.3">
      <c r="A124" s="1285" t="s">
        <v>1600</v>
      </c>
      <c r="B124" s="1304">
        <v>395</v>
      </c>
      <c r="C124" s="1305">
        <v>4.78</v>
      </c>
    </row>
    <row r="125" spans="1:3" ht="26" x14ac:dyDescent="0.3">
      <c r="A125" s="1285" t="s">
        <v>1601</v>
      </c>
      <c r="B125" s="1304">
        <v>395</v>
      </c>
      <c r="C125" s="1305">
        <v>5.12</v>
      </c>
    </row>
    <row r="126" spans="1:3" x14ac:dyDescent="0.3">
      <c r="A126" s="1284" t="s">
        <v>908</v>
      </c>
      <c r="B126" s="1507">
        <v>475</v>
      </c>
      <c r="C126" s="1305">
        <v>4.4400000000000004</v>
      </c>
    </row>
    <row r="127" spans="1:3" x14ac:dyDescent="0.3">
      <c r="A127" s="1284" t="s">
        <v>1594</v>
      </c>
      <c r="B127" s="1269">
        <v>395</v>
      </c>
      <c r="C127" s="1305">
        <v>4.67</v>
      </c>
    </row>
    <row r="128" spans="1:3" ht="26" x14ac:dyDescent="0.3">
      <c r="A128" s="1285" t="s">
        <v>1595</v>
      </c>
      <c r="B128" s="1507">
        <v>475</v>
      </c>
      <c r="C128" s="1305">
        <v>4.8899999999999997</v>
      </c>
    </row>
    <row r="129" spans="1:3" x14ac:dyDescent="0.3">
      <c r="A129" s="1285" t="s">
        <v>1596</v>
      </c>
      <c r="B129" s="1507">
        <v>475</v>
      </c>
      <c r="C129" s="1305">
        <v>4.8499999999999996</v>
      </c>
    </row>
    <row r="130" spans="1:3" x14ac:dyDescent="0.3">
      <c r="A130" s="1284" t="s">
        <v>1597</v>
      </c>
      <c r="B130" s="1269">
        <v>40</v>
      </c>
      <c r="C130" s="1305">
        <v>2.04</v>
      </c>
    </row>
    <row r="131" spans="1:3" x14ac:dyDescent="0.3">
      <c r="A131" s="1284" t="s">
        <v>1598</v>
      </c>
      <c r="B131" s="1269">
        <v>90</v>
      </c>
      <c r="C131" s="1305">
        <v>3.41</v>
      </c>
    </row>
    <row r="132" spans="1:3" x14ac:dyDescent="0.3">
      <c r="A132" s="1284" t="s">
        <v>1599</v>
      </c>
      <c r="B132" s="1269">
        <v>70</v>
      </c>
      <c r="C132" s="1305">
        <v>4.01</v>
      </c>
    </row>
    <row r="133" spans="1:3" x14ac:dyDescent="0.3">
      <c r="A133" s="1295" t="s">
        <v>416</v>
      </c>
      <c r="B133" s="1296"/>
      <c r="C133" s="1297"/>
    </row>
    <row r="134" spans="1:3" x14ac:dyDescent="0.3">
      <c r="A134" s="1284"/>
      <c r="B134" s="1269"/>
      <c r="C134" s="1303"/>
    </row>
    <row r="135" spans="1:3" ht="13.5" thickBot="1" x14ac:dyDescent="0.3">
      <c r="A135" s="1286" t="s">
        <v>145</v>
      </c>
      <c r="B135" s="1287"/>
      <c r="C135" s="1288"/>
    </row>
  </sheetData>
  <mergeCells count="19">
    <mergeCell ref="A70:A71"/>
    <mergeCell ref="B70:C70"/>
    <mergeCell ref="A69:C69"/>
    <mergeCell ref="A104:A105"/>
    <mergeCell ref="B104:C104"/>
    <mergeCell ref="A103:C103"/>
    <mergeCell ref="A1:XFD1"/>
    <mergeCell ref="A3:A4"/>
    <mergeCell ref="B3:C3"/>
    <mergeCell ref="D3:E3"/>
    <mergeCell ref="F3:G3"/>
    <mergeCell ref="A2:G2"/>
    <mergeCell ref="H18:H21"/>
    <mergeCell ref="H52:H55"/>
    <mergeCell ref="A36:G36"/>
    <mergeCell ref="A37:A38"/>
    <mergeCell ref="B37:C37"/>
    <mergeCell ref="D37:E37"/>
    <mergeCell ref="F37:G3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W126"/>
  <sheetViews>
    <sheetView workbookViewId="0">
      <selection activeCell="A3" sqref="A3"/>
    </sheetView>
  </sheetViews>
  <sheetFormatPr defaultRowHeight="12.5" x14ac:dyDescent="0.25"/>
  <cols>
    <col min="1" max="1" width="14.453125" style="439" bestFit="1" customWidth="1"/>
    <col min="2" max="2" width="37.08984375" style="439" customWidth="1"/>
    <col min="3" max="3" width="8.1796875" style="439" customWidth="1"/>
    <col min="4" max="4" width="13.81640625" style="439" customWidth="1"/>
    <col min="5" max="5" width="11.1796875" style="439" customWidth="1"/>
    <col min="6" max="6" width="13.90625" style="439" customWidth="1"/>
    <col min="7" max="7" width="29.7265625" style="439" bestFit="1" customWidth="1"/>
    <col min="8" max="13" width="8.7265625" style="439" customWidth="1"/>
    <col min="14" max="14" width="21.81640625" style="439" bestFit="1" customWidth="1"/>
    <col min="15" max="15" width="11.26953125" style="439" customWidth="1"/>
    <col min="16" max="16" width="15.453125" style="439" bestFit="1" customWidth="1"/>
    <col min="17" max="17" width="15.453125" style="439" customWidth="1"/>
    <col min="18" max="18" width="8.7265625" style="439"/>
    <col min="19" max="19" width="14.81640625" style="439" bestFit="1" customWidth="1"/>
    <col min="20" max="20" width="15.81640625" style="439" bestFit="1" customWidth="1"/>
    <col min="21" max="21" width="22.54296875" style="439" customWidth="1"/>
    <col min="22" max="22" width="8.7265625" style="439"/>
    <col min="23" max="23" width="16.26953125" style="439" customWidth="1"/>
    <col min="24" max="24" width="13.81640625" style="439" bestFit="1" customWidth="1"/>
    <col min="25" max="16384" width="8.7265625" style="439"/>
  </cols>
  <sheetData>
    <row r="1" spans="1:127" ht="25" x14ac:dyDescent="0.25">
      <c r="A1" s="473" t="s">
        <v>1053</v>
      </c>
      <c r="B1" s="473" t="s">
        <v>1054</v>
      </c>
      <c r="C1" s="474" t="s">
        <v>1055</v>
      </c>
      <c r="D1" s="475" t="s">
        <v>1056</v>
      </c>
      <c r="E1" s="475" t="s">
        <v>1057</v>
      </c>
      <c r="F1" s="475" t="s">
        <v>1058</v>
      </c>
      <c r="G1" s="475" t="s">
        <v>1059</v>
      </c>
      <c r="H1" s="475" t="s">
        <v>1060</v>
      </c>
      <c r="I1" s="475" t="s">
        <v>1061</v>
      </c>
      <c r="J1" s="475" t="s">
        <v>1062</v>
      </c>
      <c r="K1" s="475" t="s">
        <v>1063</v>
      </c>
      <c r="L1" s="475" t="s">
        <v>1064</v>
      </c>
      <c r="M1" s="475" t="s">
        <v>1065</v>
      </c>
      <c r="N1" s="475" t="s">
        <v>1066</v>
      </c>
      <c r="O1" s="475" t="s">
        <v>1067</v>
      </c>
      <c r="P1" s="475" t="s">
        <v>1068</v>
      </c>
      <c r="Q1" s="475"/>
      <c r="R1" s="475" t="s">
        <v>1069</v>
      </c>
      <c r="S1" s="475" t="s">
        <v>1070</v>
      </c>
      <c r="T1" s="475" t="s">
        <v>1071</v>
      </c>
      <c r="U1" s="475" t="s">
        <v>1072</v>
      </c>
      <c r="V1" s="475" t="s">
        <v>1073</v>
      </c>
      <c r="W1" s="475" t="s">
        <v>1074</v>
      </c>
      <c r="X1" s="475" t="s">
        <v>1075</v>
      </c>
      <c r="Y1" s="475" t="s">
        <v>1076</v>
      </c>
      <c r="Z1" s="475" t="s">
        <v>1077</v>
      </c>
      <c r="AA1" s="475" t="s">
        <v>1078</v>
      </c>
      <c r="AB1" s="475" t="s">
        <v>1079</v>
      </c>
      <c r="AC1" s="475" t="s">
        <v>1080</v>
      </c>
      <c r="AD1" s="475" t="s">
        <v>1081</v>
      </c>
      <c r="AE1" s="475" t="s">
        <v>1082</v>
      </c>
      <c r="AF1" s="475" t="s">
        <v>1083</v>
      </c>
      <c r="AG1" s="475" t="s">
        <v>1084</v>
      </c>
      <c r="AH1" s="475" t="s">
        <v>1085</v>
      </c>
      <c r="AI1" s="475" t="s">
        <v>1086</v>
      </c>
      <c r="AJ1" s="475" t="s">
        <v>1087</v>
      </c>
      <c r="AK1" s="475" t="s">
        <v>1088</v>
      </c>
      <c r="AL1" s="475" t="s">
        <v>1089</v>
      </c>
      <c r="AM1" s="475" t="s">
        <v>1090</v>
      </c>
      <c r="AN1" s="475" t="s">
        <v>1091</v>
      </c>
      <c r="AO1" s="475" t="s">
        <v>1092</v>
      </c>
      <c r="AP1" s="475" t="s">
        <v>1093</v>
      </c>
      <c r="AQ1" s="475" t="s">
        <v>1094</v>
      </c>
      <c r="AR1" s="475" t="s">
        <v>1095</v>
      </c>
      <c r="AS1" s="475" t="s">
        <v>1096</v>
      </c>
      <c r="AT1" s="475" t="s">
        <v>1097</v>
      </c>
      <c r="AU1" s="475" t="s">
        <v>1098</v>
      </c>
      <c r="AV1" s="475" t="s">
        <v>1099</v>
      </c>
      <c r="AW1" s="475" t="s">
        <v>1100</v>
      </c>
      <c r="AX1" s="475" t="s">
        <v>1101</v>
      </c>
      <c r="AY1" s="475" t="s">
        <v>1102</v>
      </c>
      <c r="AZ1" s="475" t="s">
        <v>1103</v>
      </c>
      <c r="BA1" s="475" t="s">
        <v>1104</v>
      </c>
      <c r="BB1" s="475" t="s">
        <v>1105</v>
      </c>
      <c r="BC1" s="475" t="s">
        <v>1106</v>
      </c>
      <c r="BD1" s="475" t="s">
        <v>1107</v>
      </c>
      <c r="BE1" s="475" t="s">
        <v>1108</v>
      </c>
      <c r="BF1" s="475" t="s">
        <v>1109</v>
      </c>
      <c r="BG1" s="475" t="s">
        <v>1110</v>
      </c>
      <c r="BH1" s="475" t="s">
        <v>1111</v>
      </c>
      <c r="BI1" s="475" t="s">
        <v>1112</v>
      </c>
      <c r="BJ1" s="475" t="s">
        <v>1113</v>
      </c>
      <c r="BK1" s="475" t="s">
        <v>1114</v>
      </c>
      <c r="BL1" s="475" t="s">
        <v>1115</v>
      </c>
      <c r="BM1" s="475" t="s">
        <v>1116</v>
      </c>
      <c r="BN1" s="475" t="s">
        <v>1117</v>
      </c>
      <c r="BO1" s="475" t="s">
        <v>1118</v>
      </c>
      <c r="BP1" s="475" t="s">
        <v>1119</v>
      </c>
      <c r="BQ1" s="475" t="s">
        <v>1120</v>
      </c>
      <c r="BR1" s="475" t="s">
        <v>1121</v>
      </c>
      <c r="BS1" s="475" t="s">
        <v>1122</v>
      </c>
      <c r="BT1" s="475" t="s">
        <v>1123</v>
      </c>
      <c r="BU1" s="475" t="s">
        <v>1124</v>
      </c>
      <c r="BV1" s="475" t="s">
        <v>1125</v>
      </c>
      <c r="BW1" s="475" t="s">
        <v>1126</v>
      </c>
      <c r="BX1" s="475" t="s">
        <v>1127</v>
      </c>
      <c r="BY1" s="475" t="s">
        <v>1128</v>
      </c>
      <c r="BZ1" s="475" t="s">
        <v>1129</v>
      </c>
      <c r="CA1" s="475" t="s">
        <v>1130</v>
      </c>
      <c r="CB1" s="475" t="s">
        <v>1131</v>
      </c>
      <c r="CC1" s="475" t="s">
        <v>1132</v>
      </c>
      <c r="CD1" s="475" t="s">
        <v>1133</v>
      </c>
      <c r="CE1" s="475" t="s">
        <v>1134</v>
      </c>
      <c r="CF1" s="475" t="s">
        <v>1135</v>
      </c>
      <c r="CG1" s="475" t="s">
        <v>1136</v>
      </c>
      <c r="CH1" s="475" t="s">
        <v>1137</v>
      </c>
      <c r="CI1" s="475" t="s">
        <v>1138</v>
      </c>
      <c r="CJ1" s="475" t="s">
        <v>1139</v>
      </c>
      <c r="CK1" s="475" t="s">
        <v>1140</v>
      </c>
      <c r="CL1" s="475" t="s">
        <v>1141</v>
      </c>
      <c r="CM1" s="475" t="s">
        <v>1142</v>
      </c>
      <c r="CN1" s="475" t="s">
        <v>1143</v>
      </c>
      <c r="CO1" s="475" t="s">
        <v>1144</v>
      </c>
      <c r="CP1" s="475" t="s">
        <v>1169</v>
      </c>
      <c r="CQ1" s="475" t="s">
        <v>1170</v>
      </c>
      <c r="CR1" s="475" t="s">
        <v>1171</v>
      </c>
      <c r="CS1" s="475" t="s">
        <v>1172</v>
      </c>
      <c r="CT1" s="475" t="s">
        <v>1173</v>
      </c>
      <c r="CU1" s="475" t="s">
        <v>1174</v>
      </c>
      <c r="CV1" s="475" t="s">
        <v>1175</v>
      </c>
      <c r="CW1" s="475" t="s">
        <v>1176</v>
      </c>
      <c r="CX1" s="475" t="s">
        <v>1177</v>
      </c>
      <c r="CY1" s="475" t="s">
        <v>1178</v>
      </c>
      <c r="CZ1" s="475" t="s">
        <v>1179</v>
      </c>
      <c r="DA1" s="475" t="s">
        <v>1180</v>
      </c>
      <c r="DB1" s="475" t="s">
        <v>1181</v>
      </c>
      <c r="DC1" s="475" t="s">
        <v>1182</v>
      </c>
      <c r="DD1" s="475" t="s">
        <v>1183</v>
      </c>
      <c r="DE1" s="475" t="s">
        <v>1184</v>
      </c>
      <c r="DF1" s="475" t="s">
        <v>1185</v>
      </c>
      <c r="DG1" s="475" t="s">
        <v>1186</v>
      </c>
      <c r="DH1" s="475" t="s">
        <v>1187</v>
      </c>
      <c r="DI1" s="475" t="s">
        <v>1188</v>
      </c>
      <c r="DJ1" s="475" t="s">
        <v>1189</v>
      </c>
      <c r="DK1" s="475" t="s">
        <v>1190</v>
      </c>
      <c r="DL1" s="475" t="s">
        <v>1191</v>
      </c>
      <c r="DM1" s="475" t="s">
        <v>1192</v>
      </c>
      <c r="DN1" s="475" t="s">
        <v>1193</v>
      </c>
      <c r="DO1" s="475" t="s">
        <v>1194</v>
      </c>
      <c r="DP1" s="475" t="s">
        <v>1195</v>
      </c>
      <c r="DQ1" s="475" t="s">
        <v>1196</v>
      </c>
      <c r="DR1" s="475" t="s">
        <v>1197</v>
      </c>
      <c r="DS1" s="475" t="s">
        <v>1198</v>
      </c>
      <c r="DT1" s="475" t="s">
        <v>1199</v>
      </c>
      <c r="DU1" s="475" t="s">
        <v>1200</v>
      </c>
      <c r="DV1" s="475" t="s">
        <v>1201</v>
      </c>
      <c r="DW1" s="475" t="s">
        <v>1202</v>
      </c>
    </row>
    <row r="2" spans="1:127" x14ac:dyDescent="0.25">
      <c r="A2" s="473" t="s">
        <v>1145</v>
      </c>
      <c r="B2" s="473" t="s">
        <v>1146</v>
      </c>
      <c r="C2" s="474">
        <v>100</v>
      </c>
      <c r="D2" s="475">
        <v>104.7</v>
      </c>
      <c r="E2" s="475">
        <v>105.3</v>
      </c>
      <c r="F2" s="475">
        <v>105.3</v>
      </c>
      <c r="G2" s="475">
        <v>106.2</v>
      </c>
      <c r="H2" s="475">
        <v>106.9</v>
      </c>
      <c r="I2" s="475">
        <v>107.6</v>
      </c>
      <c r="J2" s="475">
        <v>107.4</v>
      </c>
      <c r="K2" s="475">
        <v>107.3</v>
      </c>
      <c r="L2" s="475">
        <v>107.1</v>
      </c>
      <c r="M2" s="475">
        <v>108</v>
      </c>
      <c r="N2" s="475">
        <v>108.4</v>
      </c>
      <c r="O2" s="475">
        <v>108.6</v>
      </c>
      <c r="P2" s="475">
        <v>108.6</v>
      </c>
      <c r="Q2" s="475"/>
      <c r="R2" s="475">
        <v>108.6</v>
      </c>
      <c r="S2" s="475">
        <v>110.1</v>
      </c>
      <c r="T2" s="475">
        <v>111.2</v>
      </c>
      <c r="U2" s="475">
        <v>112.9</v>
      </c>
      <c r="V2" s="475">
        <v>114.3</v>
      </c>
      <c r="W2" s="475">
        <v>114.6</v>
      </c>
      <c r="X2" s="475">
        <v>114.3</v>
      </c>
      <c r="Y2" s="475">
        <v>113.4</v>
      </c>
      <c r="Z2" s="475">
        <v>113.6</v>
      </c>
      <c r="AA2" s="475">
        <v>113.6</v>
      </c>
      <c r="AB2" s="475">
        <v>114.3</v>
      </c>
      <c r="AC2" s="475">
        <v>114.1</v>
      </c>
      <c r="AD2" s="475">
        <v>114.8</v>
      </c>
      <c r="AE2" s="475">
        <v>115.2</v>
      </c>
      <c r="AF2" s="475">
        <v>116.7</v>
      </c>
      <c r="AG2" s="475">
        <v>117.2</v>
      </c>
      <c r="AH2" s="475">
        <v>116.4</v>
      </c>
      <c r="AI2" s="475">
        <v>115.6</v>
      </c>
      <c r="AJ2" s="475">
        <v>114.1</v>
      </c>
      <c r="AK2" s="475">
        <v>112.1</v>
      </c>
      <c r="AL2" s="475">
        <v>110.8</v>
      </c>
      <c r="AM2" s="475">
        <v>109.6</v>
      </c>
      <c r="AN2" s="475">
        <v>109.9</v>
      </c>
      <c r="AO2" s="475">
        <v>110.2</v>
      </c>
      <c r="AP2" s="475">
        <v>111.4</v>
      </c>
      <c r="AQ2" s="475">
        <v>111.8</v>
      </c>
      <c r="AR2" s="475">
        <v>111.1</v>
      </c>
      <c r="AS2" s="475">
        <v>110</v>
      </c>
      <c r="AT2" s="475">
        <v>109.9</v>
      </c>
      <c r="AU2" s="475">
        <v>110.1</v>
      </c>
      <c r="AV2" s="475">
        <v>109.9</v>
      </c>
      <c r="AW2" s="475">
        <v>109.4</v>
      </c>
      <c r="AX2" s="475">
        <v>108</v>
      </c>
      <c r="AY2" s="475">
        <v>107.1</v>
      </c>
      <c r="AZ2" s="475">
        <v>107.7</v>
      </c>
      <c r="BA2" s="475">
        <v>109</v>
      </c>
      <c r="BB2" s="475">
        <v>110.4</v>
      </c>
      <c r="BC2" s="475">
        <v>111.7</v>
      </c>
      <c r="BD2" s="475">
        <v>111.8</v>
      </c>
      <c r="BE2" s="475">
        <v>111.2</v>
      </c>
      <c r="BF2" s="475">
        <v>111.4</v>
      </c>
      <c r="BG2" s="475">
        <v>111.5</v>
      </c>
      <c r="BH2" s="475">
        <v>111.9</v>
      </c>
      <c r="BI2" s="475">
        <v>111.7</v>
      </c>
      <c r="BJ2" s="475">
        <v>112.6</v>
      </c>
      <c r="BK2" s="475">
        <v>113</v>
      </c>
      <c r="BL2" s="475">
        <v>113.2</v>
      </c>
      <c r="BM2" s="475">
        <v>113.2</v>
      </c>
      <c r="BN2" s="475">
        <v>112.9</v>
      </c>
      <c r="BO2" s="475">
        <v>112.7</v>
      </c>
      <c r="BP2" s="475">
        <v>113.9</v>
      </c>
      <c r="BQ2" s="475">
        <v>114.8</v>
      </c>
      <c r="BR2" s="475">
        <v>114.9</v>
      </c>
      <c r="BS2" s="475">
        <v>115.6</v>
      </c>
      <c r="BT2" s="475">
        <v>116.4</v>
      </c>
      <c r="BU2" s="475">
        <v>115.7</v>
      </c>
      <c r="BV2" s="475">
        <v>116</v>
      </c>
      <c r="BW2" s="475">
        <v>116.1</v>
      </c>
      <c r="BX2" s="475">
        <v>116.3</v>
      </c>
      <c r="BY2" s="475">
        <v>117.3</v>
      </c>
      <c r="BZ2" s="475">
        <v>118.3</v>
      </c>
      <c r="CA2" s="475">
        <v>119.1</v>
      </c>
      <c r="CB2" s="475">
        <v>119.9</v>
      </c>
      <c r="CC2" s="475">
        <v>120.1</v>
      </c>
      <c r="CD2" s="475">
        <v>120.9</v>
      </c>
      <c r="CE2" s="475">
        <v>122</v>
      </c>
      <c r="CF2" s="475">
        <v>121.6</v>
      </c>
      <c r="CG2" s="475">
        <v>119.7</v>
      </c>
      <c r="CH2" s="475">
        <v>119.2</v>
      </c>
      <c r="CI2" s="475">
        <v>119.5</v>
      </c>
      <c r="CJ2" s="475">
        <v>119.9</v>
      </c>
      <c r="CK2" s="475">
        <v>121.1</v>
      </c>
      <c r="CL2" s="475">
        <v>121.6</v>
      </c>
      <c r="CM2" s="475">
        <v>121.5</v>
      </c>
      <c r="CN2" s="475">
        <v>121.3</v>
      </c>
      <c r="CO2" s="475">
        <v>121.5</v>
      </c>
      <c r="CP2" s="475">
        <v>121.3</v>
      </c>
      <c r="CQ2" s="475">
        <v>122</v>
      </c>
      <c r="CR2" s="475">
        <v>122.3</v>
      </c>
      <c r="CS2" s="475">
        <v>123</v>
      </c>
      <c r="CT2" s="475">
        <v>123.4</v>
      </c>
      <c r="CU2" s="475">
        <v>122.2</v>
      </c>
      <c r="CV2" s="475">
        <v>120.4</v>
      </c>
      <c r="CW2" s="475">
        <v>119.2</v>
      </c>
      <c r="CX2" s="475">
        <v>117.5</v>
      </c>
      <c r="CY2" s="475">
        <v>119.3</v>
      </c>
      <c r="CZ2" s="475">
        <v>121</v>
      </c>
      <c r="DA2" s="475">
        <v>122</v>
      </c>
      <c r="DB2" s="475">
        <v>122.9</v>
      </c>
      <c r="DC2" s="475">
        <v>123.6</v>
      </c>
      <c r="DD2" s="475">
        <v>125.1</v>
      </c>
      <c r="DE2" s="475">
        <v>125.4</v>
      </c>
      <c r="DF2" s="475">
        <v>126.5</v>
      </c>
      <c r="DG2" s="475">
        <v>128.1</v>
      </c>
      <c r="DH2" s="475">
        <v>129.9</v>
      </c>
      <c r="DI2" s="475">
        <v>132</v>
      </c>
      <c r="DJ2" s="475">
        <v>132.9</v>
      </c>
      <c r="DK2" s="475">
        <v>133.69999999999999</v>
      </c>
      <c r="DL2" s="475">
        <v>135</v>
      </c>
      <c r="DM2" s="475">
        <v>136.19999999999999</v>
      </c>
      <c r="DN2" s="475">
        <v>137.4</v>
      </c>
      <c r="DO2" s="475">
        <v>140.69999999999999</v>
      </c>
      <c r="DP2" s="475">
        <v>143.69999999999999</v>
      </c>
      <c r="DQ2" s="475">
        <v>143.30000000000001</v>
      </c>
      <c r="DR2" s="475">
        <v>143.80000000000001</v>
      </c>
      <c r="DS2" s="475">
        <v>145.30000000000001</v>
      </c>
      <c r="DT2" s="475">
        <v>148.9</v>
      </c>
      <c r="DU2" s="475">
        <v>152.30000000000001</v>
      </c>
      <c r="DV2" s="475">
        <v>154</v>
      </c>
      <c r="DW2" s="475">
        <v>154</v>
      </c>
    </row>
    <row r="3" spans="1:127" x14ac:dyDescent="0.25">
      <c r="A3" s="462" t="s">
        <v>1147</v>
      </c>
    </row>
    <row r="4" spans="1:127" ht="12.5" customHeight="1" x14ac:dyDescent="0.25">
      <c r="A4" s="462" t="s">
        <v>1148</v>
      </c>
      <c r="S4" s="2250" t="s">
        <v>1220</v>
      </c>
      <c r="T4" s="2251"/>
      <c r="U4" s="2248">
        <v>2.88</v>
      </c>
    </row>
    <row r="5" spans="1:127" ht="13" thickBot="1" x14ac:dyDescent="0.3">
      <c r="A5" s="463" t="s">
        <v>746</v>
      </c>
      <c r="B5" s="99" t="s">
        <v>1149</v>
      </c>
      <c r="C5" s="463" t="s">
        <v>1150</v>
      </c>
      <c r="S5" s="2252"/>
      <c r="T5" s="2253"/>
      <c r="U5" s="2249"/>
    </row>
    <row r="6" spans="1:127" ht="13" x14ac:dyDescent="0.3">
      <c r="A6" s="99" t="s">
        <v>1151</v>
      </c>
      <c r="B6" s="464">
        <f>AVERAGE(D2:O2)</f>
        <v>106.89999999999999</v>
      </c>
      <c r="C6" s="99"/>
      <c r="H6"/>
      <c r="I6"/>
      <c r="O6" s="678" t="s">
        <v>1291</v>
      </c>
      <c r="P6" s="679" t="s">
        <v>1287</v>
      </c>
      <c r="Q6" s="684"/>
      <c r="S6"/>
      <c r="T6"/>
      <c r="U6"/>
      <c r="V6" s="503">
        <v>44075</v>
      </c>
      <c r="W6" s="503">
        <v>44105</v>
      </c>
      <c r="X6" s="503">
        <v>44136</v>
      </c>
      <c r="Y6" s="503">
        <v>44166</v>
      </c>
      <c r="Z6" s="503">
        <v>44197</v>
      </c>
      <c r="AA6" s="503">
        <v>44228</v>
      </c>
      <c r="AB6" s="503">
        <v>44256</v>
      </c>
      <c r="AC6" s="504">
        <v>44287</v>
      </c>
      <c r="AD6" s="504">
        <v>44317</v>
      </c>
      <c r="AE6" s="504">
        <v>44348</v>
      </c>
      <c r="AF6" s="504">
        <v>44378</v>
      </c>
      <c r="AG6" s="504">
        <v>44409</v>
      </c>
      <c r="AH6" s="504">
        <v>44440</v>
      </c>
      <c r="AI6" s="503">
        <v>44470</v>
      </c>
      <c r="AJ6" s="503">
        <v>44501</v>
      </c>
      <c r="AK6" s="503">
        <v>44531</v>
      </c>
      <c r="AL6" s="503">
        <v>44562</v>
      </c>
      <c r="AM6" s="503">
        <v>44593</v>
      </c>
      <c r="AN6" s="503">
        <v>44621</v>
      </c>
      <c r="AO6" s="503">
        <v>44652</v>
      </c>
      <c r="AP6" s="503">
        <v>44682</v>
      </c>
      <c r="AQ6" s="503">
        <v>44713</v>
      </c>
      <c r="AR6" s="503">
        <v>44743</v>
      </c>
    </row>
    <row r="7" spans="1:127" ht="14.5" x14ac:dyDescent="0.35">
      <c r="A7" s="99" t="s">
        <v>1152</v>
      </c>
      <c r="B7" s="464">
        <f>AVERAGE(P2:AB2)</f>
        <v>112.45833333333331</v>
      </c>
      <c r="C7" s="465">
        <f t="shared" ref="C7:C15" si="0">B7/B6-1</f>
        <v>5.199563454942302E-2</v>
      </c>
      <c r="H7"/>
      <c r="I7"/>
      <c r="O7" s="680" t="s">
        <v>1288</v>
      </c>
      <c r="P7" s="681">
        <v>1.9984050288501878E-2</v>
      </c>
      <c r="Q7" s="685"/>
      <c r="S7"/>
      <c r="T7"/>
      <c r="U7"/>
      <c r="V7" s="501">
        <v>118.1</v>
      </c>
      <c r="W7" s="501">
        <v>119.5</v>
      </c>
      <c r="X7" s="501">
        <v>119.9</v>
      </c>
      <c r="Y7" s="501">
        <v>118.8</v>
      </c>
      <c r="Z7" s="501">
        <v>118.2</v>
      </c>
      <c r="AA7" s="501">
        <v>119</v>
      </c>
      <c r="AB7" s="501">
        <v>119.6</v>
      </c>
      <c r="AC7" s="99">
        <v>120.1</v>
      </c>
      <c r="AD7" s="99">
        <v>120.6</v>
      </c>
      <c r="AE7" s="99">
        <v>121.7</v>
      </c>
      <c r="AF7" s="99">
        <v>122.8</v>
      </c>
      <c r="AG7" s="99">
        <v>123</v>
      </c>
      <c r="AH7" s="99">
        <v>123.3</v>
      </c>
      <c r="AI7" s="99">
        <v>124.9</v>
      </c>
      <c r="AJ7" s="99">
        <v>125.7</v>
      </c>
      <c r="AK7" s="99">
        <v>125.4</v>
      </c>
      <c r="AL7" s="99">
        <v>125.1</v>
      </c>
      <c r="AM7" s="99">
        <v>125</v>
      </c>
      <c r="AN7" s="99">
        <v>126</v>
      </c>
      <c r="AO7" s="99">
        <v>127.7</v>
      </c>
      <c r="AP7" s="99">
        <v>129</v>
      </c>
    </row>
    <row r="8" spans="1:127" ht="14.5" x14ac:dyDescent="0.35">
      <c r="A8" s="99" t="s">
        <v>1153</v>
      </c>
      <c r="B8" s="464">
        <f>AVERAGE(AC2:AN2)</f>
        <v>113.875</v>
      </c>
      <c r="C8" s="465">
        <f t="shared" si="0"/>
        <v>1.2597258243794096E-2</v>
      </c>
      <c r="H8"/>
      <c r="I8"/>
      <c r="O8" s="680" t="s">
        <v>1289</v>
      </c>
      <c r="P8" s="681">
        <v>-2.4927562893804822E-2</v>
      </c>
      <c r="Q8" s="685"/>
      <c r="S8"/>
      <c r="T8"/>
      <c r="U8"/>
      <c r="V8" s="501">
        <f>V7*$U$4</f>
        <v>340.12799999999999</v>
      </c>
      <c r="W8" s="501">
        <f t="shared" ref="W8:AP8" si="1">W7*$U$4</f>
        <v>344.15999999999997</v>
      </c>
      <c r="X8" s="501">
        <f t="shared" si="1"/>
        <v>345.31200000000001</v>
      </c>
      <c r="Y8" s="501">
        <f t="shared" si="1"/>
        <v>342.14400000000001</v>
      </c>
      <c r="Z8" s="501">
        <f t="shared" si="1"/>
        <v>340.416</v>
      </c>
      <c r="AA8" s="501">
        <f t="shared" si="1"/>
        <v>342.71999999999997</v>
      </c>
      <c r="AB8" s="501">
        <f t="shared" si="1"/>
        <v>344.44799999999998</v>
      </c>
      <c r="AC8" s="501">
        <f t="shared" si="1"/>
        <v>345.88799999999998</v>
      </c>
      <c r="AD8" s="501">
        <f t="shared" si="1"/>
        <v>347.32799999999997</v>
      </c>
      <c r="AE8" s="501">
        <f t="shared" si="1"/>
        <v>350.49599999999998</v>
      </c>
      <c r="AF8" s="501">
        <f t="shared" si="1"/>
        <v>353.66399999999999</v>
      </c>
      <c r="AG8" s="501">
        <f t="shared" si="1"/>
        <v>354.24</v>
      </c>
      <c r="AH8" s="501">
        <f t="shared" si="1"/>
        <v>355.10399999999998</v>
      </c>
      <c r="AI8" s="501">
        <f t="shared" si="1"/>
        <v>359.71199999999999</v>
      </c>
      <c r="AJ8" s="501">
        <f t="shared" si="1"/>
        <v>362.01600000000002</v>
      </c>
      <c r="AK8" s="501">
        <f t="shared" si="1"/>
        <v>361.15199999999999</v>
      </c>
      <c r="AL8" s="501">
        <f t="shared" si="1"/>
        <v>360.28799999999995</v>
      </c>
      <c r="AM8" s="501">
        <f t="shared" si="1"/>
        <v>360</v>
      </c>
      <c r="AN8" s="501">
        <f t="shared" si="1"/>
        <v>362.88</v>
      </c>
      <c r="AO8" s="501">
        <f t="shared" si="1"/>
        <v>367.77600000000001</v>
      </c>
      <c r="AP8" s="501">
        <f t="shared" si="1"/>
        <v>371.52</v>
      </c>
    </row>
    <row r="9" spans="1:127" ht="15" thickBot="1" x14ac:dyDescent="0.4">
      <c r="A9" s="99" t="s">
        <v>1154</v>
      </c>
      <c r="B9" s="466">
        <f>AVERAGE(AO2:AZ2)</f>
        <v>109.71666666666665</v>
      </c>
      <c r="C9" s="465">
        <f t="shared" si="0"/>
        <v>-3.6516648371752725E-2</v>
      </c>
      <c r="H9"/>
      <c r="I9"/>
      <c r="O9" s="682" t="s">
        <v>1290</v>
      </c>
      <c r="P9" s="683">
        <v>3.6932220178293354E-2</v>
      </c>
      <c r="Q9" s="685"/>
      <c r="S9"/>
      <c r="T9"/>
      <c r="U9"/>
      <c r="V9"/>
      <c r="W9"/>
      <c r="X9"/>
      <c r="Y9"/>
      <c r="Z9"/>
      <c r="AA9"/>
      <c r="AB9"/>
      <c r="AC9"/>
      <c r="AD9"/>
      <c r="AE9"/>
      <c r="AF9"/>
      <c r="AG9"/>
      <c r="AH9"/>
      <c r="AI9"/>
      <c r="AJ9"/>
      <c r="AK9"/>
      <c r="AL9"/>
      <c r="AM9"/>
      <c r="AN9"/>
      <c r="AO9"/>
      <c r="AP9"/>
    </row>
    <row r="10" spans="1:127" ht="14.5" x14ac:dyDescent="0.35">
      <c r="A10" s="99" t="s">
        <v>1155</v>
      </c>
      <c r="B10" s="466">
        <f>AVERAGE(BA2:BL2)</f>
        <v>111.61666666666667</v>
      </c>
      <c r="C10" s="465">
        <f t="shared" si="0"/>
        <v>1.7317332523165918E-2</v>
      </c>
      <c r="S10"/>
      <c r="T10"/>
      <c r="U10"/>
      <c r="V10"/>
      <c r="W10"/>
      <c r="X10"/>
      <c r="Y10"/>
      <c r="Z10"/>
      <c r="AA10"/>
      <c r="AB10"/>
      <c r="AC10"/>
      <c r="AD10"/>
      <c r="AE10"/>
      <c r="AF10"/>
      <c r="AG10"/>
      <c r="AH10"/>
      <c r="AI10"/>
      <c r="AJ10"/>
      <c r="AK10"/>
      <c r="AL10"/>
      <c r="AM10"/>
      <c r="AN10"/>
      <c r="AO10"/>
      <c r="AP10"/>
    </row>
    <row r="11" spans="1:127" ht="14.5" x14ac:dyDescent="0.35">
      <c r="A11" s="99" t="s">
        <v>1156</v>
      </c>
      <c r="B11" s="466">
        <f>AVERAGE(BM2:BX2)</f>
        <v>114.87499999999999</v>
      </c>
      <c r="C11" s="465">
        <f t="shared" si="0"/>
        <v>2.9192175601015169E-2</v>
      </c>
      <c r="S11"/>
      <c r="T11"/>
      <c r="U11"/>
      <c r="V11"/>
      <c r="W11"/>
      <c r="X11"/>
      <c r="Y11"/>
      <c r="Z11"/>
      <c r="AA11"/>
      <c r="AB11"/>
      <c r="AC11"/>
      <c r="AD11"/>
      <c r="AE11"/>
      <c r="AF11"/>
      <c r="AG11"/>
      <c r="AH11"/>
      <c r="AI11"/>
      <c r="AJ11"/>
      <c r="AK11"/>
      <c r="AL11"/>
      <c r="AM11"/>
      <c r="AN11"/>
      <c r="AO11"/>
      <c r="AP11"/>
    </row>
    <row r="12" spans="1:127" ht="14.5" x14ac:dyDescent="0.35">
      <c r="A12" s="99" t="s">
        <v>1157</v>
      </c>
      <c r="B12" s="466">
        <f>AVERAGE(BY2:CJ2)</f>
        <v>119.79166666666669</v>
      </c>
      <c r="C12" s="465">
        <f t="shared" si="0"/>
        <v>4.2800145085237773E-2</v>
      </c>
      <c r="S12"/>
      <c r="T12"/>
      <c r="U12"/>
      <c r="V12"/>
      <c r="W12"/>
      <c r="X12"/>
      <c r="Y12"/>
      <c r="Z12"/>
      <c r="AA12"/>
      <c r="AB12"/>
      <c r="AC12"/>
      <c r="AD12"/>
      <c r="AE12"/>
      <c r="AF12"/>
      <c r="AG12"/>
      <c r="AH12"/>
      <c r="AI12"/>
      <c r="AJ12"/>
      <c r="AK12"/>
      <c r="AL12"/>
      <c r="AM12"/>
      <c r="AN12"/>
      <c r="AO12"/>
      <c r="AP12"/>
    </row>
    <row r="13" spans="1:127" ht="14.5" x14ac:dyDescent="0.35">
      <c r="A13" s="99" t="s">
        <v>179</v>
      </c>
      <c r="B13" s="466">
        <f>AVERAGE(CK2:CV2)</f>
        <v>121.80000000000001</v>
      </c>
      <c r="C13" s="465">
        <f t="shared" si="0"/>
        <v>1.676521739130421E-2</v>
      </c>
      <c r="S13"/>
      <c r="T13"/>
      <c r="U13"/>
      <c r="V13"/>
      <c r="W13"/>
      <c r="X13"/>
      <c r="Y13"/>
      <c r="Z13"/>
      <c r="AA13"/>
      <c r="AB13"/>
      <c r="AC13"/>
      <c r="AD13"/>
      <c r="AE13"/>
      <c r="AF13"/>
      <c r="AG13"/>
      <c r="AH13"/>
      <c r="AI13"/>
      <c r="AJ13"/>
      <c r="AK13"/>
      <c r="AL13"/>
      <c r="AM13"/>
      <c r="AN13"/>
      <c r="AO13"/>
      <c r="AP13"/>
    </row>
    <row r="14" spans="1:127" ht="14.5" x14ac:dyDescent="0.35">
      <c r="A14" s="99" t="s">
        <v>186</v>
      </c>
      <c r="B14" s="466">
        <f>AVERAGE(CW2:DH2)</f>
        <v>123.375</v>
      </c>
      <c r="C14" s="465">
        <f t="shared" si="0"/>
        <v>1.2931034482758452E-2</v>
      </c>
      <c r="S14"/>
      <c r="T14"/>
      <c r="U14"/>
      <c r="V14"/>
      <c r="W14"/>
      <c r="X14"/>
      <c r="Y14"/>
      <c r="Z14"/>
      <c r="AA14"/>
      <c r="AB14"/>
      <c r="AC14"/>
      <c r="AD14"/>
      <c r="AE14"/>
      <c r="AF14"/>
      <c r="AG14"/>
      <c r="AH14"/>
      <c r="AI14"/>
      <c r="AJ14"/>
      <c r="AK14"/>
      <c r="AL14"/>
      <c r="AM14"/>
      <c r="AN14"/>
      <c r="AO14"/>
      <c r="AP14"/>
    </row>
    <row r="15" spans="1:127" ht="14.5" x14ac:dyDescent="0.35">
      <c r="A15" s="99" t="s">
        <v>426</v>
      </c>
      <c r="B15" s="466">
        <f>AVERAGE(DI2:DT2)</f>
        <v>139.40833333333333</v>
      </c>
      <c r="C15" s="465">
        <f t="shared" si="0"/>
        <v>0.12995609591354262</v>
      </c>
      <c r="E15" s="1"/>
      <c r="S15"/>
      <c r="T15"/>
      <c r="U15"/>
      <c r="V15"/>
      <c r="W15"/>
      <c r="X15"/>
      <c r="Y15"/>
      <c r="Z15"/>
      <c r="AA15"/>
      <c r="AB15"/>
      <c r="AC15"/>
      <c r="AD15"/>
      <c r="AE15"/>
      <c r="AF15"/>
      <c r="AG15"/>
      <c r="AH15"/>
      <c r="AI15"/>
      <c r="AJ15"/>
      <c r="AK15"/>
      <c r="AL15"/>
      <c r="AM15"/>
      <c r="AN15"/>
      <c r="AO15"/>
      <c r="AP15"/>
    </row>
    <row r="16" spans="1:127" x14ac:dyDescent="0.25">
      <c r="S16"/>
      <c r="T16"/>
      <c r="U16"/>
      <c r="V16"/>
      <c r="W16"/>
      <c r="X16"/>
      <c r="Y16"/>
      <c r="Z16"/>
      <c r="AA16"/>
      <c r="AB16"/>
      <c r="AC16"/>
      <c r="AD16"/>
      <c r="AE16"/>
      <c r="AF16"/>
      <c r="AG16"/>
      <c r="AH16"/>
      <c r="AI16"/>
      <c r="AJ16"/>
      <c r="AK16"/>
      <c r="AL16"/>
      <c r="AM16"/>
      <c r="AN16"/>
      <c r="AO16"/>
      <c r="AP16"/>
    </row>
    <row r="17" spans="1:42" x14ac:dyDescent="0.25">
      <c r="A17" s="462" t="s">
        <v>1158</v>
      </c>
      <c r="O17" s="451" t="s">
        <v>178</v>
      </c>
      <c r="R17" s="451"/>
      <c r="S17"/>
      <c r="T17"/>
      <c r="U17"/>
      <c r="V17"/>
      <c r="W17"/>
      <c r="X17"/>
      <c r="Y17"/>
      <c r="Z17"/>
      <c r="AA17"/>
      <c r="AB17"/>
      <c r="AC17"/>
      <c r="AD17"/>
      <c r="AE17"/>
      <c r="AF17"/>
      <c r="AG17"/>
      <c r="AH17"/>
      <c r="AI17"/>
      <c r="AJ17"/>
      <c r="AK17"/>
      <c r="AL17"/>
      <c r="AM17"/>
      <c r="AN17"/>
      <c r="AO17"/>
      <c r="AP17"/>
    </row>
    <row r="18" spans="1:42" s="74" customFormat="1" ht="29" x14ac:dyDescent="0.25">
      <c r="A18" s="688" t="s">
        <v>1159</v>
      </c>
      <c r="B18" s="689" t="s">
        <v>1160</v>
      </c>
      <c r="C18" s="689" t="s">
        <v>152</v>
      </c>
      <c r="D18" s="689" t="s">
        <v>1161</v>
      </c>
      <c r="E18" s="689" t="s">
        <v>1162</v>
      </c>
      <c r="F18" s="689" t="s">
        <v>1163</v>
      </c>
      <c r="G18" s="689" t="s">
        <v>1164</v>
      </c>
      <c r="H18" s="689" t="s">
        <v>157</v>
      </c>
      <c r="I18" s="689" t="s">
        <v>158</v>
      </c>
      <c r="J18" s="689" t="s">
        <v>159</v>
      </c>
      <c r="K18" s="689" t="s">
        <v>160</v>
      </c>
      <c r="L18" s="689" t="s">
        <v>161</v>
      </c>
      <c r="M18" s="689" t="s">
        <v>162</v>
      </c>
      <c r="N18" s="690" t="s">
        <v>1165</v>
      </c>
      <c r="O18" s="691" t="s">
        <v>1166</v>
      </c>
      <c r="P18" s="691" t="s">
        <v>1167</v>
      </c>
      <c r="Q18" s="692" t="s">
        <v>1292</v>
      </c>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row>
    <row r="19" spans="1:42" ht="14.5" x14ac:dyDescent="0.35">
      <c r="A19" s="99" t="s">
        <v>1151</v>
      </c>
      <c r="B19" s="501">
        <v>205</v>
      </c>
      <c r="C19" s="501">
        <v>206</v>
      </c>
      <c r="D19" s="501">
        <v>208</v>
      </c>
      <c r="E19" s="501">
        <v>212</v>
      </c>
      <c r="F19" s="501">
        <v>214</v>
      </c>
      <c r="G19" s="501">
        <v>215</v>
      </c>
      <c r="H19" s="501">
        <v>217</v>
      </c>
      <c r="I19" s="501">
        <v>218</v>
      </c>
      <c r="J19" s="501">
        <v>219</v>
      </c>
      <c r="K19" s="501">
        <v>221</v>
      </c>
      <c r="L19" s="501">
        <v>223</v>
      </c>
      <c r="M19" s="501">
        <v>224</v>
      </c>
      <c r="N19" s="502">
        <f t="shared" ref="N19:N24" si="2">AVERAGE(B19:M19)</f>
        <v>215.16666666666666</v>
      </c>
      <c r="O19" s="465"/>
      <c r="P19" s="99"/>
      <c r="Q19" s="453"/>
      <c r="S19"/>
      <c r="T19"/>
      <c r="U19"/>
      <c r="V19"/>
      <c r="W19"/>
      <c r="X19"/>
      <c r="Y19"/>
      <c r="Z19"/>
      <c r="AA19"/>
      <c r="AB19"/>
      <c r="AC19"/>
      <c r="AD19"/>
      <c r="AE19"/>
      <c r="AF19"/>
      <c r="AG19"/>
      <c r="AH19"/>
      <c r="AI19"/>
      <c r="AJ19"/>
      <c r="AK19"/>
      <c r="AL19"/>
      <c r="AM19"/>
      <c r="AN19"/>
      <c r="AO19"/>
      <c r="AP19"/>
    </row>
    <row r="20" spans="1:42" ht="29" x14ac:dyDescent="0.35">
      <c r="A20" s="99" t="s">
        <v>1152</v>
      </c>
      <c r="B20" s="501">
        <v>226</v>
      </c>
      <c r="C20" s="501">
        <v>228</v>
      </c>
      <c r="D20" s="501">
        <v>231</v>
      </c>
      <c r="E20" s="501">
        <v>235</v>
      </c>
      <c r="F20" s="501">
        <v>237</v>
      </c>
      <c r="G20" s="501">
        <v>238</v>
      </c>
      <c r="H20" s="501">
        <v>241</v>
      </c>
      <c r="I20" s="501">
        <v>243</v>
      </c>
      <c r="J20" s="501">
        <v>239</v>
      </c>
      <c r="K20" s="501">
        <v>237</v>
      </c>
      <c r="L20" s="501">
        <v>238</v>
      </c>
      <c r="M20" s="501">
        <v>239</v>
      </c>
      <c r="N20" s="502">
        <f t="shared" si="2"/>
        <v>236</v>
      </c>
      <c r="O20" s="465">
        <f t="shared" ref="O20:O28" si="3">N20/N19-1</f>
        <v>9.6824167312161258E-2</v>
      </c>
      <c r="P20" s="443">
        <f t="shared" ref="P20:P27" si="4">C7</f>
        <v>5.199563454942302E-2</v>
      </c>
      <c r="Q20" s="686"/>
      <c r="S20" s="691" t="s">
        <v>746</v>
      </c>
      <c r="T20" s="691" t="s">
        <v>1247</v>
      </c>
      <c r="U20" s="691" t="s">
        <v>1248</v>
      </c>
      <c r="V20" s="820"/>
      <c r="W20" s="691" t="s">
        <v>1249</v>
      </c>
      <c r="X20" s="691" t="s">
        <v>1251</v>
      </c>
      <c r="Y20"/>
      <c r="Z20"/>
      <c r="AA20"/>
      <c r="AB20"/>
      <c r="AC20"/>
      <c r="AD20"/>
      <c r="AE20"/>
      <c r="AF20"/>
      <c r="AG20"/>
      <c r="AH20"/>
      <c r="AI20"/>
      <c r="AJ20"/>
      <c r="AK20"/>
      <c r="AL20"/>
      <c r="AM20"/>
      <c r="AN20"/>
      <c r="AO20"/>
      <c r="AP20"/>
    </row>
    <row r="21" spans="1:42" ht="14.5" x14ac:dyDescent="0.35">
      <c r="A21" s="99" t="s">
        <v>1153</v>
      </c>
      <c r="B21" s="501">
        <v>242</v>
      </c>
      <c r="C21" s="501">
        <v>244</v>
      </c>
      <c r="D21" s="501">
        <v>246</v>
      </c>
      <c r="E21" s="501">
        <v>252</v>
      </c>
      <c r="F21" s="501">
        <v>253</v>
      </c>
      <c r="G21" s="501">
        <v>253</v>
      </c>
      <c r="H21" s="501">
        <v>253</v>
      </c>
      <c r="I21" s="501">
        <v>253</v>
      </c>
      <c r="J21" s="501">
        <v>253</v>
      </c>
      <c r="K21" s="501">
        <v>254</v>
      </c>
      <c r="L21" s="501">
        <v>253</v>
      </c>
      <c r="M21" s="501">
        <v>254</v>
      </c>
      <c r="N21" s="502">
        <f t="shared" si="2"/>
        <v>250.83333333333334</v>
      </c>
      <c r="O21" s="465">
        <f t="shared" si="3"/>
        <v>6.2853107344632786E-2</v>
      </c>
      <c r="P21" s="443">
        <f t="shared" si="4"/>
        <v>1.2597258243794096E-2</v>
      </c>
      <c r="Q21" s="686">
        <f>P7</f>
        <v>1.9984050288501878E-2</v>
      </c>
      <c r="S21" s="410" t="s">
        <v>177</v>
      </c>
      <c r="T21" s="502">
        <v>1025840</v>
      </c>
      <c r="U21" s="410"/>
      <c r="V21"/>
      <c r="W21" s="821">
        <v>0.01</v>
      </c>
      <c r="X21" s="821"/>
      <c r="Y21"/>
      <c r="Z21"/>
      <c r="AA21"/>
      <c r="AB21"/>
      <c r="AC21"/>
      <c r="AD21"/>
      <c r="AE21"/>
      <c r="AF21"/>
      <c r="AG21"/>
      <c r="AH21"/>
      <c r="AI21"/>
      <c r="AJ21"/>
      <c r="AK21"/>
      <c r="AL21"/>
      <c r="AM21"/>
      <c r="AN21"/>
      <c r="AO21"/>
      <c r="AP21"/>
    </row>
    <row r="22" spans="1:42" ht="14.5" x14ac:dyDescent="0.35">
      <c r="A22" s="99" t="s">
        <v>1154</v>
      </c>
      <c r="B22" s="501">
        <v>256</v>
      </c>
      <c r="C22" s="501">
        <v>258</v>
      </c>
      <c r="D22" s="501">
        <v>261</v>
      </c>
      <c r="E22" s="501">
        <v>263</v>
      </c>
      <c r="F22" s="501">
        <v>264</v>
      </c>
      <c r="G22" s="501">
        <v>266</v>
      </c>
      <c r="H22" s="501">
        <v>269</v>
      </c>
      <c r="I22" s="501">
        <v>270</v>
      </c>
      <c r="J22" s="501">
        <v>269</v>
      </c>
      <c r="K22" s="501">
        <v>269</v>
      </c>
      <c r="L22" s="501">
        <v>267</v>
      </c>
      <c r="M22" s="501">
        <v>268</v>
      </c>
      <c r="N22" s="502">
        <f t="shared" si="2"/>
        <v>265</v>
      </c>
      <c r="O22" s="465">
        <f t="shared" si="3"/>
        <v>5.6478405315614655E-2</v>
      </c>
      <c r="P22" s="443">
        <f t="shared" si="4"/>
        <v>-3.6516648371752725E-2</v>
      </c>
      <c r="Q22" s="686">
        <f>P8</f>
        <v>-2.4927562893804822E-2</v>
      </c>
      <c r="S22" s="410" t="s">
        <v>178</v>
      </c>
      <c r="T22" s="502">
        <v>1036194</v>
      </c>
      <c r="U22" s="410"/>
      <c r="V22"/>
      <c r="W22" s="821">
        <v>0</v>
      </c>
      <c r="X22" s="821">
        <v>0.02</v>
      </c>
      <c r="Y22"/>
      <c r="Z22"/>
      <c r="AA22"/>
      <c r="AB22"/>
      <c r="AC22"/>
      <c r="AD22"/>
      <c r="AE22"/>
      <c r="AF22"/>
      <c r="AG22"/>
      <c r="AH22"/>
      <c r="AI22"/>
      <c r="AJ22"/>
      <c r="AK22"/>
      <c r="AL22"/>
      <c r="AM22"/>
      <c r="AN22"/>
      <c r="AO22"/>
      <c r="AP22"/>
    </row>
    <row r="23" spans="1:42" ht="14.5" x14ac:dyDescent="0.35">
      <c r="A23" s="99" t="s">
        <v>1155</v>
      </c>
      <c r="B23" s="501">
        <v>271</v>
      </c>
      <c r="C23" s="501">
        <v>275</v>
      </c>
      <c r="D23" s="501">
        <v>277</v>
      </c>
      <c r="E23" s="501">
        <v>280</v>
      </c>
      <c r="F23" s="501">
        <v>278</v>
      </c>
      <c r="G23" s="501">
        <v>277</v>
      </c>
      <c r="H23" s="501">
        <v>278</v>
      </c>
      <c r="I23" s="501">
        <v>277</v>
      </c>
      <c r="J23" s="501">
        <v>275</v>
      </c>
      <c r="K23" s="501">
        <v>274</v>
      </c>
      <c r="L23" s="501">
        <v>274</v>
      </c>
      <c r="M23" s="501">
        <v>275</v>
      </c>
      <c r="N23" s="502">
        <f t="shared" si="2"/>
        <v>275.91666666666669</v>
      </c>
      <c r="O23" s="465">
        <f t="shared" si="3"/>
        <v>4.1194968553459166E-2</v>
      </c>
      <c r="P23" s="443">
        <f t="shared" si="4"/>
        <v>1.7317332523165918E-2</v>
      </c>
      <c r="Q23" s="686">
        <f>P9</f>
        <v>3.6932220178293354E-2</v>
      </c>
      <c r="S23" s="410" t="s">
        <v>179</v>
      </c>
      <c r="T23" s="502">
        <v>1039439</v>
      </c>
      <c r="U23" s="410"/>
      <c r="V23"/>
      <c r="W23" s="821">
        <f>W21</f>
        <v>0.01</v>
      </c>
      <c r="X23" s="821">
        <v>0.02</v>
      </c>
      <c r="Y23" t="s">
        <v>1250</v>
      </c>
      <c r="Z23"/>
      <c r="AA23"/>
      <c r="AB23"/>
      <c r="AC23"/>
      <c r="AD23"/>
      <c r="AE23"/>
      <c r="AF23"/>
      <c r="AG23"/>
      <c r="AH23"/>
      <c r="AI23"/>
      <c r="AJ23"/>
      <c r="AK23"/>
      <c r="AL23"/>
      <c r="AM23"/>
      <c r="AN23"/>
      <c r="AO23"/>
      <c r="AP23"/>
    </row>
    <row r="24" spans="1:42" ht="14.5" x14ac:dyDescent="0.35">
      <c r="A24" s="463" t="s">
        <v>1156</v>
      </c>
      <c r="B24" s="501">
        <v>277</v>
      </c>
      <c r="C24" s="501">
        <v>278</v>
      </c>
      <c r="D24" s="501">
        <v>280</v>
      </c>
      <c r="E24" s="501">
        <v>285</v>
      </c>
      <c r="F24" s="501">
        <v>285</v>
      </c>
      <c r="G24" s="501">
        <v>285</v>
      </c>
      <c r="H24" s="501">
        <v>287</v>
      </c>
      <c r="I24" s="501">
        <v>288</v>
      </c>
      <c r="J24" s="501">
        <v>286</v>
      </c>
      <c r="K24" s="501">
        <v>288</v>
      </c>
      <c r="L24" s="501">
        <v>287</v>
      </c>
      <c r="M24" s="501">
        <v>287</v>
      </c>
      <c r="N24" s="502">
        <f t="shared" si="2"/>
        <v>284.41666666666669</v>
      </c>
      <c r="O24" s="465">
        <f t="shared" si="3"/>
        <v>3.0806402899426155E-2</v>
      </c>
      <c r="P24" s="443">
        <f t="shared" si="4"/>
        <v>2.9192175601015169E-2</v>
      </c>
      <c r="Q24" s="686">
        <f>P24</f>
        <v>2.9192175601015169E-2</v>
      </c>
      <c r="S24" s="410" t="s">
        <v>186</v>
      </c>
      <c r="T24" s="502">
        <v>1043871</v>
      </c>
      <c r="U24" s="622">
        <f>(T24/T21)^(1/3)-1</f>
        <v>5.8249425304601754E-3</v>
      </c>
      <c r="V24"/>
      <c r="W24" s="822">
        <f>X24*W23/X23</f>
        <v>2.9124712652300877E-3</v>
      </c>
      <c r="X24" s="822">
        <f>U24</f>
        <v>5.8249425304601754E-3</v>
      </c>
      <c r="Y24"/>
      <c r="Z24"/>
      <c r="AA24"/>
      <c r="AB24"/>
      <c r="AC24"/>
      <c r="AD24"/>
      <c r="AE24"/>
      <c r="AF24"/>
      <c r="AG24"/>
      <c r="AH24"/>
      <c r="AI24"/>
      <c r="AJ24"/>
      <c r="AK24"/>
      <c r="AL24"/>
      <c r="AM24"/>
      <c r="AN24"/>
      <c r="AO24"/>
      <c r="AP24"/>
    </row>
    <row r="25" spans="1:42" ht="14.5" x14ac:dyDescent="0.35">
      <c r="A25" s="463" t="s">
        <v>1157</v>
      </c>
      <c r="B25" s="501">
        <v>288</v>
      </c>
      <c r="C25" s="501">
        <v>289</v>
      </c>
      <c r="D25" s="501">
        <v>291</v>
      </c>
      <c r="E25" s="501">
        <v>301</v>
      </c>
      <c r="F25" s="501">
        <v>301</v>
      </c>
      <c r="G25" s="501">
        <v>301</v>
      </c>
      <c r="H25" s="501">
        <v>302</v>
      </c>
      <c r="I25" s="501">
        <v>302</v>
      </c>
      <c r="J25" s="501">
        <v>301</v>
      </c>
      <c r="K25" s="501">
        <v>307</v>
      </c>
      <c r="L25" s="501">
        <v>307</v>
      </c>
      <c r="M25" s="501">
        <v>309</v>
      </c>
      <c r="N25" s="502">
        <f>AVERAGE(B25:M25)</f>
        <v>299.91666666666669</v>
      </c>
      <c r="O25" s="465">
        <f t="shared" si="3"/>
        <v>5.4497509522414278E-2</v>
      </c>
      <c r="P25" s="443">
        <f t="shared" si="4"/>
        <v>4.2800145085237773E-2</v>
      </c>
      <c r="Q25" s="686">
        <f>P25</f>
        <v>4.2800145085237773E-2</v>
      </c>
      <c r="S25" s="410" t="s">
        <v>426</v>
      </c>
      <c r="T25" s="502">
        <v>1046216</v>
      </c>
      <c r="U25" s="622">
        <f>(T25/T22)^(1/3)-1</f>
        <v>3.2136394651494093E-3</v>
      </c>
      <c r="V25"/>
      <c r="W25" s="821">
        <f>X25*W23/X23</f>
        <v>1.6068197325747047E-3</v>
      </c>
      <c r="X25" s="821">
        <f>U25</f>
        <v>3.2136394651494093E-3</v>
      </c>
      <c r="Y25"/>
      <c r="Z25"/>
      <c r="AA25"/>
      <c r="AB25"/>
      <c r="AC25"/>
      <c r="AD25"/>
      <c r="AE25"/>
      <c r="AF25"/>
      <c r="AG25"/>
      <c r="AH25"/>
      <c r="AI25"/>
      <c r="AJ25"/>
      <c r="AK25"/>
      <c r="AL25"/>
      <c r="AM25"/>
      <c r="AN25"/>
      <c r="AO25"/>
      <c r="AP25"/>
    </row>
    <row r="26" spans="1:42" ht="14.5" x14ac:dyDescent="0.35">
      <c r="A26" s="506" t="s">
        <v>179</v>
      </c>
      <c r="B26" s="501">
        <v>312</v>
      </c>
      <c r="C26" s="501">
        <v>314</v>
      </c>
      <c r="D26" s="501">
        <v>316</v>
      </c>
      <c r="E26" s="501">
        <v>319</v>
      </c>
      <c r="F26" s="501">
        <v>320</v>
      </c>
      <c r="G26" s="501">
        <v>322</v>
      </c>
      <c r="H26" s="501">
        <v>325</v>
      </c>
      <c r="I26" s="501">
        <v>328</v>
      </c>
      <c r="J26" s="501">
        <v>330</v>
      </c>
      <c r="K26" s="501">
        <v>330</v>
      </c>
      <c r="L26" s="501">
        <v>328</v>
      </c>
      <c r="M26" s="501">
        <v>326</v>
      </c>
      <c r="N26" s="501">
        <f>AVERAGE(B26:M26)</f>
        <v>322.5</v>
      </c>
      <c r="O26" s="465">
        <f t="shared" si="3"/>
        <v>7.5298694081689321E-2</v>
      </c>
      <c r="P26" s="443">
        <f t="shared" si="4"/>
        <v>1.676521739130421E-2</v>
      </c>
      <c r="Q26" s="686">
        <f>P26</f>
        <v>1.676521739130421E-2</v>
      </c>
      <c r="S26"/>
      <c r="T26"/>
      <c r="U26"/>
      <c r="V26"/>
      <c r="W26"/>
      <c r="X26"/>
      <c r="Y26"/>
      <c r="Z26"/>
      <c r="AA26"/>
      <c r="AB26"/>
      <c r="AC26"/>
      <c r="AD26"/>
      <c r="AE26"/>
      <c r="AF26"/>
      <c r="AG26"/>
      <c r="AH26"/>
      <c r="AI26"/>
      <c r="AJ26"/>
      <c r="AK26"/>
      <c r="AL26"/>
      <c r="AM26"/>
      <c r="AN26"/>
      <c r="AO26"/>
      <c r="AP26"/>
    </row>
    <row r="27" spans="1:42" ht="14.5" x14ac:dyDescent="0.35">
      <c r="A27" s="506" t="s">
        <v>186</v>
      </c>
      <c r="B27" s="505">
        <v>329</v>
      </c>
      <c r="C27" s="505">
        <v>330</v>
      </c>
      <c r="D27" s="505">
        <v>332</v>
      </c>
      <c r="E27" s="505">
        <v>336</v>
      </c>
      <c r="F27" s="505">
        <v>338</v>
      </c>
      <c r="G27" s="501">
        <v>340.12799999999999</v>
      </c>
      <c r="H27" s="501">
        <v>344.15999999999997</v>
      </c>
      <c r="I27" s="501">
        <v>345.31200000000001</v>
      </c>
      <c r="J27" s="501">
        <v>342.14400000000001</v>
      </c>
      <c r="K27" s="501">
        <v>340.416</v>
      </c>
      <c r="L27" s="501">
        <v>342.71999999999997</v>
      </c>
      <c r="M27" s="501">
        <v>344.44799999999998</v>
      </c>
      <c r="N27" s="502">
        <f>AVERAGE(B27:M27)</f>
        <v>338.69399999999996</v>
      </c>
      <c r="O27" s="465">
        <f t="shared" si="3"/>
        <v>5.0213953488371876E-2</v>
      </c>
      <c r="P27" s="443">
        <f t="shared" si="4"/>
        <v>1.2931034482758452E-2</v>
      </c>
      <c r="Q27" s="686">
        <f>P27</f>
        <v>1.2931034482758452E-2</v>
      </c>
      <c r="R27" s="468"/>
      <c r="S27"/>
      <c r="T27"/>
      <c r="U27"/>
      <c r="V27"/>
      <c r="W27" s="691" t="s">
        <v>1249</v>
      </c>
      <c r="X27" s="691" t="s">
        <v>1251</v>
      </c>
      <c r="Y27"/>
      <c r="Z27"/>
      <c r="AA27"/>
      <c r="AB27"/>
      <c r="AC27"/>
      <c r="AD27"/>
      <c r="AE27"/>
      <c r="AF27"/>
      <c r="AG27"/>
      <c r="AH27"/>
      <c r="AI27"/>
      <c r="AJ27"/>
      <c r="AK27"/>
      <c r="AL27"/>
      <c r="AM27"/>
      <c r="AN27"/>
      <c r="AO27"/>
      <c r="AP27"/>
    </row>
    <row r="28" spans="1:42" ht="14.5" x14ac:dyDescent="0.35">
      <c r="A28" s="506" t="s">
        <v>426</v>
      </c>
      <c r="B28" s="505">
        <v>345.88799999999998</v>
      </c>
      <c r="C28" s="505">
        <v>347.32799999999997</v>
      </c>
      <c r="D28" s="505">
        <v>350.49599999999998</v>
      </c>
      <c r="E28" s="505">
        <v>353.66399999999999</v>
      </c>
      <c r="F28" s="505">
        <v>354.24</v>
      </c>
      <c r="G28" s="501">
        <v>355.10399999999998</v>
      </c>
      <c r="H28" s="501">
        <v>359.71199999999999</v>
      </c>
      <c r="I28" s="501">
        <v>362.01600000000002</v>
      </c>
      <c r="J28" s="501">
        <v>361.15199999999999</v>
      </c>
      <c r="K28" s="501">
        <v>360.28799999999995</v>
      </c>
      <c r="L28" s="501">
        <v>360</v>
      </c>
      <c r="M28" s="501">
        <v>362.88</v>
      </c>
      <c r="N28" s="502">
        <f>AVERAGE(B28:M28)</f>
        <v>356.06400000000002</v>
      </c>
      <c r="O28" s="465">
        <f t="shared" si="3"/>
        <v>5.1285230916402691E-2</v>
      </c>
      <c r="P28" s="443">
        <f>C15</f>
        <v>0.12995609591354262</v>
      </c>
      <c r="Q28" s="686">
        <f>P28</f>
        <v>0.12995609591354262</v>
      </c>
      <c r="R28" s="471"/>
      <c r="S28"/>
      <c r="T28"/>
      <c r="U28"/>
    </row>
    <row r="29" spans="1:42" ht="14.5" x14ac:dyDescent="0.35">
      <c r="A29" s="506" t="s">
        <v>427</v>
      </c>
      <c r="B29" s="505">
        <v>367.77600000000001</v>
      </c>
      <c r="C29" s="505">
        <v>371.52</v>
      </c>
      <c r="D29" s="502"/>
      <c r="E29" s="502"/>
      <c r="F29" s="502"/>
      <c r="G29" s="501"/>
      <c r="H29" s="501"/>
      <c r="I29" s="501"/>
      <c r="J29" s="501"/>
      <c r="K29" s="501"/>
      <c r="L29" s="501"/>
      <c r="M29" s="501"/>
      <c r="N29" s="502">
        <f>AVERAGE(B29:M29)</f>
        <v>369.64800000000002</v>
      </c>
      <c r="O29" s="465"/>
      <c r="P29" s="443"/>
      <c r="Q29" s="686"/>
      <c r="R29" s="472"/>
      <c r="S29" s="99" t="s">
        <v>1246</v>
      </c>
    </row>
    <row r="30" spans="1:42" x14ac:dyDescent="0.25">
      <c r="N30" s="463" t="s">
        <v>1165</v>
      </c>
      <c r="O30" s="443">
        <f>AVERAGE(O24:O28)</f>
        <v>5.2420358181660867E-2</v>
      </c>
      <c r="P30" s="443">
        <f>AVERAGE(P24:P28)</f>
        <v>4.6328933694771646E-2</v>
      </c>
      <c r="Q30" s="686"/>
      <c r="R30" s="467"/>
      <c r="S30" s="99"/>
    </row>
    <row r="31" spans="1:42" ht="13" x14ac:dyDescent="0.3">
      <c r="B31" s="469"/>
      <c r="C31" s="469" t="s">
        <v>1231</v>
      </c>
      <c r="D31" s="469" t="s">
        <v>1232</v>
      </c>
      <c r="E31" s="469" t="s">
        <v>1236</v>
      </c>
      <c r="F31" s="469" t="s">
        <v>1237</v>
      </c>
      <c r="G31" s="469" t="s">
        <v>1238</v>
      </c>
      <c r="H31" s="469" t="s">
        <v>1239</v>
      </c>
      <c r="N31" s="469" t="s">
        <v>1168</v>
      </c>
      <c r="O31" s="470">
        <v>0.7</v>
      </c>
      <c r="P31" s="470">
        <f>1-O31</f>
        <v>0.30000000000000004</v>
      </c>
      <c r="Q31" s="687"/>
      <c r="S31" s="99"/>
    </row>
    <row r="32" spans="1:42" x14ac:dyDescent="0.25">
      <c r="B32" s="99" t="s">
        <v>1224</v>
      </c>
      <c r="C32" s="501">
        <v>463.93</v>
      </c>
      <c r="D32" s="501"/>
      <c r="E32" s="99"/>
      <c r="F32" s="99"/>
      <c r="G32" s="99"/>
      <c r="H32" s="99"/>
      <c r="N32" s="99"/>
      <c r="O32" s="625">
        <f>SUMPRODUCT(O30:P30,O31:P31)</f>
        <v>5.0592930835594102E-2</v>
      </c>
      <c r="S32" s="443">
        <f>W25</f>
        <v>1.6068197325747047E-3</v>
      </c>
    </row>
    <row r="33" spans="1:19" ht="14.5" x14ac:dyDescent="0.35">
      <c r="A33" s="789"/>
      <c r="B33" s="99" t="s">
        <v>1225</v>
      </c>
      <c r="C33" s="501">
        <v>525.9</v>
      </c>
      <c r="D33" s="501">
        <v>526.39</v>
      </c>
      <c r="E33" s="99"/>
      <c r="F33" s="99"/>
      <c r="G33" s="99"/>
      <c r="H33" s="99"/>
      <c r="N33" s="626" t="s">
        <v>1221</v>
      </c>
      <c r="O33" s="627">
        <f>O32-S32</f>
        <v>4.8986111103019397E-2</v>
      </c>
      <c r="S33" s="99"/>
    </row>
    <row r="34" spans="1:19" x14ac:dyDescent="0.25">
      <c r="B34" s="99" t="s">
        <v>1226</v>
      </c>
      <c r="C34" s="501">
        <v>545.66999999999996</v>
      </c>
      <c r="D34" s="501">
        <v>544.71802759291757</v>
      </c>
      <c r="E34" s="99"/>
      <c r="F34" s="99"/>
      <c r="G34" s="99"/>
      <c r="H34" s="99"/>
      <c r="N34" s="99"/>
      <c r="O34" s="99"/>
      <c r="S34" s="99"/>
    </row>
    <row r="35" spans="1:19" x14ac:dyDescent="0.25">
      <c r="B35" s="99" t="s">
        <v>1227</v>
      </c>
      <c r="C35" s="501">
        <v>562.4</v>
      </c>
      <c r="D35" s="501">
        <v>560.15515722485566</v>
      </c>
      <c r="E35" s="99"/>
      <c r="F35" s="99"/>
      <c r="G35" s="99"/>
      <c r="H35" s="99"/>
      <c r="N35" s="626" t="s">
        <v>1222</v>
      </c>
      <c r="O35" s="443">
        <f>AVERAGE(O23:O27)</f>
        <v>5.0402305709072157E-2</v>
      </c>
      <c r="P35" s="623">
        <f>AVERAGE(P23:P27)</f>
        <v>2.3801181016696305E-2</v>
      </c>
      <c r="Q35" s="686"/>
      <c r="S35" s="99"/>
    </row>
    <row r="36" spans="1:19" ht="13" x14ac:dyDescent="0.3">
      <c r="A36" s="99" t="s">
        <v>1294</v>
      </c>
      <c r="B36" s="99" t="s">
        <v>1228</v>
      </c>
      <c r="C36" s="501">
        <v>579.64</v>
      </c>
      <c r="D36" s="501">
        <v>576.03</v>
      </c>
      <c r="E36" s="629">
        <f>C35*(1+Q43)</f>
        <v>580.51173711091417</v>
      </c>
      <c r="F36" s="501">
        <f>F3.1!E72</f>
        <v>503.15000000000009</v>
      </c>
      <c r="G36" s="501">
        <f>IF(E36&lt;F36,E36+(F36-E36)/3,F36+(E36-F36)/3)+F3.2!D74</f>
        <v>564.96724570363813</v>
      </c>
      <c r="H36" s="99"/>
      <c r="I36" s="697">
        <f>E36-F36</f>
        <v>77.361737110914078</v>
      </c>
      <c r="J36" s="697">
        <f>F36+1/3*I36</f>
        <v>528.93724570363815</v>
      </c>
      <c r="K36" s="697">
        <f>J36+F3.2!D74</f>
        <v>564.96724570363813</v>
      </c>
      <c r="N36" s="99"/>
      <c r="O36" s="470">
        <v>0.7</v>
      </c>
      <c r="P36" s="624">
        <f>1-O36</f>
        <v>0.30000000000000004</v>
      </c>
      <c r="Q36" s="687"/>
      <c r="S36" s="443">
        <f>W24</f>
        <v>2.9124712652300877E-3</v>
      </c>
    </row>
    <row r="37" spans="1:19" x14ac:dyDescent="0.25">
      <c r="A37" s="99"/>
      <c r="B37" s="99" t="s">
        <v>1229</v>
      </c>
      <c r="C37" s="501">
        <v>565.54</v>
      </c>
      <c r="D37" s="501">
        <v>565.27</v>
      </c>
      <c r="E37" s="629"/>
      <c r="F37" s="441">
        <f>F3.1!H72</f>
        <v>506.44000000000011</v>
      </c>
      <c r="G37" s="501">
        <f>IF(H37&lt;F37,H37+(F37-H37)/3,F37+(H37-F37)/3)+F3.2!E74</f>
        <v>608.31960580775876</v>
      </c>
      <c r="H37" s="629">
        <f>G36*(1+O38)</f>
        <v>587.28881742327621</v>
      </c>
      <c r="N37" s="99"/>
      <c r="O37" s="625">
        <f>SUMPRODUCT(O35:P35,O36:P36)</f>
        <v>4.24219683013594E-2</v>
      </c>
      <c r="S37" s="628"/>
    </row>
    <row r="38" spans="1:19" ht="13" x14ac:dyDescent="0.3">
      <c r="A38" s="628"/>
      <c r="B38" s="796" t="s">
        <v>1230</v>
      </c>
      <c r="C38" s="501">
        <v>581.55999999999995</v>
      </c>
      <c r="D38" s="501">
        <v>581.29</v>
      </c>
      <c r="E38" s="629"/>
      <c r="F38" s="441">
        <f>F3.1!K72</f>
        <v>638.20457475719547</v>
      </c>
      <c r="G38" s="501">
        <f>IF(H38&lt;F38,H38+(F38-H38)/3,F38+(H38-F38)/3)</f>
        <v>623.44006670782096</v>
      </c>
      <c r="H38" s="629">
        <f>H37*(1+O33)</f>
        <v>616.05781268313376</v>
      </c>
      <c r="N38" s="99"/>
      <c r="O38" s="627">
        <f>O37-S36</f>
        <v>3.9509497036129312E-2</v>
      </c>
      <c r="S38" s="99"/>
    </row>
    <row r="39" spans="1:19" x14ac:dyDescent="0.25">
      <c r="A39" s="628"/>
      <c r="B39" s="99" t="s">
        <v>1233</v>
      </c>
      <c r="C39" s="501">
        <v>598.04999999999995</v>
      </c>
      <c r="D39" s="501">
        <v>597.76</v>
      </c>
      <c r="E39" s="629"/>
      <c r="F39" s="99"/>
      <c r="G39" s="501"/>
      <c r="H39" s="629">
        <f>H38*(1+O33)</f>
        <v>646.23608914111287</v>
      </c>
      <c r="N39" s="99"/>
      <c r="O39" s="99"/>
      <c r="S39" s="99"/>
    </row>
    <row r="40" spans="1:19" x14ac:dyDescent="0.25">
      <c r="A40" s="628"/>
      <c r="B40" s="99" t="s">
        <v>1234</v>
      </c>
      <c r="C40" s="501">
        <v>614.99</v>
      </c>
      <c r="D40" s="501">
        <v>614.70000000000005</v>
      </c>
      <c r="E40" s="629"/>
      <c r="F40" s="99"/>
      <c r="G40" s="501" t="s">
        <v>1523</v>
      </c>
      <c r="H40" s="629">
        <f>H39*(1+O33)</f>
        <v>677.89268200256015</v>
      </c>
      <c r="N40" s="626" t="s">
        <v>1223</v>
      </c>
      <c r="O40" s="443">
        <f>AVERAGE(O22:O26)</f>
        <v>5.1655196074520716E-2</v>
      </c>
      <c r="P40" s="694">
        <f>AVERAGE(P22:P26)</f>
        <v>1.3911644445794069E-2</v>
      </c>
      <c r="Q40" s="443">
        <f>AVERAGE(Q22:Q26)</f>
        <v>2.0152439072409135E-2</v>
      </c>
      <c r="S40" s="99"/>
    </row>
    <row r="41" spans="1:19" ht="13" x14ac:dyDescent="0.3">
      <c r="A41" s="628"/>
      <c r="B41" s="99" t="s">
        <v>1235</v>
      </c>
      <c r="C41" s="501">
        <v>632.41999999999996</v>
      </c>
      <c r="D41" s="501">
        <v>632.12</v>
      </c>
      <c r="E41" s="629"/>
      <c r="F41" s="99"/>
      <c r="G41" s="501"/>
      <c r="H41" s="629">
        <f>H40*(1+O33)</f>
        <v>711.10000823906137</v>
      </c>
      <c r="N41" s="99"/>
      <c r="O41" s="470">
        <v>0.7</v>
      </c>
      <c r="P41" s="695">
        <f>1-O41</f>
        <v>0.30000000000000004</v>
      </c>
      <c r="Q41" s="696">
        <v>0.3</v>
      </c>
      <c r="S41" s="99"/>
    </row>
    <row r="42" spans="1:19" x14ac:dyDescent="0.25">
      <c r="N42" s="99"/>
      <c r="O42" s="625">
        <f>SUMPRODUCT(O40:P40,O41:P41)</f>
        <v>4.0332130585902723E-2</v>
      </c>
      <c r="Q42" s="628">
        <f>(O40*O41)+(Q40*Q41)</f>
        <v>4.2204368973887241E-2</v>
      </c>
      <c r="S42" s="443">
        <v>0.01</v>
      </c>
    </row>
    <row r="43" spans="1:19" x14ac:dyDescent="0.25">
      <c r="A43" s="99" t="s">
        <v>1295</v>
      </c>
      <c r="B43" s="99"/>
      <c r="C43" s="99"/>
      <c r="D43" s="99"/>
      <c r="E43" s="501">
        <f>C35*(1+Q43)</f>
        <v>580.51173711091417</v>
      </c>
      <c r="F43" s="441">
        <f>F36</f>
        <v>503.15000000000009</v>
      </c>
      <c r="G43" s="501">
        <f>IF(E43&lt;F43,E43+(F43-E43)/3,F43+(E43-F43)/3)</f>
        <v>528.93724570363815</v>
      </c>
      <c r="H43" s="99"/>
      <c r="I43" s="439" t="s">
        <v>1293</v>
      </c>
      <c r="N43" s="99"/>
      <c r="O43" s="627">
        <f>O42-S42</f>
        <v>3.0332130585902721E-2</v>
      </c>
      <c r="Q43" s="443">
        <f>Q42-S42</f>
        <v>3.2204368973887239E-2</v>
      </c>
    </row>
    <row r="44" spans="1:19" x14ac:dyDescent="0.25">
      <c r="A44" s="99"/>
      <c r="B44" s="99"/>
      <c r="C44" s="99"/>
      <c r="D44" s="99"/>
      <c r="E44" s="99"/>
      <c r="F44" s="99"/>
      <c r="G44" s="99"/>
      <c r="H44" s="501">
        <f>G43*(1+O38)</f>
        <v>549.83529024506447</v>
      </c>
      <c r="I44" s="697">
        <f>H44-H37</f>
        <v>-37.453527178211743</v>
      </c>
    </row>
    <row r="45" spans="1:19" x14ac:dyDescent="0.25">
      <c r="A45" s="99"/>
      <c r="B45" s="99"/>
      <c r="C45" s="99"/>
      <c r="D45" s="628"/>
      <c r="E45" s="99"/>
      <c r="F45" s="99"/>
      <c r="G45" s="99"/>
      <c r="H45" s="501">
        <f>H44*(1+$O$33)</f>
        <v>576.76958286137017</v>
      </c>
      <c r="I45" s="697">
        <f>H45-H38</f>
        <v>-39.288229821763593</v>
      </c>
    </row>
    <row r="46" spans="1:19" x14ac:dyDescent="0.25">
      <c r="A46" s="99"/>
      <c r="B46" s="99"/>
      <c r="C46" s="99"/>
      <c r="D46" s="628"/>
      <c r="E46" s="99"/>
      <c r="F46" s="99"/>
      <c r="G46" s="99"/>
      <c r="H46" s="501">
        <f>H45*(1+$O$33)</f>
        <v>605.02328172825946</v>
      </c>
      <c r="I46" s="697">
        <f>H46-H39</f>
        <v>-41.212807412853408</v>
      </c>
    </row>
    <row r="47" spans="1:19" x14ac:dyDescent="0.25">
      <c r="A47" s="99"/>
      <c r="B47" s="99"/>
      <c r="C47" s="99"/>
      <c r="D47" s="628"/>
      <c r="E47" s="99"/>
      <c r="F47" s="99"/>
      <c r="G47" s="99"/>
      <c r="H47" s="501">
        <f>H46*(1+$O$33)</f>
        <v>634.66101942691341</v>
      </c>
      <c r="I47" s="697">
        <f>H47-H40</f>
        <v>-43.231662575646737</v>
      </c>
    </row>
    <row r="48" spans="1:19" x14ac:dyDescent="0.25">
      <c r="A48" s="99"/>
      <c r="B48" s="99"/>
      <c r="C48" s="99"/>
      <c r="D48" s="628"/>
      <c r="E48" s="99"/>
      <c r="F48" s="99"/>
      <c r="G48" s="99"/>
      <c r="H48" s="501">
        <f>H47*(1+$O$33)</f>
        <v>665.75059463731577</v>
      </c>
      <c r="I48" s="697">
        <f>H48-H41</f>
        <v>-45.349413601745596</v>
      </c>
    </row>
    <row r="49" spans="1:9" x14ac:dyDescent="0.25">
      <c r="E49" s="697">
        <f>E43-E36</f>
        <v>0</v>
      </c>
      <c r="I49" s="697">
        <f>SUM(I44:I48,E49)</f>
        <v>-206.53564059022108</v>
      </c>
    </row>
    <row r="50" spans="1:9" x14ac:dyDescent="0.25">
      <c r="A50" s="99" t="s">
        <v>1296</v>
      </c>
      <c r="B50" s="99"/>
      <c r="C50" s="99"/>
      <c r="D50" s="99"/>
      <c r="E50" s="501">
        <f>C32*(1+Q43)^4</f>
        <v>526.64168168909066</v>
      </c>
      <c r="F50" s="441">
        <f>F43</f>
        <v>503.15000000000009</v>
      </c>
      <c r="G50" s="501">
        <f>IF(E50&lt;F50,E50+(F50-E50)/3,F50+(E50-F50)/3)</f>
        <v>510.98056056303028</v>
      </c>
      <c r="H50" s="99"/>
    </row>
    <row r="51" spans="1:9" x14ac:dyDescent="0.25">
      <c r="A51" s="99"/>
      <c r="B51" s="99"/>
      <c r="C51" s="99"/>
      <c r="D51" s="99"/>
      <c r="E51" s="99"/>
      <c r="F51" s="99"/>
      <c r="G51" s="99"/>
      <c r="H51" s="501">
        <f>G50*(1+O38)</f>
        <v>531.169145506115</v>
      </c>
    </row>
    <row r="52" spans="1:9" x14ac:dyDescent="0.25">
      <c r="A52" s="99"/>
      <c r="B52" s="99"/>
      <c r="C52" s="99"/>
      <c r="D52" s="99"/>
      <c r="E52" s="99"/>
      <c r="F52" s="99"/>
      <c r="G52" s="99"/>
      <c r="H52" s="501">
        <f>H51*(1+$O$33)</f>
        <v>557.18905628237349</v>
      </c>
    </row>
    <row r="53" spans="1:9" x14ac:dyDescent="0.25">
      <c r="A53" s="99"/>
      <c r="B53" s="99"/>
      <c r="C53" s="99"/>
      <c r="D53" s="99"/>
      <c r="E53" s="99"/>
      <c r="F53" s="99"/>
      <c r="G53" s="99"/>
      <c r="H53" s="501">
        <f>H52*(1+$O$33)</f>
        <v>584.48358129880842</v>
      </c>
    </row>
    <row r="54" spans="1:9" x14ac:dyDescent="0.25">
      <c r="A54" s="99"/>
      <c r="B54" s="99"/>
      <c r="C54" s="99"/>
      <c r="D54" s="99"/>
      <c r="E54" s="99"/>
      <c r="F54" s="99"/>
      <c r="G54" s="99"/>
      <c r="H54" s="501">
        <f>H53*(1+$O$33)</f>
        <v>613.1151589502025</v>
      </c>
    </row>
    <row r="55" spans="1:9" x14ac:dyDescent="0.25">
      <c r="A55" s="99"/>
      <c r="B55" s="99"/>
      <c r="C55" s="99"/>
      <c r="D55" s="99"/>
      <c r="E55" s="99"/>
      <c r="F55" s="99"/>
      <c r="G55" s="99"/>
      <c r="H55" s="501">
        <f>H54*(1+$O$33)</f>
        <v>643.14928624548259</v>
      </c>
    </row>
    <row r="56" spans="1:9" ht="13" thickBot="1" x14ac:dyDescent="0.3"/>
    <row r="57" spans="1:9" ht="39.5" thickBot="1" x14ac:dyDescent="0.3">
      <c r="A57" s="826" t="s">
        <v>1430</v>
      </c>
      <c r="B57" s="825" t="s">
        <v>746</v>
      </c>
      <c r="C57" s="785" t="s">
        <v>1291</v>
      </c>
      <c r="D57" s="785" t="s">
        <v>1422</v>
      </c>
      <c r="E57" s="785" t="s">
        <v>1423</v>
      </c>
      <c r="F57" s="785" t="s">
        <v>1424</v>
      </c>
    </row>
    <row r="58" spans="1:9" x14ac:dyDescent="0.25">
      <c r="B58" s="99" t="s">
        <v>1288</v>
      </c>
      <c r="C58" s="501">
        <v>181.19</v>
      </c>
      <c r="D58" s="99"/>
      <c r="E58" s="501">
        <v>250.83</v>
      </c>
      <c r="F58" s="99"/>
    </row>
    <row r="59" spans="1:9" x14ac:dyDescent="0.25">
      <c r="B59" s="99" t="s">
        <v>1289</v>
      </c>
      <c r="C59" s="501">
        <v>176.68</v>
      </c>
      <c r="D59" s="628">
        <f>C59/C58-1</f>
        <v>-2.4890998399470066E-2</v>
      </c>
      <c r="E59" s="501">
        <v>265</v>
      </c>
      <c r="F59" s="628">
        <f>E59/E58-1</f>
        <v>5.6492445082326537E-2</v>
      </c>
    </row>
    <row r="60" spans="1:9" x14ac:dyDescent="0.25">
      <c r="B60" s="99" t="s">
        <v>1290</v>
      </c>
      <c r="C60" s="501">
        <v>183.2</v>
      </c>
      <c r="D60" s="628">
        <f>C60/C59-1</f>
        <v>3.6902875254697598E-2</v>
      </c>
      <c r="E60" s="501">
        <v>275.92</v>
      </c>
      <c r="F60" s="628">
        <f>E60/E59-1</f>
        <v>4.1207547169811454E-2</v>
      </c>
      <c r="G60" s="697">
        <f>C60*(1+D61)</f>
        <v>188.55</v>
      </c>
    </row>
    <row r="61" spans="1:9" x14ac:dyDescent="0.25">
      <c r="B61" s="99" t="s">
        <v>177</v>
      </c>
      <c r="C61" s="501">
        <v>188.55</v>
      </c>
      <c r="D61" s="628">
        <f>C61/C60-1</f>
        <v>2.9203056768559055E-2</v>
      </c>
      <c r="E61" s="501">
        <v>284.42</v>
      </c>
      <c r="F61" s="628">
        <f>E61/E60-1</f>
        <v>3.0806030733546041E-2</v>
      </c>
      <c r="G61" s="697">
        <f>C61*(1+D62)</f>
        <v>196.62</v>
      </c>
    </row>
    <row r="62" spans="1:9" x14ac:dyDescent="0.25">
      <c r="B62" s="99" t="s">
        <v>178</v>
      </c>
      <c r="C62" s="501">
        <v>196.62</v>
      </c>
      <c r="D62" s="628">
        <f>C62/C61-1</f>
        <v>4.280031821797925E-2</v>
      </c>
      <c r="E62" s="501">
        <v>299.92</v>
      </c>
      <c r="F62" s="628">
        <f>E62/E61-1</f>
        <v>5.4496870824836563E-2</v>
      </c>
      <c r="G62" s="697">
        <f>C62*(1+D63)</f>
        <v>199.91999999999996</v>
      </c>
    </row>
    <row r="63" spans="1:9" x14ac:dyDescent="0.25">
      <c r="B63" s="99" t="s">
        <v>179</v>
      </c>
      <c r="C63" s="501">
        <v>199.92</v>
      </c>
      <c r="D63" s="628">
        <f>C63/C62-1</f>
        <v>1.6783643576441687E-2</v>
      </c>
      <c r="E63" s="501">
        <v>322.5</v>
      </c>
      <c r="F63" s="628">
        <f>E63/E62-1</f>
        <v>7.5286743131501632E-2</v>
      </c>
      <c r="G63" s="697"/>
    </row>
    <row r="64" spans="1:9" x14ac:dyDescent="0.25">
      <c r="B64" s="99" t="s">
        <v>1425</v>
      </c>
      <c r="C64" s="2230">
        <f>AVERAGE(D59:D63)</f>
        <v>2.0159779083641506E-2</v>
      </c>
      <c r="D64" s="2232"/>
      <c r="E64" s="2230">
        <f>AVERAGE(F59:F63)</f>
        <v>5.1657927388404447E-2</v>
      </c>
      <c r="F64" s="2232"/>
    </row>
    <row r="65" spans="1:6" x14ac:dyDescent="0.25">
      <c r="B65" s="99" t="s">
        <v>1426</v>
      </c>
      <c r="C65" s="2238">
        <v>0.3</v>
      </c>
      <c r="D65" s="2232"/>
      <c r="E65" s="2238">
        <v>0.7</v>
      </c>
      <c r="F65" s="2232"/>
    </row>
    <row r="66" spans="1:6" x14ac:dyDescent="0.25">
      <c r="B66" s="99" t="s">
        <v>1427</v>
      </c>
      <c r="C66" s="2245">
        <f>(C65*C64)+(E65*E64)</f>
        <v>4.2208482896975562E-2</v>
      </c>
      <c r="D66" s="2246"/>
      <c r="E66" s="2246"/>
      <c r="F66" s="2247"/>
    </row>
    <row r="67" spans="1:6" x14ac:dyDescent="0.25">
      <c r="B67" s="99" t="s">
        <v>1428</v>
      </c>
      <c r="C67" s="2238">
        <v>0.01</v>
      </c>
      <c r="D67" s="2231"/>
      <c r="E67" s="2231"/>
      <c r="F67" s="2232"/>
    </row>
    <row r="68" spans="1:6" x14ac:dyDescent="0.25">
      <c r="B68" s="99" t="s">
        <v>1429</v>
      </c>
      <c r="C68" s="2230">
        <f>C66-C67</f>
        <v>3.220848289697556E-2</v>
      </c>
      <c r="D68" s="2231"/>
      <c r="E68" s="2231"/>
      <c r="F68" s="2232"/>
    </row>
    <row r="69" spans="1:6" ht="13" thickBot="1" x14ac:dyDescent="0.3">
      <c r="B69"/>
      <c r="C69"/>
      <c r="D69"/>
      <c r="E69"/>
      <c r="F69"/>
    </row>
    <row r="70" spans="1:6" ht="39.5" thickBot="1" x14ac:dyDescent="0.3">
      <c r="A70" s="826" t="s">
        <v>1431</v>
      </c>
      <c r="B70" s="825" t="s">
        <v>746</v>
      </c>
      <c r="C70" s="785" t="s">
        <v>1291</v>
      </c>
      <c r="D70" s="785" t="s">
        <v>1422</v>
      </c>
      <c r="E70" s="785" t="s">
        <v>1423</v>
      </c>
      <c r="F70" s="785" t="s">
        <v>1424</v>
      </c>
    </row>
    <row r="71" spans="1:6" x14ac:dyDescent="0.25">
      <c r="B71" s="99" t="s">
        <v>1289</v>
      </c>
      <c r="C71" s="501">
        <v>109.71666666666665</v>
      </c>
      <c r="D71" s="99"/>
      <c r="E71" s="501">
        <v>265</v>
      </c>
      <c r="F71" s="99"/>
    </row>
    <row r="72" spans="1:6" x14ac:dyDescent="0.25">
      <c r="B72" s="99" t="s">
        <v>1290</v>
      </c>
      <c r="C72" s="501">
        <v>111.61666666666667</v>
      </c>
      <c r="D72" s="628">
        <f>C72/C71-1</f>
        <v>1.7317332523165918E-2</v>
      </c>
      <c r="E72" s="501">
        <v>275.91666666666669</v>
      </c>
      <c r="F72" s="628">
        <f>E72/E71-1</f>
        <v>4.1194968553459166E-2</v>
      </c>
    </row>
    <row r="73" spans="1:6" x14ac:dyDescent="0.25">
      <c r="B73" s="99" t="s">
        <v>177</v>
      </c>
      <c r="C73" s="501">
        <v>114.87499999999999</v>
      </c>
      <c r="D73" s="628">
        <f>C73/C72-1</f>
        <v>2.9192175601015169E-2</v>
      </c>
      <c r="E73" s="501">
        <v>284.41666666666669</v>
      </c>
      <c r="F73" s="628">
        <f>E73/E72-1</f>
        <v>3.0806402899426155E-2</v>
      </c>
    </row>
    <row r="74" spans="1:6" x14ac:dyDescent="0.25">
      <c r="B74" s="99" t="s">
        <v>178</v>
      </c>
      <c r="C74" s="501">
        <v>119.79166666666669</v>
      </c>
      <c r="D74" s="628">
        <f>C74/C73-1</f>
        <v>4.2800145085237773E-2</v>
      </c>
      <c r="E74" s="501">
        <v>299.91666666666669</v>
      </c>
      <c r="F74" s="628">
        <f>E74/E73-1</f>
        <v>5.4497509522414278E-2</v>
      </c>
    </row>
    <row r="75" spans="1:6" x14ac:dyDescent="0.25">
      <c r="B75" s="99" t="s">
        <v>179</v>
      </c>
      <c r="C75" s="501">
        <v>121.80000000000001</v>
      </c>
      <c r="D75" s="628">
        <f>C75/C74-1</f>
        <v>1.676521739130421E-2</v>
      </c>
      <c r="E75" s="501">
        <v>322.5</v>
      </c>
      <c r="F75" s="628">
        <f>E75/E74-1</f>
        <v>7.5298694081689321E-2</v>
      </c>
    </row>
    <row r="76" spans="1:6" x14ac:dyDescent="0.25">
      <c r="B76" s="99" t="s">
        <v>186</v>
      </c>
      <c r="C76" s="501">
        <v>123.375</v>
      </c>
      <c r="D76" s="628">
        <f>C76/C75-1</f>
        <v>1.2931034482758452E-2</v>
      </c>
      <c r="E76" s="501">
        <v>338.69399999999996</v>
      </c>
      <c r="F76" s="628">
        <f>E76/E75-1</f>
        <v>5.0213953488371876E-2</v>
      </c>
    </row>
    <row r="77" spans="1:6" x14ac:dyDescent="0.25">
      <c r="B77" s="99" t="s">
        <v>1425</v>
      </c>
      <c r="C77" s="2230">
        <f>AVERAGE(D72:D76)</f>
        <v>2.3801181016696305E-2</v>
      </c>
      <c r="D77" s="2232"/>
      <c r="E77" s="2230">
        <f>AVERAGE(F72:F76)</f>
        <v>5.0402305709072157E-2</v>
      </c>
      <c r="F77" s="2232"/>
    </row>
    <row r="78" spans="1:6" x14ac:dyDescent="0.25">
      <c r="B78" s="99" t="s">
        <v>1426</v>
      </c>
      <c r="C78" s="2238">
        <v>0.3</v>
      </c>
      <c r="D78" s="2232"/>
      <c r="E78" s="2238">
        <v>0.7</v>
      </c>
      <c r="F78" s="2232"/>
    </row>
    <row r="79" spans="1:6" x14ac:dyDescent="0.25">
      <c r="B79" s="99" t="s">
        <v>1427</v>
      </c>
      <c r="C79" s="2245">
        <f>(C78*C77)+(E78*E77)</f>
        <v>4.24219683013594E-2</v>
      </c>
      <c r="D79" s="2246"/>
      <c r="E79" s="2246"/>
      <c r="F79" s="2247"/>
    </row>
    <row r="80" spans="1:6" x14ac:dyDescent="0.25">
      <c r="B80" s="99" t="s">
        <v>1428</v>
      </c>
      <c r="C80" s="2230">
        <f>W24</f>
        <v>2.9124712652300877E-3</v>
      </c>
      <c r="D80" s="2242"/>
      <c r="E80" s="2242"/>
      <c r="F80" s="2243"/>
    </row>
    <row r="81" spans="1:7" x14ac:dyDescent="0.25">
      <c r="B81" s="99" t="s">
        <v>1429</v>
      </c>
      <c r="C81" s="2230">
        <f>C79-C80</f>
        <v>3.9509497036129312E-2</v>
      </c>
      <c r="D81" s="2231"/>
      <c r="E81" s="2231"/>
      <c r="F81" s="2232"/>
    </row>
    <row r="82" spans="1:7" ht="13" thickBot="1" x14ac:dyDescent="0.3"/>
    <row r="83" spans="1:7" ht="39.5" thickBot="1" x14ac:dyDescent="0.3">
      <c r="A83" s="826" t="s">
        <v>1432</v>
      </c>
      <c r="B83" s="825" t="s">
        <v>746</v>
      </c>
      <c r="C83" s="785" t="s">
        <v>1291</v>
      </c>
      <c r="D83" s="785" t="s">
        <v>1422</v>
      </c>
      <c r="E83" s="785" t="s">
        <v>1423</v>
      </c>
      <c r="F83" s="785" t="s">
        <v>1424</v>
      </c>
    </row>
    <row r="84" spans="1:7" x14ac:dyDescent="0.25">
      <c r="B84" s="99" t="s">
        <v>1290</v>
      </c>
      <c r="C84" s="501">
        <v>111.61666666666667</v>
      </c>
      <c r="D84" s="99"/>
      <c r="E84" s="501">
        <v>275.91666666666669</v>
      </c>
      <c r="F84" s="99"/>
    </row>
    <row r="85" spans="1:7" x14ac:dyDescent="0.25">
      <c r="B85" s="99" t="s">
        <v>177</v>
      </c>
      <c r="C85" s="501">
        <v>114.87499999999999</v>
      </c>
      <c r="D85" s="628">
        <f>C85/C84-1</f>
        <v>2.9192175601015169E-2</v>
      </c>
      <c r="E85" s="501">
        <v>284.41666666666669</v>
      </c>
      <c r="F85" s="628">
        <f>E85/E84-1</f>
        <v>3.0806402899426155E-2</v>
      </c>
    </row>
    <row r="86" spans="1:7" x14ac:dyDescent="0.25">
      <c r="B86" s="99" t="s">
        <v>178</v>
      </c>
      <c r="C86" s="501">
        <v>119.79166666666669</v>
      </c>
      <c r="D86" s="628">
        <f>C86/C85-1</f>
        <v>4.2800145085237773E-2</v>
      </c>
      <c r="E86" s="501">
        <v>299.91666666666669</v>
      </c>
      <c r="F86" s="628">
        <f>E86/E85-1</f>
        <v>5.4497509522414278E-2</v>
      </c>
    </row>
    <row r="87" spans="1:7" x14ac:dyDescent="0.25">
      <c r="B87" s="99" t="s">
        <v>179</v>
      </c>
      <c r="C87" s="501">
        <v>121.80000000000001</v>
      </c>
      <c r="D87" s="628">
        <f>C87/C86-1</f>
        <v>1.676521739130421E-2</v>
      </c>
      <c r="E87" s="501">
        <v>322.5</v>
      </c>
      <c r="F87" s="628">
        <f>E87/E86-1</f>
        <v>7.5298694081689321E-2</v>
      </c>
      <c r="G87" s="1480">
        <v>6934.88</v>
      </c>
    </row>
    <row r="88" spans="1:7" x14ac:dyDescent="0.25">
      <c r="B88" s="99" t="s">
        <v>186</v>
      </c>
      <c r="C88" s="501">
        <v>123.375</v>
      </c>
      <c r="D88" s="628">
        <f>C88/C87-1</f>
        <v>1.2931034482758452E-2</v>
      </c>
      <c r="E88" s="501">
        <v>338.69399999999996</v>
      </c>
      <c r="F88" s="628">
        <f>E88/E87-1</f>
        <v>5.0213953488371876E-2</v>
      </c>
      <c r="G88" s="1480">
        <v>7229.07</v>
      </c>
    </row>
    <row r="89" spans="1:7" x14ac:dyDescent="0.25">
      <c r="B89" s="99" t="s">
        <v>426</v>
      </c>
      <c r="C89" s="501">
        <v>139.40833333333333</v>
      </c>
      <c r="D89" s="628">
        <f>C89/C88-1</f>
        <v>0.12995609591354262</v>
      </c>
      <c r="E89" s="501">
        <v>356.06400000000002</v>
      </c>
      <c r="F89" s="628">
        <f>E89/E88-1</f>
        <v>5.1285230916402691E-2</v>
      </c>
      <c r="G89" s="1481">
        <f>G88/G87-1</f>
        <v>4.2421786678356277E-2</v>
      </c>
    </row>
    <row r="90" spans="1:7" ht="13" x14ac:dyDescent="0.3">
      <c r="B90" s="469" t="s">
        <v>1425</v>
      </c>
      <c r="C90" s="2233">
        <f>AVERAGE(D85:D89)</f>
        <v>4.6328933694771646E-2</v>
      </c>
      <c r="D90" s="2234"/>
      <c r="E90" s="2233">
        <f>AVERAGE(F85:F89)</f>
        <v>5.2420358181660867E-2</v>
      </c>
      <c r="F90" s="2234"/>
      <c r="G90" s="468">
        <f>AVERAGE(D87:D89)</f>
        <v>5.3217449262535098E-2</v>
      </c>
    </row>
    <row r="91" spans="1:7" x14ac:dyDescent="0.25">
      <c r="B91" s="99" t="s">
        <v>1426</v>
      </c>
      <c r="C91" s="2238">
        <v>0.3</v>
      </c>
      <c r="D91" s="2232"/>
      <c r="E91" s="2238">
        <v>0.7</v>
      </c>
      <c r="F91" s="2232"/>
    </row>
    <row r="92" spans="1:7" ht="13" x14ac:dyDescent="0.3">
      <c r="B92" s="469" t="s">
        <v>1427</v>
      </c>
      <c r="C92" s="2239">
        <f>(C91*C90)+(E91*E90)</f>
        <v>5.0592930835594102E-2</v>
      </c>
      <c r="D92" s="2240"/>
      <c r="E92" s="2240"/>
      <c r="F92" s="2241"/>
    </row>
    <row r="93" spans="1:7" x14ac:dyDescent="0.25">
      <c r="B93" s="99" t="s">
        <v>1428</v>
      </c>
      <c r="C93" s="2230">
        <f>W25</f>
        <v>1.6068197325747047E-3</v>
      </c>
      <c r="D93" s="2242"/>
      <c r="E93" s="2242"/>
      <c r="F93" s="2243"/>
    </row>
    <row r="94" spans="1:7" ht="13" x14ac:dyDescent="0.3">
      <c r="B94" s="469" t="s">
        <v>1429</v>
      </c>
      <c r="C94" s="2233">
        <f>C92-C93</f>
        <v>4.8986111103019397E-2</v>
      </c>
      <c r="D94" s="2244"/>
      <c r="E94" s="2244"/>
      <c r="F94" s="2234"/>
    </row>
    <row r="98" spans="2:6" ht="87" x14ac:dyDescent="0.25">
      <c r="B98" s="439" t="s">
        <v>186</v>
      </c>
      <c r="C98" s="689" t="s">
        <v>1453</v>
      </c>
      <c r="D98" s="691" t="s">
        <v>1455</v>
      </c>
      <c r="E98" s="691" t="s">
        <v>1454</v>
      </c>
      <c r="F98" s="691" t="s">
        <v>1456</v>
      </c>
    </row>
    <row r="99" spans="2:6" x14ac:dyDescent="0.25">
      <c r="C99" s="823">
        <v>43922</v>
      </c>
      <c r="D99" s="501">
        <f>B27</f>
        <v>329</v>
      </c>
      <c r="E99" s="501">
        <v>0</v>
      </c>
      <c r="F99" s="501">
        <v>0</v>
      </c>
    </row>
    <row r="100" spans="2:6" x14ac:dyDescent="0.25">
      <c r="C100" s="823">
        <v>43952</v>
      </c>
      <c r="D100" s="501">
        <f>C27</f>
        <v>330</v>
      </c>
      <c r="E100" s="501">
        <v>0</v>
      </c>
      <c r="F100" s="501">
        <v>0</v>
      </c>
    </row>
    <row r="101" spans="2:6" x14ac:dyDescent="0.25">
      <c r="C101" s="823">
        <v>43983</v>
      </c>
      <c r="D101" s="501">
        <f>D27</f>
        <v>332</v>
      </c>
      <c r="E101" s="501">
        <v>0</v>
      </c>
      <c r="F101" s="501">
        <v>0</v>
      </c>
    </row>
    <row r="102" spans="2:6" x14ac:dyDescent="0.25">
      <c r="C102" s="823">
        <v>44013</v>
      </c>
      <c r="D102" s="501">
        <f>E27</f>
        <v>336</v>
      </c>
      <c r="E102" s="501">
        <v>0</v>
      </c>
      <c r="F102" s="501">
        <v>0</v>
      </c>
    </row>
    <row r="103" spans="2:6" x14ac:dyDescent="0.25">
      <c r="C103" s="823">
        <v>44044</v>
      </c>
      <c r="D103" s="501">
        <f>F27</f>
        <v>338</v>
      </c>
      <c r="E103" s="501">
        <v>0</v>
      </c>
      <c r="F103" s="501">
        <v>0</v>
      </c>
    </row>
    <row r="104" spans="2:6" x14ac:dyDescent="0.25">
      <c r="C104" s="823">
        <v>44075</v>
      </c>
      <c r="D104" s="501">
        <v>0</v>
      </c>
      <c r="E104" s="501">
        <v>118.1</v>
      </c>
      <c r="F104" s="501">
        <f t="shared" ref="F104:F110" si="5">E104*$U$4</f>
        <v>340.12799999999999</v>
      </c>
    </row>
    <row r="105" spans="2:6" x14ac:dyDescent="0.25">
      <c r="C105" s="823">
        <v>44105</v>
      </c>
      <c r="D105" s="501">
        <v>0</v>
      </c>
      <c r="E105" s="501">
        <v>119.5</v>
      </c>
      <c r="F105" s="501">
        <f t="shared" si="5"/>
        <v>344.15999999999997</v>
      </c>
    </row>
    <row r="106" spans="2:6" x14ac:dyDescent="0.25">
      <c r="C106" s="823">
        <v>44136</v>
      </c>
      <c r="D106" s="501">
        <v>0</v>
      </c>
      <c r="E106" s="501">
        <v>119.9</v>
      </c>
      <c r="F106" s="501">
        <f t="shared" si="5"/>
        <v>345.31200000000001</v>
      </c>
    </row>
    <row r="107" spans="2:6" x14ac:dyDescent="0.25">
      <c r="C107" s="823">
        <v>44166</v>
      </c>
      <c r="D107" s="501">
        <v>0</v>
      </c>
      <c r="E107" s="501">
        <v>118.8</v>
      </c>
      <c r="F107" s="501">
        <f t="shared" si="5"/>
        <v>342.14400000000001</v>
      </c>
    </row>
    <row r="108" spans="2:6" x14ac:dyDescent="0.25">
      <c r="C108" s="823">
        <v>44197</v>
      </c>
      <c r="D108" s="501">
        <v>0</v>
      </c>
      <c r="E108" s="501">
        <v>118.2</v>
      </c>
      <c r="F108" s="501">
        <f t="shared" si="5"/>
        <v>340.416</v>
      </c>
    </row>
    <row r="109" spans="2:6" x14ac:dyDescent="0.25">
      <c r="C109" s="823">
        <v>44228</v>
      </c>
      <c r="D109" s="501">
        <v>0</v>
      </c>
      <c r="E109" s="501">
        <v>119</v>
      </c>
      <c r="F109" s="501">
        <f t="shared" si="5"/>
        <v>342.71999999999997</v>
      </c>
    </row>
    <row r="110" spans="2:6" x14ac:dyDescent="0.25">
      <c r="C110" s="823">
        <v>44256</v>
      </c>
      <c r="D110" s="501">
        <v>0</v>
      </c>
      <c r="E110" s="501">
        <v>119.6</v>
      </c>
      <c r="F110" s="501">
        <f t="shared" si="5"/>
        <v>344.44799999999998</v>
      </c>
    </row>
    <row r="111" spans="2:6" ht="13" x14ac:dyDescent="0.25">
      <c r="C111" s="824" t="s">
        <v>1457</v>
      </c>
      <c r="D111" s="2235">
        <f>AVERAGE(D99:D103,F104:F110)</f>
        <v>338.69399999999996</v>
      </c>
      <c r="E111" s="2236"/>
      <c r="F111" s="2237"/>
    </row>
    <row r="113" spans="2:8" ht="101.5" x14ac:dyDescent="0.25">
      <c r="B113" s="439" t="s">
        <v>1620</v>
      </c>
      <c r="C113" s="689" t="s">
        <v>1453</v>
      </c>
      <c r="D113" s="691" t="s">
        <v>1454</v>
      </c>
      <c r="E113" s="691" t="s">
        <v>1456</v>
      </c>
    </row>
    <row r="114" spans="2:8" x14ac:dyDescent="0.25">
      <c r="C114" s="823">
        <v>44287</v>
      </c>
      <c r="D114" s="501">
        <f>AC7</f>
        <v>120.1</v>
      </c>
      <c r="E114" s="1416">
        <f>2.88*D114</f>
        <v>345.88799999999998</v>
      </c>
      <c r="F114" s="501">
        <f>AC8</f>
        <v>345.88799999999998</v>
      </c>
      <c r="G114" s="439" t="b">
        <f>E114=F114</f>
        <v>1</v>
      </c>
    </row>
    <row r="115" spans="2:8" x14ac:dyDescent="0.25">
      <c r="C115" s="823">
        <v>44317</v>
      </c>
      <c r="D115" s="501">
        <f>AD7</f>
        <v>120.6</v>
      </c>
      <c r="E115" s="1416">
        <f t="shared" ref="E115:E125" si="6">2.88*D115</f>
        <v>347.32799999999997</v>
      </c>
      <c r="F115" s="501">
        <f>AD8</f>
        <v>347.32799999999997</v>
      </c>
      <c r="G115" s="439" t="b">
        <f t="shared" ref="G115:G125" si="7">E115=F115</f>
        <v>1</v>
      </c>
    </row>
    <row r="116" spans="2:8" x14ac:dyDescent="0.25">
      <c r="C116" s="823">
        <v>44348</v>
      </c>
      <c r="D116" s="501">
        <f>AE7</f>
        <v>121.7</v>
      </c>
      <c r="E116" s="1416">
        <f t="shared" si="6"/>
        <v>350.49599999999998</v>
      </c>
      <c r="F116" s="501">
        <f>AE8</f>
        <v>350.49599999999998</v>
      </c>
      <c r="G116" s="439" t="b">
        <f t="shared" si="7"/>
        <v>1</v>
      </c>
    </row>
    <row r="117" spans="2:8" x14ac:dyDescent="0.25">
      <c r="C117" s="823">
        <v>44378</v>
      </c>
      <c r="D117" s="501">
        <f>AF7</f>
        <v>122.8</v>
      </c>
      <c r="E117" s="1416">
        <f t="shared" si="6"/>
        <v>353.66399999999999</v>
      </c>
      <c r="F117" s="501">
        <f>AF8</f>
        <v>353.66399999999999</v>
      </c>
      <c r="G117" s="439" t="b">
        <f t="shared" si="7"/>
        <v>1</v>
      </c>
    </row>
    <row r="118" spans="2:8" x14ac:dyDescent="0.25">
      <c r="C118" s="823">
        <v>44409</v>
      </c>
      <c r="D118" s="501">
        <f>AG7</f>
        <v>123</v>
      </c>
      <c r="E118" s="1416">
        <f t="shared" si="6"/>
        <v>354.24</v>
      </c>
      <c r="F118" s="501">
        <f>AG8</f>
        <v>354.24</v>
      </c>
      <c r="G118" s="439" t="b">
        <f t="shared" si="7"/>
        <v>1</v>
      </c>
    </row>
    <row r="119" spans="2:8" x14ac:dyDescent="0.25">
      <c r="C119" s="823">
        <v>44440</v>
      </c>
      <c r="D119" s="501">
        <f>AH7</f>
        <v>123.3</v>
      </c>
      <c r="E119" s="1416">
        <f t="shared" si="6"/>
        <v>355.10399999999998</v>
      </c>
      <c r="F119" s="501">
        <f>AH8</f>
        <v>355.10399999999998</v>
      </c>
      <c r="G119" s="439" t="b">
        <f t="shared" si="7"/>
        <v>1</v>
      </c>
    </row>
    <row r="120" spans="2:8" x14ac:dyDescent="0.25">
      <c r="C120" s="823">
        <v>44470</v>
      </c>
      <c r="D120" s="501">
        <f>AI7</f>
        <v>124.9</v>
      </c>
      <c r="E120" s="1416">
        <f t="shared" si="6"/>
        <v>359.71199999999999</v>
      </c>
      <c r="F120" s="501">
        <f>AI8</f>
        <v>359.71199999999999</v>
      </c>
      <c r="G120" s="439" t="b">
        <f t="shared" si="7"/>
        <v>1</v>
      </c>
    </row>
    <row r="121" spans="2:8" x14ac:dyDescent="0.25">
      <c r="C121" s="823">
        <v>44501</v>
      </c>
      <c r="D121" s="501">
        <f>AJ7</f>
        <v>125.7</v>
      </c>
      <c r="E121" s="1416">
        <f t="shared" si="6"/>
        <v>362.01600000000002</v>
      </c>
      <c r="F121" s="501">
        <f>AJ8</f>
        <v>362.01600000000002</v>
      </c>
      <c r="G121" s="439" t="b">
        <f t="shared" si="7"/>
        <v>1</v>
      </c>
    </row>
    <row r="122" spans="2:8" x14ac:dyDescent="0.25">
      <c r="C122" s="823">
        <v>44531</v>
      </c>
      <c r="D122" s="501">
        <f>AK7</f>
        <v>125.4</v>
      </c>
      <c r="E122" s="1416">
        <f t="shared" si="6"/>
        <v>361.15199999999999</v>
      </c>
      <c r="F122" s="501">
        <f>AK8</f>
        <v>361.15199999999999</v>
      </c>
      <c r="G122" s="439" t="b">
        <f t="shared" si="7"/>
        <v>1</v>
      </c>
    </row>
    <row r="123" spans="2:8" x14ac:dyDescent="0.25">
      <c r="C123" s="823">
        <v>44562</v>
      </c>
      <c r="D123" s="501">
        <f>AL7</f>
        <v>125.1</v>
      </c>
      <c r="E123" s="1416">
        <f t="shared" si="6"/>
        <v>360.28799999999995</v>
      </c>
      <c r="F123" s="501">
        <f>AL8</f>
        <v>360.28799999999995</v>
      </c>
      <c r="G123" s="439" t="b">
        <f t="shared" si="7"/>
        <v>1</v>
      </c>
    </row>
    <row r="124" spans="2:8" x14ac:dyDescent="0.25">
      <c r="C124" s="823">
        <v>44593</v>
      </c>
      <c r="D124" s="501">
        <f>AM7</f>
        <v>125</v>
      </c>
      <c r="E124" s="1416">
        <f t="shared" si="6"/>
        <v>360</v>
      </c>
      <c r="F124" s="501">
        <f>AM8</f>
        <v>360</v>
      </c>
      <c r="G124" s="439" t="b">
        <f t="shared" si="7"/>
        <v>1</v>
      </c>
    </row>
    <row r="125" spans="2:8" x14ac:dyDescent="0.25">
      <c r="C125" s="823">
        <v>44621</v>
      </c>
      <c r="D125" s="501">
        <f>AN7</f>
        <v>126</v>
      </c>
      <c r="E125" s="1416">
        <f t="shared" si="6"/>
        <v>362.88</v>
      </c>
      <c r="F125" s="501">
        <f>AN8</f>
        <v>362.88</v>
      </c>
      <c r="G125" s="439" t="b">
        <f t="shared" si="7"/>
        <v>1</v>
      </c>
      <c r="H125" s="501"/>
    </row>
    <row r="126" spans="2:8" ht="13" x14ac:dyDescent="0.25">
      <c r="C126" s="824" t="s">
        <v>1457</v>
      </c>
      <c r="D126" s="2235">
        <f>AVERAGE(E114:E125)</f>
        <v>356.06400000000002</v>
      </c>
      <c r="E126" s="2236"/>
      <c r="F126" s="1415"/>
    </row>
  </sheetData>
  <mergeCells count="25">
    <mergeCell ref="D126:E126"/>
    <mergeCell ref="C67:F67"/>
    <mergeCell ref="E65:F65"/>
    <mergeCell ref="C66:F66"/>
    <mergeCell ref="U4:U5"/>
    <mergeCell ref="S4:T5"/>
    <mergeCell ref="C64:D64"/>
    <mergeCell ref="E64:F64"/>
    <mergeCell ref="C65:D65"/>
    <mergeCell ref="C68:F68"/>
    <mergeCell ref="C77:D77"/>
    <mergeCell ref="E77:F77"/>
    <mergeCell ref="C78:D78"/>
    <mergeCell ref="E78:F78"/>
    <mergeCell ref="C79:F79"/>
    <mergeCell ref="C80:F80"/>
    <mergeCell ref="C81:F81"/>
    <mergeCell ref="C90:D90"/>
    <mergeCell ref="E90:F90"/>
    <mergeCell ref="D111:F111"/>
    <mergeCell ref="C91:D91"/>
    <mergeCell ref="E91:F91"/>
    <mergeCell ref="C92:F92"/>
    <mergeCell ref="C93:F93"/>
    <mergeCell ref="C94:F94"/>
  </mergeCells>
  <hyperlinks>
    <hyperlink ref="A17" r:id="rId1"/>
    <hyperlink ref="A3" r:id="rId2"/>
    <hyperlink ref="A4" r:id="rId3"/>
  </hyperlinks>
  <pageMargins left="0.7" right="0.7" top="0.75" bottom="0.75" header="0.3" footer="0.3"/>
  <pageSetup orientation="portrait" r:id="rId4"/>
  <legacy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view="pageBreakPreview" topLeftCell="D27" zoomScale="67" zoomScaleNormal="100" zoomScaleSheetLayoutView="70" workbookViewId="0">
      <selection activeCell="I32" sqref="I32"/>
    </sheetView>
  </sheetViews>
  <sheetFormatPr defaultColWidth="9.1796875" defaultRowHeight="14" x14ac:dyDescent="0.3"/>
  <cols>
    <col min="1" max="1" width="4.1796875" style="119" customWidth="1"/>
    <col min="2" max="2" width="6.26953125" style="119" customWidth="1"/>
    <col min="3" max="3" width="41.81640625" style="119" bestFit="1" customWidth="1"/>
    <col min="4" max="4" width="10.81640625" style="119" bestFit="1" customWidth="1"/>
    <col min="5" max="22" width="13.1796875" style="426" customWidth="1"/>
    <col min="23" max="23" width="13.1796875" style="119" customWidth="1"/>
    <col min="24" max="16384" width="9.1796875" style="119"/>
  </cols>
  <sheetData>
    <row r="1" spans="2:23" x14ac:dyDescent="0.3">
      <c r="B1" s="41"/>
    </row>
    <row r="2" spans="2:23" x14ac:dyDescent="0.3">
      <c r="B2" s="2202" t="s">
        <v>1027</v>
      </c>
      <c r="C2" s="2257"/>
      <c r="D2" s="2257"/>
      <c r="E2" s="2257"/>
      <c r="F2" s="2257"/>
      <c r="G2" s="2257"/>
      <c r="H2" s="2257"/>
      <c r="I2" s="2257"/>
      <c r="J2" s="2257"/>
      <c r="K2" s="2257"/>
      <c r="L2" s="2257"/>
      <c r="M2" s="2257"/>
      <c r="N2" s="2257"/>
      <c r="O2" s="2257"/>
      <c r="P2" s="2257"/>
      <c r="Q2" s="2257"/>
      <c r="R2" s="2257"/>
      <c r="S2" s="2257"/>
      <c r="T2" s="893"/>
    </row>
    <row r="3" spans="2:23" x14ac:dyDescent="0.3">
      <c r="B3" s="2202" t="s">
        <v>849</v>
      </c>
      <c r="C3" s="2202"/>
      <c r="D3" s="2202"/>
      <c r="E3" s="2202"/>
      <c r="F3" s="2202"/>
      <c r="G3" s="2202"/>
      <c r="H3" s="2202"/>
      <c r="I3" s="2202"/>
      <c r="J3" s="2202"/>
      <c r="K3" s="2202"/>
      <c r="L3" s="2202"/>
      <c r="M3" s="2202"/>
      <c r="N3" s="2202"/>
      <c r="O3" s="2202"/>
      <c r="P3" s="2202"/>
      <c r="Q3" s="2202"/>
      <c r="R3" s="2202"/>
      <c r="S3" s="2202"/>
      <c r="T3" s="523"/>
    </row>
    <row r="4" spans="2:23" x14ac:dyDescent="0.3">
      <c r="B4" s="2202" t="s">
        <v>775</v>
      </c>
      <c r="C4" s="2257"/>
      <c r="D4" s="2257"/>
      <c r="E4" s="2257"/>
      <c r="F4" s="2257"/>
      <c r="G4" s="2257"/>
      <c r="H4" s="2257"/>
      <c r="I4" s="2257"/>
      <c r="J4" s="2257"/>
      <c r="K4" s="2257"/>
      <c r="L4" s="2257"/>
      <c r="M4" s="2257"/>
      <c r="N4" s="2257"/>
      <c r="O4" s="2257"/>
      <c r="P4" s="2257"/>
      <c r="Q4" s="2257"/>
      <c r="R4" s="2257"/>
      <c r="S4" s="2257"/>
      <c r="T4" s="893"/>
    </row>
    <row r="5" spans="2:23" x14ac:dyDescent="0.3">
      <c r="B5" s="1023"/>
      <c r="C5" s="1026"/>
      <c r="D5" s="1026"/>
      <c r="E5" s="893"/>
      <c r="F5" s="893"/>
      <c r="G5" s="893"/>
      <c r="H5" s="893"/>
      <c r="I5" s="893"/>
      <c r="J5" s="893"/>
      <c r="K5" s="893"/>
      <c r="L5" s="893"/>
      <c r="M5" s="893"/>
      <c r="N5" s="893"/>
      <c r="O5" s="893"/>
      <c r="P5" s="893"/>
      <c r="Q5" s="893"/>
      <c r="R5" s="893"/>
      <c r="S5" s="893"/>
      <c r="T5" s="893"/>
    </row>
    <row r="6" spans="2:23" x14ac:dyDescent="0.3">
      <c r="B6" s="1023"/>
      <c r="C6" s="1026"/>
      <c r="D6" s="1026"/>
      <c r="E6" s="893"/>
      <c r="F6" s="893"/>
      <c r="G6" s="893"/>
      <c r="H6" s="893"/>
      <c r="I6" s="893"/>
      <c r="J6" s="893"/>
      <c r="K6" s="893"/>
      <c r="L6" s="893"/>
      <c r="M6" s="893"/>
      <c r="N6" s="893"/>
      <c r="O6" s="893"/>
      <c r="P6" s="893"/>
      <c r="Q6" s="893"/>
      <c r="R6" s="893"/>
      <c r="S6" s="893"/>
      <c r="T6" s="893"/>
    </row>
    <row r="7" spans="2:23" x14ac:dyDescent="0.3">
      <c r="B7" s="125" t="s">
        <v>282</v>
      </c>
      <c r="C7" s="42"/>
      <c r="D7" s="42"/>
      <c r="E7" s="524"/>
      <c r="F7" s="524"/>
      <c r="G7" s="524"/>
      <c r="H7" s="524"/>
      <c r="I7" s="524"/>
      <c r="J7" s="524"/>
      <c r="K7" s="524"/>
      <c r="L7" s="524"/>
      <c r="M7" s="524"/>
      <c r="N7" s="524"/>
      <c r="O7" s="524"/>
      <c r="P7" s="524"/>
      <c r="Q7" s="524"/>
    </row>
    <row r="8" spans="2:23" x14ac:dyDescent="0.3">
      <c r="W8" s="21" t="s">
        <v>16</v>
      </c>
    </row>
    <row r="9" spans="2:23" s="15" customFormat="1" x14ac:dyDescent="0.25">
      <c r="B9" s="2177" t="s">
        <v>187</v>
      </c>
      <c r="C9" s="2182" t="s">
        <v>50</v>
      </c>
      <c r="D9" s="2182" t="s">
        <v>10</v>
      </c>
      <c r="E9" s="2190" t="s">
        <v>804</v>
      </c>
      <c r="F9" s="2197"/>
      <c r="G9" s="2191"/>
      <c r="H9" s="2190" t="s">
        <v>186</v>
      </c>
      <c r="I9" s="2197"/>
      <c r="J9" s="2191"/>
      <c r="K9" s="2190" t="s">
        <v>426</v>
      </c>
      <c r="L9" s="2197"/>
      <c r="M9" s="2191"/>
      <c r="N9" s="2190" t="s">
        <v>427</v>
      </c>
      <c r="O9" s="2197"/>
      <c r="P9" s="2197"/>
      <c r="Q9" s="2197"/>
      <c r="R9" s="2191"/>
      <c r="S9" s="2190" t="s">
        <v>428</v>
      </c>
      <c r="T9" s="2191"/>
      <c r="U9" s="2190" t="s">
        <v>429</v>
      </c>
      <c r="V9" s="2191"/>
      <c r="W9" s="2174" t="s">
        <v>39</v>
      </c>
    </row>
    <row r="10" spans="2:23" s="15" customFormat="1" ht="42" x14ac:dyDescent="0.25">
      <c r="B10" s="2178"/>
      <c r="C10" s="2182"/>
      <c r="D10" s="2182"/>
      <c r="E10" s="1025" t="s">
        <v>404</v>
      </c>
      <c r="F10" s="1022" t="s">
        <v>405</v>
      </c>
      <c r="G10" s="1022" t="s">
        <v>406</v>
      </c>
      <c r="H10" s="1025" t="s">
        <v>404</v>
      </c>
      <c r="I10" s="1022" t="s">
        <v>405</v>
      </c>
      <c r="J10" s="1022" t="s">
        <v>406</v>
      </c>
      <c r="K10" s="1025" t="s">
        <v>404</v>
      </c>
      <c r="L10" s="1022" t="s">
        <v>405</v>
      </c>
      <c r="M10" s="1022" t="s">
        <v>406</v>
      </c>
      <c r="N10" s="1022" t="s">
        <v>404</v>
      </c>
      <c r="O10" s="1022" t="s">
        <v>408</v>
      </c>
      <c r="P10" s="1022" t="s">
        <v>333</v>
      </c>
      <c r="Q10" s="1022" t="s">
        <v>72</v>
      </c>
      <c r="R10" s="1022" t="s">
        <v>409</v>
      </c>
      <c r="S10" s="1022" t="s">
        <v>404</v>
      </c>
      <c r="T10" s="1022" t="s">
        <v>805</v>
      </c>
      <c r="U10" s="1022" t="s">
        <v>404</v>
      </c>
      <c r="V10" s="1022" t="s">
        <v>805</v>
      </c>
      <c r="W10" s="2174"/>
    </row>
    <row r="11" spans="2:23" s="15" customFormat="1" x14ac:dyDescent="0.25">
      <c r="B11" s="2258"/>
      <c r="C11" s="2259"/>
      <c r="D11" s="2259"/>
      <c r="E11" s="1022" t="s">
        <v>73</v>
      </c>
      <c r="F11" s="1022" t="s">
        <v>74</v>
      </c>
      <c r="G11" s="1022" t="s">
        <v>806</v>
      </c>
      <c r="H11" s="1022" t="s">
        <v>411</v>
      </c>
      <c r="I11" s="1022" t="s">
        <v>412</v>
      </c>
      <c r="J11" s="1022" t="s">
        <v>439</v>
      </c>
      <c r="K11" s="1022" t="s">
        <v>668</v>
      </c>
      <c r="L11" s="1022" t="s">
        <v>582</v>
      </c>
      <c r="M11" s="1022" t="s">
        <v>675</v>
      </c>
      <c r="N11" s="1022" t="s">
        <v>782</v>
      </c>
      <c r="O11" s="1022" t="s">
        <v>583</v>
      </c>
      <c r="P11" s="1022" t="s">
        <v>760</v>
      </c>
      <c r="Q11" s="1022" t="s">
        <v>807</v>
      </c>
      <c r="R11" s="1022" t="s">
        <v>808</v>
      </c>
      <c r="S11" s="1022" t="s">
        <v>784</v>
      </c>
      <c r="T11" s="1022" t="s">
        <v>762</v>
      </c>
      <c r="U11" s="1022" t="s">
        <v>763</v>
      </c>
      <c r="V11" s="1022" t="s">
        <v>764</v>
      </c>
      <c r="W11" s="2260"/>
    </row>
    <row r="12" spans="2:23" s="60" customFormat="1" x14ac:dyDescent="0.25">
      <c r="B12" s="110">
        <v>1</v>
      </c>
      <c r="C12" s="107" t="s">
        <v>84</v>
      </c>
      <c r="D12" s="212" t="s">
        <v>60</v>
      </c>
      <c r="E12" s="395"/>
      <c r="F12" s="374"/>
      <c r="G12" s="395"/>
      <c r="H12" s="395"/>
      <c r="I12" s="395"/>
      <c r="J12" s="395"/>
      <c r="K12" s="395"/>
      <c r="L12" s="395"/>
      <c r="M12" s="395"/>
      <c r="N12" s="395"/>
      <c r="O12" s="395"/>
      <c r="P12" s="395"/>
      <c r="Q12" s="395"/>
      <c r="R12" s="395"/>
      <c r="S12" s="395"/>
      <c r="T12" s="395"/>
      <c r="U12" s="395"/>
      <c r="V12" s="395"/>
      <c r="W12" s="1027"/>
    </row>
    <row r="13" spans="2:23" s="60" customFormat="1" x14ac:dyDescent="0.25">
      <c r="B13" s="110">
        <f>B12+1</f>
        <v>2</v>
      </c>
      <c r="C13" s="61" t="s">
        <v>85</v>
      </c>
      <c r="D13" s="212" t="s">
        <v>61</v>
      </c>
      <c r="E13" s="2212">
        <f>65%*E42</f>
        <v>376.76600000000002</v>
      </c>
      <c r="F13" s="423">
        <f>F3.2!D26</f>
        <v>227.87699999999998</v>
      </c>
      <c r="G13" s="2212">
        <f>SUM(F13:F15)-E13</f>
        <v>-26.299000000000035</v>
      </c>
      <c r="H13" s="2212">
        <f>65%*H42</f>
        <v>367.601</v>
      </c>
      <c r="I13" s="423">
        <f>F3.2!E26</f>
        <v>268.57350000000002</v>
      </c>
      <c r="J13" s="2212">
        <f>SUM(I13:I15)-H13</f>
        <v>16.4255</v>
      </c>
      <c r="K13" s="2212">
        <f>65%*K42</f>
        <v>378.01399999999995</v>
      </c>
      <c r="L13" s="423">
        <f>F3.2!F26</f>
        <v>288.80363630625004</v>
      </c>
      <c r="M13" s="2212">
        <f>SUM(L13:L15)-K13</f>
        <v>36.818973592177201</v>
      </c>
      <c r="N13" s="2212">
        <f>65%*N42</f>
        <v>388.73249999999996</v>
      </c>
      <c r="O13" s="2254">
        <f>Q13/2</f>
        <v>210.02672897086168</v>
      </c>
      <c r="P13" s="2254">
        <f>Q13/2</f>
        <v>210.02672897086168</v>
      </c>
      <c r="Q13" s="2254">
        <f>F3.1!N11</f>
        <v>420.05345794172337</v>
      </c>
      <c r="R13" s="2212">
        <f>SUM(Q13:Q15)-N13</f>
        <v>31.320957941723407</v>
      </c>
      <c r="S13" s="2212">
        <f>65%*S42</f>
        <v>399.74350000000004</v>
      </c>
      <c r="T13" s="2254">
        <f>F3.1!Q11</f>
        <v>440.63024330166411</v>
      </c>
      <c r="U13" s="2212">
        <f>65%*U42</f>
        <v>411.07299999999998</v>
      </c>
      <c r="V13" s="2254">
        <f>F3.1!S11</f>
        <v>462.21500535538991</v>
      </c>
      <c r="W13" s="61"/>
    </row>
    <row r="14" spans="2:23" s="60" customFormat="1" x14ac:dyDescent="0.25">
      <c r="B14" s="110">
        <f>B13+1</f>
        <v>3</v>
      </c>
      <c r="C14" s="61" t="s">
        <v>86</v>
      </c>
      <c r="D14" s="212" t="s">
        <v>62</v>
      </c>
      <c r="E14" s="2213"/>
      <c r="F14" s="423">
        <f>F3.3!D27</f>
        <v>72.260500000000008</v>
      </c>
      <c r="G14" s="2213"/>
      <c r="H14" s="2213"/>
      <c r="I14" s="423">
        <f>F3.3!E27</f>
        <v>85.091499999999996</v>
      </c>
      <c r="J14" s="2213"/>
      <c r="K14" s="2213"/>
      <c r="L14" s="423">
        <f>F3.3!F27</f>
        <v>89.600578738577084</v>
      </c>
      <c r="M14" s="2213"/>
      <c r="N14" s="2213"/>
      <c r="O14" s="2255"/>
      <c r="P14" s="2255"/>
      <c r="Q14" s="2255"/>
      <c r="R14" s="2213"/>
      <c r="S14" s="2213"/>
      <c r="T14" s="2255"/>
      <c r="U14" s="2213"/>
      <c r="V14" s="2255"/>
      <c r="W14" s="61"/>
    </row>
    <row r="15" spans="2:23" s="62" customFormat="1" x14ac:dyDescent="0.25">
      <c r="B15" s="110">
        <f>B14+1</f>
        <v>4</v>
      </c>
      <c r="C15" s="61" t="s">
        <v>87</v>
      </c>
      <c r="D15" s="212" t="s">
        <v>63</v>
      </c>
      <c r="E15" s="2214"/>
      <c r="F15" s="423">
        <f>F3.4!D21</f>
        <v>50.329500000000003</v>
      </c>
      <c r="G15" s="2214"/>
      <c r="H15" s="2214"/>
      <c r="I15" s="423">
        <f>F3.4!E21</f>
        <v>30.361500000000003</v>
      </c>
      <c r="J15" s="2214"/>
      <c r="K15" s="2214"/>
      <c r="L15" s="423">
        <f>F3.4!F21</f>
        <v>36.42875854735</v>
      </c>
      <c r="M15" s="2214"/>
      <c r="N15" s="2214"/>
      <c r="O15" s="2256"/>
      <c r="P15" s="2256"/>
      <c r="Q15" s="2256"/>
      <c r="R15" s="2214"/>
      <c r="S15" s="2214"/>
      <c r="T15" s="2256"/>
      <c r="U15" s="2214"/>
      <c r="V15" s="2256"/>
      <c r="W15" s="61"/>
    </row>
    <row r="16" spans="2:23" s="62" customFormat="1" x14ac:dyDescent="0.25">
      <c r="B16" s="110">
        <v>5</v>
      </c>
      <c r="C16" s="61" t="s">
        <v>672</v>
      </c>
      <c r="D16" s="161"/>
      <c r="E16" s="1028"/>
      <c r="F16" s="1192"/>
      <c r="G16" s="1192"/>
      <c r="H16" s="1192">
        <f>F3.1!D30</f>
        <v>0</v>
      </c>
      <c r="I16" s="1192">
        <f>F3.1!E30</f>
        <v>0</v>
      </c>
      <c r="J16" s="1192">
        <f>F3.1!F30</f>
        <v>0</v>
      </c>
      <c r="K16" s="1192">
        <f>F3.1!G30</f>
        <v>0</v>
      </c>
      <c r="L16" s="1192">
        <f>F3.1!H30</f>
        <v>0</v>
      </c>
      <c r="M16" s="1192">
        <f>F3.1!I30</f>
        <v>0</v>
      </c>
      <c r="N16" s="1192">
        <f>F3.1!J30</f>
        <v>0</v>
      </c>
      <c r="O16" s="1192">
        <f>F3.1!K30</f>
        <v>0</v>
      </c>
      <c r="P16" s="1192">
        <f>F3.1!L30</f>
        <v>0</v>
      </c>
      <c r="Q16" s="1192">
        <f>F3.1!M30</f>
        <v>0</v>
      </c>
      <c r="R16" s="1192">
        <f>F3.1!N30</f>
        <v>0</v>
      </c>
      <c r="S16" s="1192">
        <f>F3.1!O30</f>
        <v>0</v>
      </c>
      <c r="T16" s="1192">
        <f>F3.1!P30</f>
        <v>0</v>
      </c>
      <c r="U16" s="1192">
        <f>F3.1!Q30</f>
        <v>0</v>
      </c>
      <c r="V16" s="1192">
        <f>F3.1!R30</f>
        <v>0</v>
      </c>
      <c r="W16" s="61"/>
    </row>
    <row r="17" spans="1:23" s="45" customFormat="1" ht="30.65" customHeight="1" x14ac:dyDescent="0.25">
      <c r="B17" s="110">
        <v>6</v>
      </c>
      <c r="C17" s="111" t="s">
        <v>315</v>
      </c>
      <c r="D17" s="112"/>
      <c r="E17" s="361">
        <f>SUM(E13:E16)</f>
        <v>376.76600000000002</v>
      </c>
      <c r="F17" s="361">
        <f>SUM(F13:F16)</f>
        <v>350.46699999999998</v>
      </c>
      <c r="G17" s="395">
        <f>F17-E17</f>
        <v>-26.299000000000035</v>
      </c>
      <c r="H17" s="361">
        <f>SUM(H13:H16)</f>
        <v>367.601</v>
      </c>
      <c r="I17" s="361">
        <f>SUM(I13:I16)</f>
        <v>384.0265</v>
      </c>
      <c r="J17" s="361">
        <f>I17-H17</f>
        <v>16.4255</v>
      </c>
      <c r="K17" s="361">
        <f>SUM(K13:K16)</f>
        <v>378.01399999999995</v>
      </c>
      <c r="L17" s="361">
        <f>SUM(L13:L16)</f>
        <v>414.83297359217715</v>
      </c>
      <c r="M17" s="361">
        <f>L17-K17</f>
        <v>36.818973592177201</v>
      </c>
      <c r="N17" s="361">
        <f t="shared" ref="N17:U17" si="0">SUM(N13:N16)</f>
        <v>388.73249999999996</v>
      </c>
      <c r="O17" s="361">
        <f t="shared" si="0"/>
        <v>210.02672897086168</v>
      </c>
      <c r="P17" s="361">
        <f t="shared" si="0"/>
        <v>210.02672897086168</v>
      </c>
      <c r="Q17" s="361">
        <f t="shared" si="0"/>
        <v>420.05345794172337</v>
      </c>
      <c r="R17" s="361">
        <f t="shared" si="0"/>
        <v>31.320957941723407</v>
      </c>
      <c r="S17" s="361">
        <f t="shared" si="0"/>
        <v>399.74350000000004</v>
      </c>
      <c r="T17" s="361">
        <f>F3.1!Q16</f>
        <v>440.63024330166411</v>
      </c>
      <c r="U17" s="361">
        <f t="shared" si="0"/>
        <v>411.07299999999998</v>
      </c>
      <c r="V17" s="361">
        <f>F3.1!S16</f>
        <v>462.21500535538991</v>
      </c>
      <c r="W17" s="113"/>
    </row>
    <row r="18" spans="1:23" s="45" customFormat="1" x14ac:dyDescent="0.25">
      <c r="B18" s="195"/>
      <c r="C18" s="196"/>
      <c r="D18" s="197"/>
      <c r="E18" s="424"/>
      <c r="F18" s="424"/>
      <c r="G18" s="424"/>
      <c r="H18" s="424"/>
      <c r="I18" s="424"/>
      <c r="J18" s="424"/>
      <c r="K18" s="424"/>
      <c r="L18" s="526"/>
      <c r="M18" s="526"/>
      <c r="N18" s="526"/>
      <c r="O18" s="526"/>
      <c r="P18" s="526"/>
      <c r="Q18" s="526"/>
      <c r="R18" s="526"/>
      <c r="S18" s="526"/>
      <c r="T18" s="526"/>
      <c r="U18" s="519"/>
      <c r="V18" s="519"/>
    </row>
    <row r="19" spans="1:23" s="1" customFormat="1" x14ac:dyDescent="0.3">
      <c r="A19" s="119"/>
      <c r="B19" s="15" t="s">
        <v>809</v>
      </c>
      <c r="E19" s="425"/>
      <c r="F19" s="425"/>
      <c r="G19" s="425"/>
      <c r="H19" s="425"/>
      <c r="I19" s="425"/>
      <c r="J19" s="425"/>
      <c r="K19" s="425"/>
      <c r="L19" s="425"/>
      <c r="M19" s="425"/>
      <c r="N19" s="425"/>
      <c r="O19" s="426"/>
      <c r="P19" s="426"/>
      <c r="Q19" s="426"/>
      <c r="R19" s="426"/>
      <c r="S19" s="426"/>
      <c r="T19" s="426"/>
      <c r="U19" s="425"/>
      <c r="V19" s="425"/>
    </row>
    <row r="20" spans="1:23" s="1" customFormat="1" x14ac:dyDescent="0.3">
      <c r="A20" s="119"/>
      <c r="B20" s="15"/>
      <c r="E20" s="425"/>
      <c r="F20" s="425"/>
      <c r="G20" s="425"/>
      <c r="H20" s="425"/>
      <c r="I20" s="425"/>
      <c r="J20" s="425"/>
      <c r="K20" s="425"/>
      <c r="L20" s="425"/>
      <c r="M20" s="425"/>
      <c r="N20" s="425"/>
      <c r="O20" s="426"/>
      <c r="P20" s="426"/>
      <c r="Q20" s="426"/>
      <c r="R20" s="426"/>
      <c r="S20" s="426"/>
      <c r="T20" s="426"/>
      <c r="U20" s="425"/>
      <c r="V20" s="425"/>
    </row>
    <row r="22" spans="1:23" x14ac:dyDescent="0.3">
      <c r="B22" s="125" t="s">
        <v>283</v>
      </c>
    </row>
    <row r="23" spans="1:23" x14ac:dyDescent="0.3">
      <c r="W23" s="21" t="s">
        <v>16</v>
      </c>
    </row>
    <row r="24" spans="1:23" s="15" customFormat="1" x14ac:dyDescent="0.25">
      <c r="B24" s="2177" t="s">
        <v>187</v>
      </c>
      <c r="C24" s="2182" t="s">
        <v>50</v>
      </c>
      <c r="D24" s="2182" t="s">
        <v>10</v>
      </c>
      <c r="E24" s="2190" t="s">
        <v>804</v>
      </c>
      <c r="F24" s="2197"/>
      <c r="G24" s="2191"/>
      <c r="H24" s="2190" t="s">
        <v>186</v>
      </c>
      <c r="I24" s="2197"/>
      <c r="J24" s="2191"/>
      <c r="K24" s="2190" t="s">
        <v>426</v>
      </c>
      <c r="L24" s="2197"/>
      <c r="M24" s="2191"/>
      <c r="N24" s="2190" t="s">
        <v>427</v>
      </c>
      <c r="O24" s="2197"/>
      <c r="P24" s="2197"/>
      <c r="Q24" s="2197"/>
      <c r="R24" s="2191"/>
      <c r="S24" s="2190" t="s">
        <v>428</v>
      </c>
      <c r="T24" s="2191"/>
      <c r="U24" s="2190" t="s">
        <v>429</v>
      </c>
      <c r="V24" s="2191"/>
      <c r="W24" s="2174" t="s">
        <v>39</v>
      </c>
    </row>
    <row r="25" spans="1:23" s="15" customFormat="1" ht="42" x14ac:dyDescent="0.25">
      <c r="B25" s="2178"/>
      <c r="C25" s="2182"/>
      <c r="D25" s="2182"/>
      <c r="E25" s="1025" t="s">
        <v>404</v>
      </c>
      <c r="F25" s="1022" t="s">
        <v>405</v>
      </c>
      <c r="G25" s="1022" t="s">
        <v>406</v>
      </c>
      <c r="H25" s="1025" t="s">
        <v>404</v>
      </c>
      <c r="I25" s="1022" t="s">
        <v>405</v>
      </c>
      <c r="J25" s="1022" t="s">
        <v>406</v>
      </c>
      <c r="K25" s="1025" t="s">
        <v>404</v>
      </c>
      <c r="L25" s="1022" t="s">
        <v>405</v>
      </c>
      <c r="M25" s="1022" t="s">
        <v>406</v>
      </c>
      <c r="N25" s="1022" t="s">
        <v>404</v>
      </c>
      <c r="O25" s="1022" t="s">
        <v>408</v>
      </c>
      <c r="P25" s="1022" t="s">
        <v>333</v>
      </c>
      <c r="Q25" s="1022" t="s">
        <v>72</v>
      </c>
      <c r="R25" s="1022" t="s">
        <v>409</v>
      </c>
      <c r="S25" s="1022" t="s">
        <v>404</v>
      </c>
      <c r="T25" s="1022" t="s">
        <v>805</v>
      </c>
      <c r="U25" s="1022" t="s">
        <v>404</v>
      </c>
      <c r="V25" s="1022" t="s">
        <v>805</v>
      </c>
      <c r="W25" s="2174"/>
    </row>
    <row r="26" spans="1:23" s="15" customFormat="1" x14ac:dyDescent="0.25">
      <c r="B26" s="2258"/>
      <c r="C26" s="2259"/>
      <c r="D26" s="2259"/>
      <c r="E26" s="1022" t="s">
        <v>73</v>
      </c>
      <c r="F26" s="1022" t="s">
        <v>74</v>
      </c>
      <c r="G26" s="1022" t="s">
        <v>806</v>
      </c>
      <c r="H26" s="1022" t="s">
        <v>411</v>
      </c>
      <c r="I26" s="1022" t="s">
        <v>412</v>
      </c>
      <c r="J26" s="1022" t="s">
        <v>439</v>
      </c>
      <c r="K26" s="1022" t="s">
        <v>668</v>
      </c>
      <c r="L26" s="1022" t="s">
        <v>582</v>
      </c>
      <c r="M26" s="1022" t="s">
        <v>675</v>
      </c>
      <c r="N26" s="1022" t="s">
        <v>782</v>
      </c>
      <c r="O26" s="1022" t="s">
        <v>583</v>
      </c>
      <c r="P26" s="1022" t="s">
        <v>760</v>
      </c>
      <c r="Q26" s="1022" t="s">
        <v>807</v>
      </c>
      <c r="R26" s="1022" t="s">
        <v>808</v>
      </c>
      <c r="S26" s="1022" t="s">
        <v>784</v>
      </c>
      <c r="T26" s="1022" t="s">
        <v>762</v>
      </c>
      <c r="U26" s="1022" t="s">
        <v>763</v>
      </c>
      <c r="V26" s="1022" t="s">
        <v>764</v>
      </c>
      <c r="W26" s="2260"/>
    </row>
    <row r="27" spans="1:23" s="60" customFormat="1" x14ac:dyDescent="0.25">
      <c r="B27" s="110">
        <v>1</v>
      </c>
      <c r="C27" s="107" t="s">
        <v>84</v>
      </c>
      <c r="D27" s="212" t="s">
        <v>60</v>
      </c>
      <c r="E27" s="395"/>
      <c r="F27" s="395"/>
      <c r="G27" s="395"/>
      <c r="H27" s="395"/>
      <c r="I27" s="395"/>
      <c r="J27" s="395"/>
      <c r="K27" s="395"/>
      <c r="L27" s="374"/>
      <c r="M27" s="374"/>
      <c r="N27" s="374"/>
      <c r="O27" s="1029"/>
      <c r="P27" s="1029"/>
      <c r="Q27" s="1029"/>
      <c r="R27" s="1029"/>
      <c r="S27" s="1029"/>
      <c r="T27" s="1029"/>
      <c r="U27" s="1029"/>
      <c r="V27" s="1029"/>
      <c r="W27" s="1027"/>
    </row>
    <row r="28" spans="1:23" s="60" customFormat="1" x14ac:dyDescent="0.25">
      <c r="B28" s="110">
        <f>B27+1</f>
        <v>2</v>
      </c>
      <c r="C28" s="61" t="s">
        <v>85</v>
      </c>
      <c r="D28" s="212" t="s">
        <v>61</v>
      </c>
      <c r="E28" s="2212">
        <f>0.35*E42</f>
        <v>202.874</v>
      </c>
      <c r="F28" s="374">
        <f>F3.2!D49</f>
        <v>122.70299999999999</v>
      </c>
      <c r="G28" s="2212">
        <f>SUM(F28:F30)-E28</f>
        <v>-14.161000000000001</v>
      </c>
      <c r="H28" s="2212">
        <f>0.35*H42</f>
        <v>197.93899999999996</v>
      </c>
      <c r="I28" s="395">
        <f>F3.2!E49</f>
        <v>144.6165</v>
      </c>
      <c r="J28" s="2212">
        <f>SUM(I28:I30)-H28</f>
        <v>8.8445000000000391</v>
      </c>
      <c r="K28" s="2212">
        <f>0.35*K42</f>
        <v>203.54599999999996</v>
      </c>
      <c r="L28" s="423">
        <f>F3.2!F49</f>
        <v>155.50965031875</v>
      </c>
      <c r="M28" s="2212">
        <f>SUM(L28:L30)-K28</f>
        <v>19.825601165018469</v>
      </c>
      <c r="N28" s="2212">
        <f>0.35*N42</f>
        <v>209.31749999999997</v>
      </c>
      <c r="O28" s="2254">
        <f>Q28/2</f>
        <v>113.09131559969474</v>
      </c>
      <c r="P28" s="2254">
        <f>Q28/2</f>
        <v>113.09131559969474</v>
      </c>
      <c r="Q28" s="2254">
        <f>F3.1!N41</f>
        <v>226.18263119938948</v>
      </c>
      <c r="R28" s="2212">
        <f>SUM(Q28:Q30)-N28</f>
        <v>16.865131199389509</v>
      </c>
      <c r="S28" s="2212">
        <f>0.35*S42</f>
        <v>215.2465</v>
      </c>
      <c r="T28" s="2254">
        <f>F3.1!Q41</f>
        <v>237.26243870089604</v>
      </c>
      <c r="U28" s="2212">
        <f>0.35*U42</f>
        <v>221.34699999999998</v>
      </c>
      <c r="V28" s="2254">
        <f>F3.1!S41</f>
        <v>248.88500288367146</v>
      </c>
      <c r="W28" s="61"/>
    </row>
    <row r="29" spans="1:23" s="60" customFormat="1" x14ac:dyDescent="0.25">
      <c r="B29" s="110">
        <f>B28+1</f>
        <v>3</v>
      </c>
      <c r="C29" s="61" t="s">
        <v>86</v>
      </c>
      <c r="D29" s="212" t="s">
        <v>62</v>
      </c>
      <c r="E29" s="2213"/>
      <c r="F29" s="423">
        <f>F3.3!D50</f>
        <v>38.909499999999994</v>
      </c>
      <c r="G29" s="2213"/>
      <c r="H29" s="2213"/>
      <c r="I29" s="395">
        <f>F3.3!E50</f>
        <v>45.818499999999993</v>
      </c>
      <c r="J29" s="2213"/>
      <c r="K29" s="2213"/>
      <c r="L29" s="423">
        <f>F3.3!F50</f>
        <v>48.246465474618425</v>
      </c>
      <c r="M29" s="2213"/>
      <c r="N29" s="2213"/>
      <c r="O29" s="2255"/>
      <c r="P29" s="2255"/>
      <c r="Q29" s="2255"/>
      <c r="R29" s="2213"/>
      <c r="S29" s="2213"/>
      <c r="T29" s="2255"/>
      <c r="U29" s="2213"/>
      <c r="V29" s="2255"/>
      <c r="W29" s="61"/>
    </row>
    <row r="30" spans="1:23" s="62" customFormat="1" x14ac:dyDescent="0.25">
      <c r="B30" s="110">
        <f>B29+1</f>
        <v>4</v>
      </c>
      <c r="C30" s="61" t="s">
        <v>87</v>
      </c>
      <c r="D30" s="212" t="s">
        <v>63</v>
      </c>
      <c r="E30" s="2214"/>
      <c r="F30" s="423">
        <f>F3.4!D39</f>
        <v>27.100500000000007</v>
      </c>
      <c r="G30" s="2214"/>
      <c r="H30" s="2214"/>
      <c r="I30" s="395">
        <f>F3.4!E39</f>
        <v>16.348499999999998</v>
      </c>
      <c r="J30" s="2214"/>
      <c r="K30" s="2214"/>
      <c r="L30" s="423">
        <f>F3.4!F39</f>
        <v>19.615485371649999</v>
      </c>
      <c r="M30" s="2214"/>
      <c r="N30" s="2214"/>
      <c r="O30" s="2256"/>
      <c r="P30" s="2256"/>
      <c r="Q30" s="2256"/>
      <c r="R30" s="2214"/>
      <c r="S30" s="2214"/>
      <c r="T30" s="2256"/>
      <c r="U30" s="2214"/>
      <c r="V30" s="2256"/>
      <c r="W30" s="61"/>
    </row>
    <row r="31" spans="1:23" s="62" customFormat="1" x14ac:dyDescent="0.25">
      <c r="B31" s="110">
        <v>5</v>
      </c>
      <c r="C31" s="61" t="s">
        <v>672</v>
      </c>
      <c r="D31" s="161"/>
      <c r="E31" s="1028"/>
      <c r="F31" s="1192"/>
      <c r="G31" s="1192"/>
      <c r="H31" s="1192">
        <f>F3.1!D60</f>
        <v>0</v>
      </c>
      <c r="I31" s="1192">
        <f>F3.1!E60</f>
        <v>0</v>
      </c>
      <c r="J31" s="1192">
        <f>F3.1!F60</f>
        <v>0</v>
      </c>
      <c r="K31" s="1192">
        <f>F3.1!G60</f>
        <v>0</v>
      </c>
      <c r="L31" s="1192">
        <f>F3.1!H60</f>
        <v>0</v>
      </c>
      <c r="M31" s="1192">
        <f>F3.1!I60</f>
        <v>0</v>
      </c>
      <c r="N31" s="1192">
        <f>F3.1!J60</f>
        <v>0</v>
      </c>
      <c r="O31" s="1192">
        <f>F3.1!K60</f>
        <v>0</v>
      </c>
      <c r="P31" s="1192">
        <f>F3.1!L60</f>
        <v>0</v>
      </c>
      <c r="Q31" s="1192">
        <f>F3.1!M60</f>
        <v>0</v>
      </c>
      <c r="R31" s="1192">
        <f>F3.1!N60</f>
        <v>0</v>
      </c>
      <c r="S31" s="1192">
        <f>F3.1!O60</f>
        <v>0</v>
      </c>
      <c r="T31" s="1192">
        <f>F3.1!P60</f>
        <v>47.513301797516867</v>
      </c>
      <c r="U31" s="1192">
        <f>F3.1!Q60</f>
        <v>0</v>
      </c>
      <c r="V31" s="1192">
        <f>F3.1!R60</f>
        <v>136.47784550657801</v>
      </c>
      <c r="W31" s="61"/>
    </row>
    <row r="32" spans="1:23" s="45" customFormat="1" ht="30.65" customHeight="1" x14ac:dyDescent="0.25">
      <c r="B32" s="110">
        <v>6</v>
      </c>
      <c r="C32" s="111" t="s">
        <v>315</v>
      </c>
      <c r="D32" s="112"/>
      <c r="E32" s="361">
        <f t="shared" ref="E32:S32" si="1">SUM(E28:E31)</f>
        <v>202.874</v>
      </c>
      <c r="F32" s="361">
        <f t="shared" si="1"/>
        <v>188.71299999999999</v>
      </c>
      <c r="G32" s="361">
        <f t="shared" si="1"/>
        <v>-14.161000000000001</v>
      </c>
      <c r="H32" s="361">
        <f t="shared" si="1"/>
        <v>197.93899999999996</v>
      </c>
      <c r="I32" s="361">
        <f t="shared" si="1"/>
        <v>206.7835</v>
      </c>
      <c r="J32" s="361">
        <f>I32-H32</f>
        <v>8.8445000000000391</v>
      </c>
      <c r="K32" s="361">
        <f>SUM(K28:K31)</f>
        <v>203.54599999999996</v>
      </c>
      <c r="L32" s="361">
        <f>SUM(L28:L31)</f>
        <v>223.37160116501843</v>
      </c>
      <c r="M32" s="361">
        <f>L32-K32</f>
        <v>19.825601165018469</v>
      </c>
      <c r="N32" s="361">
        <f t="shared" si="1"/>
        <v>209.31749999999997</v>
      </c>
      <c r="O32" s="361">
        <f t="shared" si="1"/>
        <v>113.09131559969474</v>
      </c>
      <c r="P32" s="361">
        <f t="shared" si="1"/>
        <v>113.09131559969474</v>
      </c>
      <c r="Q32" s="361">
        <f t="shared" si="1"/>
        <v>226.18263119938948</v>
      </c>
      <c r="R32" s="361">
        <f>Q32-N32</f>
        <v>16.865131199389509</v>
      </c>
      <c r="S32" s="361">
        <f t="shared" si="1"/>
        <v>215.2465</v>
      </c>
      <c r="T32" s="361">
        <f>F3.1!Q46+F3.1!P60</f>
        <v>284.77574049841292</v>
      </c>
      <c r="U32" s="361">
        <f>SUM(U28:U31)</f>
        <v>221.34699999999998</v>
      </c>
      <c r="V32" s="361">
        <f>F3.1!S46+F3.1!R60</f>
        <v>385.3628483902495</v>
      </c>
      <c r="W32" s="113"/>
    </row>
    <row r="33" spans="1:23" s="45" customFormat="1" x14ac:dyDescent="0.25">
      <c r="B33" s="195"/>
      <c r="C33" s="196"/>
      <c r="D33" s="197"/>
      <c r="E33" s="424"/>
      <c r="F33" s="424"/>
      <c r="G33" s="424"/>
      <c r="H33" s="424"/>
      <c r="I33" s="424"/>
      <c r="J33" s="424"/>
      <c r="K33" s="424"/>
      <c r="L33" s="526"/>
      <c r="M33" s="526"/>
      <c r="N33" s="526"/>
      <c r="O33" s="526"/>
      <c r="P33" s="526"/>
      <c r="Q33" s="526"/>
      <c r="R33" s="526"/>
      <c r="S33" s="526"/>
      <c r="T33" s="526"/>
      <c r="U33" s="519"/>
      <c r="V33" s="519"/>
    </row>
    <row r="34" spans="1:23" s="1" customFormat="1" x14ac:dyDescent="0.3">
      <c r="A34" s="119"/>
      <c r="B34" s="15" t="s">
        <v>809</v>
      </c>
      <c r="E34" s="425"/>
      <c r="F34" s="425"/>
      <c r="G34" s="425"/>
      <c r="H34" s="425"/>
      <c r="I34" s="425"/>
      <c r="J34" s="425"/>
      <c r="K34" s="425"/>
      <c r="L34" s="425"/>
      <c r="M34" s="425"/>
      <c r="N34" s="425"/>
      <c r="O34" s="426"/>
      <c r="P34" s="426"/>
      <c r="Q34" s="426"/>
      <c r="R34" s="426"/>
      <c r="S34" s="426"/>
      <c r="T34" s="426"/>
      <c r="U34" s="425"/>
      <c r="V34" s="425"/>
    </row>
    <row r="35" spans="1:23" x14ac:dyDescent="0.3">
      <c r="B35" s="15"/>
    </row>
    <row r="36" spans="1:23" x14ac:dyDescent="0.3">
      <c r="B36" s="125" t="s">
        <v>941</v>
      </c>
    </row>
    <row r="37" spans="1:23" x14ac:dyDescent="0.3">
      <c r="W37" s="21" t="s">
        <v>16</v>
      </c>
    </row>
    <row r="38" spans="1:23" x14ac:dyDescent="0.3">
      <c r="B38" s="2177" t="s">
        <v>187</v>
      </c>
      <c r="C38" s="2182" t="s">
        <v>50</v>
      </c>
      <c r="D38" s="2182" t="s">
        <v>10</v>
      </c>
      <c r="E38" s="2190" t="s">
        <v>804</v>
      </c>
      <c r="F38" s="2197"/>
      <c r="G38" s="2191"/>
      <c r="H38" s="2190" t="s">
        <v>186</v>
      </c>
      <c r="I38" s="2197"/>
      <c r="J38" s="2191"/>
      <c r="K38" s="2190" t="s">
        <v>426</v>
      </c>
      <c r="L38" s="2197"/>
      <c r="M38" s="2191"/>
      <c r="N38" s="2190" t="s">
        <v>427</v>
      </c>
      <c r="O38" s="2197"/>
      <c r="P38" s="2197"/>
      <c r="Q38" s="2197"/>
      <c r="R38" s="2191"/>
      <c r="S38" s="2190" t="s">
        <v>428</v>
      </c>
      <c r="T38" s="2191"/>
      <c r="U38" s="2190" t="s">
        <v>429</v>
      </c>
      <c r="V38" s="2191"/>
      <c r="W38" s="2174" t="s">
        <v>39</v>
      </c>
    </row>
    <row r="39" spans="1:23" ht="42" x14ac:dyDescent="0.3">
      <c r="B39" s="2178"/>
      <c r="C39" s="2182"/>
      <c r="D39" s="2182"/>
      <c r="E39" s="1025" t="s">
        <v>404</v>
      </c>
      <c r="F39" s="1022" t="s">
        <v>405</v>
      </c>
      <c r="G39" s="1022" t="s">
        <v>406</v>
      </c>
      <c r="H39" s="1025" t="s">
        <v>404</v>
      </c>
      <c r="I39" s="1022" t="s">
        <v>405</v>
      </c>
      <c r="J39" s="1022" t="s">
        <v>406</v>
      </c>
      <c r="K39" s="1025" t="s">
        <v>404</v>
      </c>
      <c r="L39" s="1022" t="s">
        <v>405</v>
      </c>
      <c r="M39" s="1022" t="s">
        <v>406</v>
      </c>
      <c r="N39" s="1022" t="s">
        <v>404</v>
      </c>
      <c r="O39" s="1022" t="s">
        <v>408</v>
      </c>
      <c r="P39" s="1022" t="s">
        <v>333</v>
      </c>
      <c r="Q39" s="1022" t="s">
        <v>72</v>
      </c>
      <c r="R39" s="1022" t="s">
        <v>409</v>
      </c>
      <c r="S39" s="1022" t="s">
        <v>404</v>
      </c>
      <c r="T39" s="1022" t="s">
        <v>805</v>
      </c>
      <c r="U39" s="1022" t="s">
        <v>404</v>
      </c>
      <c r="V39" s="1022" t="s">
        <v>805</v>
      </c>
      <c r="W39" s="2174"/>
    </row>
    <row r="40" spans="1:23" x14ac:dyDescent="0.3">
      <c r="B40" s="2258"/>
      <c r="C40" s="2259"/>
      <c r="D40" s="2259"/>
      <c r="E40" s="1022" t="s">
        <v>73</v>
      </c>
      <c r="F40" s="1022" t="s">
        <v>74</v>
      </c>
      <c r="G40" s="1022" t="s">
        <v>806</v>
      </c>
      <c r="H40" s="1022" t="s">
        <v>411</v>
      </c>
      <c r="I40" s="1022" t="s">
        <v>412</v>
      </c>
      <c r="J40" s="1022" t="s">
        <v>439</v>
      </c>
      <c r="K40" s="1022" t="s">
        <v>668</v>
      </c>
      <c r="L40" s="1022" t="s">
        <v>582</v>
      </c>
      <c r="M40" s="1022" t="s">
        <v>675</v>
      </c>
      <c r="N40" s="1022" t="s">
        <v>782</v>
      </c>
      <c r="O40" s="1022" t="s">
        <v>583</v>
      </c>
      <c r="P40" s="1022" t="s">
        <v>760</v>
      </c>
      <c r="Q40" s="1022" t="s">
        <v>807</v>
      </c>
      <c r="R40" s="1022" t="s">
        <v>808</v>
      </c>
      <c r="S40" s="1022" t="s">
        <v>784</v>
      </c>
      <c r="T40" s="1022" t="s">
        <v>762</v>
      </c>
      <c r="U40" s="1022" t="s">
        <v>763</v>
      </c>
      <c r="V40" s="1022" t="s">
        <v>764</v>
      </c>
      <c r="W40" s="2260"/>
    </row>
    <row r="41" spans="1:23" x14ac:dyDescent="0.3">
      <c r="B41" s="110">
        <v>1</v>
      </c>
      <c r="C41" s="107" t="s">
        <v>84</v>
      </c>
      <c r="D41" s="212" t="s">
        <v>60</v>
      </c>
      <c r="E41" s="395"/>
      <c r="F41" s="395"/>
      <c r="G41" s="395"/>
      <c r="H41" s="395"/>
      <c r="I41" s="395"/>
      <c r="J41" s="395"/>
      <c r="K41" s="395"/>
      <c r="L41" s="374"/>
      <c r="M41" s="374"/>
      <c r="N41" s="374"/>
      <c r="O41" s="1029"/>
      <c r="P41" s="1029"/>
      <c r="Q41" s="1029"/>
      <c r="R41" s="1029"/>
      <c r="S41" s="1029"/>
      <c r="T41" s="1029"/>
      <c r="U41" s="1029"/>
      <c r="V41" s="1029"/>
      <c r="W41" s="1027"/>
    </row>
    <row r="42" spans="1:23" x14ac:dyDescent="0.3">
      <c r="B42" s="110">
        <f>B41+1</f>
        <v>2</v>
      </c>
      <c r="C42" s="61" t="s">
        <v>85</v>
      </c>
      <c r="D42" s="212" t="s">
        <v>61</v>
      </c>
      <c r="E42" s="2212">
        <v>579.64</v>
      </c>
      <c r="F42" s="374">
        <f>F3.2!D73</f>
        <v>350.58000000000004</v>
      </c>
      <c r="G42" s="2212">
        <f>SUM(F42:F44)-E42</f>
        <v>-40.459999999999923</v>
      </c>
      <c r="H42" s="2212">
        <v>565.54</v>
      </c>
      <c r="I42" s="395">
        <f>F3.2!E73</f>
        <v>413.19000000000011</v>
      </c>
      <c r="J42" s="2212">
        <f>SUM(I42:I44)-H42</f>
        <v>25.270000000000209</v>
      </c>
      <c r="K42" s="2212">
        <v>581.55999999999995</v>
      </c>
      <c r="L42" s="423">
        <f>F3.2!F73</f>
        <v>444.31328662499999</v>
      </c>
      <c r="M42" s="2212">
        <f>SUM(L42:L44)-K42</f>
        <v>56.644574757195528</v>
      </c>
      <c r="N42" s="2212">
        <v>598.04999999999995</v>
      </c>
      <c r="O42" s="2254">
        <f>Q42/2</f>
        <v>323.11804457055644</v>
      </c>
      <c r="P42" s="2254">
        <f>Q42/2</f>
        <v>323.11804457055644</v>
      </c>
      <c r="Q42" s="2254">
        <f>F3.1!N69</f>
        <v>646.23608914111287</v>
      </c>
      <c r="R42" s="2212">
        <f>SUM(Q42:Q45)-N42</f>
        <v>48.186089141112916</v>
      </c>
      <c r="S42" s="2254">
        <v>614.99</v>
      </c>
      <c r="T42" s="2254">
        <f>F3.1!Q69</f>
        <v>677.89268200256015</v>
      </c>
      <c r="U42" s="2254">
        <v>632.41999999999996</v>
      </c>
      <c r="V42" s="2254">
        <f>F3.1!S69</f>
        <v>711.10000823906137</v>
      </c>
      <c r="W42" s="61"/>
    </row>
    <row r="43" spans="1:23" x14ac:dyDescent="0.3">
      <c r="B43" s="110">
        <f>B42+1</f>
        <v>3</v>
      </c>
      <c r="C43" s="61" t="s">
        <v>1534</v>
      </c>
      <c r="D43" s="212" t="s">
        <v>62</v>
      </c>
      <c r="E43" s="2213"/>
      <c r="F43" s="423">
        <f>F3.3!D73</f>
        <v>111.17000000000002</v>
      </c>
      <c r="G43" s="2213"/>
      <c r="H43" s="2213"/>
      <c r="I43" s="395">
        <f>F3.3!E73</f>
        <v>130.91</v>
      </c>
      <c r="J43" s="2213"/>
      <c r="K43" s="2213"/>
      <c r="L43" s="423">
        <f>F3.3!F73</f>
        <v>137.84704421319552</v>
      </c>
      <c r="M43" s="2213"/>
      <c r="N43" s="2213"/>
      <c r="O43" s="2255"/>
      <c r="P43" s="2255"/>
      <c r="Q43" s="2255"/>
      <c r="R43" s="2213"/>
      <c r="S43" s="2255"/>
      <c r="T43" s="2255"/>
      <c r="U43" s="2255"/>
      <c r="V43" s="2255"/>
      <c r="W43" s="61"/>
    </row>
    <row r="44" spans="1:23" x14ac:dyDescent="0.3">
      <c r="B44" s="110">
        <f>B43+1</f>
        <v>4</v>
      </c>
      <c r="C44" s="61" t="s">
        <v>1535</v>
      </c>
      <c r="D44" s="212" t="s">
        <v>63</v>
      </c>
      <c r="E44" s="2214"/>
      <c r="F44" s="423">
        <f>F3.4!D58</f>
        <v>77.430000000000007</v>
      </c>
      <c r="G44" s="2214"/>
      <c r="H44" s="2214"/>
      <c r="I44" s="395">
        <f>F3.4!E58</f>
        <v>46.709999999999994</v>
      </c>
      <c r="J44" s="2214"/>
      <c r="K44" s="2214"/>
      <c r="L44" s="423">
        <f>F3.4!F58</f>
        <v>56.044243919000003</v>
      </c>
      <c r="M44" s="2214"/>
      <c r="N44" s="2214"/>
      <c r="O44" s="2256"/>
      <c r="P44" s="2256"/>
      <c r="Q44" s="2256"/>
      <c r="R44" s="2214"/>
      <c r="S44" s="2256"/>
      <c r="T44" s="2256"/>
      <c r="U44" s="2256"/>
      <c r="V44" s="2256"/>
      <c r="W44" s="61"/>
    </row>
    <row r="45" spans="1:23" x14ac:dyDescent="0.3">
      <c r="B45" s="110">
        <v>5</v>
      </c>
      <c r="C45" s="61" t="s">
        <v>672</v>
      </c>
      <c r="D45" s="161"/>
      <c r="E45" s="1028"/>
      <c r="F45" s="423"/>
      <c r="G45" s="1028"/>
      <c r="H45" s="1028">
        <f>F3.1!D88</f>
        <v>0</v>
      </c>
      <c r="I45" s="1192">
        <f>F3.1!E88</f>
        <v>0</v>
      </c>
      <c r="J45" s="1192">
        <f>F3.1!F88</f>
        <v>0</v>
      </c>
      <c r="K45" s="1192">
        <f>F3.1!G88</f>
        <v>0</v>
      </c>
      <c r="L45" s="1192">
        <f>F3.1!H88</f>
        <v>0</v>
      </c>
      <c r="M45" s="1192">
        <f>F3.1!I88</f>
        <v>0</v>
      </c>
      <c r="N45" s="1192">
        <f>F3.1!J88</f>
        <v>0</v>
      </c>
      <c r="O45" s="1192">
        <f>F3.1!K88</f>
        <v>0</v>
      </c>
      <c r="P45" s="1192">
        <f>F3.1!L88</f>
        <v>0</v>
      </c>
      <c r="Q45" s="1192">
        <f>F3.1!M88</f>
        <v>0</v>
      </c>
      <c r="R45" s="1192">
        <f>F3.1!N88</f>
        <v>0</v>
      </c>
      <c r="S45" s="1192">
        <f>F3.1!O88</f>
        <v>0</v>
      </c>
      <c r="T45" s="1192">
        <f>F3.1!P88</f>
        <v>47.513301797516867</v>
      </c>
      <c r="U45" s="1192">
        <f>F3.1!Q88</f>
        <v>0</v>
      </c>
      <c r="V45" s="1192">
        <f>F3.1!R88</f>
        <v>136.47784550657801</v>
      </c>
      <c r="W45" s="61"/>
    </row>
    <row r="46" spans="1:23" x14ac:dyDescent="0.3">
      <c r="B46" s="110">
        <v>6</v>
      </c>
      <c r="C46" s="111" t="s">
        <v>315</v>
      </c>
      <c r="D46" s="112"/>
      <c r="E46" s="525">
        <f>SUM(E42:E45)</f>
        <v>579.64</v>
      </c>
      <c r="F46" s="525">
        <f>SUM(F42:F45)</f>
        <v>539.18000000000006</v>
      </c>
      <c r="G46" s="397">
        <f>F46-E46</f>
        <v>-40.459999999999923</v>
      </c>
      <c r="H46" s="525">
        <f>SUM(H42:H45)</f>
        <v>565.54</v>
      </c>
      <c r="I46" s="525">
        <f>SUM(I42:I45)</f>
        <v>590.81000000000017</v>
      </c>
      <c r="J46" s="397">
        <f>I46-H46</f>
        <v>25.270000000000209</v>
      </c>
      <c r="K46" s="525">
        <f>SUM(K42:K45)</f>
        <v>581.55999999999995</v>
      </c>
      <c r="L46" s="525">
        <f>SUM(L42:L45)</f>
        <v>638.20457475719547</v>
      </c>
      <c r="M46" s="397">
        <f>L46-K46</f>
        <v>56.644574757195528</v>
      </c>
      <c r="N46" s="525">
        <f>SUM(N42:N45)</f>
        <v>598.04999999999995</v>
      </c>
      <c r="O46" s="525">
        <f>SUM(O42:O45)</f>
        <v>323.11804457055644</v>
      </c>
      <c r="P46" s="525">
        <f>SUM(P42:P45)</f>
        <v>323.11804457055644</v>
      </c>
      <c r="Q46" s="525">
        <f>SUM(Q42:Q45)</f>
        <v>646.23608914111287</v>
      </c>
      <c r="R46" s="525">
        <f>N46-Q46</f>
        <v>-48.186089141112916</v>
      </c>
      <c r="S46" s="525">
        <f>SUM(S42:S45)</f>
        <v>614.99</v>
      </c>
      <c r="T46" s="525">
        <f>F3.1!Q74+F3.1!P88</f>
        <v>725.40598380007702</v>
      </c>
      <c r="U46" s="525">
        <f>SUM(U42:U45)</f>
        <v>632.41999999999996</v>
      </c>
      <c r="V46" s="525">
        <f>F3.1!S74+F3.1!R88</f>
        <v>847.57785374563935</v>
      </c>
      <c r="W46" s="113"/>
    </row>
    <row r="47" spans="1:23" x14ac:dyDescent="0.3">
      <c r="B47" s="195"/>
      <c r="C47" s="196"/>
      <c r="D47" s="197"/>
      <c r="E47" s="424"/>
      <c r="F47" s="424"/>
      <c r="G47" s="424"/>
      <c r="H47" s="424"/>
      <c r="I47" s="424">
        <f>I46-H46</f>
        <v>25.270000000000209</v>
      </c>
      <c r="J47" s="424"/>
      <c r="K47" s="424"/>
      <c r="L47" s="526"/>
      <c r="M47" s="526"/>
      <c r="N47" s="526"/>
      <c r="O47" s="526"/>
      <c r="P47" s="526"/>
      <c r="Q47" s="526"/>
      <c r="R47" s="526"/>
      <c r="S47" s="526"/>
      <c r="T47" s="526"/>
      <c r="U47" s="519"/>
      <c r="V47" s="519"/>
      <c r="W47" s="45"/>
    </row>
  </sheetData>
  <mergeCells count="78">
    <mergeCell ref="H28:H30"/>
    <mergeCell ref="S28:S30"/>
    <mergeCell ref="U28:U30"/>
    <mergeCell ref="S13:S15"/>
    <mergeCell ref="E28:E30"/>
    <mergeCell ref="K13:K15"/>
    <mergeCell ref="N13:N15"/>
    <mergeCell ref="M13:M15"/>
    <mergeCell ref="R13:R15"/>
    <mergeCell ref="E13:E15"/>
    <mergeCell ref="G13:G15"/>
    <mergeCell ref="G28:G30"/>
    <mergeCell ref="J28:J30"/>
    <mergeCell ref="J13:J15"/>
    <mergeCell ref="H13:H15"/>
    <mergeCell ref="T28:T30"/>
    <mergeCell ref="B38:B40"/>
    <mergeCell ref="C38:C40"/>
    <mergeCell ref="D38:D40"/>
    <mergeCell ref="E38:G38"/>
    <mergeCell ref="H38:J38"/>
    <mergeCell ref="K38:M38"/>
    <mergeCell ref="N38:R38"/>
    <mergeCell ref="U38:V38"/>
    <mergeCell ref="J42:J44"/>
    <mergeCell ref="H42:H44"/>
    <mergeCell ref="S38:T38"/>
    <mergeCell ref="K42:K44"/>
    <mergeCell ref="M42:M44"/>
    <mergeCell ref="N42:N44"/>
    <mergeCell ref="R42:R44"/>
    <mergeCell ref="S42:S44"/>
    <mergeCell ref="T42:T44"/>
    <mergeCell ref="V42:V44"/>
    <mergeCell ref="Q42:Q44"/>
    <mergeCell ref="P42:P44"/>
    <mergeCell ref="O42:O44"/>
    <mergeCell ref="E42:E44"/>
    <mergeCell ref="G42:G44"/>
    <mergeCell ref="W9:W11"/>
    <mergeCell ref="B9:B11"/>
    <mergeCell ref="C9:C11"/>
    <mergeCell ref="D9:D11"/>
    <mergeCell ref="K9:M9"/>
    <mergeCell ref="N9:R9"/>
    <mergeCell ref="E9:G9"/>
    <mergeCell ref="W38:W40"/>
    <mergeCell ref="W24:W26"/>
    <mergeCell ref="K28:K30"/>
    <mergeCell ref="M28:M30"/>
    <mergeCell ref="N28:N30"/>
    <mergeCell ref="R28:R30"/>
    <mergeCell ref="S24:T24"/>
    <mergeCell ref="U9:V9"/>
    <mergeCell ref="B24:B26"/>
    <mergeCell ref="C24:C26"/>
    <mergeCell ref="D24:D26"/>
    <mergeCell ref="K24:M24"/>
    <mergeCell ref="N24:R24"/>
    <mergeCell ref="E24:G24"/>
    <mergeCell ref="H24:J24"/>
    <mergeCell ref="U24:V24"/>
    <mergeCell ref="U13:U15"/>
    <mergeCell ref="T13:T15"/>
    <mergeCell ref="V13:V15"/>
    <mergeCell ref="B2:S2"/>
    <mergeCell ref="B3:S3"/>
    <mergeCell ref="B4:S4"/>
    <mergeCell ref="H9:J9"/>
    <mergeCell ref="S9:T9"/>
    <mergeCell ref="U42:U44"/>
    <mergeCell ref="V28:V30"/>
    <mergeCell ref="O13:O15"/>
    <mergeCell ref="P13:P15"/>
    <mergeCell ref="Q13:Q15"/>
    <mergeCell ref="O28:O30"/>
    <mergeCell ref="P28:P30"/>
    <mergeCell ref="Q28:Q30"/>
  </mergeCells>
  <pageMargins left="1.0236220472440944" right="0.23622047244094491" top="0.98425196850393704" bottom="0.98425196850393704" header="0.23622047244094491" footer="0.23622047244094491"/>
  <pageSetup paperSize="9" scale="40" fitToHeight="0" orientation="landscape" r:id="rId1"/>
  <headerFooter alignWithMargins="0">
    <oddHeader>&amp;F</oddHeader>
  </headerFooter>
  <rowBreaks count="1" manualBreakCount="1">
    <brk id="34"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8"/>
  <sheetViews>
    <sheetView showGridLines="0" view="pageBreakPreview" topLeftCell="D7" zoomScale="86" zoomScaleNormal="80" zoomScaleSheetLayoutView="80" workbookViewId="0">
      <selection activeCell="A21" sqref="A21"/>
    </sheetView>
  </sheetViews>
  <sheetFormatPr defaultColWidth="9.1796875" defaultRowHeight="14" x14ac:dyDescent="0.3"/>
  <cols>
    <col min="1" max="1" width="9.1796875" style="1"/>
    <col min="2" max="2" width="7.26953125" style="1" customWidth="1"/>
    <col min="3" max="3" width="31.453125" style="1" customWidth="1"/>
    <col min="4" max="4" width="13.26953125" style="1" customWidth="1"/>
    <col min="5" max="8" width="14.7265625" style="1" customWidth="1"/>
    <col min="9" max="18" width="13.7265625" style="1" customWidth="1"/>
    <col min="19" max="19" width="14.7265625" style="1" customWidth="1"/>
    <col min="20" max="20" width="11" style="1" customWidth="1"/>
    <col min="21" max="16384" width="9.1796875" style="1"/>
  </cols>
  <sheetData>
    <row r="1" spans="2:21" x14ac:dyDescent="0.3">
      <c r="B1" s="2270" t="s">
        <v>1027</v>
      </c>
      <c r="C1" s="2270"/>
      <c r="D1" s="2270"/>
      <c r="E1" s="2270"/>
      <c r="F1" s="2270"/>
      <c r="G1" s="2270"/>
      <c r="H1" s="2270"/>
      <c r="I1" s="2270"/>
      <c r="J1" s="2270"/>
      <c r="K1" s="2270"/>
    </row>
    <row r="2" spans="2:21" x14ac:dyDescent="0.3">
      <c r="B2" s="2202" t="s">
        <v>848</v>
      </c>
      <c r="C2" s="2202"/>
      <c r="D2" s="2202"/>
      <c r="E2" s="2202"/>
      <c r="F2" s="2202"/>
      <c r="G2" s="2202"/>
      <c r="H2" s="2202"/>
      <c r="I2" s="2202"/>
      <c r="J2" s="2202"/>
      <c r="K2" s="2202"/>
    </row>
    <row r="3" spans="2:21" x14ac:dyDescent="0.3">
      <c r="B3" s="2202" t="s">
        <v>777</v>
      </c>
      <c r="C3" s="2202"/>
      <c r="D3" s="2202"/>
      <c r="E3" s="2202"/>
      <c r="F3" s="2202"/>
      <c r="G3" s="2202"/>
      <c r="H3" s="2202"/>
      <c r="I3" s="2202"/>
      <c r="J3" s="2202"/>
      <c r="K3" s="2202"/>
    </row>
    <row r="4" spans="2:21" x14ac:dyDescent="0.3">
      <c r="B4" s="127"/>
      <c r="C4" s="127"/>
      <c r="D4" s="127"/>
      <c r="E4" s="127"/>
      <c r="F4" s="127"/>
      <c r="G4" s="127"/>
      <c r="H4" s="127"/>
      <c r="I4" s="127"/>
      <c r="J4" s="127"/>
      <c r="K4" s="127"/>
    </row>
    <row r="5" spans="2:21" x14ac:dyDescent="0.3">
      <c r="B5" s="125" t="s">
        <v>282</v>
      </c>
      <c r="C5" s="127"/>
      <c r="D5" s="127"/>
      <c r="E5" s="127"/>
      <c r="F5" s="127"/>
      <c r="G5" s="127"/>
      <c r="H5" s="127"/>
      <c r="I5" s="127"/>
      <c r="J5" s="127"/>
      <c r="K5" s="127"/>
    </row>
    <row r="6" spans="2:21" x14ac:dyDescent="0.3">
      <c r="B6" s="125"/>
      <c r="C6" s="127"/>
      <c r="D6" s="127"/>
      <c r="E6" s="127"/>
      <c r="F6" s="127"/>
      <c r="G6" s="127"/>
      <c r="H6" s="127"/>
      <c r="I6" s="127"/>
      <c r="J6" s="127"/>
      <c r="K6" s="127"/>
    </row>
    <row r="7" spans="2:21" x14ac:dyDescent="0.3">
      <c r="P7" s="21"/>
      <c r="R7" s="21" t="s">
        <v>16</v>
      </c>
    </row>
    <row r="8" spans="2:21" s="66" customFormat="1" ht="15" customHeight="1" x14ac:dyDescent="0.25">
      <c r="B8" s="2271" t="s">
        <v>187</v>
      </c>
      <c r="C8" s="2271" t="s">
        <v>50</v>
      </c>
      <c r="D8" s="2266" t="s">
        <v>804</v>
      </c>
      <c r="E8" s="2272"/>
      <c r="F8" s="2267"/>
      <c r="G8" s="2266" t="s">
        <v>186</v>
      </c>
      <c r="H8" s="2272"/>
      <c r="I8" s="2267"/>
      <c r="J8" s="2266" t="s">
        <v>426</v>
      </c>
      <c r="K8" s="2272"/>
      <c r="L8" s="2267"/>
      <c r="M8" s="2266" t="s">
        <v>427</v>
      </c>
      <c r="N8" s="2272"/>
      <c r="O8" s="2267"/>
      <c r="P8" s="2266" t="s">
        <v>428</v>
      </c>
      <c r="Q8" s="2267"/>
      <c r="R8" s="2266" t="s">
        <v>429</v>
      </c>
      <c r="S8" s="2267"/>
      <c r="T8" s="2268" t="s">
        <v>39</v>
      </c>
    </row>
    <row r="9" spans="2:21" s="66" customFormat="1" ht="42" x14ac:dyDescent="0.25">
      <c r="B9" s="2271"/>
      <c r="C9" s="2271"/>
      <c r="D9" s="323" t="s">
        <v>404</v>
      </c>
      <c r="E9" s="2100" t="s">
        <v>843</v>
      </c>
      <c r="F9" s="317" t="s">
        <v>406</v>
      </c>
      <c r="G9" s="323" t="s">
        <v>404</v>
      </c>
      <c r="H9" s="317" t="s">
        <v>843</v>
      </c>
      <c r="I9" s="317" t="s">
        <v>406</v>
      </c>
      <c r="J9" s="323" t="s">
        <v>404</v>
      </c>
      <c r="K9" s="317" t="s">
        <v>843</v>
      </c>
      <c r="L9" s="317" t="s">
        <v>406</v>
      </c>
      <c r="M9" s="317" t="s">
        <v>404</v>
      </c>
      <c r="N9" s="317" t="s">
        <v>843</v>
      </c>
      <c r="O9" s="317" t="s">
        <v>409</v>
      </c>
      <c r="P9" s="317" t="s">
        <v>404</v>
      </c>
      <c r="Q9" s="317" t="s">
        <v>843</v>
      </c>
      <c r="R9" s="317" t="s">
        <v>404</v>
      </c>
      <c r="S9" s="317" t="s">
        <v>843</v>
      </c>
      <c r="T9" s="2268"/>
    </row>
    <row r="10" spans="2:21" s="66" customFormat="1" x14ac:dyDescent="0.25">
      <c r="B10" s="2271"/>
      <c r="C10" s="2271"/>
      <c r="D10" s="317" t="s">
        <v>73</v>
      </c>
      <c r="E10" s="317" t="s">
        <v>74</v>
      </c>
      <c r="F10" s="317" t="s">
        <v>806</v>
      </c>
      <c r="G10" s="317" t="s">
        <v>411</v>
      </c>
      <c r="H10" s="317" t="s">
        <v>412</v>
      </c>
      <c r="I10" s="317" t="s">
        <v>439</v>
      </c>
      <c r="J10" s="317" t="s">
        <v>668</v>
      </c>
      <c r="K10" s="317" t="s">
        <v>582</v>
      </c>
      <c r="L10" s="317" t="s">
        <v>675</v>
      </c>
      <c r="M10" s="317" t="s">
        <v>782</v>
      </c>
      <c r="N10" s="317" t="s">
        <v>583</v>
      </c>
      <c r="O10" s="317" t="s">
        <v>844</v>
      </c>
      <c r="P10" s="317" t="s">
        <v>585</v>
      </c>
      <c r="Q10" s="317" t="s">
        <v>761</v>
      </c>
      <c r="R10" s="317" t="s">
        <v>784</v>
      </c>
      <c r="S10" s="317" t="s">
        <v>762</v>
      </c>
      <c r="T10" s="2269"/>
    </row>
    <row r="11" spans="2:21" s="66" customFormat="1" x14ac:dyDescent="0.25">
      <c r="B11" s="390">
        <v>1</v>
      </c>
      <c r="C11" s="423" t="s">
        <v>88</v>
      </c>
      <c r="D11" s="2215">
        <f>0.65*D69</f>
        <v>376.76600000000002</v>
      </c>
      <c r="E11" s="2215">
        <f>E69*65%</f>
        <v>377.3326291220942</v>
      </c>
      <c r="F11" s="2215">
        <f>E11-D11</f>
        <v>0.56662912209418437</v>
      </c>
      <c r="G11" s="2215">
        <f>565.54*65%</f>
        <v>367.601</v>
      </c>
      <c r="H11" s="2215">
        <f>H69*65%</f>
        <v>381.73773132512957</v>
      </c>
      <c r="I11" s="2215">
        <f>H11-G11</f>
        <v>14.136731325129574</v>
      </c>
      <c r="J11" s="2215">
        <f>581.56*65%</f>
        <v>378.01399999999995</v>
      </c>
      <c r="K11" s="2215">
        <f>K69*65%</f>
        <v>400.43757824403696</v>
      </c>
      <c r="L11" s="2215">
        <f>K11-J11</f>
        <v>22.423578244037003</v>
      </c>
      <c r="M11" s="2215">
        <f>598.05*65%</f>
        <v>388.73249999999996</v>
      </c>
      <c r="N11" s="2215">
        <f>N69*65%</f>
        <v>420.05345794172337</v>
      </c>
      <c r="O11" s="2215">
        <f>N11-M11</f>
        <v>31.320957941723407</v>
      </c>
      <c r="P11" s="2215">
        <f>614.99*65%</f>
        <v>399.74350000000004</v>
      </c>
      <c r="Q11" s="2215">
        <f>Q69*65%</f>
        <v>440.63024330166411</v>
      </c>
      <c r="R11" s="2215">
        <f>632.42*0.65</f>
        <v>411.07299999999998</v>
      </c>
      <c r="S11" s="2215">
        <f>S69*65%</f>
        <v>462.21500535538991</v>
      </c>
      <c r="T11" s="353"/>
      <c r="U11" s="375"/>
    </row>
    <row r="12" spans="2:21" s="66" customFormat="1" x14ac:dyDescent="0.25">
      <c r="B12" s="390">
        <f>B11+1</f>
        <v>2</v>
      </c>
      <c r="C12" s="507" t="s">
        <v>516</v>
      </c>
      <c r="D12" s="2216"/>
      <c r="E12" s="2216"/>
      <c r="F12" s="2216"/>
      <c r="G12" s="2216"/>
      <c r="H12" s="2216"/>
      <c r="I12" s="2216"/>
      <c r="J12" s="2216"/>
      <c r="K12" s="2216"/>
      <c r="L12" s="2216"/>
      <c r="M12" s="2216"/>
      <c r="N12" s="2216"/>
      <c r="O12" s="2216"/>
      <c r="P12" s="2216"/>
      <c r="Q12" s="2216"/>
      <c r="R12" s="2216"/>
      <c r="S12" s="2216"/>
      <c r="T12" s="353"/>
      <c r="U12" s="375"/>
    </row>
    <row r="13" spans="2:21" s="66" customFormat="1" x14ac:dyDescent="0.25">
      <c r="B13" s="390">
        <f>B12+1</f>
        <v>3</v>
      </c>
      <c r="C13" s="423" t="s">
        <v>433</v>
      </c>
      <c r="D13" s="2217"/>
      <c r="E13" s="2217"/>
      <c r="F13" s="2217"/>
      <c r="G13" s="2217"/>
      <c r="H13" s="2217"/>
      <c r="I13" s="2217"/>
      <c r="J13" s="2217"/>
      <c r="K13" s="2217"/>
      <c r="L13" s="2217"/>
      <c r="M13" s="2217"/>
      <c r="N13" s="2217"/>
      <c r="O13" s="2217"/>
      <c r="P13" s="2217"/>
      <c r="Q13" s="2217"/>
      <c r="R13" s="2217"/>
      <c r="S13" s="2217"/>
      <c r="T13" s="353"/>
      <c r="U13" s="375"/>
    </row>
    <row r="14" spans="2:21" x14ac:dyDescent="0.3">
      <c r="B14" s="508">
        <f>B13+1</f>
        <v>4</v>
      </c>
      <c r="C14" s="509" t="s">
        <v>1245</v>
      </c>
      <c r="D14" s="389">
        <f>0.65*D72</f>
        <v>376.76600000000002</v>
      </c>
      <c r="E14" s="343">
        <f>'F3'!F17-F3.2!D27</f>
        <v>327.04749999999996</v>
      </c>
      <c r="F14" s="343">
        <f>E14-D14</f>
        <v>-49.718500000000063</v>
      </c>
      <c r="G14" s="389">
        <f>G11</f>
        <v>367.601</v>
      </c>
      <c r="H14" s="343">
        <f>'F3'!I17-F3.2!E27-9.44*65%</f>
        <v>329.18599999999998</v>
      </c>
      <c r="I14" s="499">
        <f>H14-G14</f>
        <v>-38.41500000000002</v>
      </c>
      <c r="J14" s="510">
        <f>J11</f>
        <v>378.01399999999995</v>
      </c>
      <c r="K14" s="343">
        <f>'F3'!L17</f>
        <v>414.83297359217715</v>
      </c>
      <c r="L14" s="499">
        <f>K14-J14</f>
        <v>36.818973592177201</v>
      </c>
      <c r="M14" s="510">
        <f>M11</f>
        <v>388.73249999999996</v>
      </c>
      <c r="N14" s="343">
        <f>'F3'!Q17</f>
        <v>420.05345794172337</v>
      </c>
      <c r="O14" s="499">
        <f>N14-M14</f>
        <v>31.320957941723407</v>
      </c>
      <c r="P14" s="510">
        <f>P11</f>
        <v>399.74350000000004</v>
      </c>
      <c r="Q14" s="343">
        <f>'F3'!T17</f>
        <v>440.63024330166411</v>
      </c>
      <c r="R14" s="510">
        <f>R11</f>
        <v>411.07299999999998</v>
      </c>
      <c r="S14" s="343">
        <f>'F3'!V17</f>
        <v>462.21500535538991</v>
      </c>
      <c r="T14" s="343"/>
      <c r="U14" s="425"/>
    </row>
    <row r="15" spans="2:21" x14ac:dyDescent="0.3">
      <c r="B15" s="508">
        <f>B14+1</f>
        <v>5</v>
      </c>
      <c r="C15" s="509" t="s">
        <v>184</v>
      </c>
      <c r="D15" s="343">
        <f>D11-D14</f>
        <v>0</v>
      </c>
      <c r="E15" s="343">
        <f>E11-E14</f>
        <v>50.285129122094247</v>
      </c>
      <c r="F15" s="343">
        <f>E15-D15</f>
        <v>50.285129122094247</v>
      </c>
      <c r="G15" s="343">
        <f>G11-G14</f>
        <v>0</v>
      </c>
      <c r="H15" s="343">
        <f>H11-H14</f>
        <v>52.551731325129595</v>
      </c>
      <c r="I15" s="499">
        <f>H15-G15</f>
        <v>52.551731325129595</v>
      </c>
      <c r="J15" s="343">
        <f>J11-J14</f>
        <v>0</v>
      </c>
      <c r="K15" s="343">
        <f>K11-K14</f>
        <v>-14.395395348140198</v>
      </c>
      <c r="L15" s="499">
        <f>K15-J15</f>
        <v>-14.395395348140198</v>
      </c>
      <c r="M15" s="343"/>
      <c r="N15" s="343"/>
      <c r="O15" s="499"/>
      <c r="P15" s="343"/>
      <c r="Q15" s="343"/>
      <c r="R15" s="343"/>
      <c r="S15" s="343"/>
      <c r="T15" s="343"/>
      <c r="U15" s="425"/>
    </row>
    <row r="16" spans="2:21" ht="28" x14ac:dyDescent="0.3">
      <c r="B16" s="508">
        <f>B15+1</f>
        <v>6</v>
      </c>
      <c r="C16" s="511" t="s">
        <v>185</v>
      </c>
      <c r="D16" s="343">
        <f>IF(D11&lt;D14,D11+(D14-D11)/3,D14+(D11-D14)/3)</f>
        <v>376.76600000000002</v>
      </c>
      <c r="E16" s="343">
        <f>IF(E11&lt;E14,E11+(E14-E11)/3,E14+(E11-E14)/3)</f>
        <v>343.80920970736469</v>
      </c>
      <c r="F16" s="343">
        <f>E16-D16</f>
        <v>-32.956790292635333</v>
      </c>
      <c r="G16" s="343">
        <f>IF(G11&lt;G14,G11+(G14-G11)/3,G14+(G11-G14)/3)</f>
        <v>367.601</v>
      </c>
      <c r="H16" s="343">
        <f>IF(H11&lt;H14,H11+(H14-H11)/3,H14+(H11-H14)/3)</f>
        <v>346.70324377504318</v>
      </c>
      <c r="I16" s="499">
        <f>H16-G16</f>
        <v>-20.897756224956822</v>
      </c>
      <c r="J16" s="343">
        <f>IF(J11&lt;J14,J11+(J14-J11)/3,J14+(J11-J14)/3)</f>
        <v>378.01399999999995</v>
      </c>
      <c r="K16" s="343">
        <f>IF(K11&lt;K14,K11+(K14-K11)/3,K14+(K11-K14)/3)</f>
        <v>405.23604336008367</v>
      </c>
      <c r="L16" s="499">
        <f>K16-J16</f>
        <v>27.222043360083717</v>
      </c>
      <c r="M16" s="343">
        <f>IF(M11&lt;M14,M11+(M14-M11)/3,M14+(M11-M14)/3)</f>
        <v>388.73249999999996</v>
      </c>
      <c r="N16" s="343">
        <f>IF(N11&lt;N14,N11+(N14-N11)/3,N14+(N11-N14)/3)</f>
        <v>420.05345794172337</v>
      </c>
      <c r="O16" s="499">
        <f>N16-M16</f>
        <v>31.320957941723407</v>
      </c>
      <c r="P16" s="343">
        <f>IF(P11&lt;P14,P11+(P14-P11)/3,P14+(P11-P14)/3)</f>
        <v>399.74350000000004</v>
      </c>
      <c r="Q16" s="438">
        <f>SUM(Q11)</f>
        <v>440.63024330166411</v>
      </c>
      <c r="R16" s="343">
        <f>IF(R11&lt;R14,R11+(R14-R11)/3,R14+(R11-R14)/3)</f>
        <v>411.07299999999998</v>
      </c>
      <c r="S16" s="438">
        <f>SUM(S11)</f>
        <v>462.21500535538991</v>
      </c>
      <c r="T16" s="343"/>
      <c r="U16" s="425"/>
    </row>
    <row r="17" spans="1:21" x14ac:dyDescent="0.3">
      <c r="B17" s="425"/>
      <c r="C17" s="425"/>
      <c r="D17" s="425"/>
      <c r="E17" s="425"/>
      <c r="F17" s="425"/>
      <c r="G17" s="425"/>
      <c r="H17" s="425"/>
      <c r="I17" s="425"/>
      <c r="J17" s="425"/>
      <c r="K17" s="425"/>
      <c r="L17" s="425"/>
      <c r="M17" s="425"/>
      <c r="N17" s="1742"/>
      <c r="O17" s="425"/>
      <c r="P17" s="425"/>
      <c r="Q17" s="425"/>
      <c r="R17" s="425"/>
      <c r="S17" s="425"/>
      <c r="T17" s="425"/>
      <c r="U17" s="425"/>
    </row>
    <row r="18" spans="1:21" x14ac:dyDescent="0.3">
      <c r="B18" s="512" t="s">
        <v>434</v>
      </c>
      <c r="C18" s="425"/>
      <c r="D18" s="425"/>
      <c r="E18" s="425"/>
      <c r="F18" s="425"/>
      <c r="G18" s="425"/>
      <c r="H18" s="425"/>
      <c r="I18" s="425"/>
      <c r="J18" s="425"/>
      <c r="K18" s="425"/>
      <c r="L18" s="425"/>
      <c r="M18" s="425"/>
      <c r="N18" s="425"/>
      <c r="O18" s="425"/>
      <c r="P18" s="425"/>
      <c r="Q18" s="425"/>
      <c r="R18" s="425"/>
      <c r="S18" s="425"/>
      <c r="T18" s="425"/>
      <c r="U18" s="425"/>
    </row>
    <row r="19" spans="1:21" x14ac:dyDescent="0.3">
      <c r="B19" s="425">
        <v>1</v>
      </c>
      <c r="C19" s="513" t="s">
        <v>845</v>
      </c>
      <c r="D19" s="425"/>
      <c r="E19" s="425"/>
      <c r="F19" s="425"/>
      <c r="G19" s="425"/>
      <c r="H19" s="425"/>
      <c r="I19" s="425"/>
      <c r="J19" s="425"/>
      <c r="K19" s="425"/>
      <c r="L19" s="425"/>
      <c r="M19" s="425"/>
      <c r="N19" s="425"/>
      <c r="O19" s="425"/>
      <c r="P19" s="425"/>
      <c r="Q19" s="425"/>
      <c r="R19" s="425"/>
      <c r="S19" s="425"/>
      <c r="T19" s="425"/>
      <c r="U19" s="425"/>
    </row>
    <row r="20" spans="1:21" x14ac:dyDescent="0.3">
      <c r="B20" s="425">
        <v>2</v>
      </c>
      <c r="C20" s="513" t="s">
        <v>846</v>
      </c>
      <c r="D20" s="425"/>
      <c r="E20" s="425"/>
      <c r="F20" s="425"/>
      <c r="G20" s="425"/>
      <c r="H20" s="425"/>
      <c r="I20" s="425"/>
      <c r="J20" s="425"/>
      <c r="K20" s="425"/>
      <c r="L20" s="425"/>
      <c r="M20" s="425"/>
      <c r="N20" s="425"/>
      <c r="O20" s="425"/>
      <c r="P20" s="425"/>
      <c r="Q20" s="425"/>
      <c r="R20" s="425"/>
      <c r="S20" s="425"/>
      <c r="T20" s="425"/>
      <c r="U20" s="425"/>
    </row>
    <row r="21" spans="1:21" x14ac:dyDescent="0.3">
      <c r="B21" s="425">
        <v>3</v>
      </c>
      <c r="C21" s="513" t="s">
        <v>847</v>
      </c>
      <c r="D21" s="514"/>
      <c r="E21" s="514"/>
      <c r="F21" s="514"/>
      <c r="G21" s="514"/>
      <c r="H21" s="514"/>
      <c r="I21" s="426"/>
      <c r="J21" s="425"/>
      <c r="K21" s="425"/>
      <c r="L21" s="425"/>
      <c r="M21" s="425"/>
      <c r="N21" s="425"/>
      <c r="O21" s="425"/>
      <c r="P21" s="425"/>
      <c r="Q21" s="425"/>
      <c r="R21" s="425"/>
      <c r="S21" s="425"/>
      <c r="T21" s="425"/>
      <c r="U21" s="425"/>
    </row>
    <row r="22" spans="1:21" x14ac:dyDescent="0.3">
      <c r="B22" s="515"/>
      <c r="C22" s="513"/>
      <c r="D22" s="514"/>
      <c r="E22" s="514"/>
      <c r="F22" s="514"/>
      <c r="G22" s="514"/>
      <c r="H22" s="514"/>
      <c r="I22" s="426"/>
      <c r="J22" s="425"/>
      <c r="K22" s="425"/>
      <c r="L22" s="425"/>
      <c r="M22" s="425"/>
      <c r="N22" s="425"/>
      <c r="O22" s="425"/>
      <c r="P22" s="425"/>
      <c r="Q22" s="425"/>
      <c r="R22" s="425"/>
      <c r="S22" s="425"/>
      <c r="T22" s="425"/>
      <c r="U22" s="425"/>
    </row>
    <row r="23" spans="1:21" x14ac:dyDescent="0.3">
      <c r="B23" s="2274" t="s">
        <v>1571</v>
      </c>
      <c r="C23" s="2274"/>
      <c r="D23" s="2274"/>
      <c r="E23" s="2274"/>
      <c r="F23" s="2274"/>
      <c r="G23" s="2274"/>
      <c r="H23" s="2274"/>
      <c r="I23" s="425"/>
      <c r="J23" s="425"/>
      <c r="K23" s="425"/>
      <c r="L23" s="425"/>
      <c r="M23" s="425"/>
      <c r="N23" s="425"/>
      <c r="O23" s="425"/>
      <c r="P23" s="425"/>
      <c r="Q23" s="425"/>
      <c r="R23" s="425"/>
      <c r="S23" s="425"/>
      <c r="T23" s="425"/>
      <c r="U23" s="425"/>
    </row>
    <row r="24" spans="1:21" x14ac:dyDescent="0.3">
      <c r="B24" s="425"/>
      <c r="C24" s="425"/>
      <c r="D24" s="425"/>
      <c r="E24" s="425"/>
      <c r="F24" s="425"/>
      <c r="G24" s="425"/>
      <c r="H24" s="425"/>
      <c r="I24" s="425"/>
      <c r="J24" s="425"/>
      <c r="K24" s="425"/>
      <c r="L24" s="425"/>
      <c r="M24" s="425"/>
      <c r="N24" s="425"/>
      <c r="O24" s="425"/>
      <c r="P24" s="425"/>
      <c r="Q24" s="425"/>
      <c r="R24" s="516" t="s">
        <v>16</v>
      </c>
      <c r="S24" s="425"/>
      <c r="T24" s="425"/>
      <c r="U24" s="425"/>
    </row>
    <row r="25" spans="1:21" x14ac:dyDescent="0.3">
      <c r="B25" s="2261" t="s">
        <v>187</v>
      </c>
      <c r="C25" s="2261" t="s">
        <v>50</v>
      </c>
      <c r="D25" s="2263" t="s">
        <v>186</v>
      </c>
      <c r="E25" s="2264"/>
      <c r="F25" s="2265"/>
      <c r="G25" s="2263" t="s">
        <v>426</v>
      </c>
      <c r="H25" s="2264"/>
      <c r="I25" s="2265"/>
      <c r="J25" s="2263" t="s">
        <v>427</v>
      </c>
      <c r="K25" s="2264"/>
      <c r="L25" s="2264"/>
      <c r="M25" s="2264"/>
      <c r="N25" s="2265"/>
      <c r="O25" s="2263" t="s">
        <v>428</v>
      </c>
      <c r="P25" s="2265"/>
      <c r="Q25" s="2263" t="s">
        <v>429</v>
      </c>
      <c r="R25" s="2265"/>
      <c r="S25" s="2261" t="s">
        <v>39</v>
      </c>
      <c r="T25" s="425"/>
      <c r="U25" s="425"/>
    </row>
    <row r="26" spans="1:21" ht="42" x14ac:dyDescent="0.3">
      <c r="B26" s="2261"/>
      <c r="C26" s="2273"/>
      <c r="D26" s="517" t="s">
        <v>404</v>
      </c>
      <c r="E26" s="518" t="s">
        <v>405</v>
      </c>
      <c r="F26" s="518" t="s">
        <v>406</v>
      </c>
      <c r="G26" s="517" t="s">
        <v>404</v>
      </c>
      <c r="H26" s="518" t="s">
        <v>405</v>
      </c>
      <c r="I26" s="518" t="s">
        <v>406</v>
      </c>
      <c r="J26" s="518" t="s">
        <v>404</v>
      </c>
      <c r="K26" s="518" t="s">
        <v>408</v>
      </c>
      <c r="L26" s="518" t="s">
        <v>333</v>
      </c>
      <c r="M26" s="518" t="s">
        <v>72</v>
      </c>
      <c r="N26" s="518" t="s">
        <v>409</v>
      </c>
      <c r="O26" s="518" t="s">
        <v>404</v>
      </c>
      <c r="P26" s="518" t="s">
        <v>805</v>
      </c>
      <c r="Q26" s="518" t="s">
        <v>404</v>
      </c>
      <c r="R26" s="518" t="s">
        <v>805</v>
      </c>
      <c r="S26" s="2261"/>
      <c r="T26" s="425"/>
      <c r="U26" s="425"/>
    </row>
    <row r="27" spans="1:21" x14ac:dyDescent="0.3">
      <c r="B27" s="2261"/>
      <c r="C27" s="2273"/>
      <c r="D27" s="518" t="s">
        <v>73</v>
      </c>
      <c r="E27" s="518" t="s">
        <v>74</v>
      </c>
      <c r="F27" s="518" t="s">
        <v>806</v>
      </c>
      <c r="G27" s="518" t="s">
        <v>411</v>
      </c>
      <c r="H27" s="518" t="s">
        <v>412</v>
      </c>
      <c r="I27" s="518" t="s">
        <v>439</v>
      </c>
      <c r="J27" s="518" t="s">
        <v>668</v>
      </c>
      <c r="K27" s="518" t="s">
        <v>582</v>
      </c>
      <c r="L27" s="518" t="s">
        <v>759</v>
      </c>
      <c r="M27" s="518" t="s">
        <v>810</v>
      </c>
      <c r="N27" s="518" t="s">
        <v>669</v>
      </c>
      <c r="O27" s="518" t="s">
        <v>760</v>
      </c>
      <c r="P27" s="518" t="s">
        <v>585</v>
      </c>
      <c r="Q27" s="518" t="s">
        <v>761</v>
      </c>
      <c r="R27" s="518" t="s">
        <v>784</v>
      </c>
      <c r="S27" s="2262"/>
      <c r="T27" s="425"/>
      <c r="U27" s="425"/>
    </row>
    <row r="28" spans="1:21" x14ac:dyDescent="0.3">
      <c r="B28" s="390">
        <v>1</v>
      </c>
      <c r="C28" s="489" t="s">
        <v>1573</v>
      </c>
      <c r="D28" s="343">
        <v>0</v>
      </c>
      <c r="E28" s="343">
        <v>0</v>
      </c>
      <c r="F28" s="343">
        <f>E28-D28</f>
        <v>0</v>
      </c>
      <c r="G28" s="343">
        <v>0</v>
      </c>
      <c r="H28" s="343">
        <v>0</v>
      </c>
      <c r="I28" s="343">
        <f>H28-G28</f>
        <v>0</v>
      </c>
      <c r="J28" s="343">
        <v>0</v>
      </c>
      <c r="K28" s="343">
        <v>0</v>
      </c>
      <c r="L28" s="343">
        <v>0</v>
      </c>
      <c r="M28" s="343">
        <f>K28+L28</f>
        <v>0</v>
      </c>
      <c r="N28" s="343">
        <f>M28-J28</f>
        <v>0</v>
      </c>
      <c r="O28" s="343">
        <v>0</v>
      </c>
      <c r="P28" s="343">
        <v>0</v>
      </c>
      <c r="Q28" s="343">
        <v>0</v>
      </c>
      <c r="R28" s="343">
        <v>0</v>
      </c>
      <c r="S28" s="343"/>
      <c r="T28" s="425"/>
      <c r="U28" s="425"/>
    </row>
    <row r="29" spans="1:21" ht="15" customHeight="1" x14ac:dyDescent="0.3">
      <c r="B29" s="390"/>
      <c r="C29" s="489"/>
      <c r="D29" s="343"/>
      <c r="E29" s="343"/>
      <c r="F29" s="343"/>
      <c r="G29" s="343"/>
      <c r="H29" s="343"/>
      <c r="I29" s="343"/>
      <c r="J29" s="343"/>
      <c r="K29" s="343"/>
      <c r="L29" s="343"/>
      <c r="M29" s="343"/>
      <c r="N29" s="343"/>
      <c r="O29" s="343"/>
      <c r="P29" s="343"/>
      <c r="Q29" s="343"/>
      <c r="R29" s="343"/>
      <c r="S29" s="343"/>
      <c r="T29" s="425"/>
      <c r="U29" s="425"/>
    </row>
    <row r="30" spans="1:21" x14ac:dyDescent="0.3">
      <c r="B30" s="358">
        <v>2</v>
      </c>
      <c r="C30" s="349" t="s">
        <v>145</v>
      </c>
      <c r="D30" s="349">
        <f>D28</f>
        <v>0</v>
      </c>
      <c r="E30" s="349">
        <f t="shared" ref="E30:R30" si="0">E28</f>
        <v>0</v>
      </c>
      <c r="F30" s="349">
        <f t="shared" si="0"/>
        <v>0</v>
      </c>
      <c r="G30" s="349">
        <f t="shared" si="0"/>
        <v>0</v>
      </c>
      <c r="H30" s="349">
        <f t="shared" si="0"/>
        <v>0</v>
      </c>
      <c r="I30" s="349">
        <f t="shared" si="0"/>
        <v>0</v>
      </c>
      <c r="J30" s="349">
        <f t="shared" si="0"/>
        <v>0</v>
      </c>
      <c r="K30" s="349">
        <f t="shared" si="0"/>
        <v>0</v>
      </c>
      <c r="L30" s="349">
        <f t="shared" si="0"/>
        <v>0</v>
      </c>
      <c r="M30" s="349">
        <f t="shared" si="0"/>
        <v>0</v>
      </c>
      <c r="N30" s="349">
        <f t="shared" si="0"/>
        <v>0</v>
      </c>
      <c r="O30" s="349">
        <f t="shared" si="0"/>
        <v>0</v>
      </c>
      <c r="P30" s="349">
        <f t="shared" si="0"/>
        <v>0</v>
      </c>
      <c r="Q30" s="349">
        <f t="shared" si="0"/>
        <v>0</v>
      </c>
      <c r="R30" s="349">
        <f t="shared" si="0"/>
        <v>0</v>
      </c>
      <c r="S30" s="343"/>
      <c r="T30" s="425"/>
      <c r="U30" s="425"/>
    </row>
    <row r="31" spans="1:21" x14ac:dyDescent="0.3">
      <c r="B31" s="425"/>
      <c r="C31" s="425"/>
      <c r="D31" s="425"/>
      <c r="E31" s="425"/>
      <c r="F31" s="425"/>
      <c r="G31" s="425"/>
      <c r="H31" s="425"/>
      <c r="I31" s="425"/>
      <c r="J31" s="425"/>
      <c r="K31" s="425"/>
      <c r="L31" s="425"/>
      <c r="M31" s="425"/>
      <c r="N31" s="425"/>
      <c r="O31" s="425"/>
      <c r="P31" s="425"/>
      <c r="Q31" s="425"/>
      <c r="R31" s="425"/>
      <c r="S31" s="425"/>
      <c r="T31" s="425"/>
      <c r="U31" s="425"/>
    </row>
    <row r="32" spans="1:21" ht="14.5" x14ac:dyDescent="0.35">
      <c r="A32" s="789"/>
      <c r="B32" s="513"/>
      <c r="C32" s="425"/>
      <c r="D32" s="425"/>
      <c r="E32" s="425"/>
      <c r="F32" s="425"/>
      <c r="G32" s="425"/>
      <c r="H32" s="425"/>
      <c r="I32" s="425"/>
      <c r="J32" s="425"/>
      <c r="K32" s="425"/>
      <c r="L32" s="425"/>
      <c r="M32" s="425"/>
      <c r="N32" s="425"/>
      <c r="O32" s="425"/>
      <c r="P32" s="425"/>
      <c r="Q32" s="425"/>
      <c r="R32" s="425"/>
      <c r="S32" s="425"/>
      <c r="T32" s="425"/>
      <c r="U32" s="425"/>
    </row>
    <row r="33" spans="2:21" x14ac:dyDescent="0.3">
      <c r="B33" s="515"/>
      <c r="C33" s="513"/>
      <c r="D33" s="514"/>
      <c r="E33" s="514"/>
      <c r="F33" s="514"/>
      <c r="G33" s="514"/>
      <c r="H33" s="514"/>
      <c r="I33" s="426"/>
      <c r="J33" s="425"/>
      <c r="K33" s="425"/>
      <c r="L33" s="425"/>
      <c r="M33" s="425"/>
      <c r="N33" s="425"/>
      <c r="O33" s="425"/>
      <c r="P33" s="425"/>
      <c r="Q33" s="425"/>
      <c r="R33" s="425"/>
      <c r="S33" s="425"/>
      <c r="T33" s="425"/>
      <c r="U33" s="425"/>
    </row>
    <row r="34" spans="2:21" x14ac:dyDescent="0.3">
      <c r="B34" s="515"/>
      <c r="C34" s="513"/>
      <c r="D34" s="514"/>
      <c r="E34" s="514"/>
      <c r="F34" s="514"/>
      <c r="G34" s="514"/>
      <c r="H34" s="514"/>
      <c r="I34" s="426"/>
      <c r="J34" s="425"/>
      <c r="K34" s="425"/>
      <c r="L34" s="425"/>
      <c r="M34" s="425"/>
      <c r="N34" s="425"/>
      <c r="O34" s="425"/>
      <c r="P34" s="425"/>
      <c r="Q34" s="425"/>
      <c r="R34" s="425"/>
      <c r="S34" s="425"/>
      <c r="T34" s="425"/>
      <c r="U34" s="425"/>
    </row>
    <row r="35" spans="2:21" x14ac:dyDescent="0.3">
      <c r="B35" s="519" t="s">
        <v>283</v>
      </c>
      <c r="C35" s="514"/>
      <c r="D35" s="514"/>
      <c r="E35" s="514"/>
      <c r="F35" s="514"/>
      <c r="G35" s="514"/>
      <c r="H35" s="514"/>
      <c r="I35" s="426"/>
      <c r="J35" s="425"/>
      <c r="K35" s="425"/>
      <c r="L35" s="425"/>
      <c r="M35" s="425"/>
      <c r="N35" s="425"/>
      <c r="O35" s="425"/>
      <c r="P35" s="425"/>
      <c r="Q35" s="425"/>
      <c r="R35" s="425"/>
      <c r="S35" s="425"/>
      <c r="T35" s="425"/>
      <c r="U35" s="425"/>
    </row>
    <row r="36" spans="2:21" x14ac:dyDescent="0.3">
      <c r="B36" s="520"/>
      <c r="C36" s="521"/>
      <c r="D36" s="514"/>
      <c r="E36" s="514"/>
      <c r="F36" s="514"/>
      <c r="G36" s="514"/>
      <c r="H36" s="514"/>
      <c r="I36" s="426"/>
      <c r="J36" s="425"/>
      <c r="K36" s="425"/>
      <c r="L36" s="425"/>
      <c r="M36" s="425"/>
      <c r="N36" s="425"/>
      <c r="O36" s="425"/>
      <c r="P36" s="425"/>
      <c r="Q36" s="425"/>
      <c r="R36" s="425"/>
      <c r="S36" s="425"/>
      <c r="T36" s="425"/>
      <c r="U36" s="425"/>
    </row>
    <row r="37" spans="2:21" ht="14.5" x14ac:dyDescent="0.35">
      <c r="B37" s="795"/>
      <c r="C37" s="425"/>
      <c r="D37" s="425"/>
      <c r="E37" s="425"/>
      <c r="F37" s="425"/>
      <c r="G37" s="425"/>
      <c r="H37" s="425"/>
      <c r="I37" s="425"/>
      <c r="J37" s="425"/>
      <c r="K37" s="425"/>
      <c r="L37" s="425"/>
      <c r="M37" s="425"/>
      <c r="N37" s="425"/>
      <c r="O37" s="425"/>
      <c r="P37" s="516"/>
      <c r="Q37" s="425"/>
      <c r="R37" s="516" t="s">
        <v>16</v>
      </c>
      <c r="S37" s="425"/>
      <c r="T37" s="425"/>
      <c r="U37" s="425"/>
    </row>
    <row r="38" spans="2:21" s="66" customFormat="1" ht="15" customHeight="1" x14ac:dyDescent="0.25">
      <c r="B38" s="2261" t="s">
        <v>187</v>
      </c>
      <c r="C38" s="2261" t="s">
        <v>50</v>
      </c>
      <c r="D38" s="2263" t="s">
        <v>804</v>
      </c>
      <c r="E38" s="2264"/>
      <c r="F38" s="2265"/>
      <c r="G38" s="2263" t="s">
        <v>186</v>
      </c>
      <c r="H38" s="2264"/>
      <c r="I38" s="2265"/>
      <c r="J38" s="2263" t="s">
        <v>426</v>
      </c>
      <c r="K38" s="2264"/>
      <c r="L38" s="2265"/>
      <c r="M38" s="2263" t="s">
        <v>427</v>
      </c>
      <c r="N38" s="2264"/>
      <c r="O38" s="2265"/>
      <c r="P38" s="2263" t="s">
        <v>428</v>
      </c>
      <c r="Q38" s="2265"/>
      <c r="R38" s="2263" t="s">
        <v>429</v>
      </c>
      <c r="S38" s="2265"/>
      <c r="T38" s="2261" t="s">
        <v>39</v>
      </c>
      <c r="U38" s="375"/>
    </row>
    <row r="39" spans="2:21" s="66" customFormat="1" ht="42" x14ac:dyDescent="0.25">
      <c r="B39" s="2261"/>
      <c r="C39" s="2261"/>
      <c r="D39" s="517" t="s">
        <v>404</v>
      </c>
      <c r="E39" s="2099" t="s">
        <v>843</v>
      </c>
      <c r="F39" s="518" t="s">
        <v>406</v>
      </c>
      <c r="G39" s="517" t="s">
        <v>404</v>
      </c>
      <c r="H39" s="518" t="s">
        <v>843</v>
      </c>
      <c r="I39" s="518" t="s">
        <v>406</v>
      </c>
      <c r="J39" s="517" t="s">
        <v>404</v>
      </c>
      <c r="K39" s="518" t="s">
        <v>843</v>
      </c>
      <c r="L39" s="518" t="s">
        <v>406</v>
      </c>
      <c r="M39" s="518" t="s">
        <v>404</v>
      </c>
      <c r="N39" s="518" t="s">
        <v>843</v>
      </c>
      <c r="O39" s="518" t="s">
        <v>409</v>
      </c>
      <c r="P39" s="518" t="s">
        <v>404</v>
      </c>
      <c r="Q39" s="518" t="s">
        <v>843</v>
      </c>
      <c r="R39" s="518" t="s">
        <v>404</v>
      </c>
      <c r="S39" s="518" t="s">
        <v>843</v>
      </c>
      <c r="T39" s="2261"/>
      <c r="U39" s="375"/>
    </row>
    <row r="40" spans="2:21" s="66" customFormat="1" x14ac:dyDescent="0.25">
      <c r="B40" s="2261"/>
      <c r="C40" s="2261"/>
      <c r="D40" s="518" t="s">
        <v>73</v>
      </c>
      <c r="E40" s="518" t="s">
        <v>74</v>
      </c>
      <c r="F40" s="518" t="s">
        <v>806</v>
      </c>
      <c r="G40" s="518" t="s">
        <v>411</v>
      </c>
      <c r="H40" s="518" t="s">
        <v>412</v>
      </c>
      <c r="I40" s="518" t="s">
        <v>439</v>
      </c>
      <c r="J40" s="518" t="s">
        <v>668</v>
      </c>
      <c r="K40" s="518" t="s">
        <v>582</v>
      </c>
      <c r="L40" s="518" t="s">
        <v>675</v>
      </c>
      <c r="M40" s="518" t="s">
        <v>782</v>
      </c>
      <c r="N40" s="518" t="s">
        <v>583</v>
      </c>
      <c r="O40" s="518" t="s">
        <v>844</v>
      </c>
      <c r="P40" s="518" t="s">
        <v>585</v>
      </c>
      <c r="Q40" s="518" t="s">
        <v>761</v>
      </c>
      <c r="R40" s="518" t="s">
        <v>784</v>
      </c>
      <c r="S40" s="518" t="s">
        <v>762</v>
      </c>
      <c r="T40" s="2262"/>
      <c r="U40" s="375"/>
    </row>
    <row r="41" spans="2:21" x14ac:dyDescent="0.3">
      <c r="B41" s="508">
        <v>1</v>
      </c>
      <c r="C41" s="423" t="s">
        <v>88</v>
      </c>
      <c r="D41" s="2215">
        <f>0.35*D69</f>
        <v>202.874</v>
      </c>
      <c r="E41" s="2215">
        <f>E69*35%</f>
        <v>203.17910798881994</v>
      </c>
      <c r="F41" s="2215">
        <f>E41-D41</f>
        <v>0.30510798881994106</v>
      </c>
      <c r="G41" s="2215">
        <f>565.54*35%</f>
        <v>197.93899999999996</v>
      </c>
      <c r="H41" s="2215">
        <f>H69*35%</f>
        <v>205.55108609814667</v>
      </c>
      <c r="I41" s="2215">
        <f>H41-G41</f>
        <v>7.6120860981467047</v>
      </c>
      <c r="J41" s="2215">
        <f>581.56*35%</f>
        <v>203.54599999999996</v>
      </c>
      <c r="K41" s="2215">
        <f>K69*35%</f>
        <v>215.62023443909681</v>
      </c>
      <c r="L41" s="2215">
        <f>K41-J41</f>
        <v>12.074234439096841</v>
      </c>
      <c r="M41" s="2215">
        <f>598.05*35%</f>
        <v>209.31749999999997</v>
      </c>
      <c r="N41" s="2215">
        <f>N69*35%</f>
        <v>226.18263119938948</v>
      </c>
      <c r="O41" s="2215">
        <f>N41-M41</f>
        <v>16.865131199389509</v>
      </c>
      <c r="P41" s="2215">
        <f>614.99*35%</f>
        <v>215.2465</v>
      </c>
      <c r="Q41" s="2215">
        <f>Q69*35%</f>
        <v>237.26243870089604</v>
      </c>
      <c r="R41" s="2215">
        <f>632.42*35%</f>
        <v>221.34699999999998</v>
      </c>
      <c r="S41" s="2215">
        <f>S69*35%</f>
        <v>248.88500288367146</v>
      </c>
      <c r="T41" s="353"/>
      <c r="U41" s="425"/>
    </row>
    <row r="42" spans="2:21" s="98" customFormat="1" x14ac:dyDescent="0.25">
      <c r="B42" s="508">
        <f>B41+1</f>
        <v>2</v>
      </c>
      <c r="C42" s="507" t="s">
        <v>516</v>
      </c>
      <c r="D42" s="2216"/>
      <c r="E42" s="2216"/>
      <c r="F42" s="2216"/>
      <c r="G42" s="2216"/>
      <c r="H42" s="2216"/>
      <c r="I42" s="2216"/>
      <c r="J42" s="2216"/>
      <c r="K42" s="2216"/>
      <c r="L42" s="2216"/>
      <c r="M42" s="2216"/>
      <c r="N42" s="2216"/>
      <c r="O42" s="2216"/>
      <c r="P42" s="2216"/>
      <c r="Q42" s="2216"/>
      <c r="R42" s="2216"/>
      <c r="S42" s="2216"/>
      <c r="T42" s="353"/>
      <c r="U42" s="522"/>
    </row>
    <row r="43" spans="2:21" x14ac:dyDescent="0.3">
      <c r="B43" s="508">
        <f>B42+1</f>
        <v>3</v>
      </c>
      <c r="C43" s="423" t="s">
        <v>433</v>
      </c>
      <c r="D43" s="2217"/>
      <c r="E43" s="2217"/>
      <c r="F43" s="2217"/>
      <c r="G43" s="2217"/>
      <c r="H43" s="2217"/>
      <c r="I43" s="2217"/>
      <c r="J43" s="2217"/>
      <c r="K43" s="2217"/>
      <c r="L43" s="2217"/>
      <c r="M43" s="2217"/>
      <c r="N43" s="2217"/>
      <c r="O43" s="2217"/>
      <c r="P43" s="2217"/>
      <c r="Q43" s="2217"/>
      <c r="R43" s="2217"/>
      <c r="S43" s="2217"/>
      <c r="T43" s="353"/>
      <c r="U43" s="425"/>
    </row>
    <row r="44" spans="2:21" x14ac:dyDescent="0.3">
      <c r="B44" s="508">
        <f>B43+1</f>
        <v>4</v>
      </c>
      <c r="C44" s="509" t="s">
        <v>1244</v>
      </c>
      <c r="D44" s="343">
        <f>D41</f>
        <v>202.874</v>
      </c>
      <c r="E44" s="343">
        <f>'F3'!F32-F3.2!D50</f>
        <v>176.10249999999999</v>
      </c>
      <c r="F44" s="343">
        <f>E44-D44</f>
        <v>-26.771500000000003</v>
      </c>
      <c r="G44" s="343">
        <f>G41</f>
        <v>197.93899999999996</v>
      </c>
      <c r="H44" s="343">
        <f>'F3'!I32-F3.2!E50-9.44*35%</f>
        <v>177.25399999999999</v>
      </c>
      <c r="I44" s="343">
        <f>H44-G44</f>
        <v>-20.684999999999974</v>
      </c>
      <c r="J44" s="343">
        <f>J41</f>
        <v>203.54599999999996</v>
      </c>
      <c r="K44" s="343">
        <f>'F3'!L32</f>
        <v>223.37160116501843</v>
      </c>
      <c r="L44" s="343">
        <f>K44-J44</f>
        <v>19.825601165018469</v>
      </c>
      <c r="M44" s="343">
        <f>M41</f>
        <v>209.31749999999997</v>
      </c>
      <c r="N44" s="343">
        <f>'F3'!Q32</f>
        <v>226.18263119938948</v>
      </c>
      <c r="O44" s="343">
        <f>N44-M44</f>
        <v>16.865131199389509</v>
      </c>
      <c r="P44" s="343">
        <f>P41</f>
        <v>215.2465</v>
      </c>
      <c r="Q44" s="343">
        <f>'F3'!T32</f>
        <v>284.77574049841292</v>
      </c>
      <c r="R44" s="343">
        <f>R41</f>
        <v>221.34699999999998</v>
      </c>
      <c r="S44" s="343">
        <f>'F3'!V32</f>
        <v>385.3628483902495</v>
      </c>
      <c r="T44" s="343"/>
      <c r="U44" s="425"/>
    </row>
    <row r="45" spans="2:21" x14ac:dyDescent="0.3">
      <c r="B45" s="508">
        <f>B44+1</f>
        <v>5</v>
      </c>
      <c r="C45" s="509" t="s">
        <v>184</v>
      </c>
      <c r="D45" s="343">
        <f>D41-D44</f>
        <v>0</v>
      </c>
      <c r="E45" s="343">
        <f>E41-E44</f>
        <v>27.076607988819944</v>
      </c>
      <c r="F45" s="343">
        <f>E45-D45</f>
        <v>27.076607988819944</v>
      </c>
      <c r="G45" s="343">
        <f>G41-G44</f>
        <v>0</v>
      </c>
      <c r="H45" s="343">
        <f>H41-H44</f>
        <v>28.297086098146679</v>
      </c>
      <c r="I45" s="343">
        <f>H45-G45</f>
        <v>28.297086098146679</v>
      </c>
      <c r="J45" s="343">
        <f>J41-J44</f>
        <v>0</v>
      </c>
      <c r="K45" s="343">
        <f>K41-K44</f>
        <v>-7.7513667259216277</v>
      </c>
      <c r="L45" s="343">
        <f>K45-J45</f>
        <v>-7.7513667259216277</v>
      </c>
      <c r="M45" s="343"/>
      <c r="N45" s="343"/>
      <c r="O45" s="343"/>
      <c r="P45" s="343"/>
      <c r="Q45" s="343"/>
      <c r="R45" s="343"/>
      <c r="S45" s="343"/>
      <c r="T45" s="343"/>
      <c r="U45" s="425"/>
    </row>
    <row r="46" spans="2:21" ht="28" x14ac:dyDescent="0.3">
      <c r="B46" s="508">
        <f>B45+1</f>
        <v>6</v>
      </c>
      <c r="C46" s="511" t="s">
        <v>185</v>
      </c>
      <c r="D46" s="390">
        <f>IF(D41&lt;D44,D41+(D44-D41)/3,D44+(D41-D44)/3)</f>
        <v>202.874</v>
      </c>
      <c r="E46" s="390">
        <f>IF(E41&lt;E44,E41+(E44-E41)/3,E44+(E41-E44)/3)</f>
        <v>185.1280359962733</v>
      </c>
      <c r="F46" s="390">
        <f>E46-D46</f>
        <v>-17.745964003726698</v>
      </c>
      <c r="G46" s="390">
        <f>IF(G41&lt;G44,G41+(G44-G41)/3,G44+(G41-G44)/3)</f>
        <v>197.93899999999996</v>
      </c>
      <c r="H46" s="390">
        <f>IF(H41&lt;H44,H41+(H44-H41)/3,H44+(H41-H44)/3)</f>
        <v>186.68636203271555</v>
      </c>
      <c r="I46" s="390">
        <f>H46-G46</f>
        <v>-11.252637967284414</v>
      </c>
      <c r="J46" s="390">
        <f t="shared" ref="J46:R46" si="1">IF(J41&lt;J44,J41+(J44-J41)/3,J44+(J41-J44)/3)</f>
        <v>203.54599999999996</v>
      </c>
      <c r="K46" s="390">
        <f t="shared" si="1"/>
        <v>218.20402334773735</v>
      </c>
      <c r="L46" s="390">
        <f>K46-J46</f>
        <v>14.658023347737384</v>
      </c>
      <c r="M46" s="390">
        <f t="shared" si="1"/>
        <v>209.31749999999997</v>
      </c>
      <c r="N46" s="390">
        <f t="shared" si="1"/>
        <v>226.18263119938948</v>
      </c>
      <c r="O46" s="390">
        <f>N46-M46</f>
        <v>16.865131199389509</v>
      </c>
      <c r="P46" s="390">
        <f t="shared" si="1"/>
        <v>215.2465</v>
      </c>
      <c r="Q46" s="390">
        <f>SUM(Q41)</f>
        <v>237.26243870089604</v>
      </c>
      <c r="R46" s="390">
        <f t="shared" si="1"/>
        <v>221.34699999999998</v>
      </c>
      <c r="S46" s="390">
        <f>SUM(S41)</f>
        <v>248.88500288367146</v>
      </c>
      <c r="T46" s="343"/>
      <c r="U46" s="425"/>
    </row>
    <row r="47" spans="2:21" x14ac:dyDescent="0.3">
      <c r="B47" s="425"/>
      <c r="C47" s="425"/>
      <c r="D47" s="425"/>
      <c r="E47" s="425"/>
      <c r="F47" s="425"/>
      <c r="G47" s="425"/>
      <c r="H47" s="425"/>
      <c r="I47" s="425"/>
      <c r="J47" s="425"/>
      <c r="K47" s="425"/>
      <c r="L47" s="425"/>
      <c r="M47" s="425"/>
      <c r="N47" s="425"/>
      <c r="O47" s="425"/>
      <c r="P47" s="425"/>
      <c r="Q47" s="425"/>
      <c r="R47" s="425"/>
      <c r="S47" s="425"/>
      <c r="T47" s="425"/>
      <c r="U47" s="425"/>
    </row>
    <row r="48" spans="2:21" x14ac:dyDescent="0.3">
      <c r="B48" s="512" t="s">
        <v>434</v>
      </c>
      <c r="C48" s="425"/>
      <c r="D48" s="425"/>
      <c r="E48" s="425"/>
      <c r="F48" s="425"/>
      <c r="G48" s="425"/>
      <c r="H48" s="425"/>
      <c r="I48" s="425"/>
      <c r="J48" s="425"/>
      <c r="K48" s="425"/>
      <c r="L48" s="425"/>
      <c r="M48" s="425"/>
      <c r="N48" s="425"/>
      <c r="O48" s="425"/>
      <c r="P48" s="425"/>
      <c r="Q48" s="425"/>
      <c r="R48" s="425"/>
      <c r="S48" s="425"/>
      <c r="T48" s="425"/>
      <c r="U48" s="425"/>
    </row>
    <row r="49" spans="2:21" x14ac:dyDescent="0.3">
      <c r="B49" s="425">
        <v>1</v>
      </c>
      <c r="C49" s="513" t="s">
        <v>845</v>
      </c>
      <c r="D49" s="425"/>
      <c r="E49" s="425"/>
      <c r="F49" s="425"/>
      <c r="G49" s="425"/>
      <c r="H49" s="425"/>
      <c r="I49" s="425"/>
      <c r="J49" s="425"/>
      <c r="K49" s="425"/>
      <c r="L49" s="425"/>
      <c r="M49" s="425"/>
      <c r="N49" s="425"/>
      <c r="O49" s="425"/>
      <c r="P49" s="425"/>
      <c r="Q49" s="425"/>
      <c r="R49" s="425"/>
      <c r="S49" s="425"/>
      <c r="T49" s="425"/>
      <c r="U49" s="425"/>
    </row>
    <row r="50" spans="2:21" x14ac:dyDescent="0.3">
      <c r="B50" s="425">
        <v>2</v>
      </c>
      <c r="C50" s="513" t="s">
        <v>846</v>
      </c>
      <c r="D50" s="425"/>
      <c r="E50" s="425"/>
      <c r="F50" s="425"/>
      <c r="G50" s="425"/>
      <c r="H50" s="425"/>
      <c r="I50" s="425"/>
      <c r="J50" s="425"/>
      <c r="K50" s="425"/>
      <c r="L50" s="425"/>
      <c r="M50" s="425"/>
      <c r="N50" s="425"/>
      <c r="O50" s="425"/>
      <c r="P50" s="425"/>
      <c r="Q50" s="425"/>
      <c r="R50" s="425"/>
      <c r="S50" s="425"/>
      <c r="T50" s="425"/>
      <c r="U50" s="425"/>
    </row>
    <row r="51" spans="2:21" x14ac:dyDescent="0.3">
      <c r="B51" s="425">
        <v>3</v>
      </c>
      <c r="C51" s="513" t="s">
        <v>847</v>
      </c>
      <c r="D51" s="425"/>
      <c r="E51" s="425"/>
      <c r="F51" s="425"/>
      <c r="G51" s="425"/>
      <c r="H51" s="425"/>
      <c r="I51" s="425"/>
      <c r="J51" s="425"/>
      <c r="K51" s="425"/>
      <c r="L51" s="425"/>
      <c r="M51" s="425"/>
      <c r="N51" s="425"/>
      <c r="O51" s="425"/>
      <c r="P51" s="425"/>
      <c r="Q51" s="425"/>
      <c r="R51" s="425"/>
      <c r="S51" s="425"/>
      <c r="T51" s="425"/>
      <c r="U51" s="425"/>
    </row>
    <row r="52" spans="2:21" x14ac:dyDescent="0.3">
      <c r="B52" s="425"/>
      <c r="C52" s="425"/>
      <c r="D52" s="425"/>
      <c r="E52" s="425"/>
      <c r="F52" s="425"/>
      <c r="G52" s="425"/>
      <c r="H52" s="425"/>
      <c r="I52" s="425"/>
      <c r="J52" s="425"/>
      <c r="K52" s="425"/>
      <c r="L52" s="425"/>
      <c r="M52" s="425"/>
      <c r="N52" s="425"/>
      <c r="O52" s="425"/>
      <c r="P52" s="425"/>
      <c r="Q52" s="425"/>
      <c r="R52" s="425"/>
      <c r="S52" s="425"/>
      <c r="T52" s="425"/>
      <c r="U52" s="425"/>
    </row>
    <row r="53" spans="2:21" x14ac:dyDescent="0.3">
      <c r="B53" s="2274" t="s">
        <v>672</v>
      </c>
      <c r="C53" s="2274"/>
      <c r="D53" s="2274"/>
      <c r="E53" s="2274"/>
      <c r="F53" s="2274"/>
      <c r="G53" s="2274"/>
      <c r="H53" s="2274"/>
      <c r="I53" s="425"/>
      <c r="J53" s="425"/>
      <c r="K53" s="425"/>
      <c r="L53" s="425"/>
      <c r="M53" s="425"/>
      <c r="N53" s="425"/>
      <c r="O53" s="425"/>
      <c r="P53" s="425"/>
      <c r="Q53" s="425"/>
      <c r="R53" s="425"/>
      <c r="S53" s="425"/>
      <c r="T53" s="425"/>
      <c r="U53" s="425"/>
    </row>
    <row r="54" spans="2:21" x14ac:dyDescent="0.3">
      <c r="B54" s="425"/>
      <c r="C54" s="425"/>
      <c r="D54" s="425"/>
      <c r="E54" s="425"/>
      <c r="F54" s="425"/>
      <c r="G54" s="425"/>
      <c r="H54" s="425"/>
      <c r="I54" s="425"/>
      <c r="J54" s="425"/>
      <c r="K54" s="425"/>
      <c r="L54" s="425"/>
      <c r="M54" s="425"/>
      <c r="N54" s="425"/>
      <c r="O54" s="425"/>
      <c r="P54" s="425"/>
      <c r="Q54" s="425"/>
      <c r="R54" s="516" t="s">
        <v>16</v>
      </c>
      <c r="S54" s="425"/>
      <c r="T54" s="425"/>
      <c r="U54" s="425"/>
    </row>
    <row r="55" spans="2:21" x14ac:dyDescent="0.3">
      <c r="B55" s="2261" t="s">
        <v>187</v>
      </c>
      <c r="C55" s="2261" t="s">
        <v>50</v>
      </c>
      <c r="D55" s="2263" t="s">
        <v>186</v>
      </c>
      <c r="E55" s="2264"/>
      <c r="F55" s="2265"/>
      <c r="G55" s="2263" t="s">
        <v>426</v>
      </c>
      <c r="H55" s="2264"/>
      <c r="I55" s="2265"/>
      <c r="J55" s="2263" t="s">
        <v>427</v>
      </c>
      <c r="K55" s="2264"/>
      <c r="L55" s="2264"/>
      <c r="M55" s="2264"/>
      <c r="N55" s="2265"/>
      <c r="O55" s="2263" t="s">
        <v>428</v>
      </c>
      <c r="P55" s="2265"/>
      <c r="Q55" s="2263" t="s">
        <v>429</v>
      </c>
      <c r="R55" s="2265"/>
      <c r="S55" s="2261" t="s">
        <v>39</v>
      </c>
      <c r="T55" s="425"/>
      <c r="U55" s="425"/>
    </row>
    <row r="56" spans="2:21" ht="42" x14ac:dyDescent="0.3">
      <c r="B56" s="2261"/>
      <c r="C56" s="2273"/>
      <c r="D56" s="517" t="s">
        <v>404</v>
      </c>
      <c r="E56" s="518" t="s">
        <v>405</v>
      </c>
      <c r="F56" s="518" t="s">
        <v>406</v>
      </c>
      <c r="G56" s="517" t="s">
        <v>404</v>
      </c>
      <c r="H56" s="518" t="s">
        <v>405</v>
      </c>
      <c r="I56" s="518" t="s">
        <v>406</v>
      </c>
      <c r="J56" s="518" t="s">
        <v>404</v>
      </c>
      <c r="K56" s="518" t="s">
        <v>408</v>
      </c>
      <c r="L56" s="518" t="s">
        <v>333</v>
      </c>
      <c r="M56" s="518" t="s">
        <v>72</v>
      </c>
      <c r="N56" s="518" t="s">
        <v>409</v>
      </c>
      <c r="O56" s="518" t="s">
        <v>404</v>
      </c>
      <c r="P56" s="518" t="s">
        <v>805</v>
      </c>
      <c r="Q56" s="518" t="s">
        <v>404</v>
      </c>
      <c r="R56" s="518" t="s">
        <v>805</v>
      </c>
      <c r="S56" s="2261"/>
      <c r="T56" s="425"/>
      <c r="U56" s="425"/>
    </row>
    <row r="57" spans="2:21" x14ac:dyDescent="0.3">
      <c r="B57" s="2261"/>
      <c r="C57" s="2273"/>
      <c r="D57" s="518" t="s">
        <v>73</v>
      </c>
      <c r="E57" s="518" t="s">
        <v>74</v>
      </c>
      <c r="F57" s="518" t="s">
        <v>806</v>
      </c>
      <c r="G57" s="518" t="s">
        <v>411</v>
      </c>
      <c r="H57" s="518" t="s">
        <v>412</v>
      </c>
      <c r="I57" s="518" t="s">
        <v>439</v>
      </c>
      <c r="J57" s="518" t="s">
        <v>668</v>
      </c>
      <c r="K57" s="518" t="s">
        <v>582</v>
      </c>
      <c r="L57" s="518" t="s">
        <v>759</v>
      </c>
      <c r="M57" s="518" t="s">
        <v>810</v>
      </c>
      <c r="N57" s="518" t="s">
        <v>669</v>
      </c>
      <c r="O57" s="518" t="s">
        <v>760</v>
      </c>
      <c r="P57" s="518" t="s">
        <v>585</v>
      </c>
      <c r="Q57" s="518" t="s">
        <v>761</v>
      </c>
      <c r="R57" s="518" t="s">
        <v>784</v>
      </c>
      <c r="S57" s="2262"/>
      <c r="T57" s="425"/>
      <c r="U57" s="425"/>
    </row>
    <row r="58" spans="2:21" x14ac:dyDescent="0.3">
      <c r="B58" s="390">
        <v>1</v>
      </c>
      <c r="C58" s="489" t="s">
        <v>1572</v>
      </c>
      <c r="D58" s="343">
        <f t="shared" ref="D58:R58" si="2">D86</f>
        <v>0</v>
      </c>
      <c r="E58" s="343">
        <f t="shared" si="2"/>
        <v>0</v>
      </c>
      <c r="F58" s="343">
        <f t="shared" si="2"/>
        <v>0</v>
      </c>
      <c r="G58" s="343">
        <f t="shared" si="2"/>
        <v>0</v>
      </c>
      <c r="H58" s="343">
        <f t="shared" si="2"/>
        <v>0</v>
      </c>
      <c r="I58" s="343">
        <f t="shared" si="2"/>
        <v>0</v>
      </c>
      <c r="J58" s="343">
        <f t="shared" si="2"/>
        <v>0</v>
      </c>
      <c r="K58" s="343">
        <f t="shared" si="2"/>
        <v>0</v>
      </c>
      <c r="L58" s="343">
        <f t="shared" si="2"/>
        <v>0</v>
      </c>
      <c r="M58" s="343">
        <f t="shared" si="2"/>
        <v>0</v>
      </c>
      <c r="N58" s="343">
        <f t="shared" si="2"/>
        <v>0</v>
      </c>
      <c r="O58" s="343">
        <f t="shared" si="2"/>
        <v>0</v>
      </c>
      <c r="P58" s="343">
        <f t="shared" si="2"/>
        <v>47.513301797516867</v>
      </c>
      <c r="Q58" s="343">
        <f t="shared" si="2"/>
        <v>0</v>
      </c>
      <c r="R58" s="343">
        <f t="shared" si="2"/>
        <v>136.47784550657801</v>
      </c>
      <c r="S58" s="343"/>
      <c r="T58" s="425"/>
      <c r="U58" s="425"/>
    </row>
    <row r="59" spans="2:21" x14ac:dyDescent="0.3">
      <c r="B59" s="389"/>
      <c r="C59" s="343"/>
      <c r="D59" s="343"/>
      <c r="E59" s="343"/>
      <c r="F59" s="343"/>
      <c r="G59" s="343"/>
      <c r="H59" s="343"/>
      <c r="I59" s="343"/>
      <c r="J59" s="343"/>
      <c r="K59" s="343"/>
      <c r="L59" s="343"/>
      <c r="M59" s="343"/>
      <c r="N59" s="343"/>
      <c r="O59" s="343"/>
      <c r="P59" s="343"/>
      <c r="Q59" s="343"/>
      <c r="R59" s="343"/>
      <c r="S59" s="343"/>
      <c r="T59" s="425"/>
      <c r="U59" s="425"/>
    </row>
    <row r="60" spans="2:21" x14ac:dyDescent="0.3">
      <c r="B60" s="358">
        <v>2</v>
      </c>
      <c r="C60" s="349" t="s">
        <v>145</v>
      </c>
      <c r="D60" s="349">
        <f>D58</f>
        <v>0</v>
      </c>
      <c r="E60" s="349">
        <f t="shared" ref="E60:R60" si="3">E58</f>
        <v>0</v>
      </c>
      <c r="F60" s="349">
        <f t="shared" si="3"/>
        <v>0</v>
      </c>
      <c r="G60" s="349">
        <f t="shared" si="3"/>
        <v>0</v>
      </c>
      <c r="H60" s="349">
        <f t="shared" si="3"/>
        <v>0</v>
      </c>
      <c r="I60" s="349">
        <f t="shared" si="3"/>
        <v>0</v>
      </c>
      <c r="J60" s="349">
        <f t="shared" si="3"/>
        <v>0</v>
      </c>
      <c r="K60" s="349">
        <f t="shared" si="3"/>
        <v>0</v>
      </c>
      <c r="L60" s="349">
        <f t="shared" si="3"/>
        <v>0</v>
      </c>
      <c r="M60" s="349">
        <f t="shared" si="3"/>
        <v>0</v>
      </c>
      <c r="N60" s="349">
        <f t="shared" si="3"/>
        <v>0</v>
      </c>
      <c r="O60" s="349">
        <f t="shared" si="3"/>
        <v>0</v>
      </c>
      <c r="P60" s="349">
        <f t="shared" si="3"/>
        <v>47.513301797516867</v>
      </c>
      <c r="Q60" s="349">
        <f t="shared" si="3"/>
        <v>0</v>
      </c>
      <c r="R60" s="349">
        <f t="shared" si="3"/>
        <v>136.47784550657801</v>
      </c>
      <c r="S60" s="343"/>
      <c r="T60" s="425"/>
      <c r="U60" s="425"/>
    </row>
    <row r="61" spans="2:21" x14ac:dyDescent="0.3">
      <c r="B61" s="425"/>
      <c r="C61" s="425"/>
      <c r="D61" s="425"/>
      <c r="E61" s="425"/>
      <c r="F61" s="425"/>
      <c r="G61" s="425"/>
      <c r="H61" s="425"/>
      <c r="I61" s="425"/>
      <c r="J61" s="425"/>
      <c r="K61" s="425"/>
      <c r="L61" s="425"/>
      <c r="M61" s="425"/>
      <c r="N61" s="425"/>
      <c r="O61" s="425"/>
      <c r="P61" s="425"/>
      <c r="Q61" s="425"/>
      <c r="R61" s="425"/>
      <c r="S61" s="425"/>
      <c r="T61" s="425"/>
      <c r="U61" s="425"/>
    </row>
    <row r="62" spans="2:21" x14ac:dyDescent="0.3">
      <c r="B62" s="513"/>
      <c r="C62" s="425"/>
      <c r="D62" s="425"/>
      <c r="E62" s="425"/>
      <c r="F62" s="425"/>
      <c r="G62" s="425"/>
      <c r="H62" s="425"/>
      <c r="I62" s="425"/>
      <c r="J62" s="425"/>
      <c r="K62" s="425"/>
      <c r="L62" s="425"/>
      <c r="M62" s="425"/>
      <c r="N62" s="425"/>
      <c r="O62" s="425"/>
      <c r="P62" s="425"/>
      <c r="Q62" s="425"/>
      <c r="R62" s="425"/>
      <c r="S62" s="425"/>
      <c r="T62" s="425"/>
      <c r="U62" s="425"/>
    </row>
    <row r="63" spans="2:21" x14ac:dyDescent="0.3">
      <c r="B63" s="519" t="s">
        <v>1219</v>
      </c>
      <c r="C63" s="514"/>
      <c r="D63" s="514"/>
      <c r="E63" s="514"/>
      <c r="F63" s="514"/>
      <c r="G63" s="514"/>
      <c r="H63" s="514"/>
      <c r="I63" s="426"/>
      <c r="J63" s="425"/>
      <c r="K63" s="425"/>
      <c r="L63" s="425"/>
      <c r="M63" s="425"/>
      <c r="N63" s="425"/>
      <c r="O63" s="425"/>
      <c r="P63" s="425"/>
      <c r="Q63" s="425"/>
      <c r="R63" s="425"/>
      <c r="S63" s="425"/>
      <c r="T63" s="425"/>
      <c r="U63" s="425"/>
    </row>
    <row r="64" spans="2:21" x14ac:dyDescent="0.3">
      <c r="B64" s="520"/>
      <c r="C64" s="521"/>
      <c r="D64" s="514"/>
      <c r="E64" s="514"/>
      <c r="F64" s="514"/>
      <c r="G64" s="514"/>
      <c r="H64" s="514"/>
      <c r="I64" s="426"/>
      <c r="J64" s="425"/>
      <c r="K64" s="425"/>
      <c r="L64" s="425"/>
      <c r="M64" s="425"/>
      <c r="N64" s="425"/>
      <c r="O64" s="425"/>
      <c r="P64" s="425"/>
      <c r="Q64" s="425"/>
      <c r="R64" s="425"/>
      <c r="S64" s="425"/>
      <c r="T64" s="425"/>
      <c r="U64" s="425"/>
    </row>
    <row r="65" spans="2:21" x14ac:dyDescent="0.3">
      <c r="B65" s="425"/>
      <c r="C65" s="425"/>
      <c r="D65" s="425"/>
      <c r="E65" s="425"/>
      <c r="F65" s="425"/>
      <c r="G65" s="425"/>
      <c r="H65" s="425"/>
      <c r="I65" s="425"/>
      <c r="J65" s="425"/>
      <c r="K65" s="425"/>
      <c r="L65" s="425"/>
      <c r="M65" s="425"/>
      <c r="N65" s="425"/>
      <c r="O65" s="425"/>
      <c r="P65" s="516"/>
      <c r="Q65" s="425"/>
      <c r="R65" s="516" t="s">
        <v>16</v>
      </c>
      <c r="S65" s="425"/>
      <c r="T65" s="425"/>
      <c r="U65" s="425"/>
    </row>
    <row r="66" spans="2:21" x14ac:dyDescent="0.3">
      <c r="B66" s="2261" t="s">
        <v>187</v>
      </c>
      <c r="C66" s="2261" t="s">
        <v>50</v>
      </c>
      <c r="D66" s="2263" t="s">
        <v>804</v>
      </c>
      <c r="E66" s="2264"/>
      <c r="F66" s="2265"/>
      <c r="G66" s="2263" t="s">
        <v>186</v>
      </c>
      <c r="H66" s="2264"/>
      <c r="I66" s="2265"/>
      <c r="J66" s="2263" t="s">
        <v>426</v>
      </c>
      <c r="K66" s="2264"/>
      <c r="L66" s="2265"/>
      <c r="M66" s="2263" t="s">
        <v>427</v>
      </c>
      <c r="N66" s="2264"/>
      <c r="O66" s="2265"/>
      <c r="P66" s="2263" t="s">
        <v>428</v>
      </c>
      <c r="Q66" s="2265"/>
      <c r="R66" s="2263" t="s">
        <v>429</v>
      </c>
      <c r="S66" s="2265"/>
      <c r="T66" s="2261" t="s">
        <v>39</v>
      </c>
      <c r="U66" s="425"/>
    </row>
    <row r="67" spans="2:21" ht="42" x14ac:dyDescent="0.3">
      <c r="B67" s="2261"/>
      <c r="C67" s="2261"/>
      <c r="D67" s="517" t="s">
        <v>404</v>
      </c>
      <c r="E67" s="2099" t="s">
        <v>843</v>
      </c>
      <c r="F67" s="518" t="s">
        <v>406</v>
      </c>
      <c r="G67" s="517" t="s">
        <v>404</v>
      </c>
      <c r="H67" s="518" t="s">
        <v>843</v>
      </c>
      <c r="I67" s="518" t="s">
        <v>406</v>
      </c>
      <c r="J67" s="517" t="s">
        <v>404</v>
      </c>
      <c r="K67" s="518" t="s">
        <v>843</v>
      </c>
      <c r="L67" s="518" t="s">
        <v>406</v>
      </c>
      <c r="M67" s="518" t="s">
        <v>404</v>
      </c>
      <c r="N67" s="518" t="s">
        <v>843</v>
      </c>
      <c r="O67" s="518" t="s">
        <v>409</v>
      </c>
      <c r="P67" s="518" t="s">
        <v>404</v>
      </c>
      <c r="Q67" s="518" t="s">
        <v>843</v>
      </c>
      <c r="R67" s="518" t="s">
        <v>404</v>
      </c>
      <c r="S67" s="518" t="s">
        <v>843</v>
      </c>
      <c r="T67" s="2261"/>
      <c r="U67" s="425"/>
    </row>
    <row r="68" spans="2:21" x14ac:dyDescent="0.3">
      <c r="B68" s="2261"/>
      <c r="C68" s="2261"/>
      <c r="D68" s="518" t="s">
        <v>73</v>
      </c>
      <c r="E68" s="518" t="s">
        <v>74</v>
      </c>
      <c r="F68" s="518" t="s">
        <v>806</v>
      </c>
      <c r="G68" s="518" t="s">
        <v>411</v>
      </c>
      <c r="H68" s="518" t="s">
        <v>412</v>
      </c>
      <c r="I68" s="518" t="s">
        <v>439</v>
      </c>
      <c r="J68" s="518" t="s">
        <v>668</v>
      </c>
      <c r="K68" s="518" t="s">
        <v>582</v>
      </c>
      <c r="L68" s="518" t="s">
        <v>675</v>
      </c>
      <c r="M68" s="518" t="s">
        <v>782</v>
      </c>
      <c r="N68" s="518" t="s">
        <v>583</v>
      </c>
      <c r="O68" s="518" t="s">
        <v>844</v>
      </c>
      <c r="P68" s="518" t="s">
        <v>585</v>
      </c>
      <c r="Q68" s="518" t="s">
        <v>761</v>
      </c>
      <c r="R68" s="518" t="s">
        <v>784</v>
      </c>
      <c r="S68" s="518" t="s">
        <v>762</v>
      </c>
      <c r="T68" s="2262"/>
      <c r="U68" s="425"/>
    </row>
    <row r="69" spans="2:21" x14ac:dyDescent="0.3">
      <c r="B69" s="508">
        <v>1</v>
      </c>
      <c r="C69" s="423" t="s">
        <v>88</v>
      </c>
      <c r="D69" s="2275">
        <f>579.64</f>
        <v>579.64</v>
      </c>
      <c r="E69" s="2215">
        <f>'OnM esc rate'!E36</f>
        <v>580.51173711091417</v>
      </c>
      <c r="F69" s="2275">
        <f>E69-D69</f>
        <v>0.87173711091418227</v>
      </c>
      <c r="G69" s="2275">
        <v>565.54</v>
      </c>
      <c r="H69" s="2275">
        <f>'OnM esc rate'!H37</f>
        <v>587.28881742327621</v>
      </c>
      <c r="I69" s="2215">
        <f>H69-G69</f>
        <v>21.74881742327625</v>
      </c>
      <c r="J69" s="2275">
        <v>581.55999999999995</v>
      </c>
      <c r="K69" s="2275">
        <f>'OnM esc rate'!H38</f>
        <v>616.05781268313376</v>
      </c>
      <c r="L69" s="2215">
        <f>K69-J69</f>
        <v>34.497812683133816</v>
      </c>
      <c r="M69" s="2275">
        <v>598.04999999999995</v>
      </c>
      <c r="N69" s="2275">
        <f>'OnM esc rate'!H39</f>
        <v>646.23608914111287</v>
      </c>
      <c r="O69" s="2215">
        <f>N69-M69</f>
        <v>48.186089141112916</v>
      </c>
      <c r="P69" s="2275">
        <v>614.99</v>
      </c>
      <c r="Q69" s="2275">
        <f>'OnM esc rate'!H40</f>
        <v>677.89268200256015</v>
      </c>
      <c r="R69" s="2275">
        <v>632.41999999999996</v>
      </c>
      <c r="S69" s="2275">
        <f>'OnM esc rate'!H41</f>
        <v>711.10000823906137</v>
      </c>
      <c r="T69" s="353"/>
      <c r="U69" s="425"/>
    </row>
    <row r="70" spans="2:21" x14ac:dyDescent="0.3">
      <c r="B70" s="508">
        <f>B69+1</f>
        <v>2</v>
      </c>
      <c r="C70" s="507" t="s">
        <v>516</v>
      </c>
      <c r="D70" s="2276"/>
      <c r="E70" s="2216"/>
      <c r="F70" s="2276"/>
      <c r="G70" s="2276"/>
      <c r="H70" s="2276"/>
      <c r="I70" s="2216"/>
      <c r="J70" s="2276"/>
      <c r="K70" s="2276"/>
      <c r="L70" s="2216"/>
      <c r="M70" s="2276"/>
      <c r="N70" s="2276"/>
      <c r="O70" s="2216"/>
      <c r="P70" s="2276"/>
      <c r="Q70" s="2276"/>
      <c r="R70" s="2276"/>
      <c r="S70" s="2276"/>
      <c r="T70" s="353"/>
      <c r="U70" s="425"/>
    </row>
    <row r="71" spans="2:21" x14ac:dyDescent="0.3">
      <c r="B71" s="508">
        <f>B70+1</f>
        <v>3</v>
      </c>
      <c r="C71" s="423" t="s">
        <v>433</v>
      </c>
      <c r="D71" s="2277"/>
      <c r="E71" s="2217"/>
      <c r="F71" s="2277"/>
      <c r="G71" s="2277"/>
      <c r="H71" s="2277"/>
      <c r="I71" s="2217"/>
      <c r="J71" s="2277"/>
      <c r="K71" s="2277"/>
      <c r="L71" s="2217"/>
      <c r="M71" s="2277"/>
      <c r="N71" s="2277"/>
      <c r="O71" s="2217"/>
      <c r="P71" s="2277"/>
      <c r="Q71" s="2277"/>
      <c r="R71" s="2277"/>
      <c r="S71" s="2277"/>
      <c r="T71" s="353"/>
      <c r="U71" s="425"/>
    </row>
    <row r="72" spans="2:21" x14ac:dyDescent="0.3">
      <c r="B72" s="508">
        <f>B71+1</f>
        <v>4</v>
      </c>
      <c r="C72" s="509" t="s">
        <v>1243</v>
      </c>
      <c r="D72" s="438">
        <v>579.64</v>
      </c>
      <c r="E72" s="438">
        <f>'F3'!F46-F3.2!D74</f>
        <v>503.15000000000009</v>
      </c>
      <c r="F72" s="438">
        <f>E72-D72</f>
        <v>-76.489999999999895</v>
      </c>
      <c r="G72" s="438">
        <v>565.54</v>
      </c>
      <c r="H72" s="438">
        <f>'F3'!I46-F3.2!E74-9.44</f>
        <v>506.44000000000011</v>
      </c>
      <c r="I72" s="499">
        <f>H72-G72</f>
        <v>-59.099999999999852</v>
      </c>
      <c r="J72" s="500">
        <v>581.55999999999995</v>
      </c>
      <c r="K72" s="500">
        <f>'F3'!L46</f>
        <v>638.20457475719547</v>
      </c>
      <c r="L72" s="499">
        <f>K72-J72</f>
        <v>56.644574757195528</v>
      </c>
      <c r="M72" s="500">
        <v>598.04999999999995</v>
      </c>
      <c r="N72" s="500">
        <f>'F3'!Q46-'F3'!Q45</f>
        <v>646.23608914111287</v>
      </c>
      <c r="O72" s="499">
        <f>N72-M72</f>
        <v>48.186089141112916</v>
      </c>
      <c r="P72" s="500">
        <v>614.99</v>
      </c>
      <c r="Q72" s="500"/>
      <c r="R72" s="500">
        <v>632.41999999999996</v>
      </c>
      <c r="S72" s="438"/>
      <c r="T72" s="343"/>
      <c r="U72" s="425"/>
    </row>
    <row r="73" spans="2:21" x14ac:dyDescent="0.3">
      <c r="B73" s="508">
        <f>B72+1</f>
        <v>5</v>
      </c>
      <c r="C73" s="509" t="s">
        <v>184</v>
      </c>
      <c r="D73" s="438">
        <f>D69-D72</f>
        <v>0</v>
      </c>
      <c r="E73" s="438">
        <f>E69-E72</f>
        <v>77.361737110914078</v>
      </c>
      <c r="F73" s="438">
        <f>E73-D73</f>
        <v>77.361737110914078</v>
      </c>
      <c r="G73" s="438">
        <f>G69-G72</f>
        <v>0</v>
      </c>
      <c r="H73" s="438">
        <f>H69-H72</f>
        <v>80.848817423276103</v>
      </c>
      <c r="I73" s="499">
        <f>H73-G73</f>
        <v>80.848817423276103</v>
      </c>
      <c r="J73" s="438">
        <f>J69-J72</f>
        <v>0</v>
      </c>
      <c r="K73" s="438">
        <f>K69-K72</f>
        <v>-22.146762074061712</v>
      </c>
      <c r="L73" s="499">
        <f>K73-J73</f>
        <v>-22.146762074061712</v>
      </c>
      <c r="M73" s="438"/>
      <c r="N73" s="438">
        <f>N69-N72</f>
        <v>0</v>
      </c>
      <c r="O73" s="499"/>
      <c r="P73" s="438"/>
      <c r="Q73" s="438"/>
      <c r="R73" s="438"/>
      <c r="S73" s="438"/>
      <c r="T73" s="343"/>
      <c r="U73" s="425"/>
    </row>
    <row r="74" spans="2:21" ht="28" x14ac:dyDescent="0.3">
      <c r="B74" s="508">
        <f>B73+1</f>
        <v>6</v>
      </c>
      <c r="C74" s="511" t="s">
        <v>185</v>
      </c>
      <c r="D74" s="438">
        <f>IF(D69&lt;D72,D69+(D72-D69)/3,D72+(D69-D72)/3)</f>
        <v>579.64</v>
      </c>
      <c r="E74" s="438">
        <f>IF(E69&lt;E72,E69+(E72-E69)/3,E72+(E69-E72)/3)</f>
        <v>528.93724570363815</v>
      </c>
      <c r="F74" s="438">
        <f>E74-D74</f>
        <v>-50.702754296361832</v>
      </c>
      <c r="G74" s="438">
        <f>IF(G69&lt;G72,G69+(G72-G69)/3,G72+(G69-G72)/3)</f>
        <v>565.54</v>
      </c>
      <c r="H74" s="438">
        <f>IF(H69&lt;H72,H69+(H72-H69)/3,H72+(H69-H72)/3)</f>
        <v>533.38960580775881</v>
      </c>
      <c r="I74" s="500">
        <f>H74-G74</f>
        <v>-32.150394192241151</v>
      </c>
      <c r="J74" s="438">
        <f>IF(J69&lt;J72,J69+(J72-J69)/3,J72+(J69-J72)/3)</f>
        <v>581.55999999999995</v>
      </c>
      <c r="K74" s="438">
        <f>IF(K69&lt;K72,K69+(K72-K69)/3,K72+(K69-K72)/3)</f>
        <v>623.44006670782096</v>
      </c>
      <c r="L74" s="500">
        <f>K74-J74</f>
        <v>41.880066707821015</v>
      </c>
      <c r="M74" s="438">
        <f>IF(M69&lt;M72,M69+(M72-M69)/3,M72+(M69-M72)/3)</f>
        <v>598.04999999999995</v>
      </c>
      <c r="N74" s="438">
        <f>IF(N69&lt;N72,N69+(N72-N69)/3,N72+(N69-N72)/3)</f>
        <v>646.23608914111287</v>
      </c>
      <c r="O74" s="500">
        <f>N74-M74</f>
        <v>48.186089141112916</v>
      </c>
      <c r="P74" s="438">
        <f>IF(P69&lt;P72,P69+(P72-P69)/3,P72+(P69-P72)/3)</f>
        <v>614.99</v>
      </c>
      <c r="Q74" s="438">
        <f>SUM(Q69)</f>
        <v>677.89268200256015</v>
      </c>
      <c r="R74" s="438">
        <f>IF(R69&lt;R72,R69+(R72-R69)/3,R72+(R69-R72)/3)</f>
        <v>632.41999999999996</v>
      </c>
      <c r="S74" s="438">
        <f>SUM(S69)</f>
        <v>711.10000823906137</v>
      </c>
      <c r="T74" s="343"/>
      <c r="U74" s="425"/>
    </row>
    <row r="75" spans="2:21" x14ac:dyDescent="0.3">
      <c r="B75" s="425"/>
      <c r="C75" s="425"/>
      <c r="D75" s="425"/>
      <c r="E75" s="425"/>
      <c r="F75" s="425"/>
      <c r="G75" s="425"/>
      <c r="H75" s="425"/>
      <c r="I75" s="425"/>
      <c r="J75" s="425"/>
      <c r="K75" s="425"/>
      <c r="L75" s="425"/>
      <c r="M75" s="425"/>
      <c r="N75" s="425"/>
      <c r="O75" s="425"/>
      <c r="P75" s="425"/>
      <c r="Q75" s="425"/>
      <c r="R75" s="425"/>
      <c r="S75" s="425"/>
      <c r="T75" s="425"/>
      <c r="U75" s="425"/>
    </row>
    <row r="76" spans="2:21" x14ac:dyDescent="0.3">
      <c r="B76" s="512" t="s">
        <v>434</v>
      </c>
      <c r="C76" s="425"/>
      <c r="D76" s="425"/>
      <c r="E76" s="425"/>
      <c r="F76" s="425"/>
      <c r="G76" s="425"/>
      <c r="H76" s="425"/>
      <c r="I76" s="425"/>
      <c r="J76" s="425"/>
      <c r="K76" s="425"/>
      <c r="L76" s="425"/>
      <c r="M76" s="425"/>
      <c r="N76" s="425"/>
      <c r="O76" s="425"/>
      <c r="P76" s="425"/>
      <c r="Q76" s="425"/>
      <c r="R76" s="425"/>
      <c r="S76" s="425"/>
      <c r="T76" s="425"/>
      <c r="U76" s="425"/>
    </row>
    <row r="77" spans="2:21" x14ac:dyDescent="0.3">
      <c r="B77" s="425">
        <v>1</v>
      </c>
      <c r="C77" s="513" t="s">
        <v>845</v>
      </c>
      <c r="D77" s="425"/>
      <c r="E77" s="425"/>
      <c r="F77" s="425"/>
      <c r="G77" s="425"/>
      <c r="H77" s="425"/>
      <c r="I77" s="425"/>
      <c r="J77" s="425"/>
      <c r="K77" s="425"/>
      <c r="L77" s="425"/>
      <c r="M77" s="425"/>
      <c r="N77" s="425"/>
      <c r="O77" s="425"/>
      <c r="P77" s="425"/>
      <c r="Q77" s="425"/>
      <c r="R77" s="425"/>
      <c r="S77" s="425"/>
      <c r="T77" s="425"/>
      <c r="U77" s="425"/>
    </row>
    <row r="78" spans="2:21" x14ac:dyDescent="0.3">
      <c r="B78" s="425">
        <v>2</v>
      </c>
      <c r="C78" s="513" t="s">
        <v>846</v>
      </c>
      <c r="D78" s="425"/>
      <c r="E78" s="425"/>
      <c r="F78" s="425"/>
      <c r="G78" s="425"/>
      <c r="H78" s="425"/>
      <c r="I78" s="425"/>
      <c r="J78" s="425"/>
      <c r="K78" s="425"/>
      <c r="L78" s="425"/>
      <c r="M78" s="425"/>
      <c r="N78" s="425"/>
      <c r="O78" s="425"/>
      <c r="P78" s="425"/>
      <c r="Q78" s="425"/>
      <c r="R78" s="425"/>
      <c r="S78" s="425"/>
      <c r="T78" s="425"/>
      <c r="U78" s="425"/>
    </row>
    <row r="79" spans="2:21" x14ac:dyDescent="0.3">
      <c r="B79" s="425">
        <v>3</v>
      </c>
      <c r="C79" s="513" t="s">
        <v>847</v>
      </c>
      <c r="D79" s="425"/>
      <c r="E79" s="425"/>
      <c r="F79" s="425"/>
      <c r="G79" s="425"/>
      <c r="H79" s="425"/>
      <c r="I79" s="425"/>
      <c r="J79" s="425"/>
      <c r="K79" s="425"/>
      <c r="L79" s="425"/>
      <c r="M79" s="425"/>
      <c r="N79" s="425"/>
      <c r="O79" s="425"/>
      <c r="P79" s="425"/>
      <c r="Q79" s="425"/>
      <c r="R79" s="425"/>
      <c r="S79" s="425"/>
      <c r="T79" s="425"/>
      <c r="U79" s="425"/>
    </row>
    <row r="80" spans="2:21" x14ac:dyDescent="0.3">
      <c r="B80" s="425"/>
      <c r="C80" s="425"/>
      <c r="D80" s="425"/>
      <c r="E80" s="425"/>
      <c r="F80" s="425"/>
      <c r="G80" s="425"/>
      <c r="H80" s="425"/>
      <c r="I80" s="425"/>
      <c r="J80" s="425"/>
      <c r="K80" s="425"/>
      <c r="L80" s="425"/>
      <c r="M80" s="425"/>
      <c r="N80" s="425"/>
      <c r="O80" s="425"/>
      <c r="P80" s="425"/>
      <c r="Q80" s="425"/>
      <c r="R80" s="425"/>
      <c r="S80" s="425"/>
      <c r="T80" s="425"/>
      <c r="U80" s="425"/>
    </row>
    <row r="81" spans="2:21" x14ac:dyDescent="0.3">
      <c r="B81" s="2274" t="s">
        <v>672</v>
      </c>
      <c r="C81" s="2274"/>
      <c r="D81" s="2274"/>
      <c r="E81" s="2274"/>
      <c r="F81" s="2274"/>
      <c r="G81" s="2274"/>
      <c r="H81" s="2274"/>
      <c r="I81" s="425"/>
      <c r="J81" s="425"/>
      <c r="K81" s="425"/>
      <c r="L81" s="425"/>
      <c r="M81" s="425"/>
      <c r="N81" s="425"/>
      <c r="O81" s="425"/>
      <c r="P81" s="425"/>
      <c r="Q81" s="425"/>
      <c r="R81" s="425"/>
      <c r="S81" s="425"/>
      <c r="T81" s="425"/>
      <c r="U81" s="425"/>
    </row>
    <row r="82" spans="2:21" x14ac:dyDescent="0.3">
      <c r="B82" s="425"/>
      <c r="C82" s="425"/>
      <c r="D82" s="425"/>
      <c r="E82" s="425"/>
      <c r="F82" s="425"/>
      <c r="G82" s="425"/>
      <c r="H82" s="425"/>
      <c r="I82" s="425"/>
      <c r="J82" s="425"/>
      <c r="K82" s="425"/>
      <c r="L82" s="425"/>
      <c r="M82" s="425"/>
      <c r="N82" s="425"/>
      <c r="O82" s="425"/>
      <c r="P82" s="425"/>
      <c r="Q82" s="425"/>
      <c r="R82" s="516" t="s">
        <v>16</v>
      </c>
      <c r="S82" s="425"/>
      <c r="T82" s="425"/>
      <c r="U82" s="425"/>
    </row>
    <row r="83" spans="2:21" x14ac:dyDescent="0.3">
      <c r="B83" s="2261" t="s">
        <v>187</v>
      </c>
      <c r="C83" s="2261" t="s">
        <v>50</v>
      </c>
      <c r="D83" s="2263" t="s">
        <v>186</v>
      </c>
      <c r="E83" s="2264"/>
      <c r="F83" s="2265"/>
      <c r="G83" s="2263" t="s">
        <v>426</v>
      </c>
      <c r="H83" s="2264"/>
      <c r="I83" s="2265"/>
      <c r="J83" s="2263" t="s">
        <v>427</v>
      </c>
      <c r="K83" s="2264"/>
      <c r="L83" s="2264"/>
      <c r="M83" s="2264"/>
      <c r="N83" s="2265"/>
      <c r="O83" s="2263" t="s">
        <v>428</v>
      </c>
      <c r="P83" s="2265"/>
      <c r="Q83" s="2263" t="s">
        <v>429</v>
      </c>
      <c r="R83" s="2265"/>
      <c r="S83" s="2261" t="s">
        <v>39</v>
      </c>
      <c r="T83" s="425"/>
      <c r="U83" s="425"/>
    </row>
    <row r="84" spans="2:21" ht="42" x14ac:dyDescent="0.3">
      <c r="B84" s="2261"/>
      <c r="C84" s="2273"/>
      <c r="D84" s="517" t="s">
        <v>404</v>
      </c>
      <c r="E84" s="518" t="s">
        <v>405</v>
      </c>
      <c r="F84" s="518" t="s">
        <v>406</v>
      </c>
      <c r="G84" s="517" t="s">
        <v>404</v>
      </c>
      <c r="H84" s="518" t="s">
        <v>405</v>
      </c>
      <c r="I84" s="518" t="s">
        <v>406</v>
      </c>
      <c r="J84" s="518" t="s">
        <v>404</v>
      </c>
      <c r="K84" s="518" t="s">
        <v>408</v>
      </c>
      <c r="L84" s="518" t="s">
        <v>333</v>
      </c>
      <c r="M84" s="518" t="s">
        <v>72</v>
      </c>
      <c r="N84" s="518" t="s">
        <v>409</v>
      </c>
      <c r="O84" s="518" t="s">
        <v>404</v>
      </c>
      <c r="P84" s="518" t="s">
        <v>805</v>
      </c>
      <c r="Q84" s="518" t="s">
        <v>404</v>
      </c>
      <c r="R84" s="518" t="s">
        <v>805</v>
      </c>
      <c r="S84" s="2261"/>
      <c r="T84" s="425"/>
      <c r="U84" s="425"/>
    </row>
    <row r="85" spans="2:21" x14ac:dyDescent="0.3">
      <c r="B85" s="2261"/>
      <c r="C85" s="2273"/>
      <c r="D85" s="518" t="s">
        <v>73</v>
      </c>
      <c r="E85" s="518" t="s">
        <v>74</v>
      </c>
      <c r="F85" s="518" t="s">
        <v>806</v>
      </c>
      <c r="G85" s="518" t="s">
        <v>411</v>
      </c>
      <c r="H85" s="518" t="s">
        <v>412</v>
      </c>
      <c r="I85" s="518" t="s">
        <v>439</v>
      </c>
      <c r="J85" s="518" t="s">
        <v>668</v>
      </c>
      <c r="K85" s="518" t="s">
        <v>582</v>
      </c>
      <c r="L85" s="518" t="s">
        <v>759</v>
      </c>
      <c r="M85" s="518" t="s">
        <v>810</v>
      </c>
      <c r="N85" s="518" t="s">
        <v>669</v>
      </c>
      <c r="O85" s="518" t="s">
        <v>760</v>
      </c>
      <c r="P85" s="518" t="s">
        <v>585</v>
      </c>
      <c r="Q85" s="518" t="s">
        <v>761</v>
      </c>
      <c r="R85" s="518" t="s">
        <v>784</v>
      </c>
      <c r="S85" s="2262"/>
      <c r="T85" s="425"/>
      <c r="U85" s="425"/>
    </row>
    <row r="86" spans="2:21" x14ac:dyDescent="0.3">
      <c r="B86" s="390">
        <v>1</v>
      </c>
      <c r="C86" s="489" t="s">
        <v>1573</v>
      </c>
      <c r="D86" s="343">
        <v>0</v>
      </c>
      <c r="E86" s="343">
        <v>0</v>
      </c>
      <c r="F86" s="343">
        <f>E86-D86</f>
        <v>0</v>
      </c>
      <c r="G86" s="343">
        <v>0</v>
      </c>
      <c r="H86" s="343">
        <v>0</v>
      </c>
      <c r="I86" s="343">
        <f>H86-G86</f>
        <v>0</v>
      </c>
      <c r="J86" s="343">
        <v>0</v>
      </c>
      <c r="K86" s="343">
        <v>0</v>
      </c>
      <c r="L86" s="343"/>
      <c r="M86" s="343">
        <f>K86+L86</f>
        <v>0</v>
      </c>
      <c r="N86" s="343">
        <f>M86-J86</f>
        <v>0</v>
      </c>
      <c r="O86" s="343">
        <v>0</v>
      </c>
      <c r="P86" s="343">
        <v>47.513301797516867</v>
      </c>
      <c r="Q86" s="343">
        <v>0</v>
      </c>
      <c r="R86" s="343">
        <v>136.47784550657801</v>
      </c>
      <c r="S86" s="343"/>
      <c r="T86" s="425"/>
      <c r="U86" s="425"/>
    </row>
    <row r="87" spans="2:21" x14ac:dyDescent="0.3">
      <c r="B87" s="390"/>
      <c r="C87" s="489"/>
      <c r="D87" s="343"/>
      <c r="E87" s="343"/>
      <c r="F87" s="343"/>
      <c r="G87" s="343"/>
      <c r="H87" s="343"/>
      <c r="I87" s="343"/>
      <c r="J87" s="343"/>
      <c r="K87" s="343"/>
      <c r="L87" s="343"/>
      <c r="M87" s="343"/>
      <c r="N87" s="343"/>
      <c r="O87" s="343"/>
      <c r="P87" s="343"/>
      <c r="Q87" s="343"/>
      <c r="R87" s="343"/>
      <c r="S87" s="343"/>
      <c r="T87" s="425"/>
      <c r="U87" s="425"/>
    </row>
    <row r="88" spans="2:21" s="152" customFormat="1" x14ac:dyDescent="0.3">
      <c r="B88" s="358">
        <v>2</v>
      </c>
      <c r="C88" s="349" t="s">
        <v>145</v>
      </c>
      <c r="D88" s="349">
        <f>D86</f>
        <v>0</v>
      </c>
      <c r="E88" s="349">
        <f t="shared" ref="E88:R88" si="4">E86</f>
        <v>0</v>
      </c>
      <c r="F88" s="349">
        <f t="shared" si="4"/>
        <v>0</v>
      </c>
      <c r="G88" s="349">
        <f t="shared" si="4"/>
        <v>0</v>
      </c>
      <c r="H88" s="349">
        <f t="shared" si="4"/>
        <v>0</v>
      </c>
      <c r="I88" s="349">
        <f t="shared" si="4"/>
        <v>0</v>
      </c>
      <c r="J88" s="349">
        <f t="shared" si="4"/>
        <v>0</v>
      </c>
      <c r="K88" s="349">
        <f t="shared" si="4"/>
        <v>0</v>
      </c>
      <c r="L88" s="349">
        <f t="shared" si="4"/>
        <v>0</v>
      </c>
      <c r="M88" s="349">
        <f t="shared" si="4"/>
        <v>0</v>
      </c>
      <c r="N88" s="349">
        <f t="shared" si="4"/>
        <v>0</v>
      </c>
      <c r="O88" s="349">
        <f t="shared" si="4"/>
        <v>0</v>
      </c>
      <c r="P88" s="349">
        <f t="shared" si="4"/>
        <v>47.513301797516867</v>
      </c>
      <c r="Q88" s="349">
        <f t="shared" si="4"/>
        <v>0</v>
      </c>
      <c r="R88" s="349">
        <f t="shared" si="4"/>
        <v>136.47784550657801</v>
      </c>
      <c r="S88" s="349"/>
      <c r="T88" s="512"/>
      <c r="U88" s="512"/>
    </row>
  </sheetData>
  <mergeCells count="105">
    <mergeCell ref="B81:H81"/>
    <mergeCell ref="B83:B85"/>
    <mergeCell ref="C83:C85"/>
    <mergeCell ref="D83:F83"/>
    <mergeCell ref="G83:I83"/>
    <mergeCell ref="J83:N83"/>
    <mergeCell ref="O83:P83"/>
    <mergeCell ref="Q83:R83"/>
    <mergeCell ref="S83:S85"/>
    <mergeCell ref="M66:O66"/>
    <mergeCell ref="P66:Q66"/>
    <mergeCell ref="R66:S66"/>
    <mergeCell ref="T66:T68"/>
    <mergeCell ref="D69:D71"/>
    <mergeCell ref="F69:F71"/>
    <mergeCell ref="G69:G71"/>
    <mergeCell ref="H69:H71"/>
    <mergeCell ref="I69:I71"/>
    <mergeCell ref="J69:J71"/>
    <mergeCell ref="K69:K71"/>
    <mergeCell ref="L69:L71"/>
    <mergeCell ref="M69:M71"/>
    <mergeCell ref="N69:N71"/>
    <mergeCell ref="O69:O71"/>
    <mergeCell ref="P69:P71"/>
    <mergeCell ref="Q69:Q71"/>
    <mergeCell ref="R69:R71"/>
    <mergeCell ref="S69:S71"/>
    <mergeCell ref="E69:E71"/>
    <mergeCell ref="B66:B68"/>
    <mergeCell ref="C66:C68"/>
    <mergeCell ref="D66:F66"/>
    <mergeCell ref="G66:I66"/>
    <mergeCell ref="J66:L66"/>
    <mergeCell ref="B53:H53"/>
    <mergeCell ref="B55:B57"/>
    <mergeCell ref="C55:C57"/>
    <mergeCell ref="J38:L38"/>
    <mergeCell ref="N41:N43"/>
    <mergeCell ref="E41:E43"/>
    <mergeCell ref="M8:O8"/>
    <mergeCell ref="P8:Q8"/>
    <mergeCell ref="D11:D13"/>
    <mergeCell ref="F11:F13"/>
    <mergeCell ref="B23:H23"/>
    <mergeCell ref="E11:E13"/>
    <mergeCell ref="B38:B40"/>
    <mergeCell ref="C38:C40"/>
    <mergeCell ref="D38:F38"/>
    <mergeCell ref="G38:I38"/>
    <mergeCell ref="B1:K1"/>
    <mergeCell ref="B2:K2"/>
    <mergeCell ref="B3:K3"/>
    <mergeCell ref="B8:B10"/>
    <mergeCell ref="C8:C10"/>
    <mergeCell ref="D8:F8"/>
    <mergeCell ref="G8:I8"/>
    <mergeCell ref="J8:L8"/>
    <mergeCell ref="C25:C27"/>
    <mergeCell ref="B25:B27"/>
    <mergeCell ref="R8:S8"/>
    <mergeCell ref="T8:T10"/>
    <mergeCell ref="D25:F25"/>
    <mergeCell ref="G25:I25"/>
    <mergeCell ref="J25:N25"/>
    <mergeCell ref="O25:P25"/>
    <mergeCell ref="Q25:R25"/>
    <mergeCell ref="S25:S27"/>
    <mergeCell ref="G11:G13"/>
    <mergeCell ref="I11:I13"/>
    <mergeCell ref="J11:J13"/>
    <mergeCell ref="L11:L13"/>
    <mergeCell ref="M11:M13"/>
    <mergeCell ref="O11:O13"/>
    <mergeCell ref="Q11:Q13"/>
    <mergeCell ref="S11:S13"/>
    <mergeCell ref="H11:H13"/>
    <mergeCell ref="K11:K13"/>
    <mergeCell ref="N11:N13"/>
    <mergeCell ref="P11:P13"/>
    <mergeCell ref="R11:R13"/>
    <mergeCell ref="T38:T40"/>
    <mergeCell ref="D55:F55"/>
    <mergeCell ref="G55:I55"/>
    <mergeCell ref="J55:N55"/>
    <mergeCell ref="O55:P55"/>
    <mergeCell ref="Q55:R55"/>
    <mergeCell ref="S55:S57"/>
    <mergeCell ref="G41:G43"/>
    <mergeCell ref="I41:I43"/>
    <mergeCell ref="J41:J43"/>
    <mergeCell ref="L41:L43"/>
    <mergeCell ref="M41:M43"/>
    <mergeCell ref="O41:O43"/>
    <mergeCell ref="Q41:Q43"/>
    <mergeCell ref="S41:S43"/>
    <mergeCell ref="D41:D43"/>
    <mergeCell ref="P41:P43"/>
    <mergeCell ref="R41:R43"/>
    <mergeCell ref="P38:Q38"/>
    <mergeCell ref="R38:S38"/>
    <mergeCell ref="M38:O38"/>
    <mergeCell ref="F41:F43"/>
    <mergeCell ref="H41:H43"/>
    <mergeCell ref="K41:K43"/>
  </mergeCells>
  <pageMargins left="0.70866141732283472" right="0.70866141732283472" top="0.74803149606299213" bottom="0.74803149606299213" header="0.31496062992125984" footer="0.31496062992125984"/>
  <pageSetup scale="43" orientation="landscape" r:id="rId1"/>
  <rowBreaks count="2" manualBreakCount="2">
    <brk id="30" max="19" man="1"/>
    <brk id="60" max="19"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2"/>
  <sheetViews>
    <sheetView showGridLines="0" view="pageBreakPreview" topLeftCell="A139" zoomScale="65" zoomScaleNormal="60" zoomScaleSheetLayoutView="70" workbookViewId="0">
      <selection activeCell="C122" sqref="C122"/>
    </sheetView>
  </sheetViews>
  <sheetFormatPr defaultColWidth="9.1796875" defaultRowHeight="14" x14ac:dyDescent="0.25"/>
  <cols>
    <col min="1" max="1" width="6.81640625" style="15" customWidth="1"/>
    <col min="2" max="2" width="7" style="15" customWidth="1"/>
    <col min="3" max="3" width="42.54296875" style="15" customWidth="1"/>
    <col min="4" max="5" width="16.7265625" style="15" customWidth="1"/>
    <col min="6" max="6" width="16" style="15" customWidth="1"/>
    <col min="7" max="9" width="19.26953125" style="15" customWidth="1"/>
    <col min="10" max="16384" width="9.1796875" style="15"/>
  </cols>
  <sheetData>
    <row r="2" spans="2:9" x14ac:dyDescent="0.25">
      <c r="B2" s="131"/>
      <c r="C2" s="131"/>
      <c r="D2" s="131"/>
      <c r="E2" s="131"/>
      <c r="F2" s="201" t="s">
        <v>1027</v>
      </c>
      <c r="G2" s="131"/>
      <c r="H2" s="131"/>
    </row>
    <row r="3" spans="2:9" s="5" customFormat="1" x14ac:dyDescent="0.3">
      <c r="B3" s="45"/>
      <c r="C3" s="45"/>
      <c r="D3" s="45"/>
      <c r="E3" s="45"/>
      <c r="F3" s="202" t="s">
        <v>848</v>
      </c>
      <c r="G3" s="45"/>
      <c r="H3" s="45"/>
    </row>
    <row r="4" spans="2:9" s="5" customFormat="1" x14ac:dyDescent="0.3">
      <c r="C4" s="74"/>
      <c r="D4" s="74"/>
      <c r="E4" s="74"/>
      <c r="F4" s="234" t="s">
        <v>753</v>
      </c>
      <c r="G4" s="74"/>
      <c r="H4" s="119"/>
    </row>
    <row r="5" spans="2:9" s="5" customFormat="1" x14ac:dyDescent="0.3">
      <c r="C5" s="20"/>
      <c r="D5" s="20"/>
      <c r="E5" s="118"/>
      <c r="F5" s="19"/>
      <c r="G5" s="19"/>
    </row>
    <row r="6" spans="2:9" s="119" customFormat="1" x14ac:dyDescent="0.3">
      <c r="C6" s="118"/>
      <c r="D6" s="118"/>
      <c r="E6" s="118"/>
      <c r="F6" s="19"/>
      <c r="G6" s="19"/>
    </row>
    <row r="7" spans="2:9" x14ac:dyDescent="0.25">
      <c r="B7" s="125" t="s">
        <v>282</v>
      </c>
    </row>
    <row r="8" spans="2:9" x14ac:dyDescent="0.25">
      <c r="B8" s="125"/>
    </row>
    <row r="9" spans="2:9" x14ac:dyDescent="0.25">
      <c r="H9" s="2122">
        <v>0.65</v>
      </c>
      <c r="I9" s="21" t="s">
        <v>16</v>
      </c>
    </row>
    <row r="10" spans="2:9" x14ac:dyDescent="0.25">
      <c r="B10" s="2278" t="s">
        <v>11</v>
      </c>
      <c r="C10" s="2278" t="s">
        <v>50</v>
      </c>
      <c r="D10" s="192" t="s">
        <v>179</v>
      </c>
      <c r="E10" s="308" t="s">
        <v>186</v>
      </c>
      <c r="F10" s="233" t="s">
        <v>426</v>
      </c>
      <c r="G10" s="2203" t="s">
        <v>427</v>
      </c>
      <c r="H10" s="2224"/>
      <c r="I10" s="2224"/>
    </row>
    <row r="11" spans="2:9" ht="28" x14ac:dyDescent="0.25">
      <c r="B11" s="2279"/>
      <c r="C11" s="2279"/>
      <c r="D11" s="192" t="s">
        <v>414</v>
      </c>
      <c r="E11" s="308" t="s">
        <v>414</v>
      </c>
      <c r="F11" s="232" t="s">
        <v>405</v>
      </c>
      <c r="G11" s="232" t="s">
        <v>408</v>
      </c>
      <c r="H11" s="232" t="s">
        <v>333</v>
      </c>
      <c r="I11" s="232" t="s">
        <v>72</v>
      </c>
    </row>
    <row r="12" spans="2:9" x14ac:dyDescent="0.3">
      <c r="B12" s="69">
        <v>1</v>
      </c>
      <c r="C12" s="11" t="s">
        <v>91</v>
      </c>
      <c r="D12" s="350">
        <f t="shared" ref="D12:G12" si="0">$H$9*D59</f>
        <v>100.0415</v>
      </c>
      <c r="E12" s="350">
        <f t="shared" si="0"/>
        <v>171.90550000000002</v>
      </c>
      <c r="F12" s="350">
        <f t="shared" si="0"/>
        <v>175.64283769503251</v>
      </c>
      <c r="G12" s="350">
        <f t="shared" si="0"/>
        <v>94.209109096309987</v>
      </c>
      <c r="H12" s="350">
        <f>G12*$H$28/$G$28</f>
        <v>104.76734769265212</v>
      </c>
      <c r="I12" s="350">
        <f>SUM(G12:H12)</f>
        <v>198.97645678896211</v>
      </c>
    </row>
    <row r="13" spans="2:9" x14ac:dyDescent="0.3">
      <c r="B13" s="69">
        <v>2</v>
      </c>
      <c r="C13" s="11" t="s">
        <v>92</v>
      </c>
      <c r="D13" s="350">
        <f t="shared" ref="D13:G25" si="1">$H$9*D60</f>
        <v>69.277000000000001</v>
      </c>
      <c r="E13" s="350">
        <f t="shared" si="1"/>
        <v>39.39</v>
      </c>
      <c r="F13" s="350">
        <f t="shared" si="1"/>
        <v>31.2335436763675</v>
      </c>
      <c r="G13" s="350">
        <f t="shared" si="1"/>
        <v>19.881889619539997</v>
      </c>
      <c r="H13" s="350">
        <f t="shared" ref="H13:H25" si="2">G13*$H$28/$G$28</f>
        <v>22.110100207272463</v>
      </c>
      <c r="I13" s="350">
        <f t="shared" ref="I13:I23" si="3">SUM(G13:H13)</f>
        <v>41.991989826812457</v>
      </c>
    </row>
    <row r="14" spans="2:9" x14ac:dyDescent="0.3">
      <c r="B14" s="69">
        <v>3</v>
      </c>
      <c r="C14" s="25" t="s">
        <v>93</v>
      </c>
      <c r="D14" s="350">
        <f t="shared" si="1"/>
        <v>20.553000000000001</v>
      </c>
      <c r="E14" s="350">
        <f t="shared" si="1"/>
        <v>26.065000000000001</v>
      </c>
      <c r="F14" s="350">
        <f t="shared" si="1"/>
        <v>25.73180181</v>
      </c>
      <c r="G14" s="350">
        <f t="shared" si="1"/>
        <v>5.9189282100000007</v>
      </c>
      <c r="H14" s="350">
        <f t="shared" si="2"/>
        <v>6.5822765515272845</v>
      </c>
      <c r="I14" s="350">
        <f t="shared" si="3"/>
        <v>12.501204761527285</v>
      </c>
    </row>
    <row r="15" spans="2:9" x14ac:dyDescent="0.3">
      <c r="B15" s="69">
        <v>4</v>
      </c>
      <c r="C15" s="11" t="s">
        <v>94</v>
      </c>
      <c r="D15" s="350">
        <f t="shared" si="1"/>
        <v>0.60450000000000004</v>
      </c>
      <c r="E15" s="350">
        <f t="shared" si="1"/>
        <v>0.55900000000000005</v>
      </c>
      <c r="F15" s="350">
        <f t="shared" si="1"/>
        <v>0.52918423999999997</v>
      </c>
      <c r="G15" s="350">
        <f t="shared" si="1"/>
        <v>0.14079195</v>
      </c>
      <c r="H15" s="350">
        <f t="shared" si="2"/>
        <v>0.1565708382073453</v>
      </c>
      <c r="I15" s="350">
        <f t="shared" si="3"/>
        <v>0.2973627882073453</v>
      </c>
    </row>
    <row r="16" spans="2:9" x14ac:dyDescent="0.3">
      <c r="B16" s="69">
        <v>5</v>
      </c>
      <c r="C16" s="11" t="s">
        <v>95</v>
      </c>
      <c r="D16" s="350">
        <f t="shared" si="1"/>
        <v>1.9305000000000001</v>
      </c>
      <c r="E16" s="350">
        <f t="shared" si="1"/>
        <v>1.9370000000000001</v>
      </c>
      <c r="F16" s="350">
        <f t="shared" si="1"/>
        <v>2.410005</v>
      </c>
      <c r="G16" s="350">
        <f t="shared" si="1"/>
        <v>4.3319932279</v>
      </c>
      <c r="H16" s="350">
        <f t="shared" si="2"/>
        <v>4.8174899971258753</v>
      </c>
      <c r="I16" s="350">
        <f t="shared" si="3"/>
        <v>9.1494832250258753</v>
      </c>
    </row>
    <row r="17" spans="2:9" x14ac:dyDescent="0.3">
      <c r="B17" s="69">
        <f>B16+1</f>
        <v>6</v>
      </c>
      <c r="C17" s="11" t="s">
        <v>1420</v>
      </c>
      <c r="D17" s="350">
        <f t="shared" si="1"/>
        <v>2.5675000000000003</v>
      </c>
      <c r="E17" s="350">
        <f t="shared" si="1"/>
        <v>2.3725000000000001</v>
      </c>
      <c r="F17" s="350">
        <f t="shared" si="1"/>
        <v>2.24452813</v>
      </c>
      <c r="G17" s="350">
        <f t="shared" si="1"/>
        <v>0.51475352500000005</v>
      </c>
      <c r="H17" s="350">
        <f t="shared" si="2"/>
        <v>0.57244317504967912</v>
      </c>
      <c r="I17" s="350">
        <f t="shared" si="3"/>
        <v>1.0871967000496792</v>
      </c>
    </row>
    <row r="18" spans="2:9" x14ac:dyDescent="0.3">
      <c r="B18" s="69">
        <f t="shared" ref="B18:B28" si="4">B17+1</f>
        <v>7</v>
      </c>
      <c r="C18" s="11" t="s">
        <v>96</v>
      </c>
      <c r="D18" s="350">
        <f t="shared" si="1"/>
        <v>6.5</v>
      </c>
      <c r="E18" s="350">
        <f t="shared" si="1"/>
        <v>7.15</v>
      </c>
      <c r="F18" s="350">
        <f t="shared" si="1"/>
        <v>8.8973127749999996</v>
      </c>
      <c r="G18" s="350">
        <f t="shared" si="1"/>
        <v>1.328132455</v>
      </c>
      <c r="H18" s="350">
        <f t="shared" si="2"/>
        <v>1.4769794134517584</v>
      </c>
      <c r="I18" s="350">
        <f t="shared" si="3"/>
        <v>2.8051118684517586</v>
      </c>
    </row>
    <row r="19" spans="2:9" x14ac:dyDescent="0.3">
      <c r="B19" s="69">
        <f t="shared" si="4"/>
        <v>8</v>
      </c>
      <c r="C19" s="11" t="s">
        <v>97</v>
      </c>
      <c r="D19" s="350">
        <f t="shared" si="1"/>
        <v>3.8544999999999998</v>
      </c>
      <c r="E19" s="350">
        <f t="shared" si="1"/>
        <v>4.3745000000000003</v>
      </c>
      <c r="F19" s="350">
        <f t="shared" si="1"/>
        <v>7.3774527703500006</v>
      </c>
      <c r="G19" s="350">
        <f t="shared" si="1"/>
        <v>0.52068205735000006</v>
      </c>
      <c r="H19" s="350">
        <f t="shared" si="2"/>
        <v>0.57903613209998539</v>
      </c>
      <c r="I19" s="350">
        <f t="shared" si="3"/>
        <v>1.0997181894499855</v>
      </c>
    </row>
    <row r="20" spans="2:9" x14ac:dyDescent="0.3">
      <c r="B20" s="69">
        <f t="shared" si="4"/>
        <v>9</v>
      </c>
      <c r="C20" s="11" t="s">
        <v>98</v>
      </c>
      <c r="D20" s="350">
        <f t="shared" si="1"/>
        <v>6.5000000000000006E-3</v>
      </c>
      <c r="E20" s="350">
        <f t="shared" si="1"/>
        <v>0</v>
      </c>
      <c r="F20" s="350">
        <f t="shared" si="1"/>
        <v>0</v>
      </c>
      <c r="G20" s="350">
        <f t="shared" si="1"/>
        <v>0</v>
      </c>
      <c r="H20" s="350">
        <f t="shared" si="2"/>
        <v>0</v>
      </c>
      <c r="I20" s="350">
        <f t="shared" si="3"/>
        <v>0</v>
      </c>
    </row>
    <row r="21" spans="2:9" x14ac:dyDescent="0.3">
      <c r="B21" s="69">
        <f t="shared" si="4"/>
        <v>10</v>
      </c>
      <c r="C21" s="11" t="s">
        <v>1419</v>
      </c>
      <c r="D21" s="350">
        <f t="shared" si="1"/>
        <v>4.8230000000000004</v>
      </c>
      <c r="E21" s="350">
        <f t="shared" si="1"/>
        <v>4.5175000000000001</v>
      </c>
      <c r="F21" s="350">
        <f t="shared" si="1"/>
        <v>4.2922336145000006</v>
      </c>
      <c r="G21" s="350">
        <f t="shared" si="1"/>
        <v>2.06604092175</v>
      </c>
      <c r="H21" s="350">
        <f t="shared" si="2"/>
        <v>2.2975870345504399</v>
      </c>
      <c r="I21" s="350">
        <f t="shared" si="3"/>
        <v>4.3636279563004399</v>
      </c>
    </row>
    <row r="22" spans="2:9" x14ac:dyDescent="0.3">
      <c r="B22" s="69">
        <f t="shared" si="4"/>
        <v>11</v>
      </c>
      <c r="C22" s="11" t="s">
        <v>99</v>
      </c>
      <c r="D22" s="350">
        <f t="shared" si="1"/>
        <v>21.456499999999998</v>
      </c>
      <c r="E22" s="350">
        <f t="shared" si="1"/>
        <v>21.97</v>
      </c>
      <c r="F22" s="350">
        <f t="shared" si="1"/>
        <v>23.726195870000002</v>
      </c>
      <c r="G22" s="350">
        <f t="shared" si="1"/>
        <v>12.748140340000001</v>
      </c>
      <c r="H22" s="350">
        <f t="shared" si="2"/>
        <v>14.176854703828392</v>
      </c>
      <c r="I22" s="350">
        <f t="shared" si="3"/>
        <v>26.924995043828392</v>
      </c>
    </row>
    <row r="23" spans="2:9" x14ac:dyDescent="0.3">
      <c r="B23" s="69">
        <f t="shared" si="4"/>
        <v>12</v>
      </c>
      <c r="C23" s="11" t="s">
        <v>100</v>
      </c>
      <c r="D23" s="350">
        <f t="shared" si="1"/>
        <v>26.143000000000001</v>
      </c>
      <c r="E23" s="350">
        <f t="shared" si="1"/>
        <v>26.383500000000002</v>
      </c>
      <c r="F23" s="350">
        <f t="shared" si="1"/>
        <v>45.686040724999998</v>
      </c>
      <c r="G23" s="350">
        <f t="shared" si="1"/>
        <v>15.177772155</v>
      </c>
      <c r="H23" s="350">
        <f t="shared" si="2"/>
        <v>16.878781126537813</v>
      </c>
      <c r="I23" s="350">
        <f t="shared" si="3"/>
        <v>32.056553281537816</v>
      </c>
    </row>
    <row r="24" spans="2:9" x14ac:dyDescent="0.3">
      <c r="B24" s="70">
        <f t="shared" si="4"/>
        <v>13</v>
      </c>
      <c r="C24" s="38" t="s">
        <v>101</v>
      </c>
      <c r="D24" s="351">
        <f t="shared" ref="D24:I24" si="5">SUM(D12:D23)</f>
        <v>257.75749999999999</v>
      </c>
      <c r="E24" s="351">
        <f t="shared" si="5"/>
        <v>306.62450000000001</v>
      </c>
      <c r="F24" s="351">
        <f t="shared" si="5"/>
        <v>327.77113630625007</v>
      </c>
      <c r="G24" s="351">
        <f t="shared" si="5"/>
        <v>156.83823355785</v>
      </c>
      <c r="H24" s="351">
        <f t="shared" si="5"/>
        <v>174.41546687230317</v>
      </c>
      <c r="I24" s="351">
        <f t="shared" si="5"/>
        <v>331.25370043015312</v>
      </c>
    </row>
    <row r="25" spans="2:9" x14ac:dyDescent="0.3">
      <c r="B25" s="69">
        <f t="shared" si="4"/>
        <v>14</v>
      </c>
      <c r="C25" s="11" t="s">
        <v>48</v>
      </c>
      <c r="D25" s="799">
        <f t="shared" ref="D25:I25" si="6">$H$9*D72</f>
        <v>29.880500000000001</v>
      </c>
      <c r="E25" s="365">
        <f t="shared" si="6"/>
        <v>38.051000000000002</v>
      </c>
      <c r="F25" s="343">
        <f t="shared" si="6"/>
        <v>38.967500000000001</v>
      </c>
      <c r="G25" s="350">
        <f t="shared" si="1"/>
        <v>15.098909017432499</v>
      </c>
      <c r="H25" s="350">
        <f t="shared" si="2"/>
        <v>16.791079609848794</v>
      </c>
      <c r="I25" s="343">
        <f t="shared" si="6"/>
        <v>31.889988627281298</v>
      </c>
    </row>
    <row r="26" spans="2:9" x14ac:dyDescent="0.25">
      <c r="B26" s="70">
        <f t="shared" si="4"/>
        <v>15</v>
      </c>
      <c r="C26" s="28" t="s">
        <v>102</v>
      </c>
      <c r="D26" s="352">
        <f>D24-D25</f>
        <v>227.87699999999998</v>
      </c>
      <c r="E26" s="352">
        <f>E24-E25</f>
        <v>268.57350000000002</v>
      </c>
      <c r="F26" s="352">
        <f>F24-F25</f>
        <v>288.80363630625004</v>
      </c>
      <c r="G26" s="352">
        <f>G24-G25</f>
        <v>141.7393245404175</v>
      </c>
      <c r="H26" s="352">
        <f t="shared" ref="H26:I26" si="7">H24-H25</f>
        <v>157.62438726245438</v>
      </c>
      <c r="I26" s="352">
        <f t="shared" si="7"/>
        <v>299.36371180287182</v>
      </c>
    </row>
    <row r="27" spans="2:9" x14ac:dyDescent="0.25">
      <c r="B27" s="69">
        <f t="shared" si="4"/>
        <v>16</v>
      </c>
      <c r="C27" s="28" t="s">
        <v>1392</v>
      </c>
      <c r="D27" s="642">
        <f>D74*H9</f>
        <v>23.419500000000003</v>
      </c>
      <c r="E27" s="642">
        <f>E74*H9</f>
        <v>48.704500000000003</v>
      </c>
      <c r="F27" s="408">
        <v>0</v>
      </c>
      <c r="G27" s="408"/>
      <c r="H27" s="408"/>
      <c r="I27" s="408"/>
    </row>
    <row r="28" spans="2:9" x14ac:dyDescent="0.25">
      <c r="B28" s="70">
        <f t="shared" si="4"/>
        <v>17</v>
      </c>
      <c r="C28" s="28" t="s">
        <v>1393</v>
      </c>
      <c r="D28" s="408">
        <f t="shared" ref="D28:G28" si="8">D26-D27</f>
        <v>204.45749999999998</v>
      </c>
      <c r="E28" s="408">
        <f t="shared" si="8"/>
        <v>219.86900000000003</v>
      </c>
      <c r="F28" s="408">
        <f t="shared" si="8"/>
        <v>288.80363630625004</v>
      </c>
      <c r="G28" s="408">
        <f t="shared" si="8"/>
        <v>141.7393245404175</v>
      </c>
      <c r="H28" s="354">
        <f>I28-G28</f>
        <v>157.62438726245438</v>
      </c>
      <c r="I28" s="408">
        <f>F28*(1+(F3.1!N16/F3.1!K16-1))</f>
        <v>299.36371180287188</v>
      </c>
    </row>
    <row r="29" spans="2:9" x14ac:dyDescent="0.25">
      <c r="B29" s="44"/>
      <c r="G29" s="409"/>
      <c r="H29" s="1743"/>
      <c r="I29" s="635"/>
    </row>
    <row r="30" spans="2:9" x14ac:dyDescent="0.25">
      <c r="B30" s="44"/>
    </row>
    <row r="31" spans="2:9" x14ac:dyDescent="0.25">
      <c r="B31" s="125" t="s">
        <v>283</v>
      </c>
    </row>
    <row r="32" spans="2:9" x14ac:dyDescent="0.25">
      <c r="H32" s="2123">
        <v>0.35</v>
      </c>
      <c r="I32" s="21" t="s">
        <v>16</v>
      </c>
    </row>
    <row r="33" spans="2:9" x14ac:dyDescent="0.25">
      <c r="B33" s="2278" t="s">
        <v>11</v>
      </c>
      <c r="C33" s="2278" t="s">
        <v>50</v>
      </c>
      <c r="D33" s="308" t="s">
        <v>179</v>
      </c>
      <c r="E33" s="308" t="s">
        <v>186</v>
      </c>
      <c r="F33" s="313" t="s">
        <v>426</v>
      </c>
      <c r="G33" s="2203" t="s">
        <v>427</v>
      </c>
      <c r="H33" s="2224"/>
      <c r="I33" s="2224"/>
    </row>
    <row r="34" spans="2:9" ht="28" x14ac:dyDescent="0.25">
      <c r="B34" s="2279"/>
      <c r="C34" s="2279"/>
      <c r="D34" s="308" t="s">
        <v>414</v>
      </c>
      <c r="E34" s="308" t="s">
        <v>414</v>
      </c>
      <c r="F34" s="308" t="s">
        <v>405</v>
      </c>
      <c r="G34" s="308" t="s">
        <v>408</v>
      </c>
      <c r="H34" s="308" t="s">
        <v>333</v>
      </c>
      <c r="I34" s="308" t="s">
        <v>72</v>
      </c>
    </row>
    <row r="35" spans="2:9" x14ac:dyDescent="0.3">
      <c r="B35" s="69">
        <v>1</v>
      </c>
      <c r="C35" s="11" t="s">
        <v>91</v>
      </c>
      <c r="D35" s="353">
        <f t="shared" ref="D35:I35" si="9">$H$32*D59</f>
        <v>53.868499999999997</v>
      </c>
      <c r="E35" s="353">
        <f t="shared" si="9"/>
        <v>92.56450000000001</v>
      </c>
      <c r="F35" s="353">
        <f t="shared" si="9"/>
        <v>94.576912605017498</v>
      </c>
      <c r="G35" s="353">
        <f t="shared" ref="G35" si="10">$H$32*G59</f>
        <v>50.72798182108999</v>
      </c>
      <c r="H35" s="350">
        <f>G35*$H$51/$G$51</f>
        <v>56.413187219120388</v>
      </c>
      <c r="I35" s="353">
        <f t="shared" si="9"/>
        <v>107.14116904021036</v>
      </c>
    </row>
    <row r="36" spans="2:9" x14ac:dyDescent="0.3">
      <c r="B36" s="69">
        <v>2</v>
      </c>
      <c r="C36" s="11" t="s">
        <v>92</v>
      </c>
      <c r="D36" s="353">
        <f t="shared" ref="D36:I42" si="11">$H$32*D60</f>
        <v>37.302999999999997</v>
      </c>
      <c r="E36" s="353">
        <f t="shared" si="11"/>
        <v>21.21</v>
      </c>
      <c r="F36" s="353">
        <f t="shared" si="11"/>
        <v>16.818061979582499</v>
      </c>
      <c r="G36" s="353">
        <f t="shared" ref="G36" si="12">$H$32*G60</f>
        <v>10.705632872059997</v>
      </c>
      <c r="H36" s="350">
        <f t="shared" ref="H36:H48" si="13">G36*$H$51/$G$51</f>
        <v>11.905438573146716</v>
      </c>
      <c r="I36" s="353">
        <f t="shared" si="11"/>
        <v>22.611071445206711</v>
      </c>
    </row>
    <row r="37" spans="2:9" x14ac:dyDescent="0.3">
      <c r="B37" s="69">
        <v>3</v>
      </c>
      <c r="C37" s="25" t="s">
        <v>93</v>
      </c>
      <c r="D37" s="353">
        <f t="shared" si="11"/>
        <v>11.067</v>
      </c>
      <c r="E37" s="353">
        <f t="shared" si="11"/>
        <v>14.035</v>
      </c>
      <c r="F37" s="353">
        <f t="shared" si="11"/>
        <v>13.855585589999999</v>
      </c>
      <c r="G37" s="353">
        <f t="shared" ref="G37" si="14">$H$32*G61</f>
        <v>3.1871151900000001</v>
      </c>
      <c r="H37" s="350">
        <f t="shared" si="13"/>
        <v>3.5443027585146933</v>
      </c>
      <c r="I37" s="353">
        <f t="shared" si="11"/>
        <v>6.731417948514693</v>
      </c>
    </row>
    <row r="38" spans="2:9" x14ac:dyDescent="0.3">
      <c r="B38" s="69">
        <v>4</v>
      </c>
      <c r="C38" s="11" t="s">
        <v>94</v>
      </c>
      <c r="D38" s="353">
        <f t="shared" si="11"/>
        <v>0.32550000000000001</v>
      </c>
      <c r="E38" s="353">
        <f t="shared" si="11"/>
        <v>0.30099999999999999</v>
      </c>
      <c r="F38" s="353">
        <f t="shared" si="11"/>
        <v>0.28494535999999998</v>
      </c>
      <c r="G38" s="353">
        <f t="shared" ref="G38" si="15">$H$32*G62</f>
        <v>7.5811049999999991E-2</v>
      </c>
      <c r="H38" s="350">
        <f t="shared" si="13"/>
        <v>8.4307374419339789E-2</v>
      </c>
      <c r="I38" s="353">
        <f t="shared" si="11"/>
        <v>0.16011842441933977</v>
      </c>
    </row>
    <row r="39" spans="2:9" x14ac:dyDescent="0.3">
      <c r="B39" s="69">
        <v>5</v>
      </c>
      <c r="C39" s="11" t="s">
        <v>95</v>
      </c>
      <c r="D39" s="353">
        <f t="shared" si="11"/>
        <v>1.0395000000000001</v>
      </c>
      <c r="E39" s="353">
        <f t="shared" si="11"/>
        <v>1.0429999999999999</v>
      </c>
      <c r="F39" s="353">
        <f t="shared" si="11"/>
        <v>1.2976949999999998</v>
      </c>
      <c r="G39" s="353">
        <f t="shared" ref="G39" si="16">$H$32*G63</f>
        <v>2.3326117380999998</v>
      </c>
      <c r="H39" s="350">
        <f t="shared" si="13"/>
        <v>2.5940330753754721</v>
      </c>
      <c r="I39" s="353">
        <f t="shared" si="11"/>
        <v>4.9266448134754715</v>
      </c>
    </row>
    <row r="40" spans="2:9" x14ac:dyDescent="0.3">
      <c r="B40" s="69">
        <f>B39+1</f>
        <v>6</v>
      </c>
      <c r="C40" s="11" t="s">
        <v>1420</v>
      </c>
      <c r="D40" s="353">
        <f t="shared" si="11"/>
        <v>1.3825000000000001</v>
      </c>
      <c r="E40" s="353">
        <f t="shared" si="11"/>
        <v>1.2774999999999999</v>
      </c>
      <c r="F40" s="353">
        <f t="shared" si="11"/>
        <v>1.2085920699999999</v>
      </c>
      <c r="G40" s="353">
        <f t="shared" ref="G40" si="17">$H$32*G64</f>
        <v>0.27717497499999999</v>
      </c>
      <c r="H40" s="350">
        <f t="shared" si="13"/>
        <v>0.3082386327190581</v>
      </c>
      <c r="I40" s="353">
        <f t="shared" si="11"/>
        <v>0.58541360771905804</v>
      </c>
    </row>
    <row r="41" spans="2:9" x14ac:dyDescent="0.3">
      <c r="B41" s="69">
        <f t="shared" ref="B41:B51" si="18">B40+1</f>
        <v>7</v>
      </c>
      <c r="C41" s="11" t="s">
        <v>96</v>
      </c>
      <c r="D41" s="353">
        <f t="shared" si="11"/>
        <v>3.5</v>
      </c>
      <c r="E41" s="353">
        <f t="shared" si="11"/>
        <v>3.8499999999999996</v>
      </c>
      <c r="F41" s="353">
        <f t="shared" si="11"/>
        <v>4.7908607249999999</v>
      </c>
      <c r="G41" s="353">
        <f t="shared" ref="G41" si="19">$H$32*G65</f>
        <v>0.71514824499999996</v>
      </c>
      <c r="H41" s="350">
        <f t="shared" si="13"/>
        <v>0.79529660724325479</v>
      </c>
      <c r="I41" s="353">
        <f t="shared" si="11"/>
        <v>1.5104448522432548</v>
      </c>
    </row>
    <row r="42" spans="2:9" x14ac:dyDescent="0.3">
      <c r="B42" s="69">
        <f t="shared" si="18"/>
        <v>8</v>
      </c>
      <c r="C42" s="11" t="s">
        <v>97</v>
      </c>
      <c r="D42" s="353">
        <f t="shared" si="11"/>
        <v>2.0754999999999999</v>
      </c>
      <c r="E42" s="353">
        <f t="shared" si="11"/>
        <v>2.3555000000000001</v>
      </c>
      <c r="F42" s="353">
        <f t="shared" si="11"/>
        <v>3.97247456865</v>
      </c>
      <c r="G42" s="353">
        <f t="shared" ref="G42" si="20">$H$32*G66</f>
        <v>0.28036726165000003</v>
      </c>
      <c r="H42" s="350">
        <f t="shared" si="13"/>
        <v>0.31178868651537689</v>
      </c>
      <c r="I42" s="353">
        <f t="shared" si="11"/>
        <v>0.59215594816537676</v>
      </c>
    </row>
    <row r="43" spans="2:9" x14ac:dyDescent="0.3">
      <c r="B43" s="69">
        <f t="shared" si="18"/>
        <v>9</v>
      </c>
      <c r="C43" s="11" t="s">
        <v>98</v>
      </c>
      <c r="D43" s="353">
        <f t="shared" ref="D43:I43" si="21">$H$32*D67</f>
        <v>3.4999999999999996E-3</v>
      </c>
      <c r="E43" s="353">
        <f t="shared" si="21"/>
        <v>0</v>
      </c>
      <c r="F43" s="353">
        <f t="shared" si="21"/>
        <v>0</v>
      </c>
      <c r="G43" s="353">
        <f t="shared" ref="G43" si="22">$H$32*G67</f>
        <v>0</v>
      </c>
      <c r="H43" s="350">
        <f t="shared" si="13"/>
        <v>0</v>
      </c>
      <c r="I43" s="353">
        <f t="shared" si="21"/>
        <v>0</v>
      </c>
    </row>
    <row r="44" spans="2:9" x14ac:dyDescent="0.3">
      <c r="B44" s="69">
        <f t="shared" si="18"/>
        <v>10</v>
      </c>
      <c r="C44" s="11" t="s">
        <v>1419</v>
      </c>
      <c r="D44" s="353">
        <f t="shared" ref="D44:I44" si="23">$H$32*D68</f>
        <v>2.597</v>
      </c>
      <c r="E44" s="353">
        <f t="shared" si="23"/>
        <v>2.4325000000000001</v>
      </c>
      <c r="F44" s="353">
        <f t="shared" si="23"/>
        <v>2.3112027154999999</v>
      </c>
      <c r="G44" s="353">
        <f t="shared" ref="G44" si="24">$H$32*G68</f>
        <v>1.11248357325</v>
      </c>
      <c r="H44" s="350">
        <f t="shared" si="13"/>
        <v>1.2371622493733143</v>
      </c>
      <c r="I44" s="353">
        <f t="shared" si="23"/>
        <v>2.3496458226233141</v>
      </c>
    </row>
    <row r="45" spans="2:9" x14ac:dyDescent="0.3">
      <c r="B45" s="69">
        <f t="shared" si="18"/>
        <v>11</v>
      </c>
      <c r="C45" s="11" t="s">
        <v>99</v>
      </c>
      <c r="D45" s="353">
        <f t="shared" ref="D45:I46" si="25">$H$32*D69</f>
        <v>11.553499999999998</v>
      </c>
      <c r="E45" s="353">
        <f t="shared" si="25"/>
        <v>11.829999999999998</v>
      </c>
      <c r="F45" s="353">
        <f t="shared" si="25"/>
        <v>12.775643929999999</v>
      </c>
      <c r="G45" s="353">
        <f t="shared" ref="G45" si="26">$H$32*G69</f>
        <v>6.8643832599999994</v>
      </c>
      <c r="H45" s="350">
        <f t="shared" si="13"/>
        <v>7.6336909943691369</v>
      </c>
      <c r="I45" s="353">
        <f t="shared" si="25"/>
        <v>14.498074254369135</v>
      </c>
    </row>
    <row r="46" spans="2:9" x14ac:dyDescent="0.3">
      <c r="B46" s="69">
        <f t="shared" si="18"/>
        <v>12</v>
      </c>
      <c r="C46" s="11" t="s">
        <v>100</v>
      </c>
      <c r="D46" s="353">
        <f t="shared" si="25"/>
        <v>14.076999999999998</v>
      </c>
      <c r="E46" s="353">
        <f t="shared" si="25"/>
        <v>14.2065</v>
      </c>
      <c r="F46" s="353">
        <f t="shared" si="25"/>
        <v>24.600175774999997</v>
      </c>
      <c r="G46" s="353">
        <f t="shared" ref="G46" si="27">$H$32*G70</f>
        <v>8.1726465449999992</v>
      </c>
      <c r="H46" s="350">
        <f t="shared" si="13"/>
        <v>9.0885744527511338</v>
      </c>
      <c r="I46" s="353">
        <f t="shared" si="25"/>
        <v>17.261220997751131</v>
      </c>
    </row>
    <row r="47" spans="2:9" x14ac:dyDescent="0.3">
      <c r="B47" s="70">
        <f t="shared" si="18"/>
        <v>13</v>
      </c>
      <c r="C47" s="38" t="s">
        <v>101</v>
      </c>
      <c r="D47" s="354">
        <f t="shared" ref="D47:I47" si="28">SUM(D35:D46)</f>
        <v>138.79249999999999</v>
      </c>
      <c r="E47" s="354">
        <f t="shared" si="28"/>
        <v>165.10550000000001</v>
      </c>
      <c r="F47" s="354">
        <f t="shared" si="28"/>
        <v>176.49215031874999</v>
      </c>
      <c r="G47" s="354">
        <f t="shared" ref="G47" si="29">SUM(G35:G46)</f>
        <v>84.451356531149969</v>
      </c>
      <c r="H47" s="354">
        <f t="shared" si="28"/>
        <v>93.916020623547865</v>
      </c>
      <c r="I47" s="354">
        <f t="shared" si="28"/>
        <v>178.36737715469786</v>
      </c>
    </row>
    <row r="48" spans="2:9" x14ac:dyDescent="0.3">
      <c r="B48" s="69">
        <f t="shared" si="18"/>
        <v>14</v>
      </c>
      <c r="C48" s="11" t="s">
        <v>48</v>
      </c>
      <c r="D48" s="343">
        <f t="shared" ref="D48:I48" si="30">$H$32*D72</f>
        <v>16.089499999999997</v>
      </c>
      <c r="E48" s="343">
        <f t="shared" si="30"/>
        <v>20.488999999999997</v>
      </c>
      <c r="F48" s="343">
        <f t="shared" si="30"/>
        <v>20.982499999999998</v>
      </c>
      <c r="G48" s="343">
        <f t="shared" ref="G48" si="31">$H$32*G72</f>
        <v>8.1301817786174997</v>
      </c>
      <c r="H48" s="350">
        <f t="shared" si="13"/>
        <v>9.0413505591493539</v>
      </c>
      <c r="I48" s="343">
        <f t="shared" si="30"/>
        <v>17.171532337766848</v>
      </c>
    </row>
    <row r="49" spans="2:9" x14ac:dyDescent="0.25">
      <c r="B49" s="70">
        <f t="shared" si="18"/>
        <v>15</v>
      </c>
      <c r="C49" s="28" t="s">
        <v>102</v>
      </c>
      <c r="D49" s="408">
        <f>D47-D48</f>
        <v>122.70299999999999</v>
      </c>
      <c r="E49" s="408">
        <f>E47-E48</f>
        <v>144.6165</v>
      </c>
      <c r="F49" s="408">
        <f>F47-F48</f>
        <v>155.50965031875</v>
      </c>
      <c r="G49" s="408">
        <f>G47-G48</f>
        <v>76.321174752532471</v>
      </c>
      <c r="H49" s="408">
        <f t="shared" ref="H49:I49" si="32">H47-H48</f>
        <v>84.874670064398515</v>
      </c>
      <c r="I49" s="408">
        <f t="shared" si="32"/>
        <v>161.19584481693101</v>
      </c>
    </row>
    <row r="50" spans="2:9" x14ac:dyDescent="0.25">
      <c r="B50" s="69">
        <f t="shared" si="18"/>
        <v>16</v>
      </c>
      <c r="C50" s="28" t="s">
        <v>1392</v>
      </c>
      <c r="D50" s="642">
        <f>D74*H32</f>
        <v>12.6105</v>
      </c>
      <c r="E50" s="642">
        <f>E74*H32</f>
        <v>26.2255</v>
      </c>
      <c r="F50" s="642">
        <v>0</v>
      </c>
      <c r="G50" s="642">
        <v>0</v>
      </c>
      <c r="H50" s="408"/>
      <c r="I50" s="408"/>
    </row>
    <row r="51" spans="2:9" x14ac:dyDescent="0.25">
      <c r="B51" s="70">
        <f t="shared" si="18"/>
        <v>17</v>
      </c>
      <c r="C51" s="28" t="s">
        <v>1393</v>
      </c>
      <c r="D51" s="408">
        <f t="shared" ref="D51:F51" si="33">D49-D50</f>
        <v>110.09249999999999</v>
      </c>
      <c r="E51" s="408">
        <f t="shared" si="33"/>
        <v>118.39100000000001</v>
      </c>
      <c r="F51" s="408">
        <f t="shared" si="33"/>
        <v>155.50965031875</v>
      </c>
      <c r="G51" s="408">
        <f t="shared" ref="G51" si="34">G49-G50</f>
        <v>76.321174752532471</v>
      </c>
      <c r="H51" s="354">
        <f>I51-G51</f>
        <v>84.874670064398515</v>
      </c>
      <c r="I51" s="408">
        <f>F51*(1+(F3.1!N46/F3.1!K46-1))</f>
        <v>161.19584481693099</v>
      </c>
    </row>
    <row r="52" spans="2:9" x14ac:dyDescent="0.25">
      <c r="B52" s="148"/>
      <c r="C52" s="125"/>
      <c r="D52" s="771"/>
      <c r="E52" s="771"/>
      <c r="F52" s="771"/>
      <c r="G52" s="771"/>
      <c r="H52" s="771"/>
      <c r="I52" s="635"/>
    </row>
    <row r="53" spans="2:9" x14ac:dyDescent="0.25">
      <c r="B53" s="148"/>
      <c r="C53" s="125"/>
      <c r="D53" s="771"/>
      <c r="E53" s="771"/>
      <c r="F53" s="771"/>
      <c r="G53" s="771"/>
      <c r="H53" s="771"/>
      <c r="I53" s="771"/>
    </row>
    <row r="54" spans="2:9" x14ac:dyDescent="0.25">
      <c r="B54" s="148"/>
      <c r="C54" s="125"/>
      <c r="D54" s="771"/>
      <c r="E54" s="771"/>
      <c r="F54" s="771"/>
      <c r="G54" s="771"/>
      <c r="H54" s="771"/>
      <c r="I54" s="771"/>
    </row>
    <row r="55" spans="2:9" x14ac:dyDescent="0.25">
      <c r="B55" s="125" t="s">
        <v>1219</v>
      </c>
    </row>
    <row r="56" spans="2:9" x14ac:dyDescent="0.25">
      <c r="I56" s="21" t="s">
        <v>16</v>
      </c>
    </row>
    <row r="57" spans="2:9" x14ac:dyDescent="0.25">
      <c r="B57" s="2278" t="s">
        <v>11</v>
      </c>
      <c r="C57" s="2278" t="s">
        <v>50</v>
      </c>
      <c r="D57" s="478" t="s">
        <v>179</v>
      </c>
      <c r="E57" s="478" t="s">
        <v>186</v>
      </c>
      <c r="F57" s="479" t="s">
        <v>426</v>
      </c>
      <c r="G57" s="2203" t="s">
        <v>427</v>
      </c>
      <c r="H57" s="2224"/>
      <c r="I57" s="2224"/>
    </row>
    <row r="58" spans="2:9" ht="28" x14ac:dyDescent="0.25">
      <c r="B58" s="2279"/>
      <c r="C58" s="2279"/>
      <c r="D58" s="478" t="s">
        <v>414</v>
      </c>
      <c r="E58" s="478" t="s">
        <v>414</v>
      </c>
      <c r="F58" s="478" t="s">
        <v>405</v>
      </c>
      <c r="G58" s="478" t="s">
        <v>408</v>
      </c>
      <c r="H58" s="478" t="s">
        <v>333</v>
      </c>
      <c r="I58" s="478" t="s">
        <v>72</v>
      </c>
    </row>
    <row r="59" spans="2:9" x14ac:dyDescent="0.3">
      <c r="B59" s="69">
        <v>1</v>
      </c>
      <c r="C59" s="11" t="s">
        <v>91</v>
      </c>
      <c r="D59" s="343">
        <v>153.91</v>
      </c>
      <c r="E59" s="343">
        <v>264.47000000000003</v>
      </c>
      <c r="F59" s="353">
        <v>270.21975030005001</v>
      </c>
      <c r="G59" s="642">
        <v>144.93709091739998</v>
      </c>
      <c r="H59" s="642">
        <f>H12+H35</f>
        <v>161.1805349117725</v>
      </c>
      <c r="I59" s="353">
        <f>SUM(G59,H59)</f>
        <v>306.11762582917248</v>
      </c>
    </row>
    <row r="60" spans="2:9" x14ac:dyDescent="0.3">
      <c r="B60" s="69">
        <v>2</v>
      </c>
      <c r="C60" s="11" t="s">
        <v>92</v>
      </c>
      <c r="D60" s="353">
        <v>106.58</v>
      </c>
      <c r="E60" s="343">
        <v>60.6</v>
      </c>
      <c r="F60" s="353">
        <v>48.051605655949999</v>
      </c>
      <c r="G60" s="642">
        <v>30.587522491599994</v>
      </c>
      <c r="H60" s="642">
        <f t="shared" ref="H60:H74" si="35">H13+H36</f>
        <v>34.015538780419178</v>
      </c>
      <c r="I60" s="353">
        <f t="shared" ref="I60:I74" si="36">SUM(G60,H60)</f>
        <v>64.603061272019175</v>
      </c>
    </row>
    <row r="61" spans="2:9" x14ac:dyDescent="0.3">
      <c r="B61" s="69">
        <v>3</v>
      </c>
      <c r="C61" s="25" t="s">
        <v>93</v>
      </c>
      <c r="D61" s="353">
        <v>31.62</v>
      </c>
      <c r="E61" s="343">
        <v>40.1</v>
      </c>
      <c r="F61" s="353">
        <v>39.587387399999997</v>
      </c>
      <c r="G61" s="642">
        <v>9.1060434000000008</v>
      </c>
      <c r="H61" s="642">
        <f t="shared" si="35"/>
        <v>10.126579310041977</v>
      </c>
      <c r="I61" s="353">
        <f t="shared" si="36"/>
        <v>19.23262271004198</v>
      </c>
    </row>
    <row r="62" spans="2:9" x14ac:dyDescent="0.3">
      <c r="B62" s="69">
        <v>4</v>
      </c>
      <c r="C62" s="11" t="s">
        <v>94</v>
      </c>
      <c r="D62" s="353">
        <v>0.93</v>
      </c>
      <c r="E62" s="343">
        <v>0.86</v>
      </c>
      <c r="F62" s="353">
        <v>0.81412960000000001</v>
      </c>
      <c r="G62" s="642">
        <v>0.21660299999999999</v>
      </c>
      <c r="H62" s="642">
        <f t="shared" si="35"/>
        <v>0.24087821262668507</v>
      </c>
      <c r="I62" s="353">
        <f t="shared" si="36"/>
        <v>0.45748121262668506</v>
      </c>
    </row>
    <row r="63" spans="2:9" x14ac:dyDescent="0.3">
      <c r="B63" s="69">
        <v>5</v>
      </c>
      <c r="C63" s="11" t="s">
        <v>95</v>
      </c>
      <c r="D63" s="353">
        <v>2.97</v>
      </c>
      <c r="E63" s="343">
        <v>2.98</v>
      </c>
      <c r="F63" s="353">
        <v>3.7077</v>
      </c>
      <c r="G63" s="642">
        <v>6.6646049659999997</v>
      </c>
      <c r="H63" s="642">
        <f t="shared" si="35"/>
        <v>7.4115230725013479</v>
      </c>
      <c r="I63" s="353">
        <f t="shared" si="36"/>
        <v>14.076128038501349</v>
      </c>
    </row>
    <row r="64" spans="2:9" x14ac:dyDescent="0.3">
      <c r="B64" s="69">
        <f>B63+1</f>
        <v>6</v>
      </c>
      <c r="C64" s="11" t="s">
        <v>1420</v>
      </c>
      <c r="D64" s="353">
        <v>3.95</v>
      </c>
      <c r="E64" s="343">
        <v>3.65</v>
      </c>
      <c r="F64" s="353">
        <v>3.4531201999999999</v>
      </c>
      <c r="G64" s="642">
        <v>0.79192850000000004</v>
      </c>
      <c r="H64" s="642">
        <f t="shared" si="35"/>
        <v>0.88068180776873728</v>
      </c>
      <c r="I64" s="353">
        <f t="shared" si="36"/>
        <v>1.6726103077687373</v>
      </c>
    </row>
    <row r="65" spans="2:10" x14ac:dyDescent="0.3">
      <c r="B65" s="69">
        <f t="shared" ref="B65:B75" si="37">B64+1</f>
        <v>7</v>
      </c>
      <c r="C65" s="11" t="s">
        <v>96</v>
      </c>
      <c r="D65" s="353">
        <v>10</v>
      </c>
      <c r="E65" s="343">
        <v>11</v>
      </c>
      <c r="F65" s="353">
        <v>13.6881735</v>
      </c>
      <c r="G65" s="642">
        <v>2.0432806999999999</v>
      </c>
      <c r="H65" s="642">
        <f t="shared" si="35"/>
        <v>2.2722760206950134</v>
      </c>
      <c r="I65" s="353">
        <f t="shared" si="36"/>
        <v>4.3155567206950138</v>
      </c>
    </row>
    <row r="66" spans="2:10" x14ac:dyDescent="0.3">
      <c r="B66" s="69">
        <f t="shared" si="37"/>
        <v>8</v>
      </c>
      <c r="C66" s="11" t="s">
        <v>97</v>
      </c>
      <c r="D66" s="353">
        <v>5.93</v>
      </c>
      <c r="E66" s="343">
        <v>6.73</v>
      </c>
      <c r="F66" s="353">
        <v>11.349927339000001</v>
      </c>
      <c r="G66" s="642">
        <v>0.80104931900000009</v>
      </c>
      <c r="H66" s="642">
        <f t="shared" si="35"/>
        <v>0.89082481861536222</v>
      </c>
      <c r="I66" s="353">
        <f t="shared" si="36"/>
        <v>1.6918741376153623</v>
      </c>
    </row>
    <row r="67" spans="2:10" x14ac:dyDescent="0.3">
      <c r="B67" s="69">
        <f t="shared" si="37"/>
        <v>9</v>
      </c>
      <c r="C67" s="11" t="s">
        <v>98</v>
      </c>
      <c r="D67" s="353">
        <v>0.01</v>
      </c>
      <c r="E67" s="343">
        <v>0</v>
      </c>
      <c r="F67" s="353">
        <v>0</v>
      </c>
      <c r="G67" s="642"/>
      <c r="H67" s="642">
        <f t="shared" si="35"/>
        <v>0</v>
      </c>
      <c r="I67" s="353">
        <f t="shared" si="36"/>
        <v>0</v>
      </c>
    </row>
    <row r="68" spans="2:10" x14ac:dyDescent="0.3">
      <c r="B68" s="69">
        <f t="shared" si="37"/>
        <v>10</v>
      </c>
      <c r="C68" s="11" t="s">
        <v>1419</v>
      </c>
      <c r="D68" s="353">
        <v>7.42</v>
      </c>
      <c r="E68" s="343">
        <v>6.95</v>
      </c>
      <c r="F68" s="353">
        <v>6.6034363300000001</v>
      </c>
      <c r="G68" s="642">
        <v>3.178524495</v>
      </c>
      <c r="H68" s="642">
        <f t="shared" si="35"/>
        <v>3.5347492839237544</v>
      </c>
      <c r="I68" s="353">
        <f t="shared" si="36"/>
        <v>6.7132737789237549</v>
      </c>
    </row>
    <row r="69" spans="2:10" x14ac:dyDescent="0.3">
      <c r="B69" s="69">
        <f t="shared" si="37"/>
        <v>11</v>
      </c>
      <c r="C69" s="11" t="s">
        <v>99</v>
      </c>
      <c r="D69" s="353">
        <v>33.01</v>
      </c>
      <c r="E69" s="343">
        <v>33.799999999999997</v>
      </c>
      <c r="F69" s="353">
        <v>36.501839799999999</v>
      </c>
      <c r="G69" s="642">
        <v>19.612523599999999</v>
      </c>
      <c r="H69" s="642">
        <f t="shared" si="35"/>
        <v>21.810545698197529</v>
      </c>
      <c r="I69" s="353">
        <f t="shared" si="36"/>
        <v>41.423069298197532</v>
      </c>
    </row>
    <row r="70" spans="2:10" x14ac:dyDescent="0.3">
      <c r="B70" s="69">
        <f t="shared" si="37"/>
        <v>12</v>
      </c>
      <c r="C70" s="11" t="s">
        <v>100</v>
      </c>
      <c r="D70" s="353">
        <v>40.22</v>
      </c>
      <c r="E70" s="343">
        <v>40.590000000000003</v>
      </c>
      <c r="F70" s="353">
        <v>70.286216499999995</v>
      </c>
      <c r="G70" s="642">
        <v>23.350418699999999</v>
      </c>
      <c r="H70" s="642">
        <f t="shared" si="35"/>
        <v>25.967355579288949</v>
      </c>
      <c r="I70" s="353">
        <f t="shared" si="36"/>
        <v>49.317774279288948</v>
      </c>
    </row>
    <row r="71" spans="2:10" x14ac:dyDescent="0.3">
      <c r="B71" s="70">
        <f t="shared" si="37"/>
        <v>13</v>
      </c>
      <c r="C71" s="38" t="s">
        <v>101</v>
      </c>
      <c r="D71" s="349">
        <f t="shared" ref="D71:I71" si="38">SUM(D59:D70)</f>
        <v>396.55000000000007</v>
      </c>
      <c r="E71" s="349">
        <f t="shared" si="38"/>
        <v>471.73000000000013</v>
      </c>
      <c r="F71" s="349">
        <f>SUM(F59:F70)</f>
        <v>504.26328662499998</v>
      </c>
      <c r="G71" s="349">
        <f t="shared" si="38"/>
        <v>241.289590089</v>
      </c>
      <c r="H71" s="349">
        <f t="shared" si="38"/>
        <v>268.33148749585104</v>
      </c>
      <c r="I71" s="349">
        <f t="shared" si="38"/>
        <v>509.62107758485098</v>
      </c>
    </row>
    <row r="72" spans="2:10" x14ac:dyDescent="0.3">
      <c r="B72" s="69">
        <f t="shared" si="37"/>
        <v>14</v>
      </c>
      <c r="C72" s="11" t="s">
        <v>48</v>
      </c>
      <c r="D72" s="438">
        <v>45.97</v>
      </c>
      <c r="E72" s="343">
        <v>58.54</v>
      </c>
      <c r="F72" s="374">
        <v>59.95</v>
      </c>
      <c r="G72" s="642">
        <v>23.229090796049999</v>
      </c>
      <c r="H72" s="642">
        <f t="shared" si="35"/>
        <v>25.832430168998147</v>
      </c>
      <c r="I72" s="353">
        <f t="shared" si="36"/>
        <v>49.061520965048146</v>
      </c>
    </row>
    <row r="73" spans="2:10" x14ac:dyDescent="0.25">
      <c r="B73" s="70">
        <f t="shared" si="37"/>
        <v>15</v>
      </c>
      <c r="C73" s="28" t="s">
        <v>1391</v>
      </c>
      <c r="D73" s="354">
        <f>D71-D72</f>
        <v>350.58000000000004</v>
      </c>
      <c r="E73" s="354">
        <f>E71-E72</f>
        <v>413.19000000000011</v>
      </c>
      <c r="F73" s="354">
        <f>F71-F72</f>
        <v>444.31328662499999</v>
      </c>
      <c r="G73" s="354">
        <f t="shared" ref="G73:I73" si="39">G71-G72</f>
        <v>218.06049929295</v>
      </c>
      <c r="H73" s="354">
        <f t="shared" si="39"/>
        <v>242.49905732685289</v>
      </c>
      <c r="I73" s="354">
        <f t="shared" si="39"/>
        <v>460.55955661980283</v>
      </c>
    </row>
    <row r="74" spans="2:10" x14ac:dyDescent="0.25">
      <c r="B74" s="69">
        <f t="shared" si="37"/>
        <v>16</v>
      </c>
      <c r="C74" s="25" t="s">
        <v>1435</v>
      </c>
      <c r="D74" s="353">
        <v>36.03</v>
      </c>
      <c r="E74" s="353">
        <v>74.930000000000007</v>
      </c>
      <c r="F74" s="408">
        <v>0</v>
      </c>
      <c r="G74" s="642">
        <f t="shared" ref="G74" si="40">G27+G50</f>
        <v>0</v>
      </c>
      <c r="H74" s="642">
        <f t="shared" si="35"/>
        <v>0</v>
      </c>
      <c r="I74" s="353">
        <f t="shared" si="36"/>
        <v>0</v>
      </c>
    </row>
    <row r="75" spans="2:10" x14ac:dyDescent="0.25">
      <c r="B75" s="70">
        <f t="shared" si="37"/>
        <v>17</v>
      </c>
      <c r="C75" s="28" t="s">
        <v>1393</v>
      </c>
      <c r="D75" s="354">
        <f t="shared" ref="D75:E75" si="41">D73-D74</f>
        <v>314.55000000000007</v>
      </c>
      <c r="E75" s="354">
        <f t="shared" si="41"/>
        <v>338.2600000000001</v>
      </c>
      <c r="F75" s="354">
        <f>F73-F74</f>
        <v>444.31328662499999</v>
      </c>
      <c r="G75" s="354">
        <f t="shared" ref="G75:I75" si="42">G73-G74</f>
        <v>218.06049929295</v>
      </c>
      <c r="H75" s="354">
        <f t="shared" si="42"/>
        <v>242.49905732685289</v>
      </c>
      <c r="I75" s="354">
        <f t="shared" si="42"/>
        <v>460.55955661980283</v>
      </c>
      <c r="J75" s="634"/>
    </row>
    <row r="76" spans="2:10" x14ac:dyDescent="0.25">
      <c r="B76" s="148"/>
      <c r="C76" s="125"/>
      <c r="D76" s="125"/>
      <c r="E76" s="125"/>
      <c r="F76" s="1065"/>
      <c r="G76" s="128"/>
      <c r="H76" s="43"/>
    </row>
    <row r="77" spans="2:10" x14ac:dyDescent="0.25">
      <c r="B77" s="148"/>
      <c r="C77" s="125"/>
      <c r="D77" s="125"/>
      <c r="E77" s="125"/>
      <c r="F77" s="128"/>
      <c r="G77" s="128"/>
      <c r="H77" s="43"/>
    </row>
    <row r="78" spans="2:10" x14ac:dyDescent="0.25">
      <c r="B78" s="22" t="s">
        <v>318</v>
      </c>
    </row>
    <row r="79" spans="2:10" x14ac:dyDescent="0.25">
      <c r="B79" s="22"/>
    </row>
    <row r="80" spans="2:10" x14ac:dyDescent="0.25">
      <c r="B80" s="125" t="s">
        <v>282</v>
      </c>
    </row>
    <row r="81" spans="2:9" x14ac:dyDescent="0.25">
      <c r="I81" s="22" t="s">
        <v>751</v>
      </c>
    </row>
    <row r="82" spans="2:9" x14ac:dyDescent="0.25">
      <c r="B82" s="2278" t="s">
        <v>11</v>
      </c>
      <c r="C82" s="2278" t="s">
        <v>50</v>
      </c>
      <c r="D82" s="308" t="s">
        <v>179</v>
      </c>
      <c r="E82" s="308" t="s">
        <v>186</v>
      </c>
      <c r="F82" s="313" t="s">
        <v>426</v>
      </c>
      <c r="G82" s="2203" t="s">
        <v>427</v>
      </c>
      <c r="H82" s="2224"/>
      <c r="I82" s="2224"/>
    </row>
    <row r="83" spans="2:9" ht="28" x14ac:dyDescent="0.25">
      <c r="B83" s="2279"/>
      <c r="C83" s="2279"/>
      <c r="D83" s="308" t="s">
        <v>414</v>
      </c>
      <c r="E83" s="308" t="s">
        <v>414</v>
      </c>
      <c r="F83" s="308" t="s">
        <v>405</v>
      </c>
      <c r="G83" s="308" t="s">
        <v>408</v>
      </c>
      <c r="H83" s="308" t="s">
        <v>333</v>
      </c>
      <c r="I83" s="308" t="s">
        <v>72</v>
      </c>
    </row>
    <row r="84" spans="2:9" x14ac:dyDescent="0.25">
      <c r="B84" s="25"/>
      <c r="C84" s="25"/>
      <c r="D84" s="25"/>
      <c r="E84" s="25"/>
      <c r="F84" s="25"/>
      <c r="G84" s="25"/>
      <c r="H84" s="25"/>
      <c r="I84" s="25"/>
    </row>
    <row r="85" spans="2:9" x14ac:dyDescent="0.25">
      <c r="B85" s="70" t="s">
        <v>83</v>
      </c>
      <c r="C85" s="28" t="s">
        <v>103</v>
      </c>
      <c r="D85" s="28"/>
      <c r="E85" s="28"/>
      <c r="F85" s="25"/>
      <c r="G85" s="25"/>
      <c r="H85" s="25"/>
      <c r="I85" s="25"/>
    </row>
    <row r="86" spans="2:9" x14ac:dyDescent="0.25">
      <c r="B86" s="63">
        <v>1</v>
      </c>
      <c r="C86" s="114" t="s">
        <v>104</v>
      </c>
      <c r="D86" s="815">
        <v>664</v>
      </c>
      <c r="E86" s="815">
        <v>653</v>
      </c>
      <c r="F86" s="402">
        <v>636</v>
      </c>
      <c r="G86" s="402">
        <v>617</v>
      </c>
      <c r="H86" s="402">
        <v>617</v>
      </c>
      <c r="I86" s="402">
        <v>617</v>
      </c>
    </row>
    <row r="87" spans="2:9" x14ac:dyDescent="0.25">
      <c r="B87" s="63">
        <v>2</v>
      </c>
      <c r="C87" s="114" t="s">
        <v>105</v>
      </c>
      <c r="D87" s="815">
        <v>35</v>
      </c>
      <c r="E87" s="815">
        <v>33</v>
      </c>
      <c r="F87" s="402">
        <v>30</v>
      </c>
      <c r="G87" s="402">
        <v>22</v>
      </c>
      <c r="H87" s="402">
        <v>22</v>
      </c>
      <c r="I87" s="402">
        <v>22</v>
      </c>
    </row>
    <row r="88" spans="2:9" x14ac:dyDescent="0.25">
      <c r="B88" s="63">
        <v>3</v>
      </c>
      <c r="C88" s="114" t="s">
        <v>106</v>
      </c>
      <c r="D88" s="815">
        <v>14.3</v>
      </c>
      <c r="E88" s="815">
        <v>13.65</v>
      </c>
      <c r="F88" s="402">
        <v>13.65</v>
      </c>
      <c r="G88" s="402">
        <v>13</v>
      </c>
      <c r="H88" s="402">
        <v>13</v>
      </c>
      <c r="I88" s="402">
        <v>13</v>
      </c>
    </row>
    <row r="89" spans="2:9" x14ac:dyDescent="0.25">
      <c r="B89" s="63">
        <v>4</v>
      </c>
      <c r="C89" s="114" t="s">
        <v>107</v>
      </c>
      <c r="D89" s="815">
        <v>85.15</v>
      </c>
      <c r="E89" s="815">
        <v>79.95</v>
      </c>
      <c r="F89" s="402">
        <v>78.650000000000006</v>
      </c>
      <c r="G89" s="402">
        <v>78</v>
      </c>
      <c r="H89" s="402">
        <v>78</v>
      </c>
      <c r="I89" s="402">
        <v>78</v>
      </c>
    </row>
    <row r="90" spans="2:9" x14ac:dyDescent="0.25">
      <c r="B90" s="63"/>
      <c r="C90" s="114"/>
      <c r="D90" s="815"/>
      <c r="E90" s="815"/>
      <c r="F90" s="402"/>
      <c r="G90" s="402"/>
      <c r="H90" s="402"/>
      <c r="I90" s="402"/>
    </row>
    <row r="91" spans="2:9" x14ac:dyDescent="0.25">
      <c r="B91" s="115" t="s">
        <v>89</v>
      </c>
      <c r="C91" s="101" t="s">
        <v>108</v>
      </c>
      <c r="D91" s="816"/>
      <c r="E91" s="816"/>
      <c r="F91" s="402"/>
      <c r="G91" s="402"/>
      <c r="H91" s="402"/>
      <c r="I91" s="402"/>
    </row>
    <row r="92" spans="2:9" x14ac:dyDescent="0.25">
      <c r="B92" s="63">
        <v>5</v>
      </c>
      <c r="C92" s="101" t="s">
        <v>104</v>
      </c>
      <c r="D92" s="816"/>
      <c r="E92" s="816"/>
      <c r="F92" s="402"/>
      <c r="G92" s="402"/>
      <c r="H92" s="402"/>
      <c r="I92" s="402"/>
    </row>
    <row r="93" spans="2:9" x14ac:dyDescent="0.25">
      <c r="B93" s="63">
        <f>+B92+0.1</f>
        <v>5.0999999999999996</v>
      </c>
      <c r="C93" s="114" t="s">
        <v>109</v>
      </c>
      <c r="D93" s="815">
        <v>69</v>
      </c>
      <c r="E93" s="815">
        <v>67</v>
      </c>
      <c r="F93" s="402">
        <v>65</v>
      </c>
      <c r="G93" s="402">
        <v>59</v>
      </c>
      <c r="H93" s="402">
        <v>59</v>
      </c>
      <c r="I93" s="402">
        <v>59</v>
      </c>
    </row>
    <row r="94" spans="2:9" x14ac:dyDescent="0.25">
      <c r="B94" s="63">
        <f>+B93+0.1</f>
        <v>5.1999999999999993</v>
      </c>
      <c r="C94" s="114" t="s">
        <v>110</v>
      </c>
      <c r="D94" s="815">
        <v>238</v>
      </c>
      <c r="E94" s="815">
        <v>239</v>
      </c>
      <c r="F94" s="402">
        <v>227</v>
      </c>
      <c r="G94" s="402">
        <v>214</v>
      </c>
      <c r="H94" s="402">
        <v>214</v>
      </c>
      <c r="I94" s="402">
        <v>214</v>
      </c>
    </row>
    <row r="95" spans="2:9" x14ac:dyDescent="0.25">
      <c r="B95" s="63">
        <f>+B94+0.1</f>
        <v>5.2999999999999989</v>
      </c>
      <c r="C95" s="114" t="s">
        <v>111</v>
      </c>
      <c r="D95" s="815">
        <v>417</v>
      </c>
      <c r="E95" s="815">
        <v>405</v>
      </c>
      <c r="F95" s="402">
        <v>381</v>
      </c>
      <c r="G95" s="402">
        <v>351</v>
      </c>
      <c r="H95" s="402">
        <v>351</v>
      </c>
      <c r="I95" s="402">
        <v>351</v>
      </c>
    </row>
    <row r="96" spans="2:9" x14ac:dyDescent="0.25">
      <c r="B96" s="63">
        <f>+B95+0.1</f>
        <v>5.3999999999999986</v>
      </c>
      <c r="C96" s="114" t="s">
        <v>112</v>
      </c>
      <c r="D96" s="815">
        <v>1965</v>
      </c>
      <c r="E96" s="815">
        <v>1863</v>
      </c>
      <c r="F96" s="402">
        <v>1744</v>
      </c>
      <c r="G96" s="402">
        <v>1636</v>
      </c>
      <c r="H96" s="402">
        <v>1636</v>
      </c>
      <c r="I96" s="402">
        <v>1636</v>
      </c>
    </row>
    <row r="97" spans="2:9" x14ac:dyDescent="0.25">
      <c r="B97" s="63"/>
      <c r="C97" s="114"/>
      <c r="D97" s="815"/>
      <c r="E97" s="815"/>
      <c r="F97" s="402"/>
      <c r="G97" s="402"/>
      <c r="H97" s="402"/>
      <c r="I97" s="402"/>
    </row>
    <row r="98" spans="2:9" x14ac:dyDescent="0.25">
      <c r="B98" s="63">
        <v>6</v>
      </c>
      <c r="C98" s="101" t="s">
        <v>105</v>
      </c>
      <c r="D98" s="816"/>
      <c r="E98" s="816"/>
      <c r="F98" s="402"/>
      <c r="G98" s="402"/>
      <c r="H98" s="402"/>
      <c r="I98" s="402"/>
    </row>
    <row r="99" spans="2:9" x14ac:dyDescent="0.25">
      <c r="B99" s="63">
        <f>+B98+0.1</f>
        <v>6.1</v>
      </c>
      <c r="C99" s="114" t="s">
        <v>109</v>
      </c>
      <c r="D99" s="815">
        <v>20</v>
      </c>
      <c r="E99" s="815">
        <v>18</v>
      </c>
      <c r="F99" s="402">
        <v>18</v>
      </c>
      <c r="G99" s="402">
        <v>13</v>
      </c>
      <c r="H99" s="402">
        <v>13</v>
      </c>
      <c r="I99" s="402">
        <v>13</v>
      </c>
    </row>
    <row r="100" spans="2:9" x14ac:dyDescent="0.25">
      <c r="B100" s="63">
        <f>+B99+0.1</f>
        <v>6.1999999999999993</v>
      </c>
      <c r="C100" s="114" t="s">
        <v>110</v>
      </c>
      <c r="D100" s="815">
        <v>143</v>
      </c>
      <c r="E100" s="815">
        <v>143</v>
      </c>
      <c r="F100" s="402">
        <v>140</v>
      </c>
      <c r="G100" s="402">
        <v>125</v>
      </c>
      <c r="H100" s="402">
        <v>125</v>
      </c>
      <c r="I100" s="402">
        <v>125</v>
      </c>
    </row>
    <row r="101" spans="2:9" x14ac:dyDescent="0.25">
      <c r="B101" s="63">
        <f>+B100+0.1</f>
        <v>6.2999999999999989</v>
      </c>
      <c r="C101" s="114" t="s">
        <v>111</v>
      </c>
      <c r="D101" s="815">
        <v>99.8</v>
      </c>
      <c r="E101" s="815">
        <v>97.850000000000009</v>
      </c>
      <c r="F101" s="402">
        <v>94.55</v>
      </c>
      <c r="G101" s="402">
        <v>95.25</v>
      </c>
      <c r="H101" s="402">
        <v>95.25</v>
      </c>
      <c r="I101" s="402">
        <v>95.25</v>
      </c>
    </row>
    <row r="102" spans="2:9" x14ac:dyDescent="0.25">
      <c r="B102" s="63">
        <f>+B101+0.1</f>
        <v>6.3999999999999986</v>
      </c>
      <c r="C102" s="114" t="s">
        <v>112</v>
      </c>
      <c r="D102" s="815">
        <v>260.8</v>
      </c>
      <c r="E102" s="815">
        <v>226.95000000000002</v>
      </c>
      <c r="F102" s="817">
        <v>208.1</v>
      </c>
      <c r="G102" s="402">
        <v>204.5</v>
      </c>
      <c r="H102" s="402">
        <v>204.5</v>
      </c>
      <c r="I102" s="402">
        <v>204.5</v>
      </c>
    </row>
    <row r="103" spans="2:9" x14ac:dyDescent="0.25">
      <c r="B103" s="63"/>
      <c r="C103" s="114"/>
      <c r="D103" s="815"/>
      <c r="E103" s="815"/>
      <c r="F103" s="817"/>
      <c r="G103" s="402"/>
      <c r="H103" s="402"/>
      <c r="I103" s="402"/>
    </row>
    <row r="104" spans="2:9" x14ac:dyDescent="0.25">
      <c r="B104" s="63">
        <v>7</v>
      </c>
      <c r="C104" s="101" t="s">
        <v>106</v>
      </c>
      <c r="D104" s="816"/>
      <c r="E104" s="816"/>
      <c r="F104" s="817"/>
      <c r="G104" s="402"/>
      <c r="H104" s="402"/>
      <c r="I104" s="402"/>
    </row>
    <row r="105" spans="2:9" x14ac:dyDescent="0.25">
      <c r="B105" s="63">
        <f>+B104+0.1</f>
        <v>7.1</v>
      </c>
      <c r="C105" s="114" t="s">
        <v>109</v>
      </c>
      <c r="D105" s="815">
        <v>11.05</v>
      </c>
      <c r="E105" s="815">
        <v>10.4</v>
      </c>
      <c r="F105" s="817">
        <v>9.1</v>
      </c>
      <c r="G105" s="402">
        <v>7.8000000000000007</v>
      </c>
      <c r="H105" s="402">
        <v>7.8000000000000007</v>
      </c>
      <c r="I105" s="402">
        <v>7.8000000000000007</v>
      </c>
    </row>
    <row r="106" spans="2:9" x14ac:dyDescent="0.25">
      <c r="B106" s="63">
        <f>+B105+0.1</f>
        <v>7.1999999999999993</v>
      </c>
      <c r="C106" s="114" t="s">
        <v>110</v>
      </c>
      <c r="D106" s="815">
        <v>44.2</v>
      </c>
      <c r="E106" s="815">
        <v>42.9</v>
      </c>
      <c r="F106" s="817">
        <v>41.6</v>
      </c>
      <c r="G106" s="402">
        <v>40.300000000000004</v>
      </c>
      <c r="H106" s="402">
        <v>40.300000000000004</v>
      </c>
      <c r="I106" s="402">
        <v>40.300000000000004</v>
      </c>
    </row>
    <row r="107" spans="2:9" x14ac:dyDescent="0.25">
      <c r="B107" s="63">
        <f>+B106+0.1</f>
        <v>7.2999999999999989</v>
      </c>
      <c r="C107" s="114" t="s">
        <v>111</v>
      </c>
      <c r="D107" s="815">
        <v>1.9500000000000002</v>
      </c>
      <c r="E107" s="815">
        <v>1.9500000000000002</v>
      </c>
      <c r="F107" s="817">
        <v>0.65</v>
      </c>
      <c r="G107" s="402">
        <v>0.65</v>
      </c>
      <c r="H107" s="402">
        <v>0.65</v>
      </c>
      <c r="I107" s="402">
        <v>0.65</v>
      </c>
    </row>
    <row r="108" spans="2:9" x14ac:dyDescent="0.25">
      <c r="B108" s="63">
        <f>+B107+0.1</f>
        <v>7.3999999999999986</v>
      </c>
      <c r="C108" s="114" t="s">
        <v>112</v>
      </c>
      <c r="D108" s="815">
        <v>6.5</v>
      </c>
      <c r="E108" s="815">
        <v>5.8500000000000005</v>
      </c>
      <c r="F108" s="817">
        <v>6.5</v>
      </c>
      <c r="G108" s="402">
        <v>6.5</v>
      </c>
      <c r="H108" s="402">
        <v>6.5</v>
      </c>
      <c r="I108" s="402">
        <v>6.5</v>
      </c>
    </row>
    <row r="109" spans="2:9" x14ac:dyDescent="0.25">
      <c r="B109" s="63"/>
      <c r="C109" s="114"/>
      <c r="D109" s="815"/>
      <c r="E109" s="815"/>
      <c r="F109" s="817"/>
      <c r="G109" s="402"/>
      <c r="H109" s="402"/>
      <c r="I109" s="402"/>
    </row>
    <row r="110" spans="2:9" x14ac:dyDescent="0.25">
      <c r="B110" s="63">
        <v>8</v>
      </c>
      <c r="C110" s="101" t="s">
        <v>113</v>
      </c>
      <c r="D110" s="816"/>
      <c r="E110" s="816"/>
      <c r="F110" s="402"/>
      <c r="G110" s="402"/>
      <c r="H110" s="402"/>
      <c r="I110" s="402"/>
    </row>
    <row r="111" spans="2:9" x14ac:dyDescent="0.25">
      <c r="B111" s="63">
        <f>+B110+0.1</f>
        <v>8.1</v>
      </c>
      <c r="C111" s="114" t="s">
        <v>109</v>
      </c>
      <c r="D111" s="815">
        <v>0</v>
      </c>
      <c r="E111" s="815">
        <v>0</v>
      </c>
      <c r="F111" s="402">
        <v>0</v>
      </c>
      <c r="G111" s="402">
        <v>0</v>
      </c>
      <c r="H111" s="402">
        <v>0</v>
      </c>
      <c r="I111" s="402">
        <v>0</v>
      </c>
    </row>
    <row r="112" spans="2:9" x14ac:dyDescent="0.25">
      <c r="B112" s="63">
        <f>+B111+0.1</f>
        <v>8.1999999999999993</v>
      </c>
      <c r="C112" s="114" t="s">
        <v>110</v>
      </c>
      <c r="D112" s="815">
        <v>0</v>
      </c>
      <c r="E112" s="815">
        <v>0</v>
      </c>
      <c r="F112" s="402">
        <v>0</v>
      </c>
      <c r="G112" s="402">
        <v>0</v>
      </c>
      <c r="H112" s="402">
        <v>0</v>
      </c>
      <c r="I112" s="402">
        <v>0</v>
      </c>
    </row>
    <row r="113" spans="2:9" x14ac:dyDescent="0.25">
      <c r="B113" s="63">
        <f>+B112+0.1</f>
        <v>8.2999999999999989</v>
      </c>
      <c r="C113" s="114" t="s">
        <v>111</v>
      </c>
      <c r="D113" s="815">
        <v>0</v>
      </c>
      <c r="E113" s="815">
        <v>0</v>
      </c>
      <c r="F113" s="818">
        <v>0</v>
      </c>
      <c r="G113" s="402">
        <v>0</v>
      </c>
      <c r="H113" s="402">
        <v>0</v>
      </c>
      <c r="I113" s="402">
        <v>0</v>
      </c>
    </row>
    <row r="114" spans="2:9" x14ac:dyDescent="0.25">
      <c r="B114" s="63">
        <f>+B113+0.1</f>
        <v>8.3999999999999986</v>
      </c>
      <c r="C114" s="114" t="s">
        <v>112</v>
      </c>
      <c r="D114" s="815">
        <v>0</v>
      </c>
      <c r="E114" s="815">
        <v>0</v>
      </c>
      <c r="F114" s="818">
        <v>0</v>
      </c>
      <c r="G114" s="402">
        <v>0</v>
      </c>
      <c r="H114" s="402">
        <v>0</v>
      </c>
      <c r="I114" s="402">
        <v>0</v>
      </c>
    </row>
    <row r="115" spans="2:9" x14ac:dyDescent="0.3">
      <c r="B115" s="116"/>
      <c r="C115" s="14" t="s">
        <v>114</v>
      </c>
      <c r="D115" s="819">
        <f t="shared" ref="D115:I115" si="43">SUM(D86:D114)</f>
        <v>4074.75</v>
      </c>
      <c r="E115" s="819">
        <f t="shared" si="43"/>
        <v>3900.4999999999995</v>
      </c>
      <c r="F115" s="819">
        <f t="shared" si="43"/>
        <v>3693.8</v>
      </c>
      <c r="G115" s="819">
        <f t="shared" si="43"/>
        <v>3483.0000000000005</v>
      </c>
      <c r="H115" s="819">
        <f t="shared" si="43"/>
        <v>3483.0000000000005</v>
      </c>
      <c r="I115" s="819">
        <f t="shared" si="43"/>
        <v>3483.0000000000005</v>
      </c>
    </row>
    <row r="117" spans="2:9" x14ac:dyDescent="0.25">
      <c r="B117" s="125" t="s">
        <v>283</v>
      </c>
    </row>
    <row r="118" spans="2:9" x14ac:dyDescent="0.25">
      <c r="I118" s="22" t="s">
        <v>751</v>
      </c>
    </row>
    <row r="119" spans="2:9" x14ac:dyDescent="0.25">
      <c r="B119" s="2278" t="s">
        <v>11</v>
      </c>
      <c r="C119" s="2278" t="s">
        <v>50</v>
      </c>
      <c r="D119" s="308" t="s">
        <v>179</v>
      </c>
      <c r="E119" s="308" t="s">
        <v>186</v>
      </c>
      <c r="F119" s="313" t="s">
        <v>426</v>
      </c>
      <c r="G119" s="2203" t="s">
        <v>427</v>
      </c>
      <c r="H119" s="2224"/>
      <c r="I119" s="2224"/>
    </row>
    <row r="120" spans="2:9" ht="28" x14ac:dyDescent="0.25">
      <c r="B120" s="2279"/>
      <c r="C120" s="2279"/>
      <c r="D120" s="308" t="s">
        <v>414</v>
      </c>
      <c r="E120" s="308" t="s">
        <v>414</v>
      </c>
      <c r="F120" s="308" t="s">
        <v>405</v>
      </c>
      <c r="G120" s="308" t="s">
        <v>408</v>
      </c>
      <c r="H120" s="308" t="s">
        <v>333</v>
      </c>
      <c r="I120" s="308" t="s">
        <v>72</v>
      </c>
    </row>
    <row r="121" spans="2:9" x14ac:dyDescent="0.25">
      <c r="B121" s="25"/>
      <c r="C121" s="25"/>
      <c r="D121" s="25"/>
      <c r="E121" s="25"/>
      <c r="F121" s="25"/>
      <c r="G121" s="25"/>
      <c r="H121" s="25"/>
      <c r="I121" s="25"/>
    </row>
    <row r="122" spans="2:9" x14ac:dyDescent="0.25">
      <c r="B122" s="70" t="s">
        <v>83</v>
      </c>
      <c r="C122" s="28" t="s">
        <v>103</v>
      </c>
      <c r="D122" s="28"/>
      <c r="E122" s="28"/>
      <c r="F122" s="25"/>
      <c r="G122" s="25"/>
      <c r="H122" s="25"/>
      <c r="I122" s="25"/>
    </row>
    <row r="123" spans="2:9" x14ac:dyDescent="0.25">
      <c r="B123" s="63">
        <v>1</v>
      </c>
      <c r="C123" s="114" t="s">
        <v>104</v>
      </c>
      <c r="D123" s="815">
        <v>281</v>
      </c>
      <c r="E123" s="815">
        <v>278</v>
      </c>
      <c r="F123" s="402">
        <v>265</v>
      </c>
      <c r="G123" s="402">
        <v>258</v>
      </c>
      <c r="H123" s="402">
        <v>258</v>
      </c>
      <c r="I123" s="402">
        <v>258</v>
      </c>
    </row>
    <row r="124" spans="2:9" x14ac:dyDescent="0.25">
      <c r="B124" s="63">
        <v>2</v>
      </c>
      <c r="C124" s="114" t="s">
        <v>105</v>
      </c>
      <c r="D124" s="815">
        <v>62</v>
      </c>
      <c r="E124" s="815">
        <v>58</v>
      </c>
      <c r="F124" s="402">
        <v>56</v>
      </c>
      <c r="G124" s="402">
        <v>47</v>
      </c>
      <c r="H124" s="402">
        <v>47</v>
      </c>
      <c r="I124" s="402">
        <v>47</v>
      </c>
    </row>
    <row r="125" spans="2:9" x14ac:dyDescent="0.25">
      <c r="B125" s="63">
        <v>3</v>
      </c>
      <c r="C125" s="114" t="s">
        <v>106</v>
      </c>
      <c r="D125" s="815">
        <v>7.6999999999999993</v>
      </c>
      <c r="E125" s="815">
        <v>7.35</v>
      </c>
      <c r="F125" s="402">
        <v>7.35</v>
      </c>
      <c r="G125" s="402">
        <v>7</v>
      </c>
      <c r="H125" s="402">
        <v>7</v>
      </c>
      <c r="I125" s="402">
        <v>7</v>
      </c>
    </row>
    <row r="126" spans="2:9" x14ac:dyDescent="0.25">
      <c r="B126" s="63">
        <v>4</v>
      </c>
      <c r="C126" s="114" t="s">
        <v>107</v>
      </c>
      <c r="D126" s="815">
        <v>45.849999999999994</v>
      </c>
      <c r="E126" s="815">
        <v>43.05</v>
      </c>
      <c r="F126" s="402">
        <v>42.349999999999994</v>
      </c>
      <c r="G126" s="402">
        <v>42</v>
      </c>
      <c r="H126" s="402">
        <v>42</v>
      </c>
      <c r="I126" s="402">
        <v>42</v>
      </c>
    </row>
    <row r="127" spans="2:9" x14ac:dyDescent="0.25">
      <c r="B127" s="63"/>
      <c r="C127" s="114"/>
      <c r="D127" s="815"/>
      <c r="E127" s="815"/>
      <c r="F127" s="402"/>
      <c r="G127" s="402"/>
      <c r="H127" s="402"/>
      <c r="I127" s="402"/>
    </row>
    <row r="128" spans="2:9" x14ac:dyDescent="0.25">
      <c r="B128" s="115" t="s">
        <v>89</v>
      </c>
      <c r="C128" s="101" t="s">
        <v>108</v>
      </c>
      <c r="D128" s="816"/>
      <c r="E128" s="816"/>
      <c r="F128" s="402"/>
      <c r="G128" s="402"/>
      <c r="H128" s="402"/>
      <c r="I128" s="402"/>
    </row>
    <row r="129" spans="2:9" x14ac:dyDescent="0.25">
      <c r="B129" s="63">
        <v>5</v>
      </c>
      <c r="C129" s="101" t="s">
        <v>104</v>
      </c>
      <c r="D129" s="816"/>
      <c r="E129" s="816"/>
      <c r="F129" s="402"/>
      <c r="G129" s="402"/>
      <c r="H129" s="402"/>
      <c r="I129" s="402"/>
    </row>
    <row r="130" spans="2:9" x14ac:dyDescent="0.25">
      <c r="B130" s="63">
        <f>+B129+0.1</f>
        <v>5.0999999999999996</v>
      </c>
      <c r="C130" s="114" t="s">
        <v>109</v>
      </c>
      <c r="D130" s="815">
        <v>0</v>
      </c>
      <c r="E130" s="815">
        <v>0</v>
      </c>
      <c r="F130" s="402">
        <v>0</v>
      </c>
      <c r="G130" s="402">
        <v>0</v>
      </c>
      <c r="H130" s="402">
        <v>0</v>
      </c>
      <c r="I130" s="402">
        <v>0</v>
      </c>
    </row>
    <row r="131" spans="2:9" x14ac:dyDescent="0.25">
      <c r="B131" s="63">
        <f>+B130+0.1</f>
        <v>5.1999999999999993</v>
      </c>
      <c r="C131" s="114" t="s">
        <v>110</v>
      </c>
      <c r="D131" s="815">
        <v>218</v>
      </c>
      <c r="E131" s="815">
        <v>201</v>
      </c>
      <c r="F131" s="402">
        <v>183</v>
      </c>
      <c r="G131" s="402">
        <v>164</v>
      </c>
      <c r="H131" s="402">
        <v>164</v>
      </c>
      <c r="I131" s="402">
        <v>164</v>
      </c>
    </row>
    <row r="132" spans="2:9" x14ac:dyDescent="0.25">
      <c r="B132" s="63">
        <f>+B131+0.1</f>
        <v>5.2999999999999989</v>
      </c>
      <c r="C132" s="114" t="s">
        <v>111</v>
      </c>
      <c r="D132" s="815">
        <v>348</v>
      </c>
      <c r="E132" s="815">
        <v>337</v>
      </c>
      <c r="F132" s="402">
        <v>322</v>
      </c>
      <c r="G132" s="402">
        <v>288</v>
      </c>
      <c r="H132" s="402">
        <v>288</v>
      </c>
      <c r="I132" s="402">
        <v>288</v>
      </c>
    </row>
    <row r="133" spans="2:9" x14ac:dyDescent="0.25">
      <c r="B133" s="63">
        <f>+B132+0.1</f>
        <v>5.3999999999999986</v>
      </c>
      <c r="C133" s="114" t="s">
        <v>112</v>
      </c>
      <c r="D133" s="815">
        <v>248</v>
      </c>
      <c r="E133" s="815">
        <v>241</v>
      </c>
      <c r="F133" s="402">
        <v>220</v>
      </c>
      <c r="G133" s="402">
        <v>188</v>
      </c>
      <c r="H133" s="402">
        <v>188</v>
      </c>
      <c r="I133" s="402">
        <v>188</v>
      </c>
    </row>
    <row r="134" spans="2:9" x14ac:dyDescent="0.25">
      <c r="B134" s="63"/>
      <c r="C134" s="114"/>
      <c r="D134" s="815"/>
      <c r="E134" s="815"/>
      <c r="F134" s="402"/>
      <c r="G134" s="402"/>
      <c r="H134" s="402"/>
      <c r="I134" s="402"/>
    </row>
    <row r="135" spans="2:9" x14ac:dyDescent="0.25">
      <c r="B135" s="63">
        <v>6</v>
      </c>
      <c r="C135" s="101" t="s">
        <v>105</v>
      </c>
      <c r="D135" s="816"/>
      <c r="E135" s="816"/>
      <c r="F135" s="402"/>
      <c r="G135" s="402"/>
      <c r="H135" s="402"/>
      <c r="I135" s="402"/>
    </row>
    <row r="136" spans="2:9" x14ac:dyDescent="0.25">
      <c r="B136" s="63">
        <f>+B135+0.1</f>
        <v>6.1</v>
      </c>
      <c r="C136" s="114" t="s">
        <v>109</v>
      </c>
      <c r="D136" s="815">
        <v>135</v>
      </c>
      <c r="E136" s="815">
        <v>133</v>
      </c>
      <c r="F136" s="402">
        <v>126</v>
      </c>
      <c r="G136" s="402">
        <v>112</v>
      </c>
      <c r="H136" s="402">
        <v>112</v>
      </c>
      <c r="I136" s="402">
        <v>112</v>
      </c>
    </row>
    <row r="137" spans="2:9" x14ac:dyDescent="0.25">
      <c r="B137" s="63">
        <f>+B136+0.1</f>
        <v>6.1999999999999993</v>
      </c>
      <c r="C137" s="114" t="s">
        <v>110</v>
      </c>
      <c r="D137" s="815">
        <v>646</v>
      </c>
      <c r="E137" s="815">
        <v>617</v>
      </c>
      <c r="F137" s="402">
        <v>599</v>
      </c>
      <c r="G137" s="402">
        <v>558</v>
      </c>
      <c r="H137" s="402">
        <v>558</v>
      </c>
      <c r="I137" s="402">
        <v>558</v>
      </c>
    </row>
    <row r="138" spans="2:9" x14ac:dyDescent="0.25">
      <c r="B138" s="63">
        <f>+B137+0.1</f>
        <v>6.2999999999999989</v>
      </c>
      <c r="C138" s="114" t="s">
        <v>111</v>
      </c>
      <c r="D138" s="815">
        <v>208.2</v>
      </c>
      <c r="E138" s="815">
        <v>182.15</v>
      </c>
      <c r="F138" s="402">
        <v>179.45</v>
      </c>
      <c r="G138" s="402">
        <v>167.75</v>
      </c>
      <c r="H138" s="402">
        <v>167.75</v>
      </c>
      <c r="I138" s="402">
        <v>167.75</v>
      </c>
    </row>
    <row r="139" spans="2:9" x14ac:dyDescent="0.25">
      <c r="B139" s="63">
        <f>+B138+0.1</f>
        <v>6.3999999999999986</v>
      </c>
      <c r="C139" s="114" t="s">
        <v>112</v>
      </c>
      <c r="D139" s="815">
        <v>170.2</v>
      </c>
      <c r="E139" s="815">
        <v>152.05000000000001</v>
      </c>
      <c r="F139" s="817">
        <v>139.89999999999998</v>
      </c>
      <c r="G139" s="402">
        <v>139.5</v>
      </c>
      <c r="H139" s="402">
        <v>139.5</v>
      </c>
      <c r="I139" s="402">
        <v>139.5</v>
      </c>
    </row>
    <row r="140" spans="2:9" x14ac:dyDescent="0.25">
      <c r="B140" s="63"/>
      <c r="C140" s="114"/>
      <c r="D140" s="815"/>
      <c r="E140" s="815"/>
      <c r="F140" s="817"/>
      <c r="G140" s="402"/>
      <c r="H140" s="402"/>
      <c r="I140" s="402"/>
    </row>
    <row r="141" spans="2:9" x14ac:dyDescent="0.25">
      <c r="B141" s="63">
        <v>7</v>
      </c>
      <c r="C141" s="101" t="s">
        <v>106</v>
      </c>
      <c r="D141" s="816"/>
      <c r="E141" s="816"/>
      <c r="F141" s="817"/>
      <c r="G141" s="402"/>
      <c r="H141" s="402"/>
      <c r="I141" s="402"/>
    </row>
    <row r="142" spans="2:9" x14ac:dyDescent="0.25">
      <c r="B142" s="63">
        <f>+B141+0.1</f>
        <v>7.1</v>
      </c>
      <c r="C142" s="114" t="s">
        <v>109</v>
      </c>
      <c r="D142" s="815">
        <v>5.9499999999999993</v>
      </c>
      <c r="E142" s="815">
        <v>5.6</v>
      </c>
      <c r="F142" s="817">
        <v>4.8999999999999995</v>
      </c>
      <c r="G142" s="402">
        <v>4.1999999999999993</v>
      </c>
      <c r="H142" s="402">
        <v>4.1999999999999993</v>
      </c>
      <c r="I142" s="402">
        <v>4.1999999999999993</v>
      </c>
    </row>
    <row r="143" spans="2:9" x14ac:dyDescent="0.25">
      <c r="B143" s="63">
        <f>+B142+0.1</f>
        <v>7.1999999999999993</v>
      </c>
      <c r="C143" s="114" t="s">
        <v>110</v>
      </c>
      <c r="D143" s="815">
        <v>23.799999999999997</v>
      </c>
      <c r="E143" s="815">
        <v>23.099999999999998</v>
      </c>
      <c r="F143" s="817">
        <v>22.4</v>
      </c>
      <c r="G143" s="402">
        <v>21.7</v>
      </c>
      <c r="H143" s="402">
        <v>21.7</v>
      </c>
      <c r="I143" s="402">
        <v>21.7</v>
      </c>
    </row>
    <row r="144" spans="2:9" x14ac:dyDescent="0.25">
      <c r="B144" s="63">
        <f>+B143+0.1</f>
        <v>7.2999999999999989</v>
      </c>
      <c r="C144" s="114" t="s">
        <v>111</v>
      </c>
      <c r="D144" s="815">
        <v>1.0499999999999998</v>
      </c>
      <c r="E144" s="815">
        <v>1.0499999999999998</v>
      </c>
      <c r="F144" s="817">
        <v>0.35</v>
      </c>
      <c r="G144" s="402">
        <v>0.35</v>
      </c>
      <c r="H144" s="402">
        <v>0.35</v>
      </c>
      <c r="I144" s="402">
        <v>0.35</v>
      </c>
    </row>
    <row r="145" spans="2:9" x14ac:dyDescent="0.25">
      <c r="B145" s="63">
        <f>+B144+0.1</f>
        <v>7.3999999999999986</v>
      </c>
      <c r="C145" s="114" t="s">
        <v>112</v>
      </c>
      <c r="D145" s="815">
        <v>3.5</v>
      </c>
      <c r="E145" s="815">
        <v>3.15</v>
      </c>
      <c r="F145" s="817">
        <v>3.5</v>
      </c>
      <c r="G145" s="402">
        <v>3.5</v>
      </c>
      <c r="H145" s="402">
        <v>3.5</v>
      </c>
      <c r="I145" s="402">
        <v>3.5</v>
      </c>
    </row>
    <row r="146" spans="2:9" x14ac:dyDescent="0.25">
      <c r="B146" s="63"/>
      <c r="C146" s="114"/>
      <c r="D146" s="815"/>
      <c r="E146" s="815"/>
      <c r="F146" s="817"/>
      <c r="G146" s="402"/>
      <c r="H146" s="402"/>
      <c r="I146" s="402"/>
    </row>
    <row r="147" spans="2:9" x14ac:dyDescent="0.25">
      <c r="B147" s="63">
        <v>8</v>
      </c>
      <c r="C147" s="101" t="s">
        <v>113</v>
      </c>
      <c r="D147" s="816"/>
      <c r="E147" s="816"/>
      <c r="F147" s="402"/>
      <c r="G147" s="402"/>
      <c r="H147" s="402"/>
      <c r="I147" s="402"/>
    </row>
    <row r="148" spans="2:9" x14ac:dyDescent="0.25">
      <c r="B148" s="63">
        <f>+B147+0.1</f>
        <v>8.1</v>
      </c>
      <c r="C148" s="114" t="s">
        <v>109</v>
      </c>
      <c r="D148" s="815">
        <v>0</v>
      </c>
      <c r="E148" s="815">
        <v>0</v>
      </c>
      <c r="F148" s="402">
        <v>0</v>
      </c>
      <c r="G148" s="402">
        <v>0</v>
      </c>
      <c r="H148" s="402">
        <v>0</v>
      </c>
      <c r="I148" s="402">
        <v>0</v>
      </c>
    </row>
    <row r="149" spans="2:9" x14ac:dyDescent="0.25">
      <c r="B149" s="63">
        <f>+B148+0.1</f>
        <v>8.1999999999999993</v>
      </c>
      <c r="C149" s="114" t="s">
        <v>110</v>
      </c>
      <c r="D149" s="815">
        <v>0</v>
      </c>
      <c r="E149" s="815">
        <v>0</v>
      </c>
      <c r="F149" s="402">
        <v>0</v>
      </c>
      <c r="G149" s="402">
        <v>0</v>
      </c>
      <c r="H149" s="402">
        <v>0</v>
      </c>
      <c r="I149" s="402">
        <v>0</v>
      </c>
    </row>
    <row r="150" spans="2:9" x14ac:dyDescent="0.25">
      <c r="B150" s="63">
        <f>+B149+0.1</f>
        <v>8.2999999999999989</v>
      </c>
      <c r="C150" s="114" t="s">
        <v>111</v>
      </c>
      <c r="D150" s="815">
        <v>0</v>
      </c>
      <c r="E150" s="815">
        <v>0</v>
      </c>
      <c r="F150" s="818">
        <v>0</v>
      </c>
      <c r="G150" s="402">
        <v>0</v>
      </c>
      <c r="H150" s="402">
        <v>0</v>
      </c>
      <c r="I150" s="402">
        <v>0</v>
      </c>
    </row>
    <row r="151" spans="2:9" x14ac:dyDescent="0.25">
      <c r="B151" s="63">
        <f>+B150+0.1</f>
        <v>8.3999999999999986</v>
      </c>
      <c r="C151" s="114" t="s">
        <v>112</v>
      </c>
      <c r="D151" s="815">
        <v>0</v>
      </c>
      <c r="E151" s="815">
        <v>0</v>
      </c>
      <c r="F151" s="818">
        <v>0</v>
      </c>
      <c r="G151" s="402">
        <v>0</v>
      </c>
      <c r="H151" s="402">
        <v>0</v>
      </c>
      <c r="I151" s="402">
        <v>0</v>
      </c>
    </row>
    <row r="152" spans="2:9" x14ac:dyDescent="0.3">
      <c r="B152" s="116"/>
      <c r="C152" s="14" t="s">
        <v>114</v>
      </c>
      <c r="D152" s="819">
        <f t="shared" ref="D152:I152" si="44">SUM(D123:D151)</f>
        <v>2404.25</v>
      </c>
      <c r="E152" s="819">
        <f t="shared" si="44"/>
        <v>2282.5000000000005</v>
      </c>
      <c r="F152" s="819">
        <f t="shared" si="44"/>
        <v>2171.2000000000003</v>
      </c>
      <c r="G152" s="819">
        <f t="shared" si="44"/>
        <v>2001</v>
      </c>
      <c r="H152" s="819">
        <f t="shared" si="44"/>
        <v>2001</v>
      </c>
      <c r="I152" s="819">
        <f t="shared" si="44"/>
        <v>2001</v>
      </c>
    </row>
  </sheetData>
  <mergeCells count="15">
    <mergeCell ref="C57:C58"/>
    <mergeCell ref="G57:I57"/>
    <mergeCell ref="B119:B120"/>
    <mergeCell ref="C119:C120"/>
    <mergeCell ref="G119:I119"/>
    <mergeCell ref="B82:B83"/>
    <mergeCell ref="C82:C83"/>
    <mergeCell ref="G82:I82"/>
    <mergeCell ref="B57:B58"/>
    <mergeCell ref="B10:B11"/>
    <mergeCell ref="C10:C11"/>
    <mergeCell ref="G10:I10"/>
    <mergeCell ref="B33:B34"/>
    <mergeCell ref="C33:C34"/>
    <mergeCell ref="G33:I33"/>
  </mergeCells>
  <pageMargins left="0.74803149606299213" right="0.74803149606299213" top="0.98425196850393704" bottom="0.98425196850393704" header="0.51181102362204722" footer="0.51181102362204722"/>
  <pageSetup paperSize="9" scale="54" fitToHeight="3" orientation="portrait" r:id="rId1"/>
  <headerFooter alignWithMargins="0"/>
  <rowBreaks count="4" manualBreakCount="4">
    <brk id="29" min="1" max="8" man="1"/>
    <brk id="51" min="1" max="8" man="1"/>
    <brk id="75" min="1" max="8" man="1"/>
    <brk id="115" min="1"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80"/>
  <sheetViews>
    <sheetView showGridLines="0" view="pageBreakPreview" zoomScale="60" zoomScaleNormal="60" workbookViewId="0">
      <selection activeCell="F29" sqref="F29"/>
    </sheetView>
  </sheetViews>
  <sheetFormatPr defaultColWidth="9.1796875" defaultRowHeight="14" x14ac:dyDescent="0.25"/>
  <cols>
    <col min="1" max="1" width="6.81640625" style="15" customWidth="1"/>
    <col min="2" max="2" width="7" style="15" customWidth="1"/>
    <col min="3" max="3" width="41.26953125" style="15" customWidth="1"/>
    <col min="4" max="7" width="15.7265625" style="15" customWidth="1"/>
    <col min="8" max="8" width="14.7265625" style="15" customWidth="1"/>
    <col min="9" max="9" width="23" style="15" customWidth="1"/>
    <col min="10" max="16384" width="9.1796875" style="15"/>
  </cols>
  <sheetData>
    <row r="2" spans="2:9" x14ac:dyDescent="0.25">
      <c r="C2" s="74"/>
      <c r="D2" s="201" t="s">
        <v>1027</v>
      </c>
      <c r="E2" s="312"/>
      <c r="F2" s="74"/>
      <c r="G2" s="74"/>
      <c r="H2" s="74"/>
    </row>
    <row r="3" spans="2:9" s="5" customFormat="1" x14ac:dyDescent="0.3">
      <c r="C3" s="74"/>
      <c r="D3" s="202" t="s">
        <v>848</v>
      </c>
      <c r="E3" s="310"/>
      <c r="F3" s="74"/>
      <c r="G3" s="74"/>
      <c r="H3" s="74"/>
    </row>
    <row r="4" spans="2:9" s="5" customFormat="1" x14ac:dyDescent="0.3">
      <c r="C4" s="74"/>
      <c r="D4" s="202" t="s">
        <v>754</v>
      </c>
      <c r="E4" s="310"/>
      <c r="F4" s="74"/>
      <c r="G4" s="74"/>
      <c r="H4" s="74"/>
    </row>
    <row r="6" spans="2:9" x14ac:dyDescent="0.25">
      <c r="B6" s="125" t="s">
        <v>282</v>
      </c>
    </row>
    <row r="8" spans="2:9" x14ac:dyDescent="0.25">
      <c r="H8" s="1493">
        <v>0.65</v>
      </c>
      <c r="I8" s="21" t="s">
        <v>16</v>
      </c>
    </row>
    <row r="9" spans="2:9" x14ac:dyDescent="0.25">
      <c r="B9" s="2278" t="s">
        <v>11</v>
      </c>
      <c r="C9" s="2278" t="s">
        <v>50</v>
      </c>
      <c r="D9" s="308" t="s">
        <v>179</v>
      </c>
      <c r="E9" s="308" t="s">
        <v>186</v>
      </c>
      <c r="F9" s="313" t="s">
        <v>426</v>
      </c>
      <c r="G9" s="2203" t="s">
        <v>427</v>
      </c>
      <c r="H9" s="2224"/>
      <c r="I9" s="2224"/>
    </row>
    <row r="10" spans="2:9" ht="28" x14ac:dyDescent="0.25">
      <c r="B10" s="2279"/>
      <c r="C10" s="2279"/>
      <c r="D10" s="308" t="s">
        <v>414</v>
      </c>
      <c r="E10" s="308" t="s">
        <v>414</v>
      </c>
      <c r="F10" s="308" t="s">
        <v>405</v>
      </c>
      <c r="G10" s="308" t="s">
        <v>408</v>
      </c>
      <c r="H10" s="308" t="s">
        <v>333</v>
      </c>
      <c r="I10" s="308" t="s">
        <v>72</v>
      </c>
    </row>
    <row r="11" spans="2:9" x14ac:dyDescent="0.25">
      <c r="B11" s="25">
        <v>1</v>
      </c>
      <c r="C11" s="29" t="s">
        <v>115</v>
      </c>
      <c r="D11" s="353">
        <f t="shared" ref="D11:I24" si="0">$H$8*D57</f>
        <v>4.875</v>
      </c>
      <c r="E11" s="353">
        <f t="shared" si="0"/>
        <v>4.03</v>
      </c>
      <c r="F11" s="353">
        <f t="shared" si="0"/>
        <v>3.9061320350000002</v>
      </c>
      <c r="G11" s="353">
        <f t="shared" si="0"/>
        <v>0.14987803285000001</v>
      </c>
      <c r="H11" s="353">
        <f>G11*$H$27/$G$27</f>
        <v>0.27412761553563492</v>
      </c>
      <c r="I11" s="353">
        <f t="shared" si="0"/>
        <v>0.42400564838563493</v>
      </c>
    </row>
    <row r="12" spans="2:9" x14ac:dyDescent="0.3">
      <c r="B12" s="25">
        <v>2</v>
      </c>
      <c r="C12" s="27" t="s">
        <v>116</v>
      </c>
      <c r="D12" s="353">
        <f t="shared" ref="D12:E24" si="1">$H$8*D58</f>
        <v>0.94899999999999995</v>
      </c>
      <c r="E12" s="353">
        <f t="shared" si="1"/>
        <v>1.1635</v>
      </c>
      <c r="F12" s="353">
        <f t="shared" si="0"/>
        <v>0.37842480000000006</v>
      </c>
      <c r="G12" s="353">
        <f t="shared" si="0"/>
        <v>0.13732641000000001</v>
      </c>
      <c r="H12" s="353">
        <f t="shared" ref="H12:H26" si="2">G12*$H$27/$G$27</f>
        <v>0.25117063926936223</v>
      </c>
      <c r="I12" s="353">
        <f t="shared" si="0"/>
        <v>0.38849704926936224</v>
      </c>
    </row>
    <row r="13" spans="2:9" x14ac:dyDescent="0.3">
      <c r="B13" s="25">
        <v>3</v>
      </c>
      <c r="C13" s="27" t="s">
        <v>117</v>
      </c>
      <c r="D13" s="353">
        <f t="shared" si="1"/>
        <v>3.4385000000000003</v>
      </c>
      <c r="E13" s="353">
        <f t="shared" si="1"/>
        <v>3.4775</v>
      </c>
      <c r="F13" s="353">
        <f t="shared" si="0"/>
        <v>3.6020155366000002</v>
      </c>
      <c r="G13" s="353">
        <f t="shared" si="0"/>
        <v>0.83988155940000009</v>
      </c>
      <c r="H13" s="353">
        <f t="shared" si="2"/>
        <v>1.536147258091483</v>
      </c>
      <c r="I13" s="353">
        <f t="shared" si="0"/>
        <v>2.3760288174914832</v>
      </c>
    </row>
    <row r="14" spans="2:9" x14ac:dyDescent="0.3">
      <c r="B14" s="25">
        <v>4</v>
      </c>
      <c r="C14" s="27" t="s">
        <v>118</v>
      </c>
      <c r="D14" s="353">
        <f t="shared" si="1"/>
        <v>0.91649999999999998</v>
      </c>
      <c r="E14" s="353">
        <f t="shared" si="1"/>
        <v>0.2535</v>
      </c>
      <c r="F14" s="353">
        <f t="shared" si="0"/>
        <v>0.90159005430000005</v>
      </c>
      <c r="G14" s="353">
        <f t="shared" si="0"/>
        <v>0.12686251500000001</v>
      </c>
      <c r="H14" s="353">
        <f t="shared" si="2"/>
        <v>0.23203212690020117</v>
      </c>
      <c r="I14" s="353">
        <f t="shared" si="0"/>
        <v>0.35889464190020121</v>
      </c>
    </row>
    <row r="15" spans="2:9" x14ac:dyDescent="0.3">
      <c r="B15" s="25">
        <v>5</v>
      </c>
      <c r="C15" s="27" t="s">
        <v>119</v>
      </c>
      <c r="D15" s="353">
        <f t="shared" si="1"/>
        <v>0.24049999999999999</v>
      </c>
      <c r="E15" s="353">
        <f t="shared" si="1"/>
        <v>0.312</v>
      </c>
      <c r="F15" s="353">
        <f t="shared" si="0"/>
        <v>8.6742890000000003E-2</v>
      </c>
      <c r="G15" s="353">
        <f t="shared" si="0"/>
        <v>5.7525E-2</v>
      </c>
      <c r="H15" s="353">
        <f t="shared" si="2"/>
        <v>0.10521349115563468</v>
      </c>
      <c r="I15" s="353">
        <f t="shared" si="0"/>
        <v>0.16273849115563468</v>
      </c>
    </row>
    <row r="16" spans="2:9" x14ac:dyDescent="0.3">
      <c r="B16" s="25">
        <v>7</v>
      </c>
      <c r="C16" s="27" t="s">
        <v>120</v>
      </c>
      <c r="D16" s="353">
        <f t="shared" si="1"/>
        <v>2.2685000000000004</v>
      </c>
      <c r="E16" s="353">
        <f t="shared" si="1"/>
        <v>2.145</v>
      </c>
      <c r="F16" s="353">
        <f t="shared" si="0"/>
        <v>2.8986327246500005</v>
      </c>
      <c r="G16" s="353">
        <f t="shared" si="0"/>
        <v>1.6694707731</v>
      </c>
      <c r="H16" s="353">
        <f t="shared" si="2"/>
        <v>3.0534697682772265</v>
      </c>
      <c r="I16" s="353">
        <f t="shared" si="0"/>
        <v>4.7229405413772261</v>
      </c>
    </row>
    <row r="17" spans="2:9" x14ac:dyDescent="0.3">
      <c r="B17" s="25">
        <v>9</v>
      </c>
      <c r="C17" s="27" t="s">
        <v>121</v>
      </c>
      <c r="D17" s="353">
        <f t="shared" si="1"/>
        <v>5.7004999999999999</v>
      </c>
      <c r="E17" s="353">
        <f t="shared" si="1"/>
        <v>6.0970000000000004</v>
      </c>
      <c r="F17" s="353">
        <f t="shared" si="0"/>
        <v>7.1458072336270764</v>
      </c>
      <c r="G17" s="353">
        <f t="shared" si="0"/>
        <v>6.4263046558425012</v>
      </c>
      <c r="H17" s="353">
        <f t="shared" si="2"/>
        <v>11.753740948646657</v>
      </c>
      <c r="I17" s="353">
        <f t="shared" si="0"/>
        <v>18.180045604489159</v>
      </c>
    </row>
    <row r="18" spans="2:9" x14ac:dyDescent="0.3">
      <c r="B18" s="25">
        <v>13</v>
      </c>
      <c r="C18" s="27" t="s">
        <v>122</v>
      </c>
      <c r="D18" s="353">
        <f t="shared" si="1"/>
        <v>1.1895</v>
      </c>
      <c r="E18" s="353">
        <f t="shared" si="1"/>
        <v>0.72800000000000009</v>
      </c>
      <c r="F18" s="353">
        <f t="shared" si="0"/>
        <v>0.96468424325000013</v>
      </c>
      <c r="G18" s="353">
        <f t="shared" si="0"/>
        <v>0.40364131600000003</v>
      </c>
      <c r="H18" s="353">
        <f t="shared" si="2"/>
        <v>0.73826183452437621</v>
      </c>
      <c r="I18" s="353">
        <f t="shared" si="0"/>
        <v>1.1419031505243764</v>
      </c>
    </row>
    <row r="19" spans="2:9" x14ac:dyDescent="0.3">
      <c r="B19" s="25">
        <v>14</v>
      </c>
      <c r="C19" s="27" t="s">
        <v>123</v>
      </c>
      <c r="D19" s="353">
        <f t="shared" si="1"/>
        <v>0.52</v>
      </c>
      <c r="E19" s="353">
        <f t="shared" si="1"/>
        <v>0.47449999999999998</v>
      </c>
      <c r="F19" s="353">
        <f t="shared" si="0"/>
        <v>0.47126807000000004</v>
      </c>
      <c r="G19" s="353">
        <f t="shared" si="0"/>
        <v>0.11946603500000001</v>
      </c>
      <c r="H19" s="353">
        <f t="shared" si="2"/>
        <v>0.21850393075830063</v>
      </c>
      <c r="I19" s="353">
        <f t="shared" si="0"/>
        <v>0.33796996575830057</v>
      </c>
    </row>
    <row r="20" spans="2:9" x14ac:dyDescent="0.25">
      <c r="B20" s="25">
        <v>17</v>
      </c>
      <c r="C20" s="29" t="s">
        <v>124</v>
      </c>
      <c r="D20" s="353">
        <f t="shared" si="1"/>
        <v>0.50700000000000001</v>
      </c>
      <c r="E20" s="353">
        <f t="shared" si="1"/>
        <v>0.48099999999999998</v>
      </c>
      <c r="F20" s="353">
        <f t="shared" si="0"/>
        <v>0.45507827299999998</v>
      </c>
      <c r="G20" s="353">
        <f t="shared" si="0"/>
        <v>0.36510000800000003</v>
      </c>
      <c r="H20" s="353">
        <f t="shared" si="2"/>
        <v>0.66776960387014617</v>
      </c>
      <c r="I20" s="353">
        <f t="shared" si="0"/>
        <v>1.0328696118701461</v>
      </c>
    </row>
    <row r="21" spans="2:9" x14ac:dyDescent="0.3">
      <c r="B21" s="25">
        <v>18</v>
      </c>
      <c r="C21" s="27" t="s">
        <v>125</v>
      </c>
      <c r="D21" s="353">
        <f t="shared" si="1"/>
        <v>5.7330000000000005</v>
      </c>
      <c r="E21" s="353">
        <f t="shared" si="1"/>
        <v>8.4175000000000004</v>
      </c>
      <c r="F21" s="353">
        <f t="shared" si="0"/>
        <v>10.108086692600001</v>
      </c>
      <c r="G21" s="353">
        <f t="shared" si="0"/>
        <v>1.4314784899999999</v>
      </c>
      <c r="H21" s="353">
        <f t="shared" si="2"/>
        <v>2.6181807813489142</v>
      </c>
      <c r="I21" s="353">
        <f t="shared" si="0"/>
        <v>4.0496592713489141</v>
      </c>
    </row>
    <row r="22" spans="2:9" x14ac:dyDescent="0.3">
      <c r="B22" s="25">
        <v>25</v>
      </c>
      <c r="C22" s="27" t="s">
        <v>126</v>
      </c>
      <c r="D22" s="353">
        <f t="shared" si="1"/>
        <v>0.78</v>
      </c>
      <c r="E22" s="353">
        <f t="shared" si="1"/>
        <v>0.90999999999999992</v>
      </c>
      <c r="F22" s="353">
        <f t="shared" si="0"/>
        <v>4.5055981262499998</v>
      </c>
      <c r="G22" s="353">
        <f t="shared" si="0"/>
        <v>0.37276744505000003</v>
      </c>
      <c r="H22" s="353">
        <f t="shared" si="2"/>
        <v>0.6817933817101558</v>
      </c>
      <c r="I22" s="353">
        <f t="shared" si="0"/>
        <v>1.0545608267601558</v>
      </c>
    </row>
    <row r="23" spans="2:9" x14ac:dyDescent="0.3">
      <c r="B23" s="25">
        <v>26</v>
      </c>
      <c r="C23" s="27" t="s">
        <v>127</v>
      </c>
      <c r="D23" s="353">
        <f t="shared" si="1"/>
        <v>6.6625000000000005</v>
      </c>
      <c r="E23" s="353">
        <f t="shared" si="1"/>
        <v>12.798500000000001</v>
      </c>
      <c r="F23" s="353">
        <f t="shared" si="0"/>
        <v>9.1962676143000017</v>
      </c>
      <c r="G23" s="353">
        <f t="shared" si="0"/>
        <v>2.7189704691499998</v>
      </c>
      <c r="H23" s="353">
        <f t="shared" si="2"/>
        <v>4.9730095681589805</v>
      </c>
      <c r="I23" s="353">
        <f t="shared" si="0"/>
        <v>7.6919800373089799</v>
      </c>
    </row>
    <row r="24" spans="2:9" ht="14.5" x14ac:dyDescent="0.3">
      <c r="B24" s="735">
        <v>28</v>
      </c>
      <c r="C24" s="27" t="s">
        <v>1017</v>
      </c>
      <c r="D24" s="353">
        <f t="shared" si="1"/>
        <v>38.480000000000004</v>
      </c>
      <c r="E24" s="353">
        <f t="shared" si="1"/>
        <v>43.8035</v>
      </c>
      <c r="F24" s="353">
        <f t="shared" si="0"/>
        <v>44.98025044500001</v>
      </c>
      <c r="G24" s="353">
        <f t="shared" si="0"/>
        <v>18.011536856007503</v>
      </c>
      <c r="H24" s="353">
        <f t="shared" si="2"/>
        <v>32.943184245092283</v>
      </c>
      <c r="I24" s="353">
        <f t="shared" si="0"/>
        <v>50.954721101099786</v>
      </c>
    </row>
    <row r="25" spans="2:9" x14ac:dyDescent="0.3">
      <c r="B25" s="25">
        <v>29</v>
      </c>
      <c r="C25" s="26" t="s">
        <v>128</v>
      </c>
      <c r="D25" s="354">
        <f>SUM(D11:D24)</f>
        <v>72.260500000000008</v>
      </c>
      <c r="E25" s="354">
        <f>SUM(E11:E24)</f>
        <v>85.091499999999996</v>
      </c>
      <c r="F25" s="354">
        <f>SUM(F11:F24)</f>
        <v>89.600578738577084</v>
      </c>
      <c r="G25" s="354">
        <f t="shared" ref="G25:I25" si="3">SUM(G11:G24)</f>
        <v>32.830209565400004</v>
      </c>
      <c r="H25" s="354">
        <f t="shared" si="3"/>
        <v>60.046605193339353</v>
      </c>
      <c r="I25" s="354">
        <f t="shared" si="3"/>
        <v>92.876814758739357</v>
      </c>
    </row>
    <row r="26" spans="2:9" x14ac:dyDescent="0.3">
      <c r="B26" s="25">
        <v>30</v>
      </c>
      <c r="C26" s="11" t="s">
        <v>48</v>
      </c>
      <c r="D26" s="353">
        <f t="shared" ref="D26:F26" si="4">$H$8*D72</f>
        <v>0</v>
      </c>
      <c r="E26" s="353">
        <f t="shared" si="4"/>
        <v>0</v>
      </c>
      <c r="F26" s="353">
        <f t="shared" si="4"/>
        <v>0</v>
      </c>
      <c r="G26" s="353">
        <f t="shared" ref="G26:I26" si="5">$H$8*G72</f>
        <v>0</v>
      </c>
      <c r="H26" s="353">
        <f t="shared" si="2"/>
        <v>0</v>
      </c>
      <c r="I26" s="353">
        <f t="shared" si="5"/>
        <v>0</v>
      </c>
    </row>
    <row r="27" spans="2:9" x14ac:dyDescent="0.25">
      <c r="B27" s="25">
        <v>31</v>
      </c>
      <c r="C27" s="28" t="s">
        <v>129</v>
      </c>
      <c r="D27" s="354">
        <f t="shared" ref="D27:F27" si="6">D25-D26</f>
        <v>72.260500000000008</v>
      </c>
      <c r="E27" s="354">
        <f t="shared" si="6"/>
        <v>85.091499999999996</v>
      </c>
      <c r="F27" s="354">
        <f t="shared" si="6"/>
        <v>89.600578738577084</v>
      </c>
      <c r="G27" s="354">
        <f t="shared" ref="G27" si="7">G25-G26</f>
        <v>32.830209565400004</v>
      </c>
      <c r="H27" s="354">
        <f>I27-G27</f>
        <v>60.046605193339353</v>
      </c>
      <c r="I27" s="408">
        <f>F27*(1+(F3.1!N16/F3.1!K16-1))</f>
        <v>92.876814758739357</v>
      </c>
    </row>
    <row r="28" spans="2:9" x14ac:dyDescent="0.25">
      <c r="D28" s="409"/>
    </row>
    <row r="30" spans="2:9" x14ac:dyDescent="0.25">
      <c r="B30" s="125" t="s">
        <v>283</v>
      </c>
    </row>
    <row r="31" spans="2:9" x14ac:dyDescent="0.25">
      <c r="H31" s="1493">
        <v>0.35</v>
      </c>
      <c r="I31" s="21" t="s">
        <v>16</v>
      </c>
    </row>
    <row r="32" spans="2:9" x14ac:dyDescent="0.25">
      <c r="B32" s="2278" t="s">
        <v>11</v>
      </c>
      <c r="C32" s="2278" t="s">
        <v>50</v>
      </c>
      <c r="D32" s="308" t="s">
        <v>179</v>
      </c>
      <c r="E32" s="308" t="s">
        <v>186</v>
      </c>
      <c r="F32" s="313" t="s">
        <v>426</v>
      </c>
      <c r="G32" s="2203" t="s">
        <v>427</v>
      </c>
      <c r="H32" s="2224"/>
      <c r="I32" s="2224"/>
    </row>
    <row r="33" spans="2:9" ht="28" x14ac:dyDescent="0.25">
      <c r="B33" s="2279"/>
      <c r="C33" s="2279"/>
      <c r="D33" s="308" t="s">
        <v>414</v>
      </c>
      <c r="E33" s="308" t="s">
        <v>414</v>
      </c>
      <c r="F33" s="308" t="s">
        <v>405</v>
      </c>
      <c r="G33" s="308" t="s">
        <v>408</v>
      </c>
      <c r="H33" s="308" t="s">
        <v>333</v>
      </c>
      <c r="I33" s="308" t="s">
        <v>72</v>
      </c>
    </row>
    <row r="34" spans="2:9" x14ac:dyDescent="0.25">
      <c r="B34" s="25">
        <v>1</v>
      </c>
      <c r="C34" s="29" t="s">
        <v>115</v>
      </c>
      <c r="D34" s="353">
        <f t="shared" ref="D34:I34" si="8">$H$31*D57</f>
        <v>2.625</v>
      </c>
      <c r="E34" s="353">
        <f t="shared" si="8"/>
        <v>2.17</v>
      </c>
      <c r="F34" s="353">
        <f t="shared" si="8"/>
        <v>2.1033018650000002</v>
      </c>
      <c r="G34" s="353">
        <f t="shared" si="8"/>
        <v>8.0703556149999994E-2</v>
      </c>
      <c r="H34" s="353">
        <f>G34*$H$50/$G$50</f>
        <v>0.14760717759611108</v>
      </c>
      <c r="I34" s="353">
        <f t="shared" si="8"/>
        <v>0.22831073374611111</v>
      </c>
    </row>
    <row r="35" spans="2:9" x14ac:dyDescent="0.3">
      <c r="B35" s="25">
        <v>2</v>
      </c>
      <c r="C35" s="27" t="s">
        <v>116</v>
      </c>
      <c r="D35" s="353">
        <f t="shared" ref="D35:I43" si="9">$H$31*D58</f>
        <v>0.51100000000000001</v>
      </c>
      <c r="E35" s="353">
        <f t="shared" si="9"/>
        <v>0.62649999999999995</v>
      </c>
      <c r="F35" s="353">
        <f t="shared" si="9"/>
        <v>0.20376720000000001</v>
      </c>
      <c r="G35" s="353">
        <f t="shared" si="9"/>
        <v>7.3944989999999988E-2</v>
      </c>
      <c r="H35" s="353">
        <f t="shared" ref="H35:H47" si="10">G35*$H$50/$G$50</f>
        <v>0.13524572883734884</v>
      </c>
      <c r="I35" s="353">
        <f t="shared" si="9"/>
        <v>0.20919071883734888</v>
      </c>
    </row>
    <row r="36" spans="2:9" x14ac:dyDescent="0.3">
      <c r="B36" s="25">
        <v>3</v>
      </c>
      <c r="C36" s="27" t="s">
        <v>117</v>
      </c>
      <c r="D36" s="353">
        <f t="shared" si="9"/>
        <v>1.8514999999999999</v>
      </c>
      <c r="E36" s="353">
        <f t="shared" si="9"/>
        <v>1.8724999999999998</v>
      </c>
      <c r="F36" s="353">
        <f t="shared" si="9"/>
        <v>1.9395468273999998</v>
      </c>
      <c r="G36" s="353">
        <f t="shared" si="9"/>
        <v>0.45224391659999996</v>
      </c>
      <c r="H36" s="353">
        <f t="shared" si="10"/>
        <v>0.82715621589541377</v>
      </c>
      <c r="I36" s="353">
        <f t="shared" si="9"/>
        <v>1.2794001324954138</v>
      </c>
    </row>
    <row r="37" spans="2:9" x14ac:dyDescent="0.3">
      <c r="B37" s="25">
        <v>4</v>
      </c>
      <c r="C37" s="27" t="s">
        <v>118</v>
      </c>
      <c r="D37" s="353">
        <f t="shared" si="9"/>
        <v>0.49349999999999994</v>
      </c>
      <c r="E37" s="353">
        <f t="shared" si="9"/>
        <v>0.13649999999999998</v>
      </c>
      <c r="F37" s="353">
        <f t="shared" si="9"/>
        <v>0.4854715677</v>
      </c>
      <c r="G37" s="353">
        <f t="shared" si="9"/>
        <v>6.8310584999999993E-2</v>
      </c>
      <c r="H37" s="353">
        <f t="shared" si="10"/>
        <v>0.12494037602318521</v>
      </c>
      <c r="I37" s="353">
        <f t="shared" si="9"/>
        <v>0.19325096102318523</v>
      </c>
    </row>
    <row r="38" spans="2:9" x14ac:dyDescent="0.3">
      <c r="B38" s="25">
        <v>5</v>
      </c>
      <c r="C38" s="27" t="s">
        <v>119</v>
      </c>
      <c r="D38" s="353">
        <f t="shared" si="9"/>
        <v>0.1295</v>
      </c>
      <c r="E38" s="353">
        <f t="shared" si="9"/>
        <v>0.16799999999999998</v>
      </c>
      <c r="F38" s="353">
        <f t="shared" si="9"/>
        <v>4.670771E-2</v>
      </c>
      <c r="G38" s="353">
        <f t="shared" si="9"/>
        <v>3.0974999999999996E-2</v>
      </c>
      <c r="H38" s="353">
        <f t="shared" si="10"/>
        <v>5.6653418314572504E-2</v>
      </c>
      <c r="I38" s="353">
        <f t="shared" si="9"/>
        <v>8.7628418314572507E-2</v>
      </c>
    </row>
    <row r="39" spans="2:9" x14ac:dyDescent="0.3">
      <c r="B39" s="25">
        <v>7</v>
      </c>
      <c r="C39" s="27" t="s">
        <v>120</v>
      </c>
      <c r="D39" s="353">
        <f t="shared" si="9"/>
        <v>1.2215</v>
      </c>
      <c r="E39" s="353">
        <f t="shared" si="9"/>
        <v>1.1549999999999998</v>
      </c>
      <c r="F39" s="353">
        <f t="shared" si="9"/>
        <v>1.56080223635</v>
      </c>
      <c r="G39" s="353">
        <f t="shared" si="9"/>
        <v>0.89894580089999998</v>
      </c>
      <c r="H39" s="353">
        <f t="shared" si="10"/>
        <v>1.6441760290723524</v>
      </c>
      <c r="I39" s="353">
        <f t="shared" si="9"/>
        <v>2.5431218299723524</v>
      </c>
    </row>
    <row r="40" spans="2:9" x14ac:dyDescent="0.3">
      <c r="B40" s="25">
        <v>9</v>
      </c>
      <c r="C40" s="27" t="s">
        <v>121</v>
      </c>
      <c r="D40" s="353">
        <f t="shared" si="9"/>
        <v>3.0694999999999997</v>
      </c>
      <c r="E40" s="353">
        <f t="shared" si="9"/>
        <v>3.2829999999999999</v>
      </c>
      <c r="F40" s="353">
        <f t="shared" si="9"/>
        <v>3.8477423565684252</v>
      </c>
      <c r="G40" s="353">
        <f t="shared" si="9"/>
        <v>3.4603178916075001</v>
      </c>
      <c r="H40" s="353">
        <f t="shared" si="10"/>
        <v>6.3289374338866597</v>
      </c>
      <c r="I40" s="353">
        <f t="shared" si="9"/>
        <v>9.7892553254941603</v>
      </c>
    </row>
    <row r="41" spans="2:9" x14ac:dyDescent="0.3">
      <c r="B41" s="25">
        <v>13</v>
      </c>
      <c r="C41" s="27" t="s">
        <v>122</v>
      </c>
      <c r="D41" s="353">
        <f t="shared" si="9"/>
        <v>0.64049999999999996</v>
      </c>
      <c r="E41" s="353">
        <f t="shared" si="9"/>
        <v>0.39200000000000002</v>
      </c>
      <c r="F41" s="353">
        <f t="shared" si="9"/>
        <v>0.51944536175</v>
      </c>
      <c r="G41" s="353">
        <f t="shared" si="9"/>
        <v>0.21734532400000001</v>
      </c>
      <c r="H41" s="353">
        <f t="shared" si="10"/>
        <v>0.39752560320543334</v>
      </c>
      <c r="I41" s="353">
        <f t="shared" si="9"/>
        <v>0.61487092720543335</v>
      </c>
    </row>
    <row r="42" spans="2:9" x14ac:dyDescent="0.3">
      <c r="B42" s="25">
        <v>14</v>
      </c>
      <c r="C42" s="27" t="s">
        <v>123</v>
      </c>
      <c r="D42" s="353">
        <f t="shared" si="9"/>
        <v>0.27999999999999997</v>
      </c>
      <c r="E42" s="353">
        <f t="shared" si="9"/>
        <v>0.2555</v>
      </c>
      <c r="F42" s="353">
        <f t="shared" si="9"/>
        <v>0.25375972999999996</v>
      </c>
      <c r="G42" s="353">
        <f t="shared" si="9"/>
        <v>6.4327864999999998E-2</v>
      </c>
      <c r="H42" s="353">
        <f t="shared" si="10"/>
        <v>0.11765596271600801</v>
      </c>
      <c r="I42" s="353">
        <f t="shared" si="9"/>
        <v>0.18198382771600799</v>
      </c>
    </row>
    <row r="43" spans="2:9" x14ac:dyDescent="0.25">
      <c r="B43" s="25">
        <v>17</v>
      </c>
      <c r="C43" s="29" t="s">
        <v>124</v>
      </c>
      <c r="D43" s="353">
        <f t="shared" si="9"/>
        <v>0.27299999999999996</v>
      </c>
      <c r="E43" s="353">
        <f t="shared" si="9"/>
        <v>0.25900000000000001</v>
      </c>
      <c r="F43" s="353">
        <f t="shared" si="9"/>
        <v>0.24504214699999996</v>
      </c>
      <c r="G43" s="353">
        <f t="shared" si="9"/>
        <v>0.19659231199999999</v>
      </c>
      <c r="H43" s="353">
        <f t="shared" si="10"/>
        <v>0.35956824823777089</v>
      </c>
      <c r="I43" s="353">
        <f t="shared" si="9"/>
        <v>0.55616056023777094</v>
      </c>
    </row>
    <row r="44" spans="2:9" x14ac:dyDescent="0.3">
      <c r="B44" s="25">
        <v>18</v>
      </c>
      <c r="C44" s="27" t="s">
        <v>125</v>
      </c>
      <c r="D44" s="353">
        <f t="shared" ref="D44:E47" si="11">$H$31*D67</f>
        <v>3.0869999999999997</v>
      </c>
      <c r="E44" s="353">
        <f t="shared" si="11"/>
        <v>4.5324999999999998</v>
      </c>
      <c r="F44" s="353">
        <f t="shared" ref="F44:I45" si="12">$H$31*F67</f>
        <v>5.4428159114000003</v>
      </c>
      <c r="G44" s="353">
        <f t="shared" si="12"/>
        <v>0.77079610999999992</v>
      </c>
      <c r="H44" s="353">
        <f t="shared" si="10"/>
        <v>1.4097896514955688</v>
      </c>
      <c r="I44" s="353">
        <f t="shared" si="12"/>
        <v>2.1805857614955686</v>
      </c>
    </row>
    <row r="45" spans="2:9" x14ac:dyDescent="0.3">
      <c r="B45" s="25">
        <v>25</v>
      </c>
      <c r="C45" s="27" t="s">
        <v>126</v>
      </c>
      <c r="D45" s="353">
        <f t="shared" si="11"/>
        <v>0.42</v>
      </c>
      <c r="E45" s="353">
        <f t="shared" si="11"/>
        <v>0.48999999999999994</v>
      </c>
      <c r="F45" s="353">
        <f t="shared" si="12"/>
        <v>2.4260912987499998</v>
      </c>
      <c r="G45" s="353">
        <f t="shared" ref="G45:I46" si="13">$H$31*G68</f>
        <v>0.20072093194999999</v>
      </c>
      <c r="H45" s="353">
        <f t="shared" si="10"/>
        <v>0.36711951322854536</v>
      </c>
      <c r="I45" s="353">
        <f t="shared" si="13"/>
        <v>0.56784044517854537</v>
      </c>
    </row>
    <row r="46" spans="2:9" x14ac:dyDescent="0.3">
      <c r="B46" s="25">
        <v>26</v>
      </c>
      <c r="C46" s="27" t="s">
        <v>127</v>
      </c>
      <c r="D46" s="353">
        <f t="shared" si="11"/>
        <v>3.5874999999999999</v>
      </c>
      <c r="E46" s="353">
        <f t="shared" si="11"/>
        <v>6.8914999999999997</v>
      </c>
      <c r="F46" s="353">
        <f>$H$31*F69</f>
        <v>4.9518364077000001</v>
      </c>
      <c r="G46" s="353">
        <f t="shared" si="13"/>
        <v>1.4640610218499996</v>
      </c>
      <c r="H46" s="353">
        <f t="shared" si="10"/>
        <v>2.6777743828548353</v>
      </c>
      <c r="I46" s="353">
        <f t="shared" si="13"/>
        <v>4.1418354047048354</v>
      </c>
    </row>
    <row r="47" spans="2:9" x14ac:dyDescent="0.3">
      <c r="B47" s="25">
        <v>28</v>
      </c>
      <c r="C47" s="27" t="s">
        <v>1017</v>
      </c>
      <c r="D47" s="353">
        <f t="shared" si="11"/>
        <v>20.72</v>
      </c>
      <c r="E47" s="353">
        <f t="shared" si="11"/>
        <v>23.586499999999997</v>
      </c>
      <c r="F47" s="353">
        <f t="shared" ref="D47:I49" si="14">$H$31*F70</f>
        <v>24.220134855000001</v>
      </c>
      <c r="G47" s="353">
        <f t="shared" si="14"/>
        <v>9.6985198455424992</v>
      </c>
      <c r="H47" s="353">
        <f t="shared" si="10"/>
        <v>17.738637670434297</v>
      </c>
      <c r="I47" s="353">
        <f t="shared" si="14"/>
        <v>27.437157515976804</v>
      </c>
    </row>
    <row r="48" spans="2:9" x14ac:dyDescent="0.3">
      <c r="B48" s="25">
        <v>29</v>
      </c>
      <c r="C48" s="26" t="s">
        <v>128</v>
      </c>
      <c r="D48" s="408">
        <f>SUM(D34:D47)</f>
        <v>38.909499999999994</v>
      </c>
      <c r="E48" s="408">
        <f>SUM(E34:E47)</f>
        <v>45.818499999999993</v>
      </c>
      <c r="F48" s="408">
        <f>SUM(F34:F47)</f>
        <v>48.246465474618425</v>
      </c>
      <c r="G48" s="408">
        <f t="shared" ref="G48:I48" si="15">SUM(G34:G47)</f>
        <v>17.677805150600001</v>
      </c>
      <c r="H48" s="408">
        <f t="shared" si="15"/>
        <v>32.332787411798101</v>
      </c>
      <c r="I48" s="408">
        <f t="shared" si="15"/>
        <v>50.010592562398116</v>
      </c>
    </row>
    <row r="49" spans="2:9" x14ac:dyDescent="0.3">
      <c r="B49" s="25">
        <v>30</v>
      </c>
      <c r="C49" s="11" t="s">
        <v>48</v>
      </c>
      <c r="D49" s="353">
        <f t="shared" si="14"/>
        <v>0</v>
      </c>
      <c r="E49" s="353">
        <f t="shared" si="14"/>
        <v>0</v>
      </c>
      <c r="F49" s="353">
        <f t="shared" si="14"/>
        <v>0</v>
      </c>
      <c r="G49" s="353">
        <f t="shared" ref="G49:I49" si="16">$H$31*G72</f>
        <v>0</v>
      </c>
      <c r="H49" s="353">
        <f t="shared" si="16"/>
        <v>0</v>
      </c>
      <c r="I49" s="353">
        <f t="shared" si="16"/>
        <v>0</v>
      </c>
    </row>
    <row r="50" spans="2:9" x14ac:dyDescent="0.25">
      <c r="B50" s="25">
        <v>31</v>
      </c>
      <c r="C50" s="28" t="s">
        <v>129</v>
      </c>
      <c r="D50" s="408">
        <f t="shared" ref="D50:F50" si="17">D48-D49</f>
        <v>38.909499999999994</v>
      </c>
      <c r="E50" s="408">
        <f t="shared" si="17"/>
        <v>45.818499999999993</v>
      </c>
      <c r="F50" s="408">
        <f t="shared" si="17"/>
        <v>48.246465474618425</v>
      </c>
      <c r="G50" s="408">
        <f t="shared" ref="G50" si="18">G48-G49</f>
        <v>17.677805150600001</v>
      </c>
      <c r="H50" s="354">
        <f>I50-G50</f>
        <v>32.332787411798108</v>
      </c>
      <c r="I50" s="408">
        <f>F50*(1+(F3.1!N46/F3.1!K46-1))</f>
        <v>50.010592562398109</v>
      </c>
    </row>
    <row r="53" spans="2:9" x14ac:dyDescent="0.25">
      <c r="B53" s="125" t="s">
        <v>1219</v>
      </c>
    </row>
    <row r="54" spans="2:9" x14ac:dyDescent="0.25">
      <c r="I54" s="21" t="s">
        <v>16</v>
      </c>
    </row>
    <row r="55" spans="2:9" x14ac:dyDescent="0.25">
      <c r="B55" s="2278" t="s">
        <v>11</v>
      </c>
      <c r="C55" s="2278" t="s">
        <v>50</v>
      </c>
      <c r="D55" s="478" t="s">
        <v>179</v>
      </c>
      <c r="E55" s="478" t="s">
        <v>186</v>
      </c>
      <c r="F55" s="479" t="s">
        <v>426</v>
      </c>
      <c r="G55" s="2203" t="s">
        <v>427</v>
      </c>
      <c r="H55" s="2224"/>
      <c r="I55" s="2224"/>
    </row>
    <row r="56" spans="2:9" ht="28" x14ac:dyDescent="0.25">
      <c r="B56" s="2279"/>
      <c r="C56" s="2279"/>
      <c r="D56" s="478" t="s">
        <v>414</v>
      </c>
      <c r="E56" s="478" t="s">
        <v>414</v>
      </c>
      <c r="F56" s="478" t="s">
        <v>405</v>
      </c>
      <c r="G56" s="478" t="s">
        <v>408</v>
      </c>
      <c r="H56" s="478" t="s">
        <v>333</v>
      </c>
      <c r="I56" s="478" t="s">
        <v>72</v>
      </c>
    </row>
    <row r="57" spans="2:9" x14ac:dyDescent="0.25">
      <c r="B57" s="25">
        <v>1</v>
      </c>
      <c r="C57" s="29" t="s">
        <v>115</v>
      </c>
      <c r="D57" s="353">
        <v>7.5</v>
      </c>
      <c r="E57" s="353">
        <v>6.2</v>
      </c>
      <c r="F57" s="353">
        <v>6.0094339000000003</v>
      </c>
      <c r="G57" s="1720">
        <v>0.230581589</v>
      </c>
      <c r="H57" s="642">
        <f>H11+H34</f>
        <v>0.421734793131746</v>
      </c>
      <c r="I57" s="353">
        <f>SUM(G57,H57)</f>
        <v>0.65231638213174603</v>
      </c>
    </row>
    <row r="58" spans="2:9" x14ac:dyDescent="0.3">
      <c r="B58" s="25">
        <f>B57+1</f>
        <v>2</v>
      </c>
      <c r="C58" s="27" t="s">
        <v>116</v>
      </c>
      <c r="D58" s="353">
        <v>1.46</v>
      </c>
      <c r="E58" s="353">
        <v>1.79</v>
      </c>
      <c r="F58" s="353">
        <v>0.58219200000000004</v>
      </c>
      <c r="G58" s="1720">
        <v>0.2112714</v>
      </c>
      <c r="H58" s="642">
        <f t="shared" ref="H58:H70" si="19">H12+H35</f>
        <v>0.38641636810671109</v>
      </c>
      <c r="I58" s="353">
        <f t="shared" ref="I58:I70" si="20">SUM(G58,H58)</f>
        <v>0.59768776810671109</v>
      </c>
    </row>
    <row r="59" spans="2:9" x14ac:dyDescent="0.3">
      <c r="B59" s="25">
        <f t="shared" ref="B59:B73" si="21">B58+1</f>
        <v>3</v>
      </c>
      <c r="C59" s="27" t="s">
        <v>117</v>
      </c>
      <c r="D59" s="353">
        <v>5.29</v>
      </c>
      <c r="E59" s="353">
        <v>5.35</v>
      </c>
      <c r="F59" s="353">
        <v>5.5415623639999998</v>
      </c>
      <c r="G59" s="1720">
        <v>1.2921254760000001</v>
      </c>
      <c r="H59" s="642">
        <f t="shared" si="19"/>
        <v>2.363303473986897</v>
      </c>
      <c r="I59" s="353">
        <f t="shared" si="20"/>
        <v>3.6554289499868968</v>
      </c>
    </row>
    <row r="60" spans="2:9" x14ac:dyDescent="0.3">
      <c r="B60" s="25">
        <f t="shared" si="21"/>
        <v>4</v>
      </c>
      <c r="C60" s="27" t="s">
        <v>118</v>
      </c>
      <c r="D60" s="353">
        <v>1.41</v>
      </c>
      <c r="E60" s="353">
        <v>0.39</v>
      </c>
      <c r="F60" s="353">
        <v>1.387061622</v>
      </c>
      <c r="G60" s="1720">
        <v>0.19517309999999999</v>
      </c>
      <c r="H60" s="642">
        <f t="shared" si="19"/>
        <v>0.35697250292338639</v>
      </c>
      <c r="I60" s="353">
        <f t="shared" si="20"/>
        <v>0.55214560292338644</v>
      </c>
    </row>
    <row r="61" spans="2:9" x14ac:dyDescent="0.3">
      <c r="B61" s="25">
        <f t="shared" si="21"/>
        <v>5</v>
      </c>
      <c r="C61" s="27" t="s">
        <v>119</v>
      </c>
      <c r="D61" s="353">
        <v>0.37</v>
      </c>
      <c r="E61" s="353">
        <v>0.48</v>
      </c>
      <c r="F61" s="353">
        <v>0.1334506</v>
      </c>
      <c r="G61" s="1720">
        <v>8.8499999999999995E-2</v>
      </c>
      <c r="H61" s="642">
        <f t="shared" si="19"/>
        <v>0.16186690947020718</v>
      </c>
      <c r="I61" s="353">
        <f t="shared" si="20"/>
        <v>0.25036690947020718</v>
      </c>
    </row>
    <row r="62" spans="2:9" x14ac:dyDescent="0.3">
      <c r="B62" s="25">
        <f t="shared" si="21"/>
        <v>6</v>
      </c>
      <c r="C62" s="27" t="s">
        <v>120</v>
      </c>
      <c r="D62" s="375">
        <v>3.49</v>
      </c>
      <c r="E62" s="353">
        <v>3.3</v>
      </c>
      <c r="F62" s="353">
        <v>4.4594349610000004</v>
      </c>
      <c r="G62" s="1720">
        <v>2.568416574</v>
      </c>
      <c r="H62" s="642">
        <f t="shared" si="19"/>
        <v>4.6976457973495789</v>
      </c>
      <c r="I62" s="353">
        <f t="shared" si="20"/>
        <v>7.2660623713495784</v>
      </c>
    </row>
    <row r="63" spans="2:9" x14ac:dyDescent="0.3">
      <c r="B63" s="25">
        <f t="shared" si="21"/>
        <v>7</v>
      </c>
      <c r="C63" s="27" t="s">
        <v>121</v>
      </c>
      <c r="D63" s="353">
        <v>8.77</v>
      </c>
      <c r="E63" s="353">
        <v>9.3800000000000008</v>
      </c>
      <c r="F63" s="353">
        <v>10.993549590195501</v>
      </c>
      <c r="G63" s="1720">
        <v>9.8866225474500009</v>
      </c>
      <c r="H63" s="642">
        <f t="shared" si="19"/>
        <v>18.082678382533317</v>
      </c>
      <c r="I63" s="353">
        <f t="shared" si="20"/>
        <v>27.969300929983319</v>
      </c>
    </row>
    <row r="64" spans="2:9" x14ac:dyDescent="0.3">
      <c r="B64" s="25">
        <f t="shared" si="21"/>
        <v>8</v>
      </c>
      <c r="C64" s="27" t="s">
        <v>122</v>
      </c>
      <c r="D64" s="353">
        <v>1.83</v>
      </c>
      <c r="E64" s="353">
        <v>1.1200000000000001</v>
      </c>
      <c r="F64" s="353">
        <v>1.4841296050000001</v>
      </c>
      <c r="G64" s="1720">
        <v>0.62098664000000003</v>
      </c>
      <c r="H64" s="642">
        <f t="shared" si="19"/>
        <v>1.1357874377298096</v>
      </c>
      <c r="I64" s="353">
        <f t="shared" si="20"/>
        <v>1.7567740777298098</v>
      </c>
    </row>
    <row r="65" spans="2:9" x14ac:dyDescent="0.3">
      <c r="B65" s="25">
        <f t="shared" si="21"/>
        <v>9</v>
      </c>
      <c r="C65" s="27" t="s">
        <v>123</v>
      </c>
      <c r="D65" s="353">
        <v>0.8</v>
      </c>
      <c r="E65" s="353">
        <v>0.73</v>
      </c>
      <c r="F65" s="353">
        <v>0.7250278</v>
      </c>
      <c r="G65" s="1720">
        <v>0.18379390000000001</v>
      </c>
      <c r="H65" s="642">
        <f t="shared" si="19"/>
        <v>0.33615989347430864</v>
      </c>
      <c r="I65" s="353">
        <f t="shared" si="20"/>
        <v>0.51995379347430859</v>
      </c>
    </row>
    <row r="66" spans="2:9" x14ac:dyDescent="0.25">
      <c r="B66" s="25">
        <f t="shared" si="21"/>
        <v>10</v>
      </c>
      <c r="C66" s="29" t="s">
        <v>124</v>
      </c>
      <c r="D66" s="353">
        <v>0.78</v>
      </c>
      <c r="E66" s="353">
        <v>0.74</v>
      </c>
      <c r="F66" s="353">
        <v>0.70012041999999997</v>
      </c>
      <c r="G66" s="1720">
        <v>0.56169232000000002</v>
      </c>
      <c r="H66" s="642">
        <f t="shared" si="19"/>
        <v>1.0273378521079171</v>
      </c>
      <c r="I66" s="353">
        <f t="shared" si="20"/>
        <v>1.589030172107917</v>
      </c>
    </row>
    <row r="67" spans="2:9" x14ac:dyDescent="0.3">
      <c r="B67" s="25">
        <f t="shared" si="21"/>
        <v>11</v>
      </c>
      <c r="C67" s="27" t="s">
        <v>125</v>
      </c>
      <c r="D67" s="353">
        <v>8.82</v>
      </c>
      <c r="E67" s="353">
        <v>12.95</v>
      </c>
      <c r="F67" s="353">
        <v>15.550902604000001</v>
      </c>
      <c r="G67" s="1720">
        <v>2.2022746</v>
      </c>
      <c r="H67" s="642">
        <f t="shared" si="19"/>
        <v>4.0279704328444828</v>
      </c>
      <c r="I67" s="353">
        <f t="shared" si="20"/>
        <v>6.2302450328444827</v>
      </c>
    </row>
    <row r="68" spans="2:9" x14ac:dyDescent="0.3">
      <c r="B68" s="25">
        <f t="shared" si="21"/>
        <v>12</v>
      </c>
      <c r="C68" s="27" t="s">
        <v>126</v>
      </c>
      <c r="D68" s="375">
        <v>1.2</v>
      </c>
      <c r="E68" s="353">
        <v>1.4</v>
      </c>
      <c r="F68" s="353">
        <v>6.9316894250000001</v>
      </c>
      <c r="G68" s="1720">
        <v>0.57348837699999999</v>
      </c>
      <c r="H68" s="642">
        <f t="shared" si="19"/>
        <v>1.0489128949387012</v>
      </c>
      <c r="I68" s="353">
        <f t="shared" si="20"/>
        <v>1.6224012719387013</v>
      </c>
    </row>
    <row r="69" spans="2:9" x14ac:dyDescent="0.3">
      <c r="B69" s="25">
        <f t="shared" si="21"/>
        <v>13</v>
      </c>
      <c r="C69" s="27" t="s">
        <v>127</v>
      </c>
      <c r="D69" s="353">
        <v>10.25</v>
      </c>
      <c r="E69" s="353">
        <v>19.690000000000001</v>
      </c>
      <c r="F69" s="353">
        <v>14.148104022000002</v>
      </c>
      <c r="G69" s="1720">
        <v>4.1830314909999995</v>
      </c>
      <c r="H69" s="642">
        <f t="shared" si="19"/>
        <v>7.6507839510138158</v>
      </c>
      <c r="I69" s="353">
        <f t="shared" si="20"/>
        <v>11.833815442013815</v>
      </c>
    </row>
    <row r="70" spans="2:9" x14ac:dyDescent="0.3">
      <c r="B70" s="25">
        <f t="shared" si="21"/>
        <v>14</v>
      </c>
      <c r="C70" s="27" t="s">
        <v>1017</v>
      </c>
      <c r="D70" s="353">
        <v>59.2</v>
      </c>
      <c r="E70" s="375">
        <v>67.39</v>
      </c>
      <c r="F70" s="353">
        <v>69.200385300000008</v>
      </c>
      <c r="G70" s="1720">
        <v>27.710056701550002</v>
      </c>
      <c r="H70" s="642">
        <f t="shared" si="19"/>
        <v>50.681821915526584</v>
      </c>
      <c r="I70" s="353">
        <f t="shared" si="20"/>
        <v>78.391878617076586</v>
      </c>
    </row>
    <row r="71" spans="2:9" x14ac:dyDescent="0.3">
      <c r="B71" s="28">
        <f t="shared" si="21"/>
        <v>15</v>
      </c>
      <c r="C71" s="26" t="s">
        <v>128</v>
      </c>
      <c r="D71" s="354">
        <f>SUM(D57:D70)</f>
        <v>111.17000000000002</v>
      </c>
      <c r="E71" s="354">
        <f>SUM(E57:E70)</f>
        <v>130.91</v>
      </c>
      <c r="F71" s="354">
        <f>SUM(F57:F70)</f>
        <v>137.84704421319552</v>
      </c>
      <c r="G71" s="354">
        <f t="shared" ref="G71:I71" si="22">SUM(G57:G70)</f>
        <v>50.508014716000005</v>
      </c>
      <c r="H71" s="354">
        <f t="shared" si="22"/>
        <v>92.379392605137468</v>
      </c>
      <c r="I71" s="354">
        <f t="shared" si="22"/>
        <v>142.88740732113746</v>
      </c>
    </row>
    <row r="72" spans="2:9" x14ac:dyDescent="0.3">
      <c r="B72" s="25">
        <f t="shared" si="21"/>
        <v>16</v>
      </c>
      <c r="C72" s="11" t="s">
        <v>48</v>
      </c>
      <c r="D72" s="353"/>
      <c r="E72" s="353"/>
      <c r="F72" s="353"/>
      <c r="G72" s="25"/>
      <c r="H72" s="25"/>
      <c r="I72" s="353">
        <f>SUM(G72,H72)</f>
        <v>0</v>
      </c>
    </row>
    <row r="73" spans="2:9" x14ac:dyDescent="0.25">
      <c r="B73" s="28">
        <f t="shared" si="21"/>
        <v>17</v>
      </c>
      <c r="C73" s="28" t="s">
        <v>129</v>
      </c>
      <c r="D73" s="354">
        <f t="shared" ref="D73:I73" si="23">D71-D72</f>
        <v>111.17000000000002</v>
      </c>
      <c r="E73" s="354">
        <f t="shared" si="23"/>
        <v>130.91</v>
      </c>
      <c r="F73" s="354">
        <f t="shared" si="23"/>
        <v>137.84704421319552</v>
      </c>
      <c r="G73" s="354">
        <f t="shared" si="23"/>
        <v>50.508014716000005</v>
      </c>
      <c r="H73" s="354">
        <f t="shared" si="23"/>
        <v>92.379392605137468</v>
      </c>
      <c r="I73" s="354">
        <f t="shared" si="23"/>
        <v>142.88740732113746</v>
      </c>
    </row>
    <row r="75" spans="2:9" x14ac:dyDescent="0.25">
      <c r="F75" s="375"/>
    </row>
    <row r="76" spans="2:9" x14ac:dyDescent="0.25">
      <c r="D76" s="409"/>
    </row>
    <row r="77" spans="2:9" x14ac:dyDescent="0.25">
      <c r="D77" s="409"/>
    </row>
    <row r="78" spans="2:9" x14ac:dyDescent="0.25">
      <c r="D78" s="409"/>
    </row>
    <row r="79" spans="2:9" x14ac:dyDescent="0.25">
      <c r="D79" s="409"/>
    </row>
    <row r="80" spans="2:9" x14ac:dyDescent="0.25">
      <c r="D80" s="409"/>
    </row>
  </sheetData>
  <mergeCells count="9">
    <mergeCell ref="B55:B56"/>
    <mergeCell ref="C55:C56"/>
    <mergeCell ref="G55:I55"/>
    <mergeCell ref="G9:I9"/>
    <mergeCell ref="B32:B33"/>
    <mergeCell ref="C32:C33"/>
    <mergeCell ref="G32:I32"/>
    <mergeCell ref="B9:B10"/>
    <mergeCell ref="C9:C10"/>
  </mergeCells>
  <pageMargins left="0.74803149606299202" right="0.74803149606299202" top="0.98425196850393704" bottom="0.98425196850393704" header="0.511811023622047" footer="0.511811023622047"/>
  <pageSetup paperSize="9" scale="59" fitToHeight="2" orientation="portrait" r:id="rId1"/>
  <headerFooter alignWithMargins="0"/>
  <rowBreaks count="2" manualBreakCount="2">
    <brk id="27" min="1" max="8" man="1"/>
    <brk id="50" min="1" max="8" man="1"/>
  </rowBreaks>
  <ignoredErrors>
    <ignoredError sqref="D25:F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0"/>
  <sheetViews>
    <sheetView showGridLines="0" view="pageBreakPreview" zoomScale="60" zoomScaleNormal="70" zoomScaleSheetLayoutView="100" workbookViewId="0"/>
  </sheetViews>
  <sheetFormatPr defaultColWidth="9.1796875" defaultRowHeight="14" x14ac:dyDescent="0.25"/>
  <cols>
    <col min="1" max="1" width="6.81640625" style="15" customWidth="1"/>
    <col min="2" max="2" width="8.7265625" style="68" customWidth="1"/>
    <col min="3" max="3" width="35.7265625" style="15" customWidth="1"/>
    <col min="4" max="9" width="15.7265625" style="15" customWidth="1"/>
    <col min="10" max="16384" width="9.1796875" style="15"/>
  </cols>
  <sheetData>
    <row r="2" spans="2:9" x14ac:dyDescent="0.25">
      <c r="C2" s="74"/>
      <c r="D2" s="201" t="s">
        <v>1027</v>
      </c>
      <c r="E2" s="312"/>
      <c r="F2" s="74"/>
      <c r="G2" s="74"/>
      <c r="H2" s="74"/>
      <c r="I2" s="74"/>
    </row>
    <row r="3" spans="2:9" s="5" customFormat="1" x14ac:dyDescent="0.3">
      <c r="C3" s="74"/>
      <c r="D3" s="202" t="s">
        <v>848</v>
      </c>
      <c r="E3" s="310"/>
      <c r="F3" s="74"/>
      <c r="G3" s="74"/>
      <c r="H3" s="74"/>
      <c r="I3" s="74"/>
    </row>
    <row r="4" spans="2:9" s="5" customFormat="1" x14ac:dyDescent="0.3">
      <c r="C4" s="74"/>
      <c r="D4" s="202" t="s">
        <v>755</v>
      </c>
      <c r="E4" s="310"/>
      <c r="F4" s="74"/>
      <c r="G4" s="74"/>
      <c r="H4" s="74"/>
      <c r="I4" s="74"/>
    </row>
    <row r="5" spans="2:9" s="119" customFormat="1" x14ac:dyDescent="0.3">
      <c r="B5" s="45"/>
      <c r="C5" s="74"/>
      <c r="D5" s="74"/>
      <c r="E5" s="74"/>
      <c r="F5" s="74"/>
      <c r="G5" s="74"/>
      <c r="H5" s="74"/>
      <c r="I5" s="74"/>
    </row>
    <row r="6" spans="2:9" x14ac:dyDescent="0.25">
      <c r="B6" s="125" t="s">
        <v>282</v>
      </c>
    </row>
    <row r="7" spans="2:9" x14ac:dyDescent="0.25">
      <c r="B7" s="15"/>
      <c r="H7" s="1493">
        <v>0.65</v>
      </c>
      <c r="I7" s="21" t="s">
        <v>16</v>
      </c>
    </row>
    <row r="8" spans="2:9" x14ac:dyDescent="0.25">
      <c r="B8" s="2278" t="s">
        <v>11</v>
      </c>
      <c r="C8" s="2278" t="s">
        <v>50</v>
      </c>
      <c r="D8" s="308" t="s">
        <v>179</v>
      </c>
      <c r="E8" s="308" t="s">
        <v>186</v>
      </c>
      <c r="F8" s="313" t="s">
        <v>426</v>
      </c>
      <c r="G8" s="2203" t="s">
        <v>427</v>
      </c>
      <c r="H8" s="2224"/>
      <c r="I8" s="2224"/>
    </row>
    <row r="9" spans="2:9" ht="28" x14ac:dyDescent="0.25">
      <c r="B9" s="2279"/>
      <c r="C9" s="2279"/>
      <c r="D9" s="308" t="s">
        <v>414</v>
      </c>
      <c r="E9" s="308" t="s">
        <v>414</v>
      </c>
      <c r="F9" s="308" t="s">
        <v>405</v>
      </c>
      <c r="G9" s="308" t="s">
        <v>408</v>
      </c>
      <c r="H9" s="308" t="s">
        <v>333</v>
      </c>
      <c r="I9" s="308" t="s">
        <v>72</v>
      </c>
    </row>
    <row r="10" spans="2:9" x14ac:dyDescent="0.3">
      <c r="B10" s="69">
        <v>1</v>
      </c>
      <c r="C10" s="27" t="s">
        <v>130</v>
      </c>
      <c r="D10" s="353">
        <f t="shared" ref="D10:I10" si="0">$H$7*D47</f>
        <v>5.8240000000000007</v>
      </c>
      <c r="E10" s="353">
        <f t="shared" si="0"/>
        <v>2.4830000000000001</v>
      </c>
      <c r="F10" s="353">
        <f t="shared" si="0"/>
        <v>3.7576431165000002</v>
      </c>
      <c r="G10" s="353">
        <f t="shared" si="0"/>
        <v>3.0324811757500001</v>
      </c>
      <c r="H10" s="353">
        <f>G10*$H$21/$G$21</f>
        <v>2.1111229090648296</v>
      </c>
      <c r="I10" s="353">
        <f t="shared" si="0"/>
        <v>5.1436040848148297</v>
      </c>
    </row>
    <row r="11" spans="2:9" x14ac:dyDescent="0.3">
      <c r="B11" s="69">
        <f>B10+1</f>
        <v>2</v>
      </c>
      <c r="C11" s="27" t="s">
        <v>131</v>
      </c>
      <c r="D11" s="353">
        <f t="shared" ref="D11:I18" si="1">$H$7*D48</f>
        <v>1.95E-2</v>
      </c>
      <c r="E11" s="353">
        <f t="shared" si="1"/>
        <v>0</v>
      </c>
      <c r="F11" s="353">
        <f t="shared" si="1"/>
        <v>3.2305000000000002E-4</v>
      </c>
      <c r="G11" s="353">
        <f t="shared" si="1"/>
        <v>0</v>
      </c>
      <c r="H11" s="353">
        <f t="shared" ref="H11:H20" si="2">G11*$H$21/$G$21</f>
        <v>0</v>
      </c>
      <c r="I11" s="353">
        <f t="shared" si="1"/>
        <v>0</v>
      </c>
    </row>
    <row r="12" spans="2:9" x14ac:dyDescent="0.3">
      <c r="B12" s="69">
        <f t="shared" ref="B12:B21" si="3">B11+1</f>
        <v>3</v>
      </c>
      <c r="C12" s="27" t="s">
        <v>132</v>
      </c>
      <c r="D12" s="353">
        <f t="shared" si="1"/>
        <v>24.342500000000001</v>
      </c>
      <c r="E12" s="353">
        <f t="shared" si="1"/>
        <v>18.869500000000002</v>
      </c>
      <c r="F12" s="353">
        <f t="shared" si="1"/>
        <v>17.16423734935</v>
      </c>
      <c r="G12" s="353">
        <f t="shared" si="1"/>
        <v>5.3513762029</v>
      </c>
      <c r="H12" s="353">
        <f t="shared" si="2"/>
        <v>3.7254684340035342</v>
      </c>
      <c r="I12" s="353">
        <f t="shared" si="1"/>
        <v>9.0768446369035338</v>
      </c>
    </row>
    <row r="13" spans="2:9" x14ac:dyDescent="0.3">
      <c r="B13" s="69">
        <f t="shared" si="3"/>
        <v>4</v>
      </c>
      <c r="C13" s="27" t="s">
        <v>133</v>
      </c>
      <c r="D13" s="353">
        <f t="shared" si="1"/>
        <v>0</v>
      </c>
      <c r="E13" s="353">
        <f t="shared" si="1"/>
        <v>0</v>
      </c>
      <c r="F13" s="353">
        <f t="shared" si="1"/>
        <v>0</v>
      </c>
      <c r="G13" s="353">
        <f t="shared" si="1"/>
        <v>0</v>
      </c>
      <c r="H13" s="353">
        <f t="shared" si="2"/>
        <v>0</v>
      </c>
      <c r="I13" s="353">
        <f t="shared" si="1"/>
        <v>0</v>
      </c>
    </row>
    <row r="14" spans="2:9" x14ac:dyDescent="0.3">
      <c r="B14" s="69">
        <f t="shared" si="3"/>
        <v>5</v>
      </c>
      <c r="C14" s="27" t="s">
        <v>134</v>
      </c>
      <c r="D14" s="353">
        <f t="shared" si="1"/>
        <v>14.306500000000002</v>
      </c>
      <c r="E14" s="353">
        <f t="shared" si="1"/>
        <v>6.2725000000000009</v>
      </c>
      <c r="F14" s="353">
        <f t="shared" si="1"/>
        <v>11.299274129650001</v>
      </c>
      <c r="G14" s="353">
        <f t="shared" si="1"/>
        <v>11.8059723548</v>
      </c>
      <c r="H14" s="353">
        <f t="shared" si="2"/>
        <v>8.2189656777803766</v>
      </c>
      <c r="I14" s="353">
        <f t="shared" si="1"/>
        <v>20.024938032580376</v>
      </c>
    </row>
    <row r="15" spans="2:9" x14ac:dyDescent="0.3">
      <c r="B15" s="69">
        <f t="shared" si="3"/>
        <v>6</v>
      </c>
      <c r="C15" s="27" t="s">
        <v>135</v>
      </c>
      <c r="D15" s="353">
        <f t="shared" si="1"/>
        <v>0</v>
      </c>
      <c r="E15" s="353">
        <f t="shared" si="1"/>
        <v>0</v>
      </c>
      <c r="F15" s="353">
        <f t="shared" si="1"/>
        <v>0</v>
      </c>
      <c r="G15" s="353">
        <f t="shared" si="1"/>
        <v>0</v>
      </c>
      <c r="H15" s="353">
        <f t="shared" si="2"/>
        <v>0</v>
      </c>
      <c r="I15" s="353">
        <f t="shared" si="1"/>
        <v>0</v>
      </c>
    </row>
    <row r="16" spans="2:9" x14ac:dyDescent="0.3">
      <c r="B16" s="69">
        <f t="shared" si="3"/>
        <v>7</v>
      </c>
      <c r="C16" s="27" t="s">
        <v>136</v>
      </c>
      <c r="D16" s="353">
        <f t="shared" si="1"/>
        <v>7.8E-2</v>
      </c>
      <c r="E16" s="353">
        <f t="shared" si="1"/>
        <v>3.2500000000000001E-2</v>
      </c>
      <c r="F16" s="353">
        <f t="shared" si="1"/>
        <v>7.3459776000000004E-2</v>
      </c>
      <c r="G16" s="353">
        <f t="shared" si="1"/>
        <v>4.9229466000000006E-2</v>
      </c>
      <c r="H16" s="353">
        <f t="shared" si="2"/>
        <v>3.4272085282746743E-2</v>
      </c>
      <c r="I16" s="353">
        <f t="shared" si="1"/>
        <v>8.3501551282746764E-2</v>
      </c>
    </row>
    <row r="17" spans="2:9" x14ac:dyDescent="0.3">
      <c r="B17" s="69">
        <f t="shared" si="3"/>
        <v>8</v>
      </c>
      <c r="C17" s="27" t="s">
        <v>137</v>
      </c>
      <c r="D17" s="353">
        <f t="shared" si="1"/>
        <v>3.0225000000000004</v>
      </c>
      <c r="E17" s="353">
        <f t="shared" si="1"/>
        <v>1.3</v>
      </c>
      <c r="F17" s="353">
        <f t="shared" si="1"/>
        <v>2.7336628683000002</v>
      </c>
      <c r="G17" s="353">
        <f t="shared" si="1"/>
        <v>1.0471990665500002</v>
      </c>
      <c r="H17" s="353">
        <f t="shared" si="2"/>
        <v>0.72902874300554843</v>
      </c>
      <c r="I17" s="353">
        <f t="shared" si="1"/>
        <v>1.7762278095555484</v>
      </c>
    </row>
    <row r="18" spans="2:9" x14ac:dyDescent="0.3">
      <c r="B18" s="69">
        <f t="shared" si="3"/>
        <v>9</v>
      </c>
      <c r="C18" s="411" t="s">
        <v>1018</v>
      </c>
      <c r="D18" s="353">
        <f t="shared" si="1"/>
        <v>2.7364999999999999</v>
      </c>
      <c r="E18" s="353">
        <f t="shared" si="1"/>
        <v>1.4040000000000001</v>
      </c>
      <c r="F18" s="353">
        <f t="shared" si="1"/>
        <v>1.4001582575500002</v>
      </c>
      <c r="G18" s="353">
        <f t="shared" si="1"/>
        <v>0.97611448999999995</v>
      </c>
      <c r="H18" s="353">
        <f t="shared" si="2"/>
        <v>0.67954178188739323</v>
      </c>
      <c r="I18" s="353">
        <f t="shared" si="1"/>
        <v>1.6556562718873931</v>
      </c>
    </row>
    <row r="19" spans="2:9" x14ac:dyDescent="0.3">
      <c r="B19" s="69">
        <f t="shared" si="3"/>
        <v>10</v>
      </c>
      <c r="C19" s="26" t="s">
        <v>138</v>
      </c>
      <c r="D19" s="354">
        <f>SUM(D10:D18)</f>
        <v>50.329500000000003</v>
      </c>
      <c r="E19" s="354">
        <f>SUM(E10:E18)</f>
        <v>30.361500000000003</v>
      </c>
      <c r="F19" s="354">
        <f>SUM(F10:F18)</f>
        <v>36.42875854735</v>
      </c>
      <c r="G19" s="354">
        <f t="shared" ref="G19:I19" si="4">SUM(G10:G18)</f>
        <v>22.262372755999998</v>
      </c>
      <c r="H19" s="354">
        <f t="shared" si="4"/>
        <v>15.498399631024428</v>
      </c>
      <c r="I19" s="354">
        <f t="shared" si="4"/>
        <v>37.760772387024424</v>
      </c>
    </row>
    <row r="20" spans="2:9" x14ac:dyDescent="0.25">
      <c r="B20" s="69">
        <f t="shared" si="3"/>
        <v>11</v>
      </c>
      <c r="C20" s="117" t="s">
        <v>319</v>
      </c>
      <c r="D20" s="353">
        <v>0</v>
      </c>
      <c r="E20" s="353">
        <v>0</v>
      </c>
      <c r="F20" s="353">
        <v>0</v>
      </c>
      <c r="G20" s="353">
        <v>0</v>
      </c>
      <c r="H20" s="353">
        <f t="shared" si="2"/>
        <v>0</v>
      </c>
      <c r="I20" s="353">
        <v>0</v>
      </c>
    </row>
    <row r="21" spans="2:9" x14ac:dyDescent="0.3">
      <c r="B21" s="69">
        <f t="shared" si="3"/>
        <v>12</v>
      </c>
      <c r="C21" s="26" t="s">
        <v>320</v>
      </c>
      <c r="D21" s="354">
        <f t="shared" ref="D21:F21" si="5">D19-D20</f>
        <v>50.329500000000003</v>
      </c>
      <c r="E21" s="354">
        <f t="shared" si="5"/>
        <v>30.361500000000003</v>
      </c>
      <c r="F21" s="354">
        <f t="shared" si="5"/>
        <v>36.42875854735</v>
      </c>
      <c r="G21" s="354">
        <f t="shared" ref="G21" si="6">G19-G20</f>
        <v>22.262372755999998</v>
      </c>
      <c r="H21" s="354">
        <f>I21-G21</f>
        <v>15.498399631024427</v>
      </c>
      <c r="I21" s="408">
        <f>F21*(1+(F3.1!N16/F3.1!K16-1))</f>
        <v>37.760772387024424</v>
      </c>
    </row>
    <row r="22" spans="2:9" x14ac:dyDescent="0.3">
      <c r="B22" s="15"/>
      <c r="C22" s="149"/>
      <c r="D22" s="128"/>
      <c r="E22" s="128"/>
      <c r="F22" s="128"/>
      <c r="G22" s="128"/>
      <c r="H22" s="128"/>
      <c r="I22" s="128"/>
    </row>
    <row r="24" spans="2:9" x14ac:dyDescent="0.25">
      <c r="B24" s="125" t="s">
        <v>283</v>
      </c>
    </row>
    <row r="25" spans="2:9" x14ac:dyDescent="0.25">
      <c r="B25" s="15"/>
      <c r="H25" s="1493">
        <v>0.35</v>
      </c>
      <c r="I25" s="21" t="s">
        <v>16</v>
      </c>
    </row>
    <row r="26" spans="2:9" x14ac:dyDescent="0.25">
      <c r="B26" s="2278" t="s">
        <v>11</v>
      </c>
      <c r="C26" s="2278" t="s">
        <v>50</v>
      </c>
      <c r="D26" s="308" t="s">
        <v>179</v>
      </c>
      <c r="E26" s="308" t="s">
        <v>186</v>
      </c>
      <c r="F26" s="313" t="s">
        <v>426</v>
      </c>
      <c r="G26" s="2203" t="s">
        <v>427</v>
      </c>
      <c r="H26" s="2224"/>
      <c r="I26" s="2224"/>
    </row>
    <row r="27" spans="2:9" ht="28" x14ac:dyDescent="0.25">
      <c r="B27" s="2279"/>
      <c r="C27" s="2279"/>
      <c r="D27" s="308" t="s">
        <v>414</v>
      </c>
      <c r="E27" s="308" t="s">
        <v>414</v>
      </c>
      <c r="F27" s="308" t="s">
        <v>405</v>
      </c>
      <c r="G27" s="308" t="s">
        <v>408</v>
      </c>
      <c r="H27" s="308" t="s">
        <v>333</v>
      </c>
      <c r="I27" s="308" t="s">
        <v>72</v>
      </c>
    </row>
    <row r="28" spans="2:9" x14ac:dyDescent="0.3">
      <c r="B28" s="69">
        <v>1</v>
      </c>
      <c r="C28" s="27" t="s">
        <v>130</v>
      </c>
      <c r="D28" s="353">
        <f t="shared" ref="D28:I28" si="7">$H$25*D47</f>
        <v>3.1360000000000001</v>
      </c>
      <c r="E28" s="353">
        <f t="shared" si="7"/>
        <v>1.337</v>
      </c>
      <c r="F28" s="353">
        <f t="shared" si="7"/>
        <v>2.0233462934999999</v>
      </c>
      <c r="G28" s="353">
        <f t="shared" si="7"/>
        <v>1.6328744792499998</v>
      </c>
      <c r="H28" s="353">
        <f>G28*$H$39/$G$39</f>
        <v>1.1367584894964464</v>
      </c>
      <c r="I28" s="353">
        <f t="shared" si="7"/>
        <v>2.7696329687464463</v>
      </c>
    </row>
    <row r="29" spans="2:9" x14ac:dyDescent="0.3">
      <c r="B29" s="69">
        <f>B28+1</f>
        <v>2</v>
      </c>
      <c r="C29" s="27" t="s">
        <v>131</v>
      </c>
      <c r="D29" s="353">
        <f t="shared" ref="D29:I29" si="8">$H$25*D48</f>
        <v>1.0499999999999999E-2</v>
      </c>
      <c r="E29" s="353">
        <f t="shared" si="8"/>
        <v>0</v>
      </c>
      <c r="F29" s="353">
        <f t="shared" si="8"/>
        <v>1.7395E-4</v>
      </c>
      <c r="G29" s="353">
        <f t="shared" si="8"/>
        <v>0</v>
      </c>
      <c r="H29" s="353">
        <f t="shared" ref="H29:H38" si="9">G29*$H$39/$G$39</f>
        <v>0</v>
      </c>
      <c r="I29" s="353">
        <f t="shared" si="8"/>
        <v>0</v>
      </c>
    </row>
    <row r="30" spans="2:9" x14ac:dyDescent="0.3">
      <c r="B30" s="69">
        <f t="shared" ref="B30:B39" si="10">B29+1</f>
        <v>3</v>
      </c>
      <c r="C30" s="27" t="s">
        <v>132</v>
      </c>
      <c r="D30" s="353">
        <f t="shared" ref="D30:I30" si="11">$H$25*D49</f>
        <v>13.1075</v>
      </c>
      <c r="E30" s="353">
        <f t="shared" si="11"/>
        <v>10.160499999999999</v>
      </c>
      <c r="F30" s="353">
        <f t="shared" si="11"/>
        <v>9.242281649649998</v>
      </c>
      <c r="G30" s="353">
        <f t="shared" si="11"/>
        <v>2.8815102631</v>
      </c>
      <c r="H30" s="353">
        <f t="shared" si="9"/>
        <v>2.0060214644634411</v>
      </c>
      <c r="I30" s="353">
        <f t="shared" si="11"/>
        <v>4.8875317275634407</v>
      </c>
    </row>
    <row r="31" spans="2:9" x14ac:dyDescent="0.3">
      <c r="B31" s="69">
        <f t="shared" si="10"/>
        <v>4</v>
      </c>
      <c r="C31" s="27" t="s">
        <v>133</v>
      </c>
      <c r="D31" s="353">
        <f t="shared" ref="D31:I31" si="12">$H$25*D50</f>
        <v>0</v>
      </c>
      <c r="E31" s="353">
        <f t="shared" si="12"/>
        <v>0</v>
      </c>
      <c r="F31" s="353">
        <f t="shared" si="12"/>
        <v>0</v>
      </c>
      <c r="G31" s="353">
        <f t="shared" si="12"/>
        <v>0</v>
      </c>
      <c r="H31" s="353">
        <f t="shared" si="9"/>
        <v>0</v>
      </c>
      <c r="I31" s="353">
        <f t="shared" si="12"/>
        <v>0</v>
      </c>
    </row>
    <row r="32" spans="2:9" x14ac:dyDescent="0.3">
      <c r="B32" s="69">
        <f t="shared" si="10"/>
        <v>5</v>
      </c>
      <c r="C32" s="27" t="s">
        <v>134</v>
      </c>
      <c r="D32" s="353">
        <f t="shared" ref="D32:I32" si="13">$H$25*D51</f>
        <v>7.7035</v>
      </c>
      <c r="E32" s="353">
        <f t="shared" si="13"/>
        <v>3.3774999999999999</v>
      </c>
      <c r="F32" s="353">
        <f t="shared" si="13"/>
        <v>6.0842245313500003</v>
      </c>
      <c r="G32" s="353">
        <f t="shared" si="13"/>
        <v>6.3570620371999995</v>
      </c>
      <c r="H32" s="353">
        <f t="shared" si="9"/>
        <v>4.4255969034202014</v>
      </c>
      <c r="I32" s="353">
        <f t="shared" si="13"/>
        <v>10.782658940620202</v>
      </c>
    </row>
    <row r="33" spans="1:9" ht="14.5" x14ac:dyDescent="0.3">
      <c r="A33" s="731"/>
      <c r="B33" s="69">
        <f t="shared" si="10"/>
        <v>6</v>
      </c>
      <c r="C33" s="27" t="s">
        <v>135</v>
      </c>
      <c r="D33" s="353">
        <f t="shared" ref="D33:I33" si="14">$H$25*D52</f>
        <v>0</v>
      </c>
      <c r="E33" s="353">
        <f t="shared" si="14"/>
        <v>0</v>
      </c>
      <c r="F33" s="353">
        <f t="shared" si="14"/>
        <v>0</v>
      </c>
      <c r="G33" s="353">
        <f t="shared" si="14"/>
        <v>0</v>
      </c>
      <c r="H33" s="353">
        <f t="shared" si="9"/>
        <v>0</v>
      </c>
      <c r="I33" s="353">
        <f t="shared" si="14"/>
        <v>0</v>
      </c>
    </row>
    <row r="34" spans="1:9" x14ac:dyDescent="0.3">
      <c r="B34" s="69">
        <f t="shared" si="10"/>
        <v>7</v>
      </c>
      <c r="C34" s="27" t="s">
        <v>136</v>
      </c>
      <c r="D34" s="353">
        <f t="shared" ref="D34:I34" si="15">$H$25*D53</f>
        <v>4.1999999999999996E-2</v>
      </c>
      <c r="E34" s="353">
        <f t="shared" si="15"/>
        <v>1.7499999999999998E-2</v>
      </c>
      <c r="F34" s="353">
        <f t="shared" si="15"/>
        <v>3.9555264E-2</v>
      </c>
      <c r="G34" s="353">
        <f t="shared" si="15"/>
        <v>2.6508174000000002E-2</v>
      </c>
      <c r="H34" s="353">
        <f t="shared" si="9"/>
        <v>1.8454199767632861E-2</v>
      </c>
      <c r="I34" s="353">
        <f t="shared" si="15"/>
        <v>4.4962373767632867E-2</v>
      </c>
    </row>
    <row r="35" spans="1:9" x14ac:dyDescent="0.3">
      <c r="B35" s="69">
        <f t="shared" si="10"/>
        <v>8</v>
      </c>
      <c r="C35" s="27" t="s">
        <v>137</v>
      </c>
      <c r="D35" s="353">
        <f t="shared" ref="D35:I35" si="16">$H$25*D54</f>
        <v>1.6274999999999999</v>
      </c>
      <c r="E35" s="353">
        <f t="shared" si="16"/>
        <v>0.7</v>
      </c>
      <c r="F35" s="353">
        <f t="shared" si="16"/>
        <v>1.4719723136999998</v>
      </c>
      <c r="G35" s="353">
        <f t="shared" si="16"/>
        <v>0.56387642044999997</v>
      </c>
      <c r="H35" s="353">
        <f t="shared" si="9"/>
        <v>0.39255393854144904</v>
      </c>
      <c r="I35" s="353">
        <f t="shared" si="16"/>
        <v>0.95643035899144901</v>
      </c>
    </row>
    <row r="36" spans="1:9" x14ac:dyDescent="0.3">
      <c r="B36" s="69">
        <f t="shared" si="10"/>
        <v>9</v>
      </c>
      <c r="C36" s="411" t="s">
        <v>1018</v>
      </c>
      <c r="D36" s="353">
        <f t="shared" ref="D36:I38" si="17">$H$25*D55</f>
        <v>1.4734999999999998</v>
      </c>
      <c r="E36" s="353">
        <f t="shared" si="17"/>
        <v>0.75600000000000001</v>
      </c>
      <c r="F36" s="353">
        <f t="shared" si="17"/>
        <v>0.75393136945000006</v>
      </c>
      <c r="G36" s="353">
        <f t="shared" si="17"/>
        <v>0.52560010999999995</v>
      </c>
      <c r="H36" s="353">
        <f t="shared" si="9"/>
        <v>0.3659071133239809</v>
      </c>
      <c r="I36" s="353">
        <f t="shared" si="17"/>
        <v>0.8915072233239808</v>
      </c>
    </row>
    <row r="37" spans="1:9" x14ac:dyDescent="0.3">
      <c r="B37" s="69">
        <f t="shared" si="10"/>
        <v>10</v>
      </c>
      <c r="C37" s="26" t="s">
        <v>138</v>
      </c>
      <c r="D37" s="354">
        <f>SUM(D28:D36)</f>
        <v>27.100500000000007</v>
      </c>
      <c r="E37" s="354">
        <f>SUM(E28:E36)</f>
        <v>16.348499999999998</v>
      </c>
      <c r="F37" s="354">
        <f>SUM(F28:F36)</f>
        <v>19.615485371649999</v>
      </c>
      <c r="G37" s="354">
        <f t="shared" ref="G37:I37" si="18">SUM(G28:G36)</f>
        <v>11.987431483999998</v>
      </c>
      <c r="H37" s="354">
        <f t="shared" si="18"/>
        <v>8.3452921090131529</v>
      </c>
      <c r="I37" s="354">
        <f t="shared" si="18"/>
        <v>20.332723593013149</v>
      </c>
    </row>
    <row r="38" spans="1:9" ht="14.5" x14ac:dyDescent="0.25">
      <c r="B38" s="734">
        <f t="shared" si="10"/>
        <v>11</v>
      </c>
      <c r="C38" s="117" t="s">
        <v>319</v>
      </c>
      <c r="D38" s="353">
        <f t="shared" si="17"/>
        <v>0</v>
      </c>
      <c r="E38" s="353">
        <f t="shared" si="17"/>
        <v>0</v>
      </c>
      <c r="F38" s="353">
        <f t="shared" si="17"/>
        <v>0</v>
      </c>
      <c r="G38" s="353">
        <f t="shared" ref="G38:I38" si="19">$H$25*G57</f>
        <v>0</v>
      </c>
      <c r="H38" s="353">
        <f t="shared" si="9"/>
        <v>0</v>
      </c>
      <c r="I38" s="353">
        <f t="shared" si="19"/>
        <v>0</v>
      </c>
    </row>
    <row r="39" spans="1:9" x14ac:dyDescent="0.3">
      <c r="B39" s="69">
        <f t="shared" si="10"/>
        <v>12</v>
      </c>
      <c r="C39" s="26" t="s">
        <v>320</v>
      </c>
      <c r="D39" s="354">
        <f t="shared" ref="D39:F39" si="20">D37-D38</f>
        <v>27.100500000000007</v>
      </c>
      <c r="E39" s="354">
        <f t="shared" si="20"/>
        <v>16.348499999999998</v>
      </c>
      <c r="F39" s="354">
        <f t="shared" si="20"/>
        <v>19.615485371649999</v>
      </c>
      <c r="G39" s="354">
        <f t="shared" ref="G39" si="21">G37-G38</f>
        <v>11.987431483999998</v>
      </c>
      <c r="H39" s="354">
        <f>I39-G39</f>
        <v>8.3452921090131511</v>
      </c>
      <c r="I39" s="354">
        <f>F39*(1+(F3.1!N16/F3.1!K16-1))</f>
        <v>20.332723593013149</v>
      </c>
    </row>
    <row r="40" spans="1:9" x14ac:dyDescent="0.25">
      <c r="B40" s="15"/>
    </row>
    <row r="43" spans="1:9" x14ac:dyDescent="0.25">
      <c r="B43" s="125" t="s">
        <v>1219</v>
      </c>
    </row>
    <row r="44" spans="1:9" x14ac:dyDescent="0.25">
      <c r="B44" s="15"/>
      <c r="I44" s="21" t="s">
        <v>16</v>
      </c>
    </row>
    <row r="45" spans="1:9" x14ac:dyDescent="0.25">
      <c r="B45" s="2278" t="s">
        <v>11</v>
      </c>
      <c r="C45" s="2278" t="s">
        <v>50</v>
      </c>
      <c r="D45" s="478" t="s">
        <v>179</v>
      </c>
      <c r="E45" s="478" t="s">
        <v>186</v>
      </c>
      <c r="F45" s="479" t="s">
        <v>426</v>
      </c>
      <c r="G45" s="2203" t="s">
        <v>427</v>
      </c>
      <c r="H45" s="2224"/>
      <c r="I45" s="2224"/>
    </row>
    <row r="46" spans="1:9" ht="28" x14ac:dyDescent="0.25">
      <c r="B46" s="2279"/>
      <c r="C46" s="2279"/>
      <c r="D46" s="478" t="s">
        <v>414</v>
      </c>
      <c r="E46" s="478" t="s">
        <v>414</v>
      </c>
      <c r="F46" s="478" t="s">
        <v>405</v>
      </c>
      <c r="G46" s="478" t="s">
        <v>408</v>
      </c>
      <c r="H46" s="478" t="s">
        <v>333</v>
      </c>
      <c r="I46" s="478" t="s">
        <v>72</v>
      </c>
    </row>
    <row r="47" spans="1:9" x14ac:dyDescent="0.3">
      <c r="B47" s="69">
        <v>1</v>
      </c>
      <c r="C47" s="27" t="s">
        <v>130</v>
      </c>
      <c r="D47" s="353">
        <v>8.9600000000000009</v>
      </c>
      <c r="E47" s="353">
        <v>3.82</v>
      </c>
      <c r="F47" s="353">
        <v>5.7809894100000001</v>
      </c>
      <c r="G47" s="353">
        <v>4.6653556549999999</v>
      </c>
      <c r="H47" s="374">
        <f>H10+H28</f>
        <v>3.247881398561276</v>
      </c>
      <c r="I47" s="379">
        <f>SUM(G47,H47)</f>
        <v>7.9132370535612759</v>
      </c>
    </row>
    <row r="48" spans="1:9" x14ac:dyDescent="0.3">
      <c r="B48" s="69">
        <f>B47+1</f>
        <v>2</v>
      </c>
      <c r="C48" s="27" t="s">
        <v>131</v>
      </c>
      <c r="D48" s="353">
        <v>0.03</v>
      </c>
      <c r="E48" s="353">
        <v>0</v>
      </c>
      <c r="F48" s="353">
        <v>4.9700000000000005E-4</v>
      </c>
      <c r="G48" s="353">
        <v>0</v>
      </c>
      <c r="H48" s="374">
        <f t="shared" ref="H48:H57" si="22">H11+H29</f>
        <v>0</v>
      </c>
      <c r="I48" s="379">
        <f t="shared" ref="I48:I57" si="23">SUM(G48,H48)</f>
        <v>0</v>
      </c>
    </row>
    <row r="49" spans="2:9" x14ac:dyDescent="0.3">
      <c r="B49" s="69">
        <f t="shared" ref="B49:B58" si="24">B48+1</f>
        <v>3</v>
      </c>
      <c r="C49" s="27" t="s">
        <v>132</v>
      </c>
      <c r="D49" s="353">
        <v>37.450000000000003</v>
      </c>
      <c r="E49" s="353">
        <v>29.03</v>
      </c>
      <c r="F49" s="353">
        <v>26.406518998999996</v>
      </c>
      <c r="G49" s="353">
        <v>8.2328864660000001</v>
      </c>
      <c r="H49" s="374">
        <f t="shared" si="22"/>
        <v>5.7314898984669753</v>
      </c>
      <c r="I49" s="379">
        <f t="shared" si="23"/>
        <v>13.964376364466975</v>
      </c>
    </row>
    <row r="50" spans="2:9" x14ac:dyDescent="0.3">
      <c r="B50" s="69">
        <f t="shared" si="24"/>
        <v>4</v>
      </c>
      <c r="C50" s="27" t="s">
        <v>133</v>
      </c>
      <c r="D50" s="353">
        <v>0</v>
      </c>
      <c r="E50" s="353">
        <v>0</v>
      </c>
      <c r="F50" s="353">
        <v>0</v>
      </c>
      <c r="G50" s="353">
        <v>0</v>
      </c>
      <c r="H50" s="374">
        <f t="shared" si="22"/>
        <v>0</v>
      </c>
      <c r="I50" s="379">
        <f t="shared" si="23"/>
        <v>0</v>
      </c>
    </row>
    <row r="51" spans="2:9" x14ac:dyDescent="0.3">
      <c r="B51" s="69">
        <f t="shared" si="24"/>
        <v>5</v>
      </c>
      <c r="C51" s="27" t="s">
        <v>134</v>
      </c>
      <c r="D51" s="353">
        <v>22.01</v>
      </c>
      <c r="E51" s="353">
        <v>9.65</v>
      </c>
      <c r="F51" s="353">
        <v>17.383498661000001</v>
      </c>
      <c r="G51" s="353">
        <v>18.163034392</v>
      </c>
      <c r="H51" s="374">
        <f t="shared" si="22"/>
        <v>12.644562581200578</v>
      </c>
      <c r="I51" s="379">
        <f t="shared" si="23"/>
        <v>30.807596973200578</v>
      </c>
    </row>
    <row r="52" spans="2:9" x14ac:dyDescent="0.3">
      <c r="B52" s="69">
        <f t="shared" si="24"/>
        <v>6</v>
      </c>
      <c r="C52" s="27" t="s">
        <v>135</v>
      </c>
      <c r="D52" s="353">
        <v>0</v>
      </c>
      <c r="E52" s="353">
        <v>0</v>
      </c>
      <c r="F52" s="353">
        <v>0</v>
      </c>
      <c r="G52" s="353">
        <v>0</v>
      </c>
      <c r="H52" s="374">
        <f t="shared" si="22"/>
        <v>0</v>
      </c>
      <c r="I52" s="379">
        <f t="shared" si="23"/>
        <v>0</v>
      </c>
    </row>
    <row r="53" spans="2:9" x14ac:dyDescent="0.3">
      <c r="B53" s="69">
        <f t="shared" si="24"/>
        <v>7</v>
      </c>
      <c r="C53" s="27" t="s">
        <v>136</v>
      </c>
      <c r="D53" s="353">
        <v>0.12</v>
      </c>
      <c r="E53" s="353">
        <v>0.05</v>
      </c>
      <c r="F53" s="353">
        <v>0.11301504</v>
      </c>
      <c r="G53" s="353">
        <v>7.5737640000000009E-2</v>
      </c>
      <c r="H53" s="374">
        <f t="shared" si="22"/>
        <v>5.2726285050379601E-2</v>
      </c>
      <c r="I53" s="379">
        <f t="shared" si="23"/>
        <v>0.12846392505037962</v>
      </c>
    </row>
    <row r="54" spans="2:9" x14ac:dyDescent="0.3">
      <c r="B54" s="69">
        <f t="shared" si="24"/>
        <v>8</v>
      </c>
      <c r="C54" s="27" t="s">
        <v>137</v>
      </c>
      <c r="D54" s="353">
        <v>4.6500000000000004</v>
      </c>
      <c r="E54" s="353">
        <v>2</v>
      </c>
      <c r="F54" s="353">
        <v>4.205635182</v>
      </c>
      <c r="G54" s="353">
        <v>1.6110754870000001</v>
      </c>
      <c r="H54" s="374">
        <f t="shared" si="22"/>
        <v>1.1215826815469976</v>
      </c>
      <c r="I54" s="379">
        <f t="shared" si="23"/>
        <v>2.7326581685469975</v>
      </c>
    </row>
    <row r="55" spans="2:9" x14ac:dyDescent="0.3">
      <c r="B55" s="69">
        <f t="shared" si="24"/>
        <v>9</v>
      </c>
      <c r="C55" s="411" t="s">
        <v>1018</v>
      </c>
      <c r="D55" s="353">
        <v>4.21</v>
      </c>
      <c r="E55" s="353">
        <v>2.16</v>
      </c>
      <c r="F55" s="353">
        <v>2.1540896270000003</v>
      </c>
      <c r="G55" s="353">
        <v>1.5017145999999999</v>
      </c>
      <c r="H55" s="374">
        <f t="shared" si="22"/>
        <v>1.0454488952113741</v>
      </c>
      <c r="I55" s="379">
        <f t="shared" si="23"/>
        <v>2.547163495211374</v>
      </c>
    </row>
    <row r="56" spans="2:9" x14ac:dyDescent="0.3">
      <c r="B56" s="69">
        <f t="shared" si="24"/>
        <v>10</v>
      </c>
      <c r="C56" s="26" t="s">
        <v>138</v>
      </c>
      <c r="D56" s="354">
        <f>SUM(D47:D55)</f>
        <v>77.430000000000007</v>
      </c>
      <c r="E56" s="354">
        <f>SUM(E47:E55)</f>
        <v>46.709999999999994</v>
      </c>
      <c r="F56" s="354">
        <f>SUM(F47:F55)</f>
        <v>56.044243919000003</v>
      </c>
      <c r="G56" s="354">
        <f t="shared" ref="G56:I56" si="25">SUM(G47:G55)</f>
        <v>34.249804239999996</v>
      </c>
      <c r="H56" s="354">
        <f t="shared" si="25"/>
        <v>23.843691740037581</v>
      </c>
      <c r="I56" s="354">
        <f t="shared" si="25"/>
        <v>58.093495980037581</v>
      </c>
    </row>
    <row r="57" spans="2:9" x14ac:dyDescent="0.25">
      <c r="B57" s="69">
        <f t="shared" si="24"/>
        <v>11</v>
      </c>
      <c r="C57" s="117" t="s">
        <v>319</v>
      </c>
      <c r="D57" s="353">
        <v>0</v>
      </c>
      <c r="E57" s="353"/>
      <c r="F57" s="353"/>
      <c r="G57" s="353"/>
      <c r="H57" s="374">
        <f t="shared" si="22"/>
        <v>0</v>
      </c>
      <c r="I57" s="379">
        <f t="shared" si="23"/>
        <v>0</v>
      </c>
    </row>
    <row r="58" spans="2:9" x14ac:dyDescent="0.3">
      <c r="B58" s="69">
        <f t="shared" si="24"/>
        <v>12</v>
      </c>
      <c r="C58" s="26" t="s">
        <v>320</v>
      </c>
      <c r="D58" s="354">
        <f t="shared" ref="D58:I58" si="26">D56-D57</f>
        <v>77.430000000000007</v>
      </c>
      <c r="E58" s="354">
        <f t="shared" si="26"/>
        <v>46.709999999999994</v>
      </c>
      <c r="F58" s="354">
        <f t="shared" si="26"/>
        <v>56.044243919000003</v>
      </c>
      <c r="G58" s="354">
        <f t="shared" si="26"/>
        <v>34.249804239999996</v>
      </c>
      <c r="H58" s="354">
        <f t="shared" si="26"/>
        <v>23.843691740037581</v>
      </c>
      <c r="I58" s="354">
        <f t="shared" si="26"/>
        <v>58.093495980037581</v>
      </c>
    </row>
    <row r="59" spans="2:9" x14ac:dyDescent="0.25">
      <c r="B59" s="15"/>
    </row>
    <row r="60" spans="2:9" x14ac:dyDescent="0.25">
      <c r="F60" s="635"/>
    </row>
  </sheetData>
  <mergeCells count="9">
    <mergeCell ref="B8:B9"/>
    <mergeCell ref="C8:C9"/>
    <mergeCell ref="G8:I8"/>
    <mergeCell ref="B45:B46"/>
    <mergeCell ref="C45:C46"/>
    <mergeCell ref="G45:I45"/>
    <mergeCell ref="B26:B27"/>
    <mergeCell ref="C26:C27"/>
    <mergeCell ref="G26:I26"/>
  </mergeCells>
  <pageMargins left="0.74803149606299213" right="0.74803149606299213" top="0.98425196850393704" bottom="0.98425196850393704" header="0.51181102362204722" footer="0.51181102362204722"/>
  <pageSetup paperSize="9" scale="60" orientation="portrait" r:id="rId1"/>
  <headerFooter alignWithMargins="0"/>
  <rowBreaks count="2" manualBreakCount="2">
    <brk id="21" min="1" max="8" man="1"/>
    <brk id="39" min="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showGridLines="0" view="pageBreakPreview" zoomScale="45" zoomScaleSheetLayoutView="85" workbookViewId="0">
      <selection activeCell="B4" sqref="B4:R4"/>
    </sheetView>
  </sheetViews>
  <sheetFormatPr defaultColWidth="9.1796875" defaultRowHeight="14" x14ac:dyDescent="0.3"/>
  <cols>
    <col min="1" max="1" width="4.1796875" style="119" customWidth="1"/>
    <col min="2" max="2" width="6.26953125" style="119" customWidth="1"/>
    <col min="3" max="3" width="46.54296875" style="119" customWidth="1"/>
    <col min="4" max="9" width="14.1796875" style="119" customWidth="1"/>
    <col min="10" max="10" width="17.54296875" style="119" customWidth="1"/>
    <col min="11" max="11" width="15.7265625" style="119" customWidth="1"/>
    <col min="12" max="12" width="19.26953125" style="119" customWidth="1"/>
    <col min="13" max="13" width="15.7265625" style="119" customWidth="1"/>
    <col min="14" max="16" width="18.7265625" style="119" customWidth="1"/>
    <col min="17" max="17" width="20.54296875" style="119" customWidth="1"/>
    <col min="18" max="18" width="18.7265625" style="119" customWidth="1"/>
    <col min="19" max="22" width="14.54296875" style="119" customWidth="1"/>
    <col min="23" max="16384" width="9.1796875" style="119"/>
  </cols>
  <sheetData>
    <row r="1" spans="2:22" x14ac:dyDescent="0.3">
      <c r="B1" s="41"/>
    </row>
    <row r="2" spans="2:22" x14ac:dyDescent="0.3">
      <c r="B2" s="2202" t="s">
        <v>1027</v>
      </c>
      <c r="C2" s="2283"/>
      <c r="D2" s="2283"/>
      <c r="E2" s="2283"/>
      <c r="F2" s="2283"/>
      <c r="G2" s="2283"/>
      <c r="H2" s="2283"/>
      <c r="I2" s="2283"/>
      <c r="J2" s="2283"/>
      <c r="K2" s="2283"/>
      <c r="L2" s="2283"/>
      <c r="M2" s="2283"/>
      <c r="N2" s="2283"/>
      <c r="O2" s="2283"/>
      <c r="P2" s="2283"/>
      <c r="Q2" s="2283"/>
      <c r="R2" s="2283"/>
    </row>
    <row r="3" spans="2:22" x14ac:dyDescent="0.3">
      <c r="B3" s="2202" t="s">
        <v>849</v>
      </c>
      <c r="C3" s="2202"/>
      <c r="D3" s="2202"/>
      <c r="E3" s="2202"/>
      <c r="F3" s="2202"/>
      <c r="G3" s="2202"/>
      <c r="H3" s="2202"/>
      <c r="I3" s="2202"/>
      <c r="J3" s="2202"/>
      <c r="K3" s="2202"/>
      <c r="L3" s="2202"/>
      <c r="M3" s="2202"/>
      <c r="N3" s="2202"/>
      <c r="O3" s="2202"/>
      <c r="P3" s="2202"/>
      <c r="Q3" s="2202"/>
      <c r="R3" s="2202"/>
    </row>
    <row r="4" spans="2:22" x14ac:dyDescent="0.3">
      <c r="B4" s="2202" t="s">
        <v>561</v>
      </c>
      <c r="C4" s="2283"/>
      <c r="D4" s="2283"/>
      <c r="E4" s="2283"/>
      <c r="F4" s="2283"/>
      <c r="G4" s="2283"/>
      <c r="H4" s="2283"/>
      <c r="I4" s="2283"/>
      <c r="J4" s="2283"/>
      <c r="K4" s="2283"/>
      <c r="L4" s="2283"/>
      <c r="M4" s="2283"/>
      <c r="N4" s="2283"/>
      <c r="O4" s="2283"/>
      <c r="P4" s="2283"/>
      <c r="Q4" s="2283"/>
      <c r="R4" s="2283"/>
    </row>
    <row r="5" spans="2:22" x14ac:dyDescent="0.3">
      <c r="B5" s="670"/>
      <c r="C5" s="133"/>
      <c r="D5" s="133"/>
      <c r="E5" s="133"/>
      <c r="F5" s="133"/>
      <c r="G5" s="133"/>
      <c r="H5" s="133"/>
      <c r="I5" s="133"/>
      <c r="J5" s="133"/>
      <c r="K5" s="133"/>
      <c r="L5" s="133"/>
      <c r="M5" s="133"/>
      <c r="N5" s="133"/>
      <c r="O5" s="133"/>
      <c r="P5" s="133"/>
      <c r="Q5" s="133"/>
      <c r="R5" s="133"/>
    </row>
    <row r="6" spans="2:22" x14ac:dyDescent="0.3">
      <c r="B6" s="670"/>
      <c r="C6" s="133"/>
      <c r="D6" s="133"/>
      <c r="E6" s="133"/>
      <c r="F6" s="133"/>
      <c r="G6" s="133"/>
      <c r="H6" s="133"/>
      <c r="I6" s="133"/>
      <c r="J6" s="133"/>
      <c r="K6" s="133"/>
      <c r="L6" s="133"/>
      <c r="M6" s="133"/>
      <c r="N6" s="133"/>
      <c r="O6" s="133"/>
      <c r="P6" s="133"/>
      <c r="Q6" s="133"/>
      <c r="R6" s="133"/>
    </row>
    <row r="7" spans="2:22" x14ac:dyDescent="0.3">
      <c r="B7" s="125" t="s">
        <v>282</v>
      </c>
      <c r="C7" s="42"/>
      <c r="D7" s="42"/>
      <c r="E7" s="42"/>
      <c r="F7" s="42"/>
      <c r="G7" s="42"/>
      <c r="H7" s="42"/>
      <c r="I7" s="42"/>
      <c r="J7" s="42"/>
      <c r="K7" s="42"/>
      <c r="L7" s="42"/>
      <c r="M7" s="42"/>
      <c r="N7" s="42"/>
      <c r="O7" s="42"/>
      <c r="P7" s="42"/>
    </row>
    <row r="8" spans="2:22" x14ac:dyDescent="0.3">
      <c r="V8" s="21" t="s">
        <v>16</v>
      </c>
    </row>
    <row r="9" spans="2:22" s="15" customFormat="1" x14ac:dyDescent="0.25">
      <c r="B9" s="2177" t="s">
        <v>187</v>
      </c>
      <c r="C9" s="2182" t="s">
        <v>50</v>
      </c>
      <c r="D9" s="2266" t="s">
        <v>804</v>
      </c>
      <c r="E9" s="2272"/>
      <c r="F9" s="2267"/>
      <c r="G9" s="2266" t="s">
        <v>186</v>
      </c>
      <c r="H9" s="2272"/>
      <c r="I9" s="2267"/>
      <c r="J9" s="2266" t="s">
        <v>426</v>
      </c>
      <c r="K9" s="2272"/>
      <c r="L9" s="2267"/>
      <c r="M9" s="2266" t="s">
        <v>427</v>
      </c>
      <c r="N9" s="2272"/>
      <c r="O9" s="2272"/>
      <c r="P9" s="2272"/>
      <c r="Q9" s="2267"/>
      <c r="R9" s="2266" t="s">
        <v>428</v>
      </c>
      <c r="S9" s="2267"/>
      <c r="T9" s="2266" t="s">
        <v>429</v>
      </c>
      <c r="U9" s="2267"/>
      <c r="V9" s="2180" t="s">
        <v>39</v>
      </c>
    </row>
    <row r="10" spans="2:22" s="15" customFormat="1" ht="28" x14ac:dyDescent="0.25">
      <c r="B10" s="2178"/>
      <c r="C10" s="2182"/>
      <c r="D10" s="323" t="s">
        <v>404</v>
      </c>
      <c r="E10" s="672" t="s">
        <v>405</v>
      </c>
      <c r="F10" s="672" t="s">
        <v>406</v>
      </c>
      <c r="G10" s="323" t="s">
        <v>404</v>
      </c>
      <c r="H10" s="672" t="s">
        <v>405</v>
      </c>
      <c r="I10" s="672" t="s">
        <v>406</v>
      </c>
      <c r="J10" s="323" t="s">
        <v>404</v>
      </c>
      <c r="K10" s="672" t="s">
        <v>405</v>
      </c>
      <c r="L10" s="672" t="s">
        <v>406</v>
      </c>
      <c r="M10" s="672" t="s">
        <v>404</v>
      </c>
      <c r="N10" s="672" t="s">
        <v>408</v>
      </c>
      <c r="O10" s="672" t="s">
        <v>333</v>
      </c>
      <c r="P10" s="672" t="s">
        <v>72</v>
      </c>
      <c r="Q10" s="672" t="s">
        <v>409</v>
      </c>
      <c r="R10" s="672" t="s">
        <v>404</v>
      </c>
      <c r="S10" s="672" t="s">
        <v>805</v>
      </c>
      <c r="T10" s="672" t="s">
        <v>404</v>
      </c>
      <c r="U10" s="672" t="s">
        <v>805</v>
      </c>
      <c r="V10" s="2180"/>
    </row>
    <row r="11" spans="2:22" s="15" customFormat="1" x14ac:dyDescent="0.25">
      <c r="B11" s="2281"/>
      <c r="C11" s="2282"/>
      <c r="D11" s="672" t="s">
        <v>73</v>
      </c>
      <c r="E11" s="672" t="s">
        <v>74</v>
      </c>
      <c r="F11" s="672" t="s">
        <v>806</v>
      </c>
      <c r="G11" s="672" t="s">
        <v>411</v>
      </c>
      <c r="H11" s="672" t="s">
        <v>412</v>
      </c>
      <c r="I11" s="672" t="s">
        <v>439</v>
      </c>
      <c r="J11" s="672" t="s">
        <v>668</v>
      </c>
      <c r="K11" s="672" t="s">
        <v>582</v>
      </c>
      <c r="L11" s="672" t="s">
        <v>675</v>
      </c>
      <c r="M11" s="672" t="s">
        <v>782</v>
      </c>
      <c r="N11" s="672" t="s">
        <v>583</v>
      </c>
      <c r="O11" s="672" t="s">
        <v>760</v>
      </c>
      <c r="P11" s="672" t="s">
        <v>807</v>
      </c>
      <c r="Q11" s="672" t="s">
        <v>808</v>
      </c>
      <c r="R11" s="672" t="s">
        <v>784</v>
      </c>
      <c r="S11" s="672" t="s">
        <v>762</v>
      </c>
      <c r="T11" s="672" t="s">
        <v>763</v>
      </c>
      <c r="U11" s="672" t="s">
        <v>764</v>
      </c>
      <c r="V11" s="2284"/>
    </row>
    <row r="12" spans="2:22" s="60" customFormat="1" x14ac:dyDescent="0.25">
      <c r="B12" s="110">
        <v>1</v>
      </c>
      <c r="C12" s="107" t="s">
        <v>32</v>
      </c>
      <c r="D12" s="353">
        <f>D41*90%</f>
        <v>0</v>
      </c>
      <c r="E12" s="353">
        <f>F4.2!P57</f>
        <v>215.99000000000004</v>
      </c>
      <c r="F12" s="353">
        <f>E12-D12</f>
        <v>215.99000000000004</v>
      </c>
      <c r="G12" s="353">
        <f>G41*90%</f>
        <v>0</v>
      </c>
      <c r="H12" s="353">
        <f>F4.2!Q57</f>
        <v>125.35000000000001</v>
      </c>
      <c r="I12" s="353">
        <f>H12-G12</f>
        <v>125.35000000000001</v>
      </c>
      <c r="J12" s="353">
        <f>J41*90%</f>
        <v>0</v>
      </c>
      <c r="K12" s="353">
        <f>F4.2!R57</f>
        <v>109.95</v>
      </c>
      <c r="L12" s="374">
        <f>K12-J12</f>
        <v>109.95</v>
      </c>
      <c r="M12" s="353">
        <f>M41*90%</f>
        <v>0</v>
      </c>
      <c r="N12" s="353">
        <f>P12/2</f>
        <v>61.844999999999999</v>
      </c>
      <c r="O12" s="353">
        <f>P12/2</f>
        <v>61.844999999999999</v>
      </c>
      <c r="P12" s="378">
        <f>F4.2!S57</f>
        <v>123.69</v>
      </c>
      <c r="Q12" s="378">
        <f>P12-M12</f>
        <v>123.69</v>
      </c>
      <c r="R12" s="353">
        <f>R41*90%</f>
        <v>0</v>
      </c>
      <c r="S12" s="353">
        <f>F4.2!T57</f>
        <v>598.02850000000001</v>
      </c>
      <c r="T12" s="353">
        <f>T41*90%</f>
        <v>0</v>
      </c>
      <c r="U12" s="353">
        <f>F4.2!U57</f>
        <v>781.72370000000001</v>
      </c>
      <c r="V12" s="378"/>
    </row>
    <row r="13" spans="2:22" s="60" customFormat="1" x14ac:dyDescent="0.25">
      <c r="B13" s="110"/>
      <c r="C13" s="107"/>
      <c r="D13" s="353"/>
      <c r="E13" s="353"/>
      <c r="F13" s="353">
        <f>E13-D13</f>
        <v>0</v>
      </c>
      <c r="G13" s="353"/>
      <c r="H13" s="353"/>
      <c r="I13" s="353">
        <f>H13-G13</f>
        <v>0</v>
      </c>
      <c r="J13" s="395"/>
      <c r="K13" s="374"/>
      <c r="L13" s="374">
        <f>K13-J13</f>
        <v>0</v>
      </c>
      <c r="M13" s="374"/>
      <c r="N13" s="378"/>
      <c r="O13" s="378"/>
      <c r="P13" s="378">
        <f>N13+L13</f>
        <v>0</v>
      </c>
      <c r="Q13" s="378">
        <f>P13-M13</f>
        <v>0</v>
      </c>
      <c r="R13" s="378"/>
      <c r="S13" s="378"/>
      <c r="T13" s="378"/>
      <c r="U13" s="378"/>
      <c r="V13" s="378"/>
    </row>
    <row r="14" spans="2:22" s="60" customFormat="1" x14ac:dyDescent="0.25">
      <c r="B14" s="110">
        <f>B12+1</f>
        <v>2</v>
      </c>
      <c r="C14" s="61" t="s">
        <v>28</v>
      </c>
      <c r="D14" s="423">
        <f>D43*90%</f>
        <v>161.74799999999999</v>
      </c>
      <c r="E14" s="423">
        <f>F4.2!AD57</f>
        <v>225.53000000000003</v>
      </c>
      <c r="F14" s="353">
        <f>E14-D14</f>
        <v>63.782000000000039</v>
      </c>
      <c r="G14" s="423">
        <f>G43*90%</f>
        <v>69.957000000000008</v>
      </c>
      <c r="H14" s="423">
        <f>F4.2!AE57</f>
        <v>124.35000000000001</v>
      </c>
      <c r="I14" s="353">
        <f>H14-G14</f>
        <v>54.393000000000001</v>
      </c>
      <c r="J14" s="423">
        <f>J43*90%</f>
        <v>63.989999999999995</v>
      </c>
      <c r="K14" s="423">
        <f>F4.2!AF57</f>
        <v>108.35000000000001</v>
      </c>
      <c r="L14" s="374">
        <f>K14-J14</f>
        <v>44.360000000000014</v>
      </c>
      <c r="M14" s="423">
        <f>M43*90%</f>
        <v>63.989999999999995</v>
      </c>
      <c r="N14" s="423">
        <f ca="1">N43*90%</f>
        <v>48.779999999999994</v>
      </c>
      <c r="O14" s="423">
        <f ca="1">O43*90%</f>
        <v>48.779999999999994</v>
      </c>
      <c r="P14" s="378">
        <f>F4.2!AG57</f>
        <v>132.58999999999997</v>
      </c>
      <c r="Q14" s="378">
        <f>P14-M14</f>
        <v>68.59999999999998</v>
      </c>
      <c r="R14" s="423">
        <f>R43*90%</f>
        <v>63.989999999999995</v>
      </c>
      <c r="S14" s="423">
        <f>F4.2!AH57</f>
        <v>598.02850000000001</v>
      </c>
      <c r="T14" s="423">
        <f>T43*90%</f>
        <v>63.989999999999995</v>
      </c>
      <c r="U14" s="423">
        <f>F4.2!AI57</f>
        <v>781.72370000000001</v>
      </c>
      <c r="V14" s="423"/>
    </row>
    <row r="15" spans="2:22" s="60" customFormat="1" x14ac:dyDescent="0.25">
      <c r="B15" s="110">
        <f>B14+1</f>
        <v>3</v>
      </c>
      <c r="C15" s="61" t="s">
        <v>562</v>
      </c>
      <c r="D15" s="423">
        <v>0</v>
      </c>
      <c r="E15" s="423">
        <v>0</v>
      </c>
      <c r="F15" s="353">
        <f>E15-D15</f>
        <v>0</v>
      </c>
      <c r="G15" s="423">
        <v>0</v>
      </c>
      <c r="H15" s="423">
        <v>0</v>
      </c>
      <c r="I15" s="353">
        <f>H15-G15</f>
        <v>0</v>
      </c>
      <c r="J15" s="423">
        <v>0</v>
      </c>
      <c r="K15" s="423">
        <v>0</v>
      </c>
      <c r="L15" s="374">
        <f>K15-J15</f>
        <v>0</v>
      </c>
      <c r="M15" s="423">
        <v>0</v>
      </c>
      <c r="N15" s="423">
        <v>0</v>
      </c>
      <c r="O15" s="423">
        <v>0</v>
      </c>
      <c r="P15" s="378">
        <f>N15+L15</f>
        <v>0</v>
      </c>
      <c r="Q15" s="378">
        <f>P15-M15</f>
        <v>0</v>
      </c>
      <c r="R15" s="423">
        <v>0</v>
      </c>
      <c r="S15" s="423">
        <v>0</v>
      </c>
      <c r="T15" s="423">
        <v>0</v>
      </c>
      <c r="U15" s="423">
        <v>0</v>
      </c>
      <c r="V15" s="423"/>
    </row>
    <row r="16" spans="2:22" s="62" customFormat="1" x14ac:dyDescent="0.25">
      <c r="B16" s="110">
        <f>B15+1</f>
        <v>4</v>
      </c>
      <c r="C16" s="61" t="s">
        <v>563</v>
      </c>
      <c r="D16" s="423">
        <f>D14+D15</f>
        <v>161.74799999999999</v>
      </c>
      <c r="E16" s="423">
        <f>E14+E15</f>
        <v>225.53000000000003</v>
      </c>
      <c r="F16" s="353">
        <f>E16-D16</f>
        <v>63.782000000000039</v>
      </c>
      <c r="G16" s="423">
        <f>G14+G15</f>
        <v>69.957000000000008</v>
      </c>
      <c r="H16" s="423">
        <f>H14+H15</f>
        <v>124.35000000000001</v>
      </c>
      <c r="I16" s="353">
        <f>H16-G16</f>
        <v>54.393000000000001</v>
      </c>
      <c r="J16" s="423">
        <f>J14+J15</f>
        <v>63.989999999999995</v>
      </c>
      <c r="K16" s="423">
        <f>K14+K15</f>
        <v>108.35000000000001</v>
      </c>
      <c r="L16" s="374">
        <f>K16-J16</f>
        <v>44.360000000000014</v>
      </c>
      <c r="M16" s="423">
        <f>M14+M15</f>
        <v>63.989999999999995</v>
      </c>
      <c r="N16" s="423">
        <f ca="1">N14+N15</f>
        <v>48.779999999999994</v>
      </c>
      <c r="O16" s="423">
        <f ca="1">O14+O15</f>
        <v>48.779999999999994</v>
      </c>
      <c r="P16" s="423">
        <f>P14+P15</f>
        <v>132.58999999999997</v>
      </c>
      <c r="Q16" s="378">
        <f>P16-M16</f>
        <v>68.59999999999998</v>
      </c>
      <c r="R16" s="423">
        <f>R14+R15</f>
        <v>63.989999999999995</v>
      </c>
      <c r="S16" s="423">
        <f>S14+S15</f>
        <v>598.02850000000001</v>
      </c>
      <c r="T16" s="423">
        <f>T14+T15</f>
        <v>63.989999999999995</v>
      </c>
      <c r="U16" s="423">
        <f>U14+U15</f>
        <v>781.72370000000001</v>
      </c>
      <c r="V16" s="423"/>
    </row>
    <row r="17" spans="1:22" s="45" customFormat="1" x14ac:dyDescent="0.25">
      <c r="B17" s="195"/>
      <c r="C17" s="196"/>
      <c r="D17" s="631"/>
      <c r="E17" s="631"/>
      <c r="F17" s="631"/>
      <c r="G17" s="631"/>
      <c r="H17" s="631"/>
      <c r="I17" s="631"/>
      <c r="J17" s="424"/>
      <c r="K17" s="526"/>
      <c r="L17" s="526"/>
      <c r="M17" s="526"/>
      <c r="N17" s="526"/>
      <c r="O17" s="526"/>
      <c r="P17" s="526"/>
      <c r="Q17" s="526"/>
      <c r="R17" s="526"/>
      <c r="S17" s="519"/>
      <c r="T17" s="519"/>
      <c r="U17" s="519"/>
      <c r="V17" s="519"/>
    </row>
    <row r="18" spans="1:22" s="1" customFormat="1" x14ac:dyDescent="0.3">
      <c r="A18" s="119"/>
      <c r="B18" s="15" t="s">
        <v>850</v>
      </c>
      <c r="D18" s="425"/>
      <c r="E18" s="425"/>
      <c r="F18" s="425"/>
      <c r="G18" s="425"/>
      <c r="H18" s="425"/>
      <c r="I18" s="425"/>
      <c r="J18" s="425"/>
      <c r="K18" s="425"/>
      <c r="L18" s="425"/>
      <c r="M18" s="425"/>
      <c r="N18" s="426"/>
      <c r="O18" s="426"/>
      <c r="P18" s="426"/>
      <c r="Q18" s="426"/>
      <c r="R18" s="426"/>
      <c r="S18" s="425"/>
      <c r="T18" s="425"/>
      <c r="U18" s="425"/>
      <c r="V18" s="425"/>
    </row>
    <row r="19" spans="1:22" s="1" customFormat="1" x14ac:dyDescent="0.3">
      <c r="A19" s="119"/>
      <c r="B19" s="15"/>
      <c r="C19" s="1" t="s">
        <v>752</v>
      </c>
      <c r="D19" s="425"/>
      <c r="E19" s="425"/>
      <c r="F19" s="425"/>
      <c r="G19" s="425"/>
      <c r="H19" s="425"/>
      <c r="I19" s="425"/>
      <c r="J19" s="425"/>
      <c r="K19" s="425"/>
      <c r="L19" s="425"/>
      <c r="M19" s="425"/>
      <c r="N19" s="426"/>
      <c r="O19" s="426"/>
      <c r="P19" s="426"/>
      <c r="Q19" s="426"/>
      <c r="R19" s="426"/>
      <c r="S19" s="425"/>
      <c r="T19" s="425"/>
      <c r="U19" s="425"/>
      <c r="V19" s="425"/>
    </row>
    <row r="20" spans="1:22" x14ac:dyDescent="0.3">
      <c r="D20" s="426"/>
      <c r="E20" s="426"/>
      <c r="F20" s="426"/>
      <c r="G20" s="426"/>
      <c r="H20" s="426"/>
      <c r="I20" s="426"/>
      <c r="J20" s="426"/>
      <c r="K20" s="426"/>
      <c r="L20" s="426"/>
      <c r="M20" s="426"/>
      <c r="N20" s="426"/>
      <c r="O20" s="426"/>
      <c r="P20" s="426"/>
      <c r="Q20" s="426"/>
      <c r="R20" s="426"/>
      <c r="S20" s="426"/>
      <c r="T20" s="426"/>
      <c r="U20" s="426"/>
      <c r="V20" s="426"/>
    </row>
    <row r="21" spans="1:22" x14ac:dyDescent="0.3">
      <c r="B21" s="125" t="s">
        <v>283</v>
      </c>
      <c r="D21" s="426"/>
      <c r="E21" s="426"/>
      <c r="F21" s="426"/>
      <c r="G21" s="426"/>
      <c r="H21" s="426"/>
      <c r="I21" s="426"/>
      <c r="J21" s="426"/>
      <c r="K21" s="426"/>
      <c r="L21" s="426"/>
      <c r="M21" s="426"/>
      <c r="N21" s="426"/>
      <c r="O21" s="426"/>
      <c r="P21" s="426"/>
      <c r="Q21" s="426"/>
      <c r="R21" s="426"/>
      <c r="S21" s="426"/>
      <c r="T21" s="426"/>
      <c r="U21" s="426"/>
      <c r="V21" s="426"/>
    </row>
    <row r="22" spans="1:22" x14ac:dyDescent="0.3">
      <c r="D22" s="426"/>
      <c r="E22" s="426"/>
      <c r="F22" s="426"/>
      <c r="G22" s="426"/>
      <c r="H22" s="426"/>
      <c r="I22" s="426"/>
      <c r="J22" s="426"/>
      <c r="K22" s="426"/>
      <c r="L22" s="426"/>
      <c r="M22" s="426"/>
      <c r="N22" s="426"/>
      <c r="O22" s="426"/>
      <c r="P22" s="426"/>
      <c r="Q22" s="426"/>
      <c r="R22" s="426"/>
      <c r="S22" s="426"/>
      <c r="T22" s="426"/>
      <c r="U22" s="426"/>
      <c r="V22" s="516" t="s">
        <v>16</v>
      </c>
    </row>
    <row r="23" spans="1:22" s="15" customFormat="1" x14ac:dyDescent="0.25">
      <c r="B23" s="2177" t="s">
        <v>187</v>
      </c>
      <c r="C23" s="2182" t="s">
        <v>50</v>
      </c>
      <c r="D23" s="2263" t="s">
        <v>804</v>
      </c>
      <c r="E23" s="2264"/>
      <c r="F23" s="2265"/>
      <c r="G23" s="2263" t="s">
        <v>186</v>
      </c>
      <c r="H23" s="2264"/>
      <c r="I23" s="2265"/>
      <c r="J23" s="2263" t="s">
        <v>426</v>
      </c>
      <c r="K23" s="2264"/>
      <c r="L23" s="2265"/>
      <c r="M23" s="2263" t="s">
        <v>427</v>
      </c>
      <c r="N23" s="2264"/>
      <c r="O23" s="2264"/>
      <c r="P23" s="2264"/>
      <c r="Q23" s="2265"/>
      <c r="R23" s="2263" t="s">
        <v>428</v>
      </c>
      <c r="S23" s="2265"/>
      <c r="T23" s="2263" t="s">
        <v>429</v>
      </c>
      <c r="U23" s="2265"/>
      <c r="V23" s="2192" t="s">
        <v>39</v>
      </c>
    </row>
    <row r="24" spans="1:22" s="15" customFormat="1" ht="28" x14ac:dyDescent="0.25">
      <c r="B24" s="2178"/>
      <c r="C24" s="2182"/>
      <c r="D24" s="517" t="s">
        <v>404</v>
      </c>
      <c r="E24" s="671" t="s">
        <v>405</v>
      </c>
      <c r="F24" s="671" t="s">
        <v>406</v>
      </c>
      <c r="G24" s="517" t="s">
        <v>404</v>
      </c>
      <c r="H24" s="671" t="s">
        <v>405</v>
      </c>
      <c r="I24" s="671" t="s">
        <v>406</v>
      </c>
      <c r="J24" s="517" t="s">
        <v>404</v>
      </c>
      <c r="K24" s="671" t="s">
        <v>405</v>
      </c>
      <c r="L24" s="671" t="s">
        <v>406</v>
      </c>
      <c r="M24" s="671" t="s">
        <v>404</v>
      </c>
      <c r="N24" s="671" t="s">
        <v>408</v>
      </c>
      <c r="O24" s="671" t="s">
        <v>333</v>
      </c>
      <c r="P24" s="671" t="s">
        <v>72</v>
      </c>
      <c r="Q24" s="671" t="s">
        <v>409</v>
      </c>
      <c r="R24" s="671" t="s">
        <v>404</v>
      </c>
      <c r="S24" s="671" t="s">
        <v>805</v>
      </c>
      <c r="T24" s="671" t="s">
        <v>404</v>
      </c>
      <c r="U24" s="671" t="s">
        <v>805</v>
      </c>
      <c r="V24" s="2192"/>
    </row>
    <row r="25" spans="1:22" s="15" customFormat="1" x14ac:dyDescent="0.25">
      <c r="B25" s="2281"/>
      <c r="C25" s="2282"/>
      <c r="D25" s="671" t="s">
        <v>73</v>
      </c>
      <c r="E25" s="671" t="s">
        <v>74</v>
      </c>
      <c r="F25" s="671" t="s">
        <v>806</v>
      </c>
      <c r="G25" s="671" t="s">
        <v>411</v>
      </c>
      <c r="H25" s="671" t="s">
        <v>412</v>
      </c>
      <c r="I25" s="671" t="s">
        <v>439</v>
      </c>
      <c r="J25" s="671" t="s">
        <v>668</v>
      </c>
      <c r="K25" s="671" t="s">
        <v>582</v>
      </c>
      <c r="L25" s="671" t="s">
        <v>675</v>
      </c>
      <c r="M25" s="671" t="s">
        <v>782</v>
      </c>
      <c r="N25" s="671" t="s">
        <v>583</v>
      </c>
      <c r="O25" s="671" t="s">
        <v>760</v>
      </c>
      <c r="P25" s="671" t="s">
        <v>807</v>
      </c>
      <c r="Q25" s="671" t="s">
        <v>808</v>
      </c>
      <c r="R25" s="671" t="s">
        <v>784</v>
      </c>
      <c r="S25" s="671" t="s">
        <v>762</v>
      </c>
      <c r="T25" s="671" t="s">
        <v>763</v>
      </c>
      <c r="U25" s="671" t="s">
        <v>764</v>
      </c>
      <c r="V25" s="2193"/>
    </row>
    <row r="26" spans="1:22" s="60" customFormat="1" x14ac:dyDescent="0.25">
      <c r="B26" s="110">
        <v>1</v>
      </c>
      <c r="C26" s="107" t="s">
        <v>32</v>
      </c>
      <c r="D26" s="353">
        <f>D41*10%</f>
        <v>0</v>
      </c>
      <c r="E26" s="353">
        <f>F4.2!P80</f>
        <v>17.93</v>
      </c>
      <c r="F26" s="353">
        <f>E26-D26</f>
        <v>17.93</v>
      </c>
      <c r="G26" s="353">
        <f>G41*10%</f>
        <v>0</v>
      </c>
      <c r="H26" s="353">
        <f>F4.2!Q80</f>
        <v>11.95</v>
      </c>
      <c r="I26" s="353">
        <f>H26-G26</f>
        <v>11.95</v>
      </c>
      <c r="J26" s="353">
        <f>J41*10%</f>
        <v>0</v>
      </c>
      <c r="K26" s="353">
        <f>F4.2!R80</f>
        <v>14.63</v>
      </c>
      <c r="L26" s="374">
        <f>K26-J26</f>
        <v>14.63</v>
      </c>
      <c r="M26" s="353">
        <f>M41*10%</f>
        <v>0</v>
      </c>
      <c r="N26" s="353">
        <f>P26/2</f>
        <v>5.42</v>
      </c>
      <c r="O26" s="353">
        <f>P26/2</f>
        <v>5.42</v>
      </c>
      <c r="P26" s="378">
        <f>F4.2!S80</f>
        <v>10.84</v>
      </c>
      <c r="Q26" s="378">
        <f>P26-M26</f>
        <v>10.84</v>
      </c>
      <c r="R26" s="353">
        <f>R41*10%</f>
        <v>0</v>
      </c>
      <c r="S26" s="353">
        <f>F4.2!T80</f>
        <v>362.6189</v>
      </c>
      <c r="T26" s="353">
        <f>T41*10%</f>
        <v>0</v>
      </c>
      <c r="U26" s="353">
        <f>F4.2!U80</f>
        <v>46.334749999999993</v>
      </c>
      <c r="V26" s="378"/>
    </row>
    <row r="27" spans="1:22" s="60" customFormat="1" x14ac:dyDescent="0.25">
      <c r="B27" s="110"/>
      <c r="C27" s="107"/>
      <c r="D27" s="353"/>
      <c r="E27" s="353"/>
      <c r="F27" s="353">
        <f>E27-D27</f>
        <v>0</v>
      </c>
      <c r="G27" s="353"/>
      <c r="H27" s="353"/>
      <c r="I27" s="353">
        <f>H27-G27</f>
        <v>0</v>
      </c>
      <c r="J27" s="395"/>
      <c r="K27" s="374"/>
      <c r="L27" s="374">
        <f>K27-J27</f>
        <v>0</v>
      </c>
      <c r="M27" s="374"/>
      <c r="N27" s="378"/>
      <c r="O27" s="378"/>
      <c r="P27" s="378"/>
      <c r="Q27" s="378">
        <f>P27-M27</f>
        <v>0</v>
      </c>
      <c r="R27" s="378"/>
      <c r="S27" s="378"/>
      <c r="T27" s="378"/>
      <c r="U27" s="378"/>
      <c r="V27" s="378"/>
    </row>
    <row r="28" spans="1:22" s="60" customFormat="1" x14ac:dyDescent="0.25">
      <c r="B28" s="110">
        <f>B26+1</f>
        <v>2</v>
      </c>
      <c r="C28" s="61" t="s">
        <v>28</v>
      </c>
      <c r="D28" s="423">
        <f>D43*10%</f>
        <v>17.972000000000001</v>
      </c>
      <c r="E28" s="423">
        <f>F4.2!AD80</f>
        <v>17.93</v>
      </c>
      <c r="F28" s="353">
        <f>E28-D28</f>
        <v>-4.2000000000001592E-2</v>
      </c>
      <c r="G28" s="423">
        <f>G43*10%</f>
        <v>7.7730000000000006</v>
      </c>
      <c r="H28" s="423">
        <f>F4.2!AE80</f>
        <v>11.95</v>
      </c>
      <c r="I28" s="353">
        <f>H28-G28</f>
        <v>4.1769999999999987</v>
      </c>
      <c r="J28" s="423">
        <f>J43*10%</f>
        <v>7.1099999999999994</v>
      </c>
      <c r="K28" s="423">
        <f>F4.2!AF80</f>
        <v>14.63</v>
      </c>
      <c r="L28" s="374">
        <f>K28-J28</f>
        <v>7.5200000000000014</v>
      </c>
      <c r="M28" s="423">
        <f>M43*10%</f>
        <v>7.1099999999999994</v>
      </c>
      <c r="N28" s="353">
        <f>P28/2</f>
        <v>5.42</v>
      </c>
      <c r="O28" s="353">
        <f>P28/2</f>
        <v>5.42</v>
      </c>
      <c r="P28" s="378">
        <f>F4.2!AG80</f>
        <v>10.84</v>
      </c>
      <c r="Q28" s="378">
        <f>P28-M28</f>
        <v>3.7300000000000004</v>
      </c>
      <c r="R28" s="423">
        <f>R43*10%</f>
        <v>7.1099999999999994</v>
      </c>
      <c r="S28" s="423">
        <f>F4.2!AH80</f>
        <v>362.6189</v>
      </c>
      <c r="T28" s="423">
        <f>T43*10%</f>
        <v>7.1099999999999994</v>
      </c>
      <c r="U28" s="423">
        <f>F4.2!AI80</f>
        <v>46.334749999999993</v>
      </c>
      <c r="V28" s="423"/>
    </row>
    <row r="29" spans="1:22" s="60" customFormat="1" x14ac:dyDescent="0.25">
      <c r="B29" s="110">
        <f>B28+1</f>
        <v>3</v>
      </c>
      <c r="C29" s="61" t="s">
        <v>562</v>
      </c>
      <c r="D29" s="423"/>
      <c r="E29" s="423">
        <v>0</v>
      </c>
      <c r="F29" s="353">
        <f>E29-D29</f>
        <v>0</v>
      </c>
      <c r="G29" s="423"/>
      <c r="H29" s="423"/>
      <c r="I29" s="353">
        <f>H29-G29</f>
        <v>0</v>
      </c>
      <c r="J29" s="423"/>
      <c r="K29" s="423"/>
      <c r="L29" s="374">
        <f>K29-J29</f>
        <v>0</v>
      </c>
      <c r="M29" s="423"/>
      <c r="N29" s="423">
        <v>0</v>
      </c>
      <c r="O29" s="423">
        <v>0</v>
      </c>
      <c r="P29" s="378">
        <f>N29+O29</f>
        <v>0</v>
      </c>
      <c r="Q29" s="378">
        <f>P29-M29</f>
        <v>0</v>
      </c>
      <c r="R29" s="423"/>
      <c r="S29" s="423"/>
      <c r="T29" s="423"/>
      <c r="U29" s="423"/>
      <c r="V29" s="423"/>
    </row>
    <row r="30" spans="1:22" s="62" customFormat="1" x14ac:dyDescent="0.25">
      <c r="B30" s="110">
        <f>B29+1</f>
        <v>4</v>
      </c>
      <c r="C30" s="61" t="s">
        <v>563</v>
      </c>
      <c r="D30" s="423">
        <f>D28+D29</f>
        <v>17.972000000000001</v>
      </c>
      <c r="E30" s="423">
        <f>E28+E29</f>
        <v>17.93</v>
      </c>
      <c r="F30" s="353">
        <f>E30-D30</f>
        <v>-4.2000000000001592E-2</v>
      </c>
      <c r="G30" s="423">
        <f>G28+G29</f>
        <v>7.7730000000000006</v>
      </c>
      <c r="H30" s="423">
        <f>H28+H29</f>
        <v>11.95</v>
      </c>
      <c r="I30" s="353">
        <f>H30-G30</f>
        <v>4.1769999999999987</v>
      </c>
      <c r="J30" s="423">
        <f>J28+J29</f>
        <v>7.1099999999999994</v>
      </c>
      <c r="K30" s="423">
        <f>K28+K29</f>
        <v>14.63</v>
      </c>
      <c r="L30" s="374">
        <f>K30-J30</f>
        <v>7.5200000000000014</v>
      </c>
      <c r="M30" s="423">
        <f>M28+M29</f>
        <v>7.1099999999999994</v>
      </c>
      <c r="N30" s="353">
        <f>P30/2</f>
        <v>5.42</v>
      </c>
      <c r="O30" s="353">
        <f>P30/2</f>
        <v>5.42</v>
      </c>
      <c r="P30" s="423">
        <f>P28+P29</f>
        <v>10.84</v>
      </c>
      <c r="Q30" s="378">
        <f>P30-M30</f>
        <v>3.7300000000000004</v>
      </c>
      <c r="R30" s="423">
        <f>R28+R29</f>
        <v>7.1099999999999994</v>
      </c>
      <c r="S30" s="423">
        <f>S28+S29</f>
        <v>362.6189</v>
      </c>
      <c r="T30" s="423">
        <f>T28+T29</f>
        <v>7.1099999999999994</v>
      </c>
      <c r="U30" s="423">
        <f>U28+U29</f>
        <v>46.334749999999993</v>
      </c>
      <c r="V30" s="423"/>
    </row>
    <row r="31" spans="1:22" s="45" customFormat="1" x14ac:dyDescent="0.25">
      <c r="B31" s="195"/>
      <c r="C31" s="196"/>
      <c r="D31" s="196"/>
      <c r="E31" s="196"/>
      <c r="F31" s="196"/>
      <c r="G31" s="196"/>
      <c r="H31" s="196"/>
      <c r="I31" s="196"/>
      <c r="J31" s="197"/>
      <c r="K31" s="198"/>
      <c r="L31" s="198"/>
      <c r="M31" s="198"/>
      <c r="N31" s="198"/>
      <c r="O31" s="198"/>
      <c r="P31" s="198"/>
      <c r="Q31" s="198"/>
      <c r="R31" s="198"/>
    </row>
    <row r="32" spans="1:22" s="1" customFormat="1" x14ac:dyDescent="0.3">
      <c r="A32" s="119"/>
      <c r="B32" s="15" t="s">
        <v>850</v>
      </c>
      <c r="N32" s="119"/>
      <c r="O32" s="119"/>
      <c r="P32" s="119"/>
      <c r="Q32" s="119"/>
      <c r="R32" s="119"/>
    </row>
    <row r="33" spans="1:22" s="1" customFormat="1" ht="14.5" x14ac:dyDescent="0.35">
      <c r="A33" s="733"/>
      <c r="B33" s="15"/>
      <c r="C33" s="1" t="s">
        <v>752</v>
      </c>
      <c r="N33" s="119"/>
      <c r="O33" s="119"/>
      <c r="P33" s="119"/>
      <c r="Q33" s="119"/>
      <c r="R33" s="119"/>
    </row>
    <row r="36" spans="1:22" x14ac:dyDescent="0.3">
      <c r="B36" s="125" t="s">
        <v>1219</v>
      </c>
      <c r="D36" s="426"/>
      <c r="E36" s="426"/>
      <c r="F36" s="426"/>
      <c r="G36" s="426"/>
      <c r="H36" s="426"/>
      <c r="I36" s="426"/>
      <c r="J36" s="426"/>
      <c r="K36" s="426"/>
      <c r="L36" s="426"/>
      <c r="M36" s="426"/>
      <c r="N36" s="426"/>
      <c r="O36" s="426"/>
      <c r="P36" s="426"/>
      <c r="Q36" s="426"/>
      <c r="R36" s="426"/>
      <c r="S36" s="426"/>
      <c r="T36" s="426"/>
      <c r="U36" s="426"/>
      <c r="V36" s="426"/>
    </row>
    <row r="37" spans="1:22" x14ac:dyDescent="0.3">
      <c r="D37" s="426"/>
      <c r="E37" s="426"/>
      <c r="F37" s="426"/>
      <c r="G37" s="426"/>
      <c r="H37" s="426">
        <f>137.31+6.3-136.31</f>
        <v>7.3000000000000114</v>
      </c>
      <c r="I37" s="426"/>
      <c r="J37" s="426"/>
      <c r="K37" s="426"/>
      <c r="L37" s="426"/>
      <c r="M37" s="426"/>
      <c r="N37" s="426"/>
      <c r="O37" s="426"/>
      <c r="P37" s="426"/>
      <c r="Q37" s="426"/>
      <c r="R37" s="426"/>
      <c r="S37" s="426"/>
      <c r="T37" s="426"/>
      <c r="U37" s="426"/>
      <c r="V37" s="516" t="s">
        <v>16</v>
      </c>
    </row>
    <row r="38" spans="1:22" x14ac:dyDescent="0.3">
      <c r="B38" s="2280" t="s">
        <v>187</v>
      </c>
      <c r="C38" s="2182" t="s">
        <v>50</v>
      </c>
      <c r="D38" s="2263" t="s">
        <v>804</v>
      </c>
      <c r="E38" s="2264"/>
      <c r="F38" s="2265"/>
      <c r="G38" s="2263" t="s">
        <v>186</v>
      </c>
      <c r="H38" s="2264"/>
      <c r="I38" s="2265"/>
      <c r="J38" s="2263" t="s">
        <v>426</v>
      </c>
      <c r="K38" s="2264"/>
      <c r="L38" s="2265"/>
      <c r="M38" s="2263" t="s">
        <v>427</v>
      </c>
      <c r="N38" s="2264"/>
      <c r="O38" s="2264"/>
      <c r="P38" s="2264"/>
      <c r="Q38" s="2265"/>
      <c r="R38" s="2263" t="s">
        <v>428</v>
      </c>
      <c r="S38" s="2265"/>
      <c r="T38" s="2263" t="s">
        <v>429</v>
      </c>
      <c r="U38" s="2265"/>
      <c r="V38" s="2192" t="s">
        <v>39</v>
      </c>
    </row>
    <row r="39" spans="1:22" ht="28" x14ac:dyDescent="0.3">
      <c r="B39" s="2178"/>
      <c r="C39" s="2182"/>
      <c r="D39" s="517" t="s">
        <v>404</v>
      </c>
      <c r="E39" s="671" t="s">
        <v>405</v>
      </c>
      <c r="F39" s="671" t="s">
        <v>406</v>
      </c>
      <c r="G39" s="517" t="s">
        <v>404</v>
      </c>
      <c r="H39" s="671" t="s">
        <v>405</v>
      </c>
      <c r="I39" s="671" t="s">
        <v>406</v>
      </c>
      <c r="J39" s="517" t="s">
        <v>404</v>
      </c>
      <c r="K39" s="671" t="s">
        <v>405</v>
      </c>
      <c r="L39" s="671" t="s">
        <v>406</v>
      </c>
      <c r="M39" s="671" t="s">
        <v>404</v>
      </c>
      <c r="N39" s="671" t="s">
        <v>408</v>
      </c>
      <c r="O39" s="671" t="s">
        <v>333</v>
      </c>
      <c r="P39" s="671" t="s">
        <v>72</v>
      </c>
      <c r="Q39" s="671" t="s">
        <v>409</v>
      </c>
      <c r="R39" s="671" t="s">
        <v>404</v>
      </c>
      <c r="S39" s="671" t="s">
        <v>805</v>
      </c>
      <c r="T39" s="671" t="s">
        <v>404</v>
      </c>
      <c r="U39" s="671" t="s">
        <v>805</v>
      </c>
      <c r="V39" s="2192"/>
    </row>
    <row r="40" spans="1:22" x14ac:dyDescent="0.3">
      <c r="B40" s="2281"/>
      <c r="C40" s="2282"/>
      <c r="D40" s="671" t="s">
        <v>73</v>
      </c>
      <c r="E40" s="671" t="s">
        <v>74</v>
      </c>
      <c r="F40" s="671" t="s">
        <v>806</v>
      </c>
      <c r="G40" s="671" t="s">
        <v>411</v>
      </c>
      <c r="H40" s="671" t="s">
        <v>412</v>
      </c>
      <c r="I40" s="671" t="s">
        <v>439</v>
      </c>
      <c r="J40" s="671" t="s">
        <v>668</v>
      </c>
      <c r="K40" s="671" t="s">
        <v>582</v>
      </c>
      <c r="L40" s="671" t="s">
        <v>675</v>
      </c>
      <c r="M40" s="671" t="s">
        <v>782</v>
      </c>
      <c r="N40" s="671" t="s">
        <v>583</v>
      </c>
      <c r="O40" s="671" t="s">
        <v>760</v>
      </c>
      <c r="P40" s="671" t="s">
        <v>807</v>
      </c>
      <c r="Q40" s="671" t="s">
        <v>808</v>
      </c>
      <c r="R40" s="671" t="s">
        <v>784</v>
      </c>
      <c r="S40" s="671" t="s">
        <v>762</v>
      </c>
      <c r="T40" s="671" t="s">
        <v>763</v>
      </c>
      <c r="U40" s="671" t="s">
        <v>764</v>
      </c>
      <c r="V40" s="2193"/>
    </row>
    <row r="41" spans="1:22" x14ac:dyDescent="0.3">
      <c r="B41" s="110">
        <v>1</v>
      </c>
      <c r="C41" s="107" t="s">
        <v>32</v>
      </c>
      <c r="D41" s="353"/>
      <c r="E41" s="423">
        <f>E12+E26</f>
        <v>233.92000000000004</v>
      </c>
      <c r="F41" s="353">
        <f>E41-D41</f>
        <v>233.92000000000004</v>
      </c>
      <c r="G41" s="353"/>
      <c r="H41" s="423">
        <f>H12+H26</f>
        <v>137.30000000000001</v>
      </c>
      <c r="I41" s="353">
        <f>H41-G41</f>
        <v>137.30000000000001</v>
      </c>
      <c r="J41" s="395"/>
      <c r="K41" s="423">
        <f>K12+K26</f>
        <v>124.58</v>
      </c>
      <c r="L41" s="374">
        <f>K41-J41</f>
        <v>124.58</v>
      </c>
      <c r="M41" s="374"/>
      <c r="N41" s="423">
        <f>N12+N26</f>
        <v>67.265000000000001</v>
      </c>
      <c r="O41" s="423">
        <f>O12+O26</f>
        <v>67.265000000000001</v>
      </c>
      <c r="P41" s="378">
        <f>P12+P26</f>
        <v>134.53</v>
      </c>
      <c r="Q41" s="378"/>
      <c r="R41" s="378"/>
      <c r="S41" s="423">
        <f>S12+S26</f>
        <v>960.64740000000006</v>
      </c>
      <c r="T41" s="378"/>
      <c r="U41" s="423">
        <f>U12+U26</f>
        <v>828.05844999999999</v>
      </c>
      <c r="V41" s="378"/>
    </row>
    <row r="42" spans="1:22" x14ac:dyDescent="0.3">
      <c r="B42" s="110"/>
      <c r="C42" s="107"/>
      <c r="D42" s="353"/>
      <c r="E42" s="353"/>
      <c r="F42" s="353">
        <f>E42-D42</f>
        <v>0</v>
      </c>
      <c r="G42" s="353"/>
      <c r="H42" s="353"/>
      <c r="I42" s="353">
        <f>H42-G42</f>
        <v>0</v>
      </c>
      <c r="J42" s="395"/>
      <c r="K42" s="374"/>
      <c r="L42" s="374">
        <f>K42-J42</f>
        <v>0</v>
      </c>
      <c r="M42" s="374"/>
      <c r="N42" s="378"/>
      <c r="O42" s="378"/>
      <c r="P42" s="378">
        <f>P13+P27</f>
        <v>0</v>
      </c>
      <c r="Q42" s="378"/>
      <c r="R42" s="378"/>
      <c r="S42" s="378"/>
      <c r="T42" s="378"/>
      <c r="U42" s="378"/>
      <c r="V42" s="378"/>
    </row>
    <row r="43" spans="1:22" x14ac:dyDescent="0.3">
      <c r="B43" s="110">
        <f>B41+1</f>
        <v>2</v>
      </c>
      <c r="C43" s="61" t="s">
        <v>28</v>
      </c>
      <c r="D43" s="423">
        <v>179.72</v>
      </c>
      <c r="E43" s="423">
        <f>E14+E28</f>
        <v>243.46000000000004</v>
      </c>
      <c r="F43" s="353">
        <f>E43-D43</f>
        <v>63.740000000000038</v>
      </c>
      <c r="G43" s="423">
        <f>77.73</f>
        <v>77.73</v>
      </c>
      <c r="H43" s="423">
        <f>H14+H28</f>
        <v>136.30000000000001</v>
      </c>
      <c r="I43" s="353">
        <f>H43-G43</f>
        <v>58.570000000000007</v>
      </c>
      <c r="J43" s="423">
        <f>71.1</f>
        <v>71.099999999999994</v>
      </c>
      <c r="K43" s="423">
        <f>K14+K28</f>
        <v>122.98</v>
      </c>
      <c r="L43" s="374">
        <f>K43-J43</f>
        <v>51.88000000000001</v>
      </c>
      <c r="M43" s="423">
        <f>71.1</f>
        <v>71.099999999999994</v>
      </c>
      <c r="N43" s="423">
        <f ca="1">N14+N28</f>
        <v>54.199999999999996</v>
      </c>
      <c r="O43" s="423">
        <f ca="1">O14+O28</f>
        <v>54.199999999999996</v>
      </c>
      <c r="P43" s="378">
        <f>P14+P28</f>
        <v>143.42999999999998</v>
      </c>
      <c r="Q43" s="378"/>
      <c r="R43" s="423">
        <f>71.1</f>
        <v>71.099999999999994</v>
      </c>
      <c r="S43" s="423">
        <f>S14+S28</f>
        <v>960.64740000000006</v>
      </c>
      <c r="T43" s="423">
        <f>71.1</f>
        <v>71.099999999999994</v>
      </c>
      <c r="U43" s="423">
        <f>U14+U28</f>
        <v>828.05844999999999</v>
      </c>
      <c r="V43" s="423"/>
    </row>
    <row r="44" spans="1:22" x14ac:dyDescent="0.3">
      <c r="B44" s="110">
        <f>B43+1</f>
        <v>3</v>
      </c>
      <c r="C44" s="61" t="s">
        <v>562</v>
      </c>
      <c r="D44" s="423"/>
      <c r="E44" s="423">
        <f>E15+E29</f>
        <v>0</v>
      </c>
      <c r="F44" s="353">
        <f>E44-D44</f>
        <v>0</v>
      </c>
      <c r="G44" s="423"/>
      <c r="H44" s="423">
        <f>H15+H29</f>
        <v>0</v>
      </c>
      <c r="I44" s="353">
        <f>H44-G44</f>
        <v>0</v>
      </c>
      <c r="J44" s="374"/>
      <c r="K44" s="423">
        <f>K15+K29</f>
        <v>0</v>
      </c>
      <c r="L44" s="374">
        <f>K44-J44</f>
        <v>0</v>
      </c>
      <c r="M44" s="374"/>
      <c r="N44" s="423">
        <f>N15+N29</f>
        <v>0</v>
      </c>
      <c r="O44" s="423">
        <f>O15+O29</f>
        <v>0</v>
      </c>
      <c r="P44" s="378">
        <f>P15+P29</f>
        <v>0</v>
      </c>
      <c r="Q44" s="378"/>
      <c r="R44" s="423"/>
      <c r="S44" s="423">
        <f>S15+S29</f>
        <v>0</v>
      </c>
      <c r="T44" s="423"/>
      <c r="U44" s="423">
        <f>U15+U29</f>
        <v>0</v>
      </c>
      <c r="V44" s="423"/>
    </row>
    <row r="45" spans="1:22" x14ac:dyDescent="0.3">
      <c r="B45" s="110">
        <f>B44+1</f>
        <v>4</v>
      </c>
      <c r="C45" s="61" t="s">
        <v>563</v>
      </c>
      <c r="D45" s="423">
        <f>D43+D44</f>
        <v>179.72</v>
      </c>
      <c r="E45" s="423">
        <f>E43+E44</f>
        <v>243.46000000000004</v>
      </c>
      <c r="F45" s="353">
        <f>E45-D45</f>
        <v>63.740000000000038</v>
      </c>
      <c r="G45" s="423">
        <f>G43+G44</f>
        <v>77.73</v>
      </c>
      <c r="H45" s="423">
        <f>H43+H44</f>
        <v>136.30000000000001</v>
      </c>
      <c r="I45" s="353">
        <f>H45-G45</f>
        <v>58.570000000000007</v>
      </c>
      <c r="J45" s="423">
        <f>J43+J44</f>
        <v>71.099999999999994</v>
      </c>
      <c r="K45" s="423">
        <f>K43+K44</f>
        <v>122.98</v>
      </c>
      <c r="L45" s="374">
        <f>K45-J45</f>
        <v>51.88000000000001</v>
      </c>
      <c r="M45" s="423">
        <f>M43+M44</f>
        <v>71.099999999999994</v>
      </c>
      <c r="N45" s="423">
        <f ca="1">N43+N44</f>
        <v>54.199999999999996</v>
      </c>
      <c r="O45" s="423">
        <f ca="1">O43+O44</f>
        <v>54.199999999999996</v>
      </c>
      <c r="P45" s="378">
        <f>P16+P30</f>
        <v>143.42999999999998</v>
      </c>
      <c r="Q45" s="378"/>
      <c r="R45" s="423">
        <f>R43+R44</f>
        <v>71.099999999999994</v>
      </c>
      <c r="S45" s="423">
        <f>S43+S44</f>
        <v>960.64740000000006</v>
      </c>
      <c r="T45" s="423">
        <f>T43+T44</f>
        <v>71.099999999999994</v>
      </c>
      <c r="U45" s="423">
        <f>U43+U44</f>
        <v>828.05844999999999</v>
      </c>
      <c r="V45" s="423"/>
    </row>
    <row r="46" spans="1:22" x14ac:dyDescent="0.3">
      <c r="B46" s="195"/>
      <c r="C46" s="196" t="s">
        <v>1512</v>
      </c>
      <c r="D46" s="196"/>
      <c r="E46" s="1038"/>
      <c r="F46" s="196"/>
      <c r="G46" s="196"/>
      <c r="H46" s="1038"/>
      <c r="I46" s="196"/>
      <c r="J46" s="197"/>
      <c r="K46" s="1039"/>
      <c r="L46" s="198"/>
      <c r="M46" s="198"/>
      <c r="N46" s="198"/>
      <c r="O46" s="198"/>
      <c r="P46" s="1039"/>
      <c r="Q46" s="198"/>
      <c r="R46" s="198"/>
      <c r="S46" s="496"/>
      <c r="T46" s="45"/>
      <c r="U46" s="496"/>
      <c r="V46" s="45"/>
    </row>
    <row r="47" spans="1:22" x14ac:dyDescent="0.3">
      <c r="B47" s="15" t="s">
        <v>850</v>
      </c>
      <c r="C47" s="1"/>
      <c r="D47" s="1"/>
      <c r="E47" s="1"/>
      <c r="F47" s="1"/>
      <c r="G47" s="1"/>
      <c r="H47" s="1"/>
      <c r="I47" s="1"/>
      <c r="J47" s="1"/>
      <c r="K47" s="728"/>
      <c r="L47" s="1"/>
      <c r="M47" s="1"/>
      <c r="S47" s="1"/>
      <c r="T47" s="1"/>
      <c r="U47" s="1"/>
      <c r="V47" s="1"/>
    </row>
    <row r="48" spans="1:22" x14ac:dyDescent="0.3">
      <c r="B48" s="15"/>
      <c r="C48" s="1" t="s">
        <v>752</v>
      </c>
      <c r="D48" s="1"/>
      <c r="E48" s="1"/>
      <c r="F48" s="1"/>
      <c r="G48" s="1"/>
      <c r="H48" s="1"/>
      <c r="I48" s="1"/>
      <c r="J48" s="1"/>
      <c r="K48" s="1"/>
      <c r="L48" s="1"/>
      <c r="M48" s="1"/>
      <c r="S48" s="1"/>
      <c r="T48" s="1"/>
      <c r="U48" s="1"/>
      <c r="V48" s="1"/>
    </row>
    <row r="49" spans="5:21" x14ac:dyDescent="0.3">
      <c r="E49" s="1040"/>
      <c r="H49" s="1040"/>
      <c r="K49" s="1040"/>
      <c r="O49" s="1040"/>
      <c r="P49" s="1040"/>
      <c r="S49" s="1040"/>
      <c r="U49" s="1040"/>
    </row>
    <row r="51" spans="5:21" x14ac:dyDescent="0.3">
      <c r="E51" s="456"/>
    </row>
  </sheetData>
  <mergeCells count="30">
    <mergeCell ref="V23:V25"/>
    <mergeCell ref="V9:V11"/>
    <mergeCell ref="B23:B25"/>
    <mergeCell ref="C23:C25"/>
    <mergeCell ref="J23:L23"/>
    <mergeCell ref="M23:Q23"/>
    <mergeCell ref="D9:F9"/>
    <mergeCell ref="D23:F23"/>
    <mergeCell ref="T9:U9"/>
    <mergeCell ref="G23:I23"/>
    <mergeCell ref="R23:S23"/>
    <mergeCell ref="T23:U23"/>
    <mergeCell ref="B2:R2"/>
    <mergeCell ref="B3:R3"/>
    <mergeCell ref="B4:R4"/>
    <mergeCell ref="B9:B11"/>
    <mergeCell ref="C9:C11"/>
    <mergeCell ref="J9:L9"/>
    <mergeCell ref="M9:Q9"/>
    <mergeCell ref="G9:I9"/>
    <mergeCell ref="R9:S9"/>
    <mergeCell ref="M38:Q38"/>
    <mergeCell ref="R38:S38"/>
    <mergeCell ref="T38:U38"/>
    <mergeCell ref="V38:V40"/>
    <mergeCell ref="B38:B40"/>
    <mergeCell ref="C38:C40"/>
    <mergeCell ref="D38:F38"/>
    <mergeCell ref="G38:I38"/>
    <mergeCell ref="J38:L38"/>
  </mergeCells>
  <pageMargins left="1.0236220472440944" right="0.23622047244094491" top="0.98425196850393704" bottom="0.98425196850393704" header="0.23622047244094491" footer="0.23622047244094491"/>
  <pageSetup paperSize="9" scale="37" fitToHeight="0" orientation="landscape" r:id="rId1"/>
  <headerFooter alignWithMargins="0">
    <oddHeader>&amp;F</oddHeader>
  </headerFooter>
  <rowBreaks count="1" manualBreakCount="1">
    <brk id="3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65"/>
  <sheetViews>
    <sheetView showGridLines="0" view="pageBreakPreview" topLeftCell="C399" zoomScale="63" zoomScaleNormal="70" zoomScaleSheetLayoutView="63" workbookViewId="0">
      <selection activeCell="B3" sqref="B3"/>
    </sheetView>
  </sheetViews>
  <sheetFormatPr defaultColWidth="9.1796875" defaultRowHeight="14" x14ac:dyDescent="0.25"/>
  <cols>
    <col min="1" max="1" width="4.54296875" style="611" customWidth="1"/>
    <col min="2" max="2" width="44.81640625" style="611" customWidth="1"/>
    <col min="3" max="3" width="27.6328125" style="611" customWidth="1"/>
    <col min="4" max="4" width="44.08984375" style="611" customWidth="1"/>
    <col min="5" max="5" width="15.7265625" style="611" customWidth="1"/>
    <col min="6" max="6" width="28.81640625" style="611" customWidth="1"/>
    <col min="7" max="7" width="20.7265625" style="1083" customWidth="1"/>
    <col min="8" max="8" width="14.26953125" style="1083" customWidth="1"/>
    <col min="9" max="10" width="15.453125" style="1083" customWidth="1"/>
    <col min="11" max="13" width="15.453125" style="611" customWidth="1"/>
    <col min="14" max="18" width="16.453125" style="611" customWidth="1"/>
    <col min="19" max="19" width="21.26953125" style="611" customWidth="1"/>
    <col min="20" max="20" width="12.7265625" style="611" customWidth="1"/>
    <col min="21" max="21" width="14" style="611" customWidth="1"/>
    <col min="22" max="24" width="12.7265625" style="611" customWidth="1"/>
    <col min="25" max="25" width="15.26953125" style="611" customWidth="1"/>
    <col min="26" max="26" width="12.54296875" style="611" customWidth="1"/>
    <col min="27" max="27" width="13.453125" style="611" customWidth="1"/>
    <col min="28" max="28" width="13.54296875" style="611" customWidth="1"/>
    <col min="29" max="16384" width="9.1796875" style="611"/>
  </cols>
  <sheetData>
    <row r="1" spans="2:28" ht="15.75" customHeight="1" x14ac:dyDescent="0.25">
      <c r="B1" s="1953"/>
      <c r="C1" s="1953"/>
      <c r="D1" s="1953"/>
      <c r="E1" s="1953"/>
      <c r="F1" s="1953"/>
      <c r="G1" s="1954"/>
      <c r="H1" s="1954"/>
      <c r="I1" s="1954"/>
      <c r="J1" s="1954"/>
      <c r="K1" s="1953"/>
      <c r="L1" s="1953"/>
      <c r="M1" s="1953"/>
      <c r="N1" s="1953"/>
      <c r="O1" s="1953"/>
      <c r="P1" s="1953"/>
      <c r="Q1" s="1953"/>
      <c r="R1" s="1953"/>
      <c r="S1" s="1953"/>
    </row>
    <row r="2" spans="2:28" ht="15" customHeight="1" x14ac:dyDescent="0.25">
      <c r="B2" s="1953"/>
      <c r="C2" s="1955"/>
      <c r="D2" s="1955"/>
      <c r="E2" s="1955"/>
      <c r="F2" s="1955"/>
      <c r="G2" s="1956" t="s">
        <v>1027</v>
      </c>
      <c r="H2" s="1957"/>
      <c r="I2" s="1957"/>
      <c r="J2" s="1957"/>
      <c r="K2" s="1955"/>
      <c r="L2" s="1958"/>
      <c r="M2" s="1958"/>
      <c r="N2" s="1958"/>
      <c r="O2" s="1958"/>
      <c r="P2" s="1958"/>
      <c r="Q2" s="1958"/>
      <c r="R2" s="1958"/>
      <c r="S2" s="1958"/>
    </row>
    <row r="3" spans="2:28" ht="15" customHeight="1" x14ac:dyDescent="0.25">
      <c r="B3" s="1953"/>
      <c r="C3" s="1959"/>
      <c r="D3" s="1959"/>
      <c r="E3" s="1959"/>
      <c r="F3" s="1959"/>
      <c r="G3" s="1960" t="s">
        <v>848</v>
      </c>
      <c r="H3" s="1961"/>
      <c r="I3" s="1961"/>
      <c r="J3" s="1961"/>
      <c r="K3" s="1959"/>
      <c r="L3" s="1962"/>
      <c r="M3" s="1962"/>
      <c r="N3" s="1962"/>
      <c r="O3" s="1962"/>
      <c r="P3" s="1962"/>
      <c r="Q3" s="1962"/>
      <c r="R3" s="1962"/>
      <c r="S3" s="1962"/>
      <c r="T3" s="1086"/>
      <c r="U3" s="1086"/>
      <c r="V3" s="1086"/>
      <c r="W3" s="1086"/>
    </row>
    <row r="4" spans="2:28" ht="15" customHeight="1" x14ac:dyDescent="0.25">
      <c r="B4" s="1953"/>
      <c r="C4" s="1963"/>
      <c r="D4" s="1963"/>
      <c r="E4" s="1963"/>
      <c r="F4" s="1963"/>
      <c r="G4" s="1964" t="s">
        <v>632</v>
      </c>
      <c r="H4" s="1965"/>
      <c r="I4" s="1965"/>
      <c r="J4" s="1965"/>
      <c r="K4" s="1963"/>
      <c r="L4" s="1966"/>
      <c r="M4" s="1966"/>
      <c r="N4" s="1966"/>
      <c r="O4" s="1966"/>
      <c r="P4" s="1966"/>
      <c r="Q4" s="1966"/>
      <c r="R4" s="1966"/>
      <c r="S4" s="1966"/>
      <c r="T4" s="1086"/>
      <c r="U4" s="1086"/>
      <c r="V4" s="1086"/>
      <c r="W4" s="1086"/>
    </row>
    <row r="5" spans="2:28" x14ac:dyDescent="0.25">
      <c r="B5" s="1967"/>
      <c r="C5" s="1968"/>
      <c r="D5" s="1968"/>
      <c r="E5" s="1968"/>
      <c r="F5" s="1969"/>
      <c r="G5" s="1970"/>
      <c r="H5" s="1970"/>
      <c r="I5" s="1970"/>
      <c r="J5" s="1970"/>
      <c r="K5" s="1969"/>
      <c r="L5" s="1969"/>
      <c r="M5" s="1969"/>
      <c r="N5" s="1969"/>
      <c r="O5" s="1969"/>
      <c r="P5" s="1969"/>
      <c r="Q5" s="1969"/>
      <c r="R5" s="1969"/>
      <c r="S5" s="1969"/>
      <c r="T5" s="1086"/>
      <c r="U5" s="1086"/>
      <c r="V5" s="1086"/>
      <c r="W5" s="1086"/>
      <c r="X5" s="1086"/>
      <c r="Y5" s="1086"/>
      <c r="Z5" s="1086"/>
      <c r="AA5" s="1086"/>
      <c r="AB5" s="1086"/>
    </row>
    <row r="6" spans="2:28" x14ac:dyDescent="0.25">
      <c r="B6" s="1971" t="s">
        <v>282</v>
      </c>
      <c r="C6" s="1968"/>
      <c r="D6" s="1968"/>
      <c r="E6" s="1968"/>
      <c r="F6" s="1969"/>
      <c r="G6" s="1970"/>
      <c r="H6" s="1970"/>
      <c r="I6" s="1970"/>
      <c r="J6" s="1970"/>
      <c r="K6" s="1969"/>
      <c r="L6" s="1969"/>
      <c r="M6" s="1969"/>
      <c r="N6" s="1969"/>
      <c r="O6" s="1969"/>
      <c r="P6" s="1969"/>
      <c r="Q6" s="1969"/>
      <c r="R6" s="1969"/>
      <c r="S6" s="1969"/>
      <c r="T6" s="1086"/>
      <c r="U6" s="1086"/>
      <c r="V6" s="1086"/>
      <c r="W6" s="1086"/>
      <c r="X6" s="1086"/>
      <c r="Y6" s="1086"/>
      <c r="Z6" s="1086"/>
      <c r="AA6" s="1086"/>
      <c r="AB6" s="1086"/>
    </row>
    <row r="7" spans="2:28" x14ac:dyDescent="0.25">
      <c r="B7" s="1967"/>
      <c r="C7" s="1968"/>
      <c r="D7" s="1968"/>
      <c r="E7" s="1968"/>
      <c r="F7" s="1969"/>
      <c r="G7" s="1970"/>
      <c r="H7" s="1970"/>
      <c r="I7" s="1970"/>
      <c r="J7" s="1970"/>
      <c r="K7" s="1969"/>
      <c r="L7" s="1969"/>
      <c r="M7" s="1969"/>
      <c r="N7" s="1969"/>
      <c r="O7" s="1969"/>
      <c r="P7" s="1969"/>
      <c r="Q7" s="1969"/>
      <c r="R7" s="1969"/>
      <c r="S7" s="1969"/>
      <c r="T7" s="1086"/>
      <c r="U7" s="1086"/>
      <c r="V7" s="1086"/>
      <c r="W7" s="1086"/>
      <c r="X7" s="1086"/>
      <c r="Y7" s="1086"/>
      <c r="Z7" s="1086"/>
      <c r="AA7" s="1086"/>
      <c r="AB7" s="1086"/>
    </row>
    <row r="8" spans="2:28" ht="15.75" customHeight="1" x14ac:dyDescent="0.25">
      <c r="B8" s="1968" t="s">
        <v>0</v>
      </c>
      <c r="C8" s="1953"/>
      <c r="D8" s="1953"/>
      <c r="E8" s="1953"/>
      <c r="F8" s="1969"/>
      <c r="G8" s="1970"/>
      <c r="H8" s="1970"/>
      <c r="I8" s="1970"/>
      <c r="J8" s="1970"/>
      <c r="K8" s="1969"/>
      <c r="L8" s="1969"/>
      <c r="M8" s="1969"/>
      <c r="N8" s="1969"/>
      <c r="O8" s="1969"/>
      <c r="P8" s="1969"/>
      <c r="Q8" s="1969"/>
      <c r="R8" s="1969"/>
      <c r="S8" s="1969"/>
      <c r="T8" s="1086"/>
      <c r="U8" s="1086"/>
      <c r="V8" s="1086"/>
      <c r="W8" s="1086"/>
      <c r="X8" s="1086"/>
      <c r="Y8" s="1086"/>
      <c r="Z8" s="1086"/>
      <c r="AA8" s="1086"/>
      <c r="AB8" s="1086"/>
    </row>
    <row r="9" spans="2:28" x14ac:dyDescent="0.25">
      <c r="B9" s="1967"/>
      <c r="C9" s="1967"/>
      <c r="D9" s="1967"/>
      <c r="E9" s="1967"/>
      <c r="F9" s="1969"/>
      <c r="G9" s="1970"/>
      <c r="H9" s="1970"/>
      <c r="I9" s="1970"/>
      <c r="J9" s="1970"/>
      <c r="K9" s="1969"/>
      <c r="L9" s="1969"/>
      <c r="M9" s="1969"/>
      <c r="N9" s="1953"/>
      <c r="O9" s="1953"/>
      <c r="P9" s="1953"/>
      <c r="Q9" s="1953"/>
      <c r="R9" s="1953"/>
      <c r="S9" s="1972" t="s">
        <v>16</v>
      </c>
      <c r="T9" s="1084"/>
      <c r="U9" s="1084"/>
      <c r="V9" s="1084"/>
      <c r="W9" s="1084"/>
      <c r="X9" s="1084"/>
      <c r="Y9" s="1086"/>
      <c r="Z9" s="1086"/>
      <c r="AA9" s="1086"/>
    </row>
    <row r="10" spans="2:28" ht="14" customHeight="1" x14ac:dyDescent="0.25">
      <c r="B10" s="2300" t="s">
        <v>26</v>
      </c>
      <c r="C10" s="2300" t="s">
        <v>1</v>
      </c>
      <c r="D10" s="2300" t="s">
        <v>617</v>
      </c>
      <c r="E10" s="2300" t="s">
        <v>618</v>
      </c>
      <c r="F10" s="2300" t="s">
        <v>6</v>
      </c>
      <c r="G10" s="2292" t="s">
        <v>2</v>
      </c>
      <c r="H10" s="2293"/>
      <c r="I10" s="2294"/>
      <c r="J10" s="2295" t="s">
        <v>13</v>
      </c>
      <c r="K10" s="2296"/>
      <c r="L10" s="2297"/>
      <c r="M10" s="2295" t="s">
        <v>619</v>
      </c>
      <c r="N10" s="2296"/>
      <c r="O10" s="2296"/>
      <c r="P10" s="2296"/>
      <c r="Q10" s="2296"/>
      <c r="R10" s="2296"/>
      <c r="S10" s="2297"/>
    </row>
    <row r="11" spans="2:28" ht="14" customHeight="1" x14ac:dyDescent="0.25">
      <c r="B11" s="2302"/>
      <c r="C11" s="2302"/>
      <c r="D11" s="2302"/>
      <c r="E11" s="2302"/>
      <c r="F11" s="2302"/>
      <c r="G11" s="2298" t="s">
        <v>17</v>
      </c>
      <c r="H11" s="2298" t="s">
        <v>14</v>
      </c>
      <c r="I11" s="2298" t="s">
        <v>620</v>
      </c>
      <c r="J11" s="2298" t="s">
        <v>17</v>
      </c>
      <c r="K11" s="2300" t="s">
        <v>14</v>
      </c>
      <c r="L11" s="2300" t="s">
        <v>12</v>
      </c>
      <c r="M11" s="2300" t="s">
        <v>37</v>
      </c>
      <c r="N11" s="2300" t="s">
        <v>621</v>
      </c>
      <c r="O11" s="2285" t="s">
        <v>787</v>
      </c>
      <c r="P11" s="2286"/>
      <c r="Q11" s="2286"/>
      <c r="R11" s="2286"/>
      <c r="S11" s="2287"/>
    </row>
    <row r="12" spans="2:28" ht="28" x14ac:dyDescent="0.25">
      <c r="B12" s="2301"/>
      <c r="C12" s="2301"/>
      <c r="D12" s="2301"/>
      <c r="E12" s="2301"/>
      <c r="F12" s="2301"/>
      <c r="G12" s="2299"/>
      <c r="H12" s="2299"/>
      <c r="I12" s="2299"/>
      <c r="J12" s="2299"/>
      <c r="K12" s="2301"/>
      <c r="L12" s="2301"/>
      <c r="M12" s="2301"/>
      <c r="N12" s="2301"/>
      <c r="O12" s="1973" t="s">
        <v>788</v>
      </c>
      <c r="P12" s="1973" t="s">
        <v>789</v>
      </c>
      <c r="Q12" s="1973" t="s">
        <v>790</v>
      </c>
      <c r="R12" s="1973" t="s">
        <v>791</v>
      </c>
      <c r="S12" s="1973" t="s">
        <v>792</v>
      </c>
    </row>
    <row r="13" spans="2:28" s="1087" customFormat="1" x14ac:dyDescent="0.25">
      <c r="B13" s="1974" t="s">
        <v>179</v>
      </c>
      <c r="C13" s="1975"/>
      <c r="D13" s="1975"/>
      <c r="E13" s="1975"/>
      <c r="F13" s="1975"/>
      <c r="G13" s="1976"/>
      <c r="H13" s="1976"/>
      <c r="I13" s="1976"/>
      <c r="J13" s="1976"/>
      <c r="K13" s="1975"/>
      <c r="L13" s="1975"/>
      <c r="M13" s="1975"/>
      <c r="N13" s="1975"/>
      <c r="O13" s="1975"/>
      <c r="P13" s="1975"/>
      <c r="Q13" s="1975"/>
      <c r="R13" s="1975"/>
      <c r="S13" s="1977"/>
    </row>
    <row r="14" spans="2:28" s="1087" customFormat="1" x14ac:dyDescent="0.25">
      <c r="B14" s="1978" t="s">
        <v>33</v>
      </c>
      <c r="C14" s="1975"/>
      <c r="D14" s="1975"/>
      <c r="E14" s="1975"/>
      <c r="F14" s="1975"/>
      <c r="G14" s="1976"/>
      <c r="H14" s="1976"/>
      <c r="I14" s="1976"/>
      <c r="J14" s="1976"/>
      <c r="K14" s="1975"/>
      <c r="L14" s="1975"/>
      <c r="M14" s="1975"/>
      <c r="N14" s="1975"/>
      <c r="O14" s="1975"/>
      <c r="P14" s="1975"/>
      <c r="Q14" s="1975"/>
      <c r="R14" s="1975"/>
      <c r="S14" s="1977"/>
    </row>
    <row r="15" spans="2:28" s="1087" customFormat="1" x14ac:dyDescent="0.25">
      <c r="B15" s="1979" t="s">
        <v>35</v>
      </c>
      <c r="C15" s="1975"/>
      <c r="D15" s="1975"/>
      <c r="E15" s="1975"/>
      <c r="F15" s="1975"/>
      <c r="G15" s="1976"/>
      <c r="H15" s="1976"/>
      <c r="I15" s="1976"/>
      <c r="J15" s="1976"/>
      <c r="K15" s="1975"/>
      <c r="L15" s="1975"/>
      <c r="M15" s="1975"/>
      <c r="N15" s="1975"/>
      <c r="O15" s="1975"/>
      <c r="P15" s="1975"/>
      <c r="Q15" s="1975"/>
      <c r="R15" s="1975"/>
      <c r="S15" s="1977"/>
    </row>
    <row r="16" spans="2:28" s="1087" customFormat="1" x14ac:dyDescent="0.25">
      <c r="B16" s="1979"/>
      <c r="C16" s="1975" t="s">
        <v>1468</v>
      </c>
      <c r="D16" s="1975"/>
      <c r="E16" s="1975"/>
      <c r="F16" s="1975"/>
      <c r="G16" s="1976"/>
      <c r="H16" s="1976"/>
      <c r="I16" s="1976"/>
      <c r="J16" s="1976"/>
      <c r="K16" s="1975"/>
      <c r="L16" s="1975"/>
      <c r="M16" s="1975"/>
      <c r="N16" s="1975"/>
      <c r="O16" s="1975"/>
      <c r="P16" s="1975"/>
      <c r="Q16" s="1975"/>
      <c r="R16" s="1975"/>
      <c r="S16" s="1977"/>
    </row>
    <row r="17" spans="2:19" s="1087" customFormat="1" ht="28" x14ac:dyDescent="0.25">
      <c r="B17" s="1979" t="s">
        <v>2030</v>
      </c>
      <c r="C17" s="1975" t="s">
        <v>2031</v>
      </c>
      <c r="D17" s="1975" t="s">
        <v>2032</v>
      </c>
      <c r="E17" s="1975" t="s">
        <v>2033</v>
      </c>
      <c r="F17" s="1975" t="s">
        <v>2034</v>
      </c>
      <c r="G17" s="1976">
        <v>41000</v>
      </c>
      <c r="H17" s="1976">
        <v>0</v>
      </c>
      <c r="I17" s="1976">
        <v>41730</v>
      </c>
      <c r="J17" s="1976">
        <v>43190</v>
      </c>
      <c r="K17" s="1975">
        <v>0</v>
      </c>
      <c r="L17" s="1976">
        <v>43921</v>
      </c>
      <c r="M17" s="1975">
        <v>40</v>
      </c>
      <c r="N17" s="1975">
        <f>SUM(F4.2!AC17:AD17)</f>
        <v>4.0699999999999994</v>
      </c>
      <c r="O17" s="1975"/>
      <c r="P17" s="1975"/>
      <c r="Q17" s="1975"/>
      <c r="R17" s="1975"/>
      <c r="S17" s="1975">
        <f>N17-M17</f>
        <v>-35.93</v>
      </c>
    </row>
    <row r="18" spans="2:19" s="1087" customFormat="1" ht="28" x14ac:dyDescent="0.25">
      <c r="B18" s="1975" t="s">
        <v>1477</v>
      </c>
      <c r="C18" s="1975" t="s">
        <v>2031</v>
      </c>
      <c r="D18" s="1975" t="s">
        <v>2035</v>
      </c>
      <c r="E18" s="1975" t="s">
        <v>1479</v>
      </c>
      <c r="F18" s="1975" t="s">
        <v>2034</v>
      </c>
      <c r="G18" s="1976">
        <v>42095</v>
      </c>
      <c r="H18" s="1976"/>
      <c r="I18" s="1976">
        <v>42095</v>
      </c>
      <c r="J18" s="1976">
        <v>43555</v>
      </c>
      <c r="K18" s="1975"/>
      <c r="L18" s="1980" t="s">
        <v>2036</v>
      </c>
      <c r="M18" s="1975">
        <v>82.23</v>
      </c>
      <c r="N18" s="1975">
        <f>SUM(F4.2!AC18:AD18)</f>
        <v>8.56</v>
      </c>
      <c r="O18" s="1975"/>
      <c r="P18" s="1975"/>
      <c r="Q18" s="1975"/>
      <c r="R18" s="1975"/>
      <c r="S18" s="1975">
        <f>N18-M18</f>
        <v>-73.67</v>
      </c>
    </row>
    <row r="19" spans="2:19" s="1087" customFormat="1" x14ac:dyDescent="0.25">
      <c r="B19" s="1975"/>
      <c r="C19" s="1975"/>
      <c r="D19" s="1975"/>
      <c r="E19" s="1975"/>
      <c r="F19" s="1975"/>
      <c r="G19" s="1976"/>
      <c r="H19" s="1976"/>
      <c r="I19" s="1976"/>
      <c r="J19" s="1976"/>
      <c r="K19" s="1975"/>
      <c r="L19" s="1980"/>
      <c r="M19" s="1975"/>
      <c r="N19" s="1975"/>
      <c r="O19" s="1975"/>
      <c r="P19" s="1975"/>
      <c r="Q19" s="1975"/>
      <c r="R19" s="1975"/>
      <c r="S19" s="1975">
        <f t="shared" ref="S19:S45" si="0">N19-M19</f>
        <v>0</v>
      </c>
    </row>
    <row r="20" spans="2:19" s="1087" customFormat="1" x14ac:dyDescent="0.25">
      <c r="B20" s="1975" t="s">
        <v>2037</v>
      </c>
      <c r="C20" s="1975"/>
      <c r="D20" s="1975"/>
      <c r="E20" s="1975"/>
      <c r="F20" s="1975"/>
      <c r="G20" s="1976"/>
      <c r="H20" s="1976"/>
      <c r="I20" s="1976"/>
      <c r="J20" s="1976"/>
      <c r="K20" s="1975"/>
      <c r="L20" s="1980"/>
      <c r="M20" s="1975"/>
      <c r="N20" s="1975"/>
      <c r="O20" s="1975"/>
      <c r="P20" s="1975"/>
      <c r="Q20" s="1975"/>
      <c r="R20" s="1975"/>
      <c r="S20" s="1975">
        <f t="shared" si="0"/>
        <v>0</v>
      </c>
    </row>
    <row r="21" spans="2:19" s="1087" customFormat="1" ht="28" x14ac:dyDescent="0.25">
      <c r="B21" s="1979" t="s">
        <v>1480</v>
      </c>
      <c r="C21" s="1975" t="s">
        <v>2038</v>
      </c>
      <c r="D21" s="1975" t="s">
        <v>2039</v>
      </c>
      <c r="E21" s="1975" t="s">
        <v>1482</v>
      </c>
      <c r="F21" s="1975" t="s">
        <v>2040</v>
      </c>
      <c r="G21" s="1976">
        <v>42095</v>
      </c>
      <c r="H21" s="1976"/>
      <c r="I21" s="1976" t="s">
        <v>2041</v>
      </c>
      <c r="J21" s="1976">
        <v>42460</v>
      </c>
      <c r="K21" s="1975"/>
      <c r="L21" s="1980" t="s">
        <v>2036</v>
      </c>
      <c r="M21" s="1975">
        <v>36.630000000000003</v>
      </c>
      <c r="N21" s="1975">
        <f>SUM(F4.2!AC21:AD21)</f>
        <v>10.25</v>
      </c>
      <c r="O21" s="1975"/>
      <c r="P21" s="1975"/>
      <c r="Q21" s="1975"/>
      <c r="R21" s="1975"/>
      <c r="S21" s="1975">
        <f t="shared" si="0"/>
        <v>-26.380000000000003</v>
      </c>
    </row>
    <row r="22" spans="2:19" s="1087" customFormat="1" ht="28" x14ac:dyDescent="0.25">
      <c r="B22" s="1975" t="s">
        <v>1483</v>
      </c>
      <c r="C22" s="1975" t="s">
        <v>2038</v>
      </c>
      <c r="D22" s="1975" t="s">
        <v>2042</v>
      </c>
      <c r="E22" s="1975" t="s">
        <v>1485</v>
      </c>
      <c r="F22" s="1975" t="s">
        <v>2040</v>
      </c>
      <c r="G22" s="1976">
        <v>42095</v>
      </c>
      <c r="H22" s="1976"/>
      <c r="I22" s="1976">
        <v>42095</v>
      </c>
      <c r="J22" s="1976">
        <v>43921</v>
      </c>
      <c r="K22" s="1975"/>
      <c r="L22" s="1980" t="s">
        <v>2036</v>
      </c>
      <c r="M22" s="1975">
        <v>64.09</v>
      </c>
      <c r="N22" s="1975">
        <f>SUM(F4.2!AC22:AD22)</f>
        <v>16.38</v>
      </c>
      <c r="O22" s="1975"/>
      <c r="P22" s="1975"/>
      <c r="Q22" s="1975"/>
      <c r="R22" s="1975"/>
      <c r="S22" s="1975">
        <f t="shared" si="0"/>
        <v>-47.710000000000008</v>
      </c>
    </row>
    <row r="23" spans="2:19" s="1087" customFormat="1" ht="28" x14ac:dyDescent="0.25">
      <c r="B23" s="1975" t="s">
        <v>1486</v>
      </c>
      <c r="C23" s="1975" t="s">
        <v>2038</v>
      </c>
      <c r="D23" s="1975" t="s">
        <v>2042</v>
      </c>
      <c r="E23" s="1975" t="s">
        <v>1485</v>
      </c>
      <c r="F23" s="1975" t="s">
        <v>2040</v>
      </c>
      <c r="G23" s="1976">
        <v>42461</v>
      </c>
      <c r="H23" s="1976"/>
      <c r="I23" s="1976">
        <v>42461</v>
      </c>
      <c r="J23" s="1976">
        <v>43921</v>
      </c>
      <c r="K23" s="1975"/>
      <c r="L23" s="1980" t="s">
        <v>2036</v>
      </c>
      <c r="M23" s="1975">
        <v>58.86</v>
      </c>
      <c r="N23" s="1975">
        <f>SUM(F4.2!AC23:AD23)</f>
        <v>2.92</v>
      </c>
      <c r="O23" s="1975"/>
      <c r="P23" s="1975"/>
      <c r="Q23" s="1975"/>
      <c r="R23" s="1975"/>
      <c r="S23" s="1975">
        <f t="shared" si="0"/>
        <v>-55.94</v>
      </c>
    </row>
    <row r="24" spans="2:19" s="1087" customFormat="1" ht="28" x14ac:dyDescent="0.25">
      <c r="B24" s="1975" t="s">
        <v>1487</v>
      </c>
      <c r="C24" s="1975" t="s">
        <v>2038</v>
      </c>
      <c r="D24" s="1975" t="s">
        <v>2043</v>
      </c>
      <c r="E24" s="1975" t="s">
        <v>1489</v>
      </c>
      <c r="F24" s="1975" t="s">
        <v>2040</v>
      </c>
      <c r="G24" s="1976">
        <v>42826</v>
      </c>
      <c r="H24" s="1976"/>
      <c r="I24" s="1976">
        <v>43922</v>
      </c>
      <c r="J24" s="1976">
        <v>43921</v>
      </c>
      <c r="K24" s="1975"/>
      <c r="L24" s="1980" t="s">
        <v>2036</v>
      </c>
      <c r="M24" s="1975">
        <v>15.58</v>
      </c>
      <c r="N24" s="1975">
        <f>SUM(F4.2!AC24:AD24)</f>
        <v>17.29</v>
      </c>
      <c r="O24" s="1975"/>
      <c r="P24" s="1975"/>
      <c r="Q24" s="1975"/>
      <c r="R24" s="1975"/>
      <c r="S24" s="1975">
        <f t="shared" si="0"/>
        <v>1.7099999999999991</v>
      </c>
    </row>
    <row r="25" spans="2:19" s="1087" customFormat="1" ht="28" x14ac:dyDescent="0.25">
      <c r="B25" s="1975" t="s">
        <v>1490</v>
      </c>
      <c r="C25" s="1975" t="s">
        <v>2038</v>
      </c>
      <c r="D25" s="1975" t="s">
        <v>2044</v>
      </c>
      <c r="E25" s="1975" t="s">
        <v>1492</v>
      </c>
      <c r="F25" s="1975" t="s">
        <v>2040</v>
      </c>
      <c r="G25" s="1976">
        <v>43556</v>
      </c>
      <c r="H25" s="1976"/>
      <c r="I25" s="1976">
        <v>43556</v>
      </c>
      <c r="J25" s="1976">
        <v>45747</v>
      </c>
      <c r="K25" s="1975"/>
      <c r="L25" s="1980" t="s">
        <v>2036</v>
      </c>
      <c r="M25" s="1975">
        <v>40.6</v>
      </c>
      <c r="N25" s="1975">
        <f>SUM(F4.2!AC25:AD25)</f>
        <v>6.58</v>
      </c>
      <c r="O25" s="1975"/>
      <c r="P25" s="1975"/>
      <c r="Q25" s="1975"/>
      <c r="R25" s="1975"/>
      <c r="S25" s="1975">
        <f t="shared" si="0"/>
        <v>-34.020000000000003</v>
      </c>
    </row>
    <row r="26" spans="2:19" s="1087" customFormat="1" x14ac:dyDescent="0.25">
      <c r="B26" s="1975"/>
      <c r="C26" s="1975"/>
      <c r="D26" s="1975"/>
      <c r="E26" s="1975"/>
      <c r="F26" s="1975"/>
      <c r="G26" s="1976"/>
      <c r="H26" s="1976"/>
      <c r="I26" s="1976"/>
      <c r="J26" s="1976"/>
      <c r="K26" s="1975"/>
      <c r="L26" s="1980"/>
      <c r="M26" s="1975"/>
      <c r="N26" s="1975"/>
      <c r="O26" s="1975"/>
      <c r="P26" s="1975"/>
      <c r="Q26" s="1975"/>
      <c r="R26" s="1975"/>
      <c r="S26" s="1975">
        <f t="shared" si="0"/>
        <v>0</v>
      </c>
    </row>
    <row r="27" spans="2:19" s="1087" customFormat="1" ht="42" x14ac:dyDescent="0.25">
      <c r="B27" s="1979"/>
      <c r="C27" s="1975" t="s">
        <v>2045</v>
      </c>
      <c r="D27" s="1975"/>
      <c r="E27" s="1975"/>
      <c r="F27" s="1975"/>
      <c r="G27" s="1976"/>
      <c r="H27" s="1976"/>
      <c r="I27" s="1976"/>
      <c r="J27" s="1976"/>
      <c r="K27" s="1975"/>
      <c r="L27" s="1980"/>
      <c r="M27" s="1975"/>
      <c r="N27" s="1975"/>
      <c r="O27" s="1975"/>
      <c r="P27" s="1975"/>
      <c r="Q27" s="1975"/>
      <c r="R27" s="1975"/>
      <c r="S27" s="1975">
        <f t="shared" si="0"/>
        <v>0</v>
      </c>
    </row>
    <row r="28" spans="2:19" s="1087" customFormat="1" x14ac:dyDescent="0.25">
      <c r="B28" s="1975" t="s">
        <v>1494</v>
      </c>
      <c r="C28" s="1975" t="s">
        <v>2046</v>
      </c>
      <c r="D28" s="1975" t="s">
        <v>2047</v>
      </c>
      <c r="E28" s="1975" t="s">
        <v>1485</v>
      </c>
      <c r="F28" s="1975" t="s">
        <v>2048</v>
      </c>
      <c r="G28" s="1976">
        <v>42461</v>
      </c>
      <c r="H28" s="1976"/>
      <c r="I28" s="1976">
        <v>42461</v>
      </c>
      <c r="J28" s="1976"/>
      <c r="K28" s="1975"/>
      <c r="L28" s="1980" t="s">
        <v>2036</v>
      </c>
      <c r="M28" s="1975">
        <v>134.85</v>
      </c>
      <c r="N28" s="1975">
        <f>SUM(F4.2!AC28:AD28)</f>
        <v>80.260000000000005</v>
      </c>
      <c r="O28" s="1975"/>
      <c r="P28" s="1975"/>
      <c r="Q28" s="1975"/>
      <c r="R28" s="1975"/>
      <c r="S28" s="1975">
        <f t="shared" si="0"/>
        <v>-54.589999999999989</v>
      </c>
    </row>
    <row r="29" spans="2:19" s="1087" customFormat="1" ht="28" x14ac:dyDescent="0.25">
      <c r="B29" s="1975"/>
      <c r="C29" s="1975" t="s">
        <v>2049</v>
      </c>
      <c r="D29" s="1975"/>
      <c r="E29" s="1975"/>
      <c r="F29" s="1975"/>
      <c r="G29" s="1976"/>
      <c r="H29" s="1976"/>
      <c r="I29" s="1976"/>
      <c r="J29" s="1976"/>
      <c r="K29" s="1975"/>
      <c r="L29" s="1980"/>
      <c r="M29" s="1975"/>
      <c r="N29" s="1975"/>
      <c r="O29" s="1975"/>
      <c r="P29" s="1975"/>
      <c r="Q29" s="1975"/>
      <c r="R29" s="1975"/>
      <c r="S29" s="1975">
        <f t="shared" si="0"/>
        <v>0</v>
      </c>
    </row>
    <row r="30" spans="2:19" s="1087" customFormat="1" ht="28" x14ac:dyDescent="0.25">
      <c r="B30" s="1979" t="s">
        <v>1497</v>
      </c>
      <c r="C30" s="1975" t="s">
        <v>2049</v>
      </c>
      <c r="D30" s="1975" t="s">
        <v>1498</v>
      </c>
      <c r="E30" s="1975" t="s">
        <v>1499</v>
      </c>
      <c r="F30" s="1975" t="s">
        <v>2048</v>
      </c>
      <c r="G30" s="1976">
        <v>42461</v>
      </c>
      <c r="H30" s="1976"/>
      <c r="I30" s="1976">
        <v>42461</v>
      </c>
      <c r="J30" s="1976"/>
      <c r="K30" s="1975"/>
      <c r="L30" s="1980"/>
      <c r="M30" s="1975">
        <v>152.25</v>
      </c>
      <c r="N30" s="1975">
        <f>SUM(F4.2!AC31:AD31)</f>
        <v>193.56</v>
      </c>
      <c r="O30" s="1975"/>
      <c r="P30" s="1975"/>
      <c r="Q30" s="1975"/>
      <c r="R30" s="1975"/>
      <c r="S30" s="1975">
        <f t="shared" si="0"/>
        <v>41.31</v>
      </c>
    </row>
    <row r="31" spans="2:19" s="1087" customFormat="1" ht="28" x14ac:dyDescent="0.25">
      <c r="B31" s="1975">
        <v>0</v>
      </c>
      <c r="C31" s="1975" t="s">
        <v>2050</v>
      </c>
      <c r="D31" s="1975"/>
      <c r="E31" s="1975"/>
      <c r="F31" s="1975"/>
      <c r="G31" s="1976"/>
      <c r="H31" s="1976"/>
      <c r="I31" s="1976"/>
      <c r="J31" s="1976"/>
      <c r="K31" s="1975"/>
      <c r="L31" s="1980"/>
      <c r="M31" s="1975"/>
      <c r="N31" s="1975"/>
      <c r="O31" s="1975"/>
      <c r="P31" s="1975"/>
      <c r="Q31" s="1975"/>
      <c r="R31" s="1975"/>
      <c r="S31" s="1975">
        <f t="shared" si="0"/>
        <v>0</v>
      </c>
    </row>
    <row r="32" spans="2:19" s="1087" customFormat="1" x14ac:dyDescent="0.25">
      <c r="B32" s="1975" t="s">
        <v>1501</v>
      </c>
      <c r="C32" s="1975" t="s">
        <v>2051</v>
      </c>
      <c r="D32" s="1975" t="s">
        <v>2052</v>
      </c>
      <c r="E32" s="1975" t="s">
        <v>2053</v>
      </c>
      <c r="F32" s="1975" t="s">
        <v>2054</v>
      </c>
      <c r="G32" s="1976">
        <v>42826</v>
      </c>
      <c r="H32" s="1976"/>
      <c r="I32" s="1976">
        <v>42826</v>
      </c>
      <c r="J32" s="1976"/>
      <c r="K32" s="1975"/>
      <c r="L32" s="1980" t="s">
        <v>2036</v>
      </c>
      <c r="M32" s="1975">
        <v>13.12</v>
      </c>
      <c r="N32" s="1975">
        <f>SUM(F4.2!AC34:AD34)</f>
        <v>0</v>
      </c>
      <c r="O32" s="1975"/>
      <c r="P32" s="1975"/>
      <c r="Q32" s="1975"/>
      <c r="R32" s="1975"/>
      <c r="S32" s="1975">
        <f t="shared" si="0"/>
        <v>-13.12</v>
      </c>
    </row>
    <row r="33" spans="1:19" s="1087" customFormat="1" x14ac:dyDescent="0.25">
      <c r="B33" s="1975" t="s">
        <v>1504</v>
      </c>
      <c r="C33" s="1975" t="s">
        <v>2051</v>
      </c>
      <c r="D33" s="1975" t="s">
        <v>1505</v>
      </c>
      <c r="E33" s="1975" t="s">
        <v>1506</v>
      </c>
      <c r="F33" s="1975" t="s">
        <v>2054</v>
      </c>
      <c r="G33" s="1976">
        <v>42826</v>
      </c>
      <c r="H33" s="1976"/>
      <c r="I33" s="1976">
        <v>42826</v>
      </c>
      <c r="J33" s="1976"/>
      <c r="K33" s="1975"/>
      <c r="L33" s="1980" t="s">
        <v>2036</v>
      </c>
      <c r="M33" s="1975">
        <v>13.12</v>
      </c>
      <c r="N33" s="1975">
        <f>SUM(F4.2!AC35:AD35)</f>
        <v>0.45</v>
      </c>
      <c r="O33" s="1975"/>
      <c r="P33" s="1975"/>
      <c r="Q33" s="1975"/>
      <c r="R33" s="1975"/>
      <c r="S33" s="1975">
        <f t="shared" si="0"/>
        <v>-12.67</v>
      </c>
    </row>
    <row r="34" spans="1:19" s="1087" customFormat="1" ht="14.5" x14ac:dyDescent="0.25">
      <c r="A34" s="1088"/>
      <c r="B34" s="2290" t="s">
        <v>1507</v>
      </c>
      <c r="C34" s="1975" t="s">
        <v>2055</v>
      </c>
      <c r="D34" s="2288" t="s">
        <v>2056</v>
      </c>
      <c r="E34" s="1975" t="s">
        <v>2057</v>
      </c>
      <c r="F34" s="1975"/>
      <c r="G34" s="1976">
        <v>43191</v>
      </c>
      <c r="H34" s="1976"/>
      <c r="I34" s="1976">
        <v>43191</v>
      </c>
      <c r="J34" s="1976"/>
      <c r="K34" s="1975"/>
      <c r="L34" s="1980" t="s">
        <v>2036</v>
      </c>
      <c r="M34" s="1975">
        <v>92.4</v>
      </c>
      <c r="N34" s="1975">
        <f>SUM(F4.2!AC38:AD38)</f>
        <v>81.42</v>
      </c>
      <c r="O34" s="1975"/>
      <c r="P34" s="1975"/>
      <c r="Q34" s="1975"/>
      <c r="R34" s="1975"/>
      <c r="S34" s="1975">
        <f t="shared" si="0"/>
        <v>-10.980000000000004</v>
      </c>
    </row>
    <row r="35" spans="1:19" s="1087" customFormat="1" x14ac:dyDescent="0.25">
      <c r="B35" s="2291"/>
      <c r="C35" s="1975" t="s">
        <v>2058</v>
      </c>
      <c r="D35" s="2289"/>
      <c r="E35" s="1975" t="s">
        <v>2057</v>
      </c>
      <c r="F35" s="1975"/>
      <c r="G35" s="1976">
        <v>43191</v>
      </c>
      <c r="H35" s="1976"/>
      <c r="I35" s="1976">
        <v>43191</v>
      </c>
      <c r="J35" s="1976"/>
      <c r="K35" s="1975"/>
      <c r="L35" s="1980" t="s">
        <v>2036</v>
      </c>
      <c r="M35" s="1975">
        <v>25.69</v>
      </c>
      <c r="N35" s="1975">
        <f>SUM(F4.2!AC39:AD39)</f>
        <v>10.27</v>
      </c>
      <c r="O35" s="1975"/>
      <c r="P35" s="1975"/>
      <c r="Q35" s="1975"/>
      <c r="R35" s="1975"/>
      <c r="S35" s="1975">
        <f t="shared" si="0"/>
        <v>-15.420000000000002</v>
      </c>
    </row>
    <row r="36" spans="1:19" s="1087" customFormat="1" x14ac:dyDescent="0.25">
      <c r="B36" s="1975"/>
      <c r="C36" s="1975"/>
      <c r="D36" s="1975"/>
      <c r="E36" s="1975"/>
      <c r="F36" s="1975"/>
      <c r="G36" s="1976"/>
      <c r="H36" s="1976"/>
      <c r="I36" s="1976"/>
      <c r="J36" s="1976"/>
      <c r="K36" s="1975"/>
      <c r="L36" s="1980"/>
      <c r="M36" s="1975"/>
      <c r="N36" s="1975"/>
      <c r="O36" s="1975"/>
      <c r="P36" s="1975"/>
      <c r="Q36" s="1975"/>
      <c r="R36" s="1975"/>
      <c r="S36" s="1975">
        <f t="shared" si="0"/>
        <v>0</v>
      </c>
    </row>
    <row r="37" spans="1:19" s="1087" customFormat="1" x14ac:dyDescent="0.25">
      <c r="B37" s="1975"/>
      <c r="C37" s="1975"/>
      <c r="D37" s="1975"/>
      <c r="E37" s="1975"/>
      <c r="F37" s="1975"/>
      <c r="G37" s="1976"/>
      <c r="H37" s="1976"/>
      <c r="I37" s="1976"/>
      <c r="J37" s="1976"/>
      <c r="K37" s="1975"/>
      <c r="L37" s="1980"/>
      <c r="M37" s="1975"/>
      <c r="N37" s="1975"/>
      <c r="O37" s="1975"/>
      <c r="P37" s="1975"/>
      <c r="Q37" s="1975"/>
      <c r="R37" s="1975"/>
      <c r="S37" s="1975">
        <f t="shared" si="0"/>
        <v>0</v>
      </c>
    </row>
    <row r="38" spans="1:19" s="1087" customFormat="1" ht="28" x14ac:dyDescent="0.25">
      <c r="B38" s="1979" t="s">
        <v>1470</v>
      </c>
      <c r="C38" s="1975" t="s">
        <v>2007</v>
      </c>
      <c r="D38" s="1975" t="s">
        <v>2041</v>
      </c>
      <c r="E38" s="1975" t="s">
        <v>2059</v>
      </c>
      <c r="F38" s="1975" t="s">
        <v>2040</v>
      </c>
      <c r="G38" s="1976">
        <v>43556</v>
      </c>
      <c r="H38" s="1976"/>
      <c r="I38" s="1976">
        <v>43556</v>
      </c>
      <c r="J38" s="1976"/>
      <c r="K38" s="1975"/>
      <c r="L38" s="1980" t="s">
        <v>2036</v>
      </c>
      <c r="M38" s="1975">
        <v>56.07</v>
      </c>
      <c r="N38" s="1975">
        <f>SUM(F4.2!AC42:AD42)</f>
        <v>8.84</v>
      </c>
      <c r="O38" s="1975"/>
      <c r="P38" s="1975"/>
      <c r="Q38" s="1975"/>
      <c r="R38" s="1975"/>
      <c r="S38" s="1975">
        <f t="shared" si="0"/>
        <v>-47.230000000000004</v>
      </c>
    </row>
    <row r="39" spans="1:19" s="1087" customFormat="1" ht="14.5" x14ac:dyDescent="0.25">
      <c r="B39" s="1982"/>
      <c r="C39" s="1975"/>
      <c r="D39" s="1975"/>
      <c r="E39" s="1975"/>
      <c r="F39" s="1975"/>
      <c r="G39" s="1976"/>
      <c r="H39" s="1976"/>
      <c r="I39" s="1976"/>
      <c r="J39" s="1976"/>
      <c r="K39" s="1975"/>
      <c r="L39" s="1980"/>
      <c r="M39" s="1975">
        <v>0</v>
      </c>
      <c r="N39" s="1975"/>
      <c r="O39" s="1975"/>
      <c r="P39" s="1975"/>
      <c r="Q39" s="1975"/>
      <c r="R39" s="1975"/>
      <c r="S39" s="1975">
        <f t="shared" si="0"/>
        <v>0</v>
      </c>
    </row>
    <row r="40" spans="1:19" s="1087" customFormat="1" x14ac:dyDescent="0.25">
      <c r="B40" s="1975" t="s">
        <v>34</v>
      </c>
      <c r="C40" s="1975"/>
      <c r="D40" s="1975"/>
      <c r="E40" s="1975"/>
      <c r="F40" s="1975"/>
      <c r="G40" s="1976"/>
      <c r="H40" s="1976"/>
      <c r="I40" s="1976"/>
      <c r="J40" s="1976"/>
      <c r="K40" s="1975"/>
      <c r="L40" s="1980"/>
      <c r="M40" s="1975">
        <v>0</v>
      </c>
      <c r="N40" s="1975"/>
      <c r="O40" s="1975"/>
      <c r="P40" s="1975"/>
      <c r="Q40" s="1975"/>
      <c r="R40" s="1975"/>
      <c r="S40" s="1975">
        <f t="shared" si="0"/>
        <v>0</v>
      </c>
    </row>
    <row r="41" spans="1:19" s="1087" customFormat="1" ht="28" x14ac:dyDescent="0.25">
      <c r="B41" s="1975"/>
      <c r="C41" s="1975" t="s">
        <v>1471</v>
      </c>
      <c r="D41" s="1975"/>
      <c r="E41" s="1975"/>
      <c r="F41" s="1975"/>
      <c r="G41" s="1976"/>
      <c r="H41" s="1976"/>
      <c r="I41" s="1976"/>
      <c r="J41" s="1976"/>
      <c r="K41" s="1975"/>
      <c r="L41" s="1980"/>
      <c r="M41" s="1975">
        <v>0</v>
      </c>
      <c r="N41" s="1975">
        <f>SUM(F4.2!AC53:AD53)</f>
        <v>3.36</v>
      </c>
      <c r="O41" s="1975"/>
      <c r="P41" s="1975"/>
      <c r="Q41" s="1975"/>
      <c r="R41" s="1975"/>
      <c r="S41" s="1975">
        <f t="shared" si="0"/>
        <v>3.36</v>
      </c>
    </row>
    <row r="42" spans="1:19" s="1087" customFormat="1" ht="28" x14ac:dyDescent="0.25">
      <c r="B42" s="1975"/>
      <c r="C42" s="1975" t="s">
        <v>1472</v>
      </c>
      <c r="D42" s="1975"/>
      <c r="E42" s="1975"/>
      <c r="F42" s="1975"/>
      <c r="G42" s="1976"/>
      <c r="H42" s="1976"/>
      <c r="I42" s="1976"/>
      <c r="J42" s="1976"/>
      <c r="K42" s="1975"/>
      <c r="L42" s="1980"/>
      <c r="M42" s="1975">
        <v>0</v>
      </c>
      <c r="N42" s="1975">
        <f>SUM(F4.2!AC54:AD54)</f>
        <v>0.09</v>
      </c>
      <c r="O42" s="1975"/>
      <c r="P42" s="1975"/>
      <c r="Q42" s="1975"/>
      <c r="R42" s="1975"/>
      <c r="S42" s="1975">
        <f t="shared" si="0"/>
        <v>0.09</v>
      </c>
    </row>
    <row r="43" spans="1:19" s="1087" customFormat="1" ht="28" x14ac:dyDescent="0.25">
      <c r="B43" s="1975"/>
      <c r="C43" s="1975" t="s">
        <v>1473</v>
      </c>
      <c r="D43" s="1975"/>
      <c r="E43" s="1975"/>
      <c r="F43" s="1975"/>
      <c r="G43" s="1976"/>
      <c r="H43" s="1976"/>
      <c r="I43" s="1976"/>
      <c r="J43" s="1976"/>
      <c r="K43" s="1975"/>
      <c r="L43" s="1980"/>
      <c r="M43" s="1975">
        <v>0</v>
      </c>
      <c r="N43" s="1975">
        <f>SUM(F4.2!AC55:AD55)</f>
        <v>56.06</v>
      </c>
      <c r="O43" s="1975"/>
      <c r="P43" s="1975"/>
      <c r="Q43" s="1975"/>
      <c r="R43" s="1975"/>
      <c r="S43" s="1975">
        <f t="shared" si="0"/>
        <v>56.06</v>
      </c>
    </row>
    <row r="44" spans="1:19" s="1087" customFormat="1" ht="42" x14ac:dyDescent="0.25">
      <c r="B44" s="1975"/>
      <c r="C44" s="1975" t="s">
        <v>2060</v>
      </c>
      <c r="D44" s="1975"/>
      <c r="E44" s="1975"/>
      <c r="F44" s="1975"/>
      <c r="G44" s="1976"/>
      <c r="H44" s="1976"/>
      <c r="I44" s="1976"/>
      <c r="J44" s="1976"/>
      <c r="K44" s="1975"/>
      <c r="L44" s="1980"/>
      <c r="M44" s="1975">
        <v>0</v>
      </c>
      <c r="N44" s="1975">
        <f>SUM(F4.2!AC56:AD56)</f>
        <v>2.1100000000000003</v>
      </c>
      <c r="O44" s="1975"/>
      <c r="P44" s="1975"/>
      <c r="Q44" s="1975"/>
      <c r="R44" s="1975"/>
      <c r="S44" s="1975">
        <f t="shared" si="0"/>
        <v>2.1100000000000003</v>
      </c>
    </row>
    <row r="45" spans="1:19" s="1087" customFormat="1" x14ac:dyDescent="0.25">
      <c r="B45" s="1975"/>
      <c r="C45" s="1975" t="s">
        <v>1475</v>
      </c>
      <c r="D45" s="1975"/>
      <c r="E45" s="1975"/>
      <c r="F45" s="1975"/>
      <c r="G45" s="1976"/>
      <c r="H45" s="1976"/>
      <c r="I45" s="1976"/>
      <c r="J45" s="1976"/>
      <c r="K45" s="1975"/>
      <c r="L45" s="1980"/>
      <c r="M45" s="1975">
        <v>0</v>
      </c>
      <c r="N45" s="1975"/>
      <c r="O45" s="1975"/>
      <c r="P45" s="1975"/>
      <c r="Q45" s="1975"/>
      <c r="R45" s="1975"/>
      <c r="S45" s="1975">
        <f t="shared" si="0"/>
        <v>0</v>
      </c>
    </row>
    <row r="46" spans="1:19" s="1089" customFormat="1" x14ac:dyDescent="0.25">
      <c r="B46" s="1983" t="s">
        <v>5</v>
      </c>
      <c r="C46" s="1983"/>
      <c r="D46" s="1983"/>
      <c r="E46" s="1983"/>
      <c r="F46" s="1983"/>
      <c r="G46" s="1984"/>
      <c r="H46" s="1984"/>
      <c r="I46" s="1984"/>
      <c r="J46" s="1984"/>
      <c r="K46" s="1983"/>
      <c r="L46" s="1983"/>
      <c r="M46" s="1983">
        <f>SUM(M17:M45)</f>
        <v>825.49000000000012</v>
      </c>
      <c r="N46" s="1983">
        <f>SUM(N17:N45)</f>
        <v>502.46999999999997</v>
      </c>
      <c r="O46" s="1983">
        <f>SUM(O18:O45)</f>
        <v>0</v>
      </c>
      <c r="P46" s="1983">
        <f>SUM(P18:P45)</f>
        <v>0</v>
      </c>
      <c r="Q46" s="1983">
        <f>SUM(Q18:Q45)</f>
        <v>0</v>
      </c>
      <c r="R46" s="1983">
        <f>SUM(R18:R45)</f>
        <v>0</v>
      </c>
      <c r="S46" s="1983">
        <f>SUM(S17:S45)</f>
        <v>-323.02000000000004</v>
      </c>
    </row>
    <row r="47" spans="1:19" s="1087" customFormat="1" x14ac:dyDescent="0.25">
      <c r="B47" s="1985"/>
      <c r="C47" s="1985"/>
      <c r="D47" s="1985"/>
      <c r="E47" s="1985"/>
      <c r="F47" s="1985"/>
      <c r="G47" s="1986"/>
      <c r="H47" s="1986"/>
      <c r="I47" s="1986"/>
      <c r="J47" s="1986"/>
      <c r="K47" s="1985"/>
      <c r="L47" s="1985"/>
      <c r="M47" s="1985"/>
      <c r="N47" s="1985"/>
      <c r="O47" s="1985"/>
      <c r="P47" s="1985"/>
      <c r="Q47" s="1985"/>
      <c r="R47" s="1985"/>
      <c r="S47" s="1985"/>
    </row>
    <row r="48" spans="1:19" s="1087" customFormat="1" ht="14" customHeight="1" x14ac:dyDescent="0.25">
      <c r="B48" s="2300" t="s">
        <v>26</v>
      </c>
      <c r="C48" s="2300" t="s">
        <v>1</v>
      </c>
      <c r="D48" s="2300" t="s">
        <v>617</v>
      </c>
      <c r="E48" s="2300" t="s">
        <v>618</v>
      </c>
      <c r="F48" s="2300" t="s">
        <v>6</v>
      </c>
      <c r="G48" s="2292" t="s">
        <v>2</v>
      </c>
      <c r="H48" s="2293"/>
      <c r="I48" s="2294"/>
      <c r="J48" s="2295" t="s">
        <v>13</v>
      </c>
      <c r="K48" s="2296"/>
      <c r="L48" s="2297"/>
      <c r="M48" s="2295" t="s">
        <v>619</v>
      </c>
      <c r="N48" s="2296"/>
      <c r="O48" s="2296"/>
      <c r="P48" s="2296"/>
      <c r="Q48" s="2296"/>
      <c r="R48" s="2296"/>
      <c r="S48" s="2297"/>
    </row>
    <row r="49" spans="2:19" s="1087" customFormat="1" ht="14" customHeight="1" x14ac:dyDescent="0.25">
      <c r="B49" s="2302"/>
      <c r="C49" s="2302"/>
      <c r="D49" s="2302"/>
      <c r="E49" s="2302"/>
      <c r="F49" s="2302"/>
      <c r="G49" s="2298" t="s">
        <v>17</v>
      </c>
      <c r="H49" s="2298" t="s">
        <v>14</v>
      </c>
      <c r="I49" s="2298" t="s">
        <v>620</v>
      </c>
      <c r="J49" s="2298" t="s">
        <v>17</v>
      </c>
      <c r="K49" s="2300" t="s">
        <v>14</v>
      </c>
      <c r="L49" s="2300" t="s">
        <v>12</v>
      </c>
      <c r="M49" s="2300" t="s">
        <v>37</v>
      </c>
      <c r="N49" s="2300" t="s">
        <v>621</v>
      </c>
      <c r="O49" s="2285" t="s">
        <v>787</v>
      </c>
      <c r="P49" s="2286"/>
      <c r="Q49" s="2286"/>
      <c r="R49" s="2286"/>
      <c r="S49" s="2287"/>
    </row>
    <row r="50" spans="2:19" s="1087" customFormat="1" ht="28" x14ac:dyDescent="0.25">
      <c r="B50" s="2301"/>
      <c r="C50" s="2301"/>
      <c r="D50" s="2301"/>
      <c r="E50" s="2301"/>
      <c r="F50" s="2301"/>
      <c r="G50" s="2299"/>
      <c r="H50" s="2299"/>
      <c r="I50" s="2299"/>
      <c r="J50" s="2299"/>
      <c r="K50" s="2301"/>
      <c r="L50" s="2301"/>
      <c r="M50" s="2301"/>
      <c r="N50" s="2301"/>
      <c r="O50" s="1973" t="s">
        <v>788</v>
      </c>
      <c r="P50" s="1973" t="s">
        <v>789</v>
      </c>
      <c r="Q50" s="1973" t="s">
        <v>790</v>
      </c>
      <c r="R50" s="1973" t="s">
        <v>791</v>
      </c>
      <c r="S50" s="1973" t="s">
        <v>792</v>
      </c>
    </row>
    <row r="51" spans="2:19" s="1087" customFormat="1" x14ac:dyDescent="0.25">
      <c r="B51" s="1974" t="s">
        <v>186</v>
      </c>
      <c r="C51" s="1975"/>
      <c r="D51" s="1975"/>
      <c r="E51" s="1975"/>
      <c r="F51" s="1975"/>
      <c r="G51" s="1976"/>
      <c r="H51" s="1976"/>
      <c r="I51" s="1976"/>
      <c r="J51" s="1976"/>
      <c r="K51" s="1975"/>
      <c r="L51" s="1975"/>
      <c r="M51" s="1975"/>
      <c r="N51" s="1975"/>
      <c r="O51" s="1975"/>
      <c r="P51" s="1975"/>
      <c r="Q51" s="1975"/>
      <c r="R51" s="1975"/>
      <c r="S51" s="1977"/>
    </row>
    <row r="52" spans="2:19" s="1087" customFormat="1" x14ac:dyDescent="0.25">
      <c r="B52" s="1978" t="s">
        <v>33</v>
      </c>
      <c r="C52" s="1975"/>
      <c r="D52" s="1975"/>
      <c r="E52" s="1975"/>
      <c r="F52" s="1975"/>
      <c r="G52" s="1976"/>
      <c r="H52" s="1976"/>
      <c r="I52" s="1976"/>
      <c r="J52" s="1976"/>
      <c r="K52" s="1975"/>
      <c r="L52" s="1975"/>
      <c r="M52" s="1975"/>
      <c r="N52" s="1975"/>
      <c r="O52" s="1975"/>
      <c r="P52" s="1975"/>
      <c r="Q52" s="1975"/>
      <c r="R52" s="1975"/>
      <c r="S52" s="1977"/>
    </row>
    <row r="53" spans="2:19" s="1087" customFormat="1" x14ac:dyDescent="0.25">
      <c r="B53" s="1979" t="s">
        <v>35</v>
      </c>
      <c r="C53" s="1975"/>
      <c r="D53" s="1975"/>
      <c r="E53" s="1975"/>
      <c r="F53" s="1975"/>
      <c r="G53" s="1976"/>
      <c r="H53" s="1976"/>
      <c r="I53" s="1976"/>
      <c r="J53" s="1976"/>
      <c r="K53" s="1975"/>
      <c r="L53" s="1975"/>
      <c r="M53" s="1975"/>
      <c r="N53" s="1975"/>
      <c r="O53" s="1975"/>
      <c r="P53" s="1975"/>
      <c r="Q53" s="1975"/>
      <c r="R53" s="1975"/>
      <c r="S53" s="1977"/>
    </row>
    <row r="54" spans="2:19" s="1087" customFormat="1" x14ac:dyDescent="0.25">
      <c r="B54" s="1979"/>
      <c r="C54" s="1975" t="s">
        <v>1468</v>
      </c>
      <c r="D54" s="1975"/>
      <c r="E54" s="1975"/>
      <c r="F54" s="1975"/>
      <c r="G54" s="1976"/>
      <c r="H54" s="1976"/>
      <c r="I54" s="1976"/>
      <c r="J54" s="1976"/>
      <c r="K54" s="1975"/>
      <c r="L54" s="1980"/>
      <c r="M54" s="1975"/>
      <c r="N54" s="1975"/>
      <c r="O54" s="1975"/>
      <c r="P54" s="1975"/>
      <c r="Q54" s="1975"/>
      <c r="R54" s="1975"/>
      <c r="S54" s="1977"/>
    </row>
    <row r="55" spans="2:19" s="1087" customFormat="1" ht="28" x14ac:dyDescent="0.25">
      <c r="B55" s="1975" t="s">
        <v>1477</v>
      </c>
      <c r="C55" s="1975" t="s">
        <v>2031</v>
      </c>
      <c r="D55" s="1975" t="s">
        <v>2035</v>
      </c>
      <c r="E55" s="1975" t="s">
        <v>1479</v>
      </c>
      <c r="F55" s="1975" t="s">
        <v>2034</v>
      </c>
      <c r="G55" s="1976">
        <v>42461</v>
      </c>
      <c r="H55" s="1976"/>
      <c r="I55" s="1976">
        <v>42461</v>
      </c>
      <c r="J55" s="1976">
        <v>43555</v>
      </c>
      <c r="K55" s="1975"/>
      <c r="L55" s="1980" t="s">
        <v>2036</v>
      </c>
      <c r="M55" s="1975">
        <v>82.23</v>
      </c>
      <c r="N55" s="1975">
        <f>SUM(F4.2!AD$18:AE$18)</f>
        <v>0</v>
      </c>
      <c r="O55" s="1975"/>
      <c r="P55" s="1975"/>
      <c r="Q55" s="1975"/>
      <c r="R55" s="1975"/>
      <c r="S55" s="1975">
        <f>N55-M55</f>
        <v>-82.23</v>
      </c>
    </row>
    <row r="56" spans="2:19" s="1087" customFormat="1" x14ac:dyDescent="0.25">
      <c r="B56" s="1975" t="s">
        <v>2061</v>
      </c>
      <c r="C56" s="1975" t="s">
        <v>2031</v>
      </c>
      <c r="D56" s="1975" t="s">
        <v>2062</v>
      </c>
      <c r="E56" s="1975" t="s">
        <v>2063</v>
      </c>
      <c r="F56" s="1975" t="s">
        <v>2034</v>
      </c>
      <c r="G56" s="1976">
        <v>43922</v>
      </c>
      <c r="H56" s="1976"/>
      <c r="I56" s="1976">
        <v>43922</v>
      </c>
      <c r="J56" s="1976">
        <v>45747</v>
      </c>
      <c r="K56" s="1975"/>
      <c r="L56" s="1980" t="s">
        <v>2036</v>
      </c>
      <c r="M56" s="1975">
        <v>27.4</v>
      </c>
      <c r="N56" s="1975">
        <f>SUM(F4.2!AD$19:AE$19)</f>
        <v>0</v>
      </c>
      <c r="O56" s="1975"/>
      <c r="P56" s="1975"/>
      <c r="Q56" s="1975"/>
      <c r="R56" s="1975"/>
      <c r="S56" s="1975">
        <f t="shared" ref="S56:S85" si="1">N56-M56</f>
        <v>-27.4</v>
      </c>
    </row>
    <row r="57" spans="2:19" s="1087" customFormat="1" x14ac:dyDescent="0.25">
      <c r="B57" s="1975"/>
      <c r="C57" s="1975"/>
      <c r="D57" s="1975"/>
      <c r="E57" s="1975"/>
      <c r="F57" s="1975"/>
      <c r="G57" s="1976"/>
      <c r="H57" s="1976"/>
      <c r="I57" s="1976"/>
      <c r="J57" s="1976"/>
      <c r="K57" s="1975"/>
      <c r="L57" s="1980"/>
      <c r="M57" s="1975"/>
      <c r="N57" s="1975"/>
      <c r="O57" s="1975"/>
      <c r="P57" s="1975"/>
      <c r="Q57" s="1975"/>
      <c r="R57" s="1975"/>
      <c r="S57" s="1975">
        <f t="shared" si="1"/>
        <v>0</v>
      </c>
    </row>
    <row r="58" spans="2:19" s="1087" customFormat="1" x14ac:dyDescent="0.25">
      <c r="B58" s="1979" t="s">
        <v>2037</v>
      </c>
      <c r="C58" s="1975"/>
      <c r="D58" s="1975"/>
      <c r="E58" s="1975"/>
      <c r="F58" s="1975"/>
      <c r="G58" s="1976"/>
      <c r="H58" s="1976"/>
      <c r="I58" s="1976"/>
      <c r="J58" s="1976"/>
      <c r="K58" s="1975"/>
      <c r="L58" s="1980"/>
      <c r="M58" s="1975"/>
      <c r="N58" s="1975"/>
      <c r="O58" s="1975"/>
      <c r="P58" s="1975"/>
      <c r="Q58" s="1975"/>
      <c r="R58" s="1975"/>
      <c r="S58" s="1975">
        <f t="shared" si="1"/>
        <v>0</v>
      </c>
    </row>
    <row r="59" spans="2:19" s="1087" customFormat="1" ht="28" x14ac:dyDescent="0.25">
      <c r="B59" s="1975" t="s">
        <v>1480</v>
      </c>
      <c r="C59" s="1975" t="s">
        <v>2038</v>
      </c>
      <c r="D59" s="1975" t="s">
        <v>2039</v>
      </c>
      <c r="E59" s="1975" t="s">
        <v>1482</v>
      </c>
      <c r="F59" s="1975" t="s">
        <v>2040</v>
      </c>
      <c r="G59" s="1976">
        <v>42095</v>
      </c>
      <c r="H59" s="1976"/>
      <c r="I59" s="1976">
        <v>42095</v>
      </c>
      <c r="J59" s="1976">
        <v>42460</v>
      </c>
      <c r="K59" s="1975"/>
      <c r="L59" s="1980" t="s">
        <v>2036</v>
      </c>
      <c r="M59" s="1975">
        <v>36.630000000000003</v>
      </c>
      <c r="N59" s="1975">
        <f>SUM(F4.2!AD$21:AE$21)</f>
        <v>5.31</v>
      </c>
      <c r="O59" s="1975"/>
      <c r="P59" s="1975"/>
      <c r="Q59" s="1975"/>
      <c r="R59" s="1975"/>
      <c r="S59" s="1975">
        <f t="shared" si="1"/>
        <v>-31.320000000000004</v>
      </c>
    </row>
    <row r="60" spans="2:19" s="1087" customFormat="1" ht="28" x14ac:dyDescent="0.25">
      <c r="B60" s="1975" t="s">
        <v>1483</v>
      </c>
      <c r="C60" s="1975" t="s">
        <v>2038</v>
      </c>
      <c r="D60" s="1975" t="s">
        <v>2042</v>
      </c>
      <c r="E60" s="1975" t="s">
        <v>1485</v>
      </c>
      <c r="F60" s="1975" t="s">
        <v>2040</v>
      </c>
      <c r="G60" s="1976">
        <v>42461</v>
      </c>
      <c r="H60" s="1976"/>
      <c r="I60" s="1976">
        <v>42461</v>
      </c>
      <c r="J60" s="1976">
        <v>43921</v>
      </c>
      <c r="K60" s="1975"/>
      <c r="L60" s="1980" t="s">
        <v>2036</v>
      </c>
      <c r="M60" s="1975">
        <v>64.09</v>
      </c>
      <c r="N60" s="1975">
        <f>SUM(F4.2!AD$22:AE$22)</f>
        <v>1.85</v>
      </c>
      <c r="O60" s="1975"/>
      <c r="P60" s="1975"/>
      <c r="Q60" s="1975"/>
      <c r="R60" s="1975"/>
      <c r="S60" s="1975">
        <f t="shared" si="1"/>
        <v>-62.24</v>
      </c>
    </row>
    <row r="61" spans="2:19" s="1087" customFormat="1" ht="28" x14ac:dyDescent="0.25">
      <c r="B61" s="1975" t="s">
        <v>1486</v>
      </c>
      <c r="C61" s="1975" t="s">
        <v>2038</v>
      </c>
      <c r="D61" s="1975" t="s">
        <v>2042</v>
      </c>
      <c r="E61" s="1975" t="s">
        <v>1485</v>
      </c>
      <c r="F61" s="1975" t="s">
        <v>2040</v>
      </c>
      <c r="G61" s="1976">
        <v>42461</v>
      </c>
      <c r="H61" s="1976"/>
      <c r="I61" s="1976">
        <v>42461</v>
      </c>
      <c r="J61" s="1976">
        <v>43921</v>
      </c>
      <c r="K61" s="1975"/>
      <c r="L61" s="1980" t="s">
        <v>2036</v>
      </c>
      <c r="M61" s="1975">
        <v>58.86</v>
      </c>
      <c r="N61" s="1975">
        <f>SUM(F4.2!AD$23:AE$23)</f>
        <v>2.2400000000000002</v>
      </c>
      <c r="O61" s="1975"/>
      <c r="P61" s="1975"/>
      <c r="Q61" s="1975"/>
      <c r="R61" s="1975"/>
      <c r="S61" s="1975">
        <f t="shared" si="1"/>
        <v>-56.62</v>
      </c>
    </row>
    <row r="62" spans="2:19" s="1087" customFormat="1" ht="28" x14ac:dyDescent="0.25">
      <c r="B62" s="1975" t="s">
        <v>1487</v>
      </c>
      <c r="C62" s="1975" t="s">
        <v>2038</v>
      </c>
      <c r="D62" s="1975" t="s">
        <v>2043</v>
      </c>
      <c r="E62" s="1975" t="s">
        <v>1489</v>
      </c>
      <c r="F62" s="1975" t="s">
        <v>2040</v>
      </c>
      <c r="G62" s="1976">
        <v>42826</v>
      </c>
      <c r="H62" s="1976"/>
      <c r="I62" s="1976">
        <v>42826</v>
      </c>
      <c r="J62" s="1976">
        <v>43921</v>
      </c>
      <c r="K62" s="1975"/>
      <c r="L62" s="1980" t="s">
        <v>2036</v>
      </c>
      <c r="M62" s="1975">
        <v>15.58</v>
      </c>
      <c r="N62" s="1975">
        <f>SUM(F4.2!AD$24:AE$24)</f>
        <v>4.62</v>
      </c>
      <c r="O62" s="1975"/>
      <c r="P62" s="1975"/>
      <c r="Q62" s="1975"/>
      <c r="R62" s="1975"/>
      <c r="S62" s="1975">
        <f t="shared" si="1"/>
        <v>-10.96</v>
      </c>
    </row>
    <row r="63" spans="2:19" s="1087" customFormat="1" ht="28" x14ac:dyDescent="0.25">
      <c r="B63" s="1975" t="s">
        <v>1490</v>
      </c>
      <c r="C63" s="1975" t="s">
        <v>2038</v>
      </c>
      <c r="D63" s="1975" t="s">
        <v>2044</v>
      </c>
      <c r="E63" s="1975" t="s">
        <v>1492</v>
      </c>
      <c r="F63" s="1975" t="s">
        <v>2040</v>
      </c>
      <c r="G63" s="1976">
        <v>43556</v>
      </c>
      <c r="H63" s="1976"/>
      <c r="I63" s="1976">
        <v>43556</v>
      </c>
      <c r="J63" s="1976">
        <v>45747</v>
      </c>
      <c r="K63" s="1975"/>
      <c r="L63" s="1980" t="s">
        <v>2036</v>
      </c>
      <c r="M63" s="1975">
        <v>40.6</v>
      </c>
      <c r="N63" s="1975">
        <f>SUM(F4.2!AD$25:AE$25)</f>
        <v>16.73</v>
      </c>
      <c r="O63" s="1975"/>
      <c r="P63" s="1975"/>
      <c r="Q63" s="1975"/>
      <c r="R63" s="1975"/>
      <c r="S63" s="1975">
        <f t="shared" si="1"/>
        <v>-23.87</v>
      </c>
    </row>
    <row r="64" spans="2:19" s="1087" customFormat="1" x14ac:dyDescent="0.25">
      <c r="B64" s="1975"/>
      <c r="C64" s="1975"/>
      <c r="D64" s="1975"/>
      <c r="E64" s="1975"/>
      <c r="F64" s="1975"/>
      <c r="G64" s="1976"/>
      <c r="H64" s="1976"/>
      <c r="I64" s="1976"/>
      <c r="J64" s="1976"/>
      <c r="K64" s="1975"/>
      <c r="L64" s="1980"/>
      <c r="M64" s="1975"/>
      <c r="N64" s="1975"/>
      <c r="O64" s="1975"/>
      <c r="P64" s="1975"/>
      <c r="Q64" s="1975"/>
      <c r="R64" s="1975"/>
      <c r="S64" s="1975">
        <f t="shared" si="1"/>
        <v>0</v>
      </c>
    </row>
    <row r="65" spans="2:19" s="1087" customFormat="1" ht="28" x14ac:dyDescent="0.25">
      <c r="B65" s="1979" t="s">
        <v>2045</v>
      </c>
      <c r="C65" s="1975"/>
      <c r="D65" s="1975"/>
      <c r="E65" s="1975"/>
      <c r="F65" s="1975"/>
      <c r="G65" s="1976"/>
      <c r="H65" s="1976"/>
      <c r="I65" s="1976"/>
      <c r="J65" s="1976"/>
      <c r="K65" s="1975"/>
      <c r="L65" s="1980"/>
      <c r="M65" s="1975"/>
      <c r="N65" s="1975"/>
      <c r="O65" s="1975"/>
      <c r="P65" s="1975"/>
      <c r="Q65" s="1975"/>
      <c r="R65" s="1975"/>
      <c r="S65" s="1975">
        <f t="shared" si="1"/>
        <v>0</v>
      </c>
    </row>
    <row r="66" spans="2:19" s="1087" customFormat="1" x14ac:dyDescent="0.25">
      <c r="B66" s="1975" t="s">
        <v>1494</v>
      </c>
      <c r="C66" s="1975" t="s">
        <v>2046</v>
      </c>
      <c r="D66" s="1975" t="s">
        <v>2047</v>
      </c>
      <c r="E66" s="1975" t="s">
        <v>1485</v>
      </c>
      <c r="F66" s="1975" t="s">
        <v>2048</v>
      </c>
      <c r="G66" s="1976">
        <v>42461</v>
      </c>
      <c r="H66" s="1976"/>
      <c r="I66" s="1976">
        <v>42461</v>
      </c>
      <c r="J66" s="1976"/>
      <c r="K66" s="1975"/>
      <c r="L66" s="1980" t="s">
        <v>2036</v>
      </c>
      <c r="M66" s="1975">
        <v>134.85</v>
      </c>
      <c r="N66" s="1975">
        <f>SUM(F4.2!AD$28:AE$28)</f>
        <v>18.38</v>
      </c>
      <c r="O66" s="1975"/>
      <c r="P66" s="1975"/>
      <c r="Q66" s="1975"/>
      <c r="R66" s="1975"/>
      <c r="S66" s="1975">
        <f t="shared" si="1"/>
        <v>-116.47</v>
      </c>
    </row>
    <row r="67" spans="2:19" s="1087" customFormat="1" x14ac:dyDescent="0.25">
      <c r="B67" s="1975" t="s">
        <v>2064</v>
      </c>
      <c r="C67" s="1975" t="s">
        <v>2046</v>
      </c>
      <c r="D67" s="1975" t="s">
        <v>2065</v>
      </c>
      <c r="E67" s="1975" t="s">
        <v>1492</v>
      </c>
      <c r="F67" s="1975" t="s">
        <v>2048</v>
      </c>
      <c r="G67" s="1976">
        <v>43922</v>
      </c>
      <c r="H67" s="1976"/>
      <c r="I67" s="1976">
        <v>43922</v>
      </c>
      <c r="J67" s="1976"/>
      <c r="K67" s="1975"/>
      <c r="L67" s="1980" t="s">
        <v>2036</v>
      </c>
      <c r="M67" s="1975">
        <v>147.65</v>
      </c>
      <c r="N67" s="1975">
        <f>SUM(F4.2!AD$29:AE$29)</f>
        <v>18.260000000000002</v>
      </c>
      <c r="O67" s="1975"/>
      <c r="P67" s="1975"/>
      <c r="Q67" s="1975"/>
      <c r="R67" s="1975"/>
      <c r="S67" s="1975">
        <f t="shared" si="1"/>
        <v>-129.39000000000001</v>
      </c>
    </row>
    <row r="68" spans="2:19" s="1087" customFormat="1" ht="28" x14ac:dyDescent="0.25">
      <c r="B68" s="1979"/>
      <c r="C68" s="1975" t="s">
        <v>2049</v>
      </c>
      <c r="D68" s="1975"/>
      <c r="E68" s="1975"/>
      <c r="F68" s="1975"/>
      <c r="G68" s="1976"/>
      <c r="H68" s="1976"/>
      <c r="I68" s="1976"/>
      <c r="J68" s="1976"/>
      <c r="K68" s="1975"/>
      <c r="L68" s="1980"/>
      <c r="M68" s="1975"/>
      <c r="N68" s="1975"/>
      <c r="O68" s="1975"/>
      <c r="P68" s="1975"/>
      <c r="Q68" s="1975"/>
      <c r="R68" s="1975"/>
      <c r="S68" s="1975">
        <f t="shared" si="1"/>
        <v>0</v>
      </c>
    </row>
    <row r="69" spans="2:19" s="1087" customFormat="1" ht="28" x14ac:dyDescent="0.25">
      <c r="B69" s="1975" t="s">
        <v>1497</v>
      </c>
      <c r="C69" s="1975" t="s">
        <v>2049</v>
      </c>
      <c r="D69" s="1975" t="s">
        <v>1498</v>
      </c>
      <c r="E69" s="1975" t="s">
        <v>1499</v>
      </c>
      <c r="F69" s="1975" t="s">
        <v>2048</v>
      </c>
      <c r="G69" s="1976">
        <v>42461</v>
      </c>
      <c r="H69" s="1976"/>
      <c r="I69" s="1976">
        <v>42461</v>
      </c>
      <c r="J69" s="1976"/>
      <c r="K69" s="1975"/>
      <c r="L69" s="1980"/>
      <c r="M69" s="1975">
        <v>152.25</v>
      </c>
      <c r="N69" s="1975">
        <f>SUM(F4.2!AD$31:AE$31)</f>
        <v>54.13</v>
      </c>
      <c r="O69" s="1975"/>
      <c r="P69" s="1975"/>
      <c r="Q69" s="1975"/>
      <c r="R69" s="1975"/>
      <c r="S69" s="1975">
        <f t="shared" si="1"/>
        <v>-98.12</v>
      </c>
    </row>
    <row r="70" spans="2:19" s="1087" customFormat="1" ht="28" x14ac:dyDescent="0.25">
      <c r="B70" s="1975" t="s">
        <v>2066</v>
      </c>
      <c r="C70" s="1975" t="s">
        <v>2049</v>
      </c>
      <c r="D70" s="1975" t="s">
        <v>2067</v>
      </c>
      <c r="E70" s="1975" t="s">
        <v>2068</v>
      </c>
      <c r="F70" s="1975" t="s">
        <v>2048</v>
      </c>
      <c r="G70" s="1976">
        <v>43922</v>
      </c>
      <c r="H70" s="1976"/>
      <c r="I70" s="1976">
        <v>43922</v>
      </c>
      <c r="J70" s="1976"/>
      <c r="K70" s="1975"/>
      <c r="L70" s="1980" t="s">
        <v>2036</v>
      </c>
      <c r="M70" s="1975">
        <v>246.2</v>
      </c>
      <c r="N70" s="1975">
        <f>SUM(F4.2!AD$32:AE$32)</f>
        <v>57.37</v>
      </c>
      <c r="O70" s="1975"/>
      <c r="P70" s="1975"/>
      <c r="Q70" s="1975"/>
      <c r="R70" s="1975"/>
      <c r="S70" s="1975">
        <f t="shared" si="1"/>
        <v>-188.82999999999998</v>
      </c>
    </row>
    <row r="71" spans="2:19" x14ac:dyDescent="0.25">
      <c r="B71" s="1979" t="s">
        <v>2050</v>
      </c>
      <c r="C71" s="1975"/>
      <c r="D71" s="1975"/>
      <c r="E71" s="1975"/>
      <c r="F71" s="1975"/>
      <c r="G71" s="1976"/>
      <c r="H71" s="1976"/>
      <c r="I71" s="1976"/>
      <c r="J71" s="1976"/>
      <c r="K71" s="1975"/>
      <c r="L71" s="1980"/>
      <c r="M71" s="1975"/>
      <c r="N71" s="1975"/>
      <c r="O71" s="1975"/>
      <c r="P71" s="1975"/>
      <c r="Q71" s="1975"/>
      <c r="R71" s="1975"/>
      <c r="S71" s="1975">
        <f t="shared" si="1"/>
        <v>0</v>
      </c>
    </row>
    <row r="72" spans="2:19" s="602" customFormat="1" x14ac:dyDescent="0.25">
      <c r="B72" s="1975" t="s">
        <v>1501</v>
      </c>
      <c r="C72" s="1975" t="s">
        <v>2051</v>
      </c>
      <c r="D72" s="1975" t="s">
        <v>2052</v>
      </c>
      <c r="E72" s="1975" t="s">
        <v>2053</v>
      </c>
      <c r="F72" s="1975" t="s">
        <v>2054</v>
      </c>
      <c r="G72" s="1976">
        <v>42826</v>
      </c>
      <c r="H72" s="1976"/>
      <c r="I72" s="1976">
        <v>42826</v>
      </c>
      <c r="J72" s="1976"/>
      <c r="K72" s="1975"/>
      <c r="L72" s="1980" t="s">
        <v>2036</v>
      </c>
      <c r="M72" s="1975">
        <v>13.12</v>
      </c>
      <c r="N72" s="1975">
        <f>SUM(F4.2!AD$34:AE$34)</f>
        <v>0</v>
      </c>
      <c r="O72" s="1975"/>
      <c r="P72" s="1975"/>
      <c r="Q72" s="1975"/>
      <c r="R72" s="1975"/>
      <c r="S72" s="1975">
        <f t="shared" si="1"/>
        <v>-13.12</v>
      </c>
    </row>
    <row r="73" spans="2:19" s="602" customFormat="1" x14ac:dyDescent="0.25">
      <c r="B73" s="1975" t="s">
        <v>1504</v>
      </c>
      <c r="C73" s="1975" t="s">
        <v>2069</v>
      </c>
      <c r="D73" s="1975" t="s">
        <v>2052</v>
      </c>
      <c r="E73" s="1975" t="s">
        <v>2070</v>
      </c>
      <c r="F73" s="1975" t="s">
        <v>2054</v>
      </c>
      <c r="G73" s="1976">
        <v>43191</v>
      </c>
      <c r="H73" s="1976"/>
      <c r="I73" s="1976">
        <v>43191</v>
      </c>
      <c r="J73" s="1976"/>
      <c r="K73" s="1975"/>
      <c r="L73" s="1980" t="s">
        <v>2036</v>
      </c>
      <c r="M73" s="1975">
        <v>9.2200000000000006</v>
      </c>
      <c r="N73" s="1975">
        <f>SUM(F4.2!AD$35:AE$35)</f>
        <v>0.39</v>
      </c>
      <c r="O73" s="1975"/>
      <c r="P73" s="1975"/>
      <c r="Q73" s="1975"/>
      <c r="R73" s="1975"/>
      <c r="S73" s="1975">
        <f t="shared" si="1"/>
        <v>-8.83</v>
      </c>
    </row>
    <row r="74" spans="2:19" s="602" customFormat="1" x14ac:dyDescent="0.25">
      <c r="B74" s="1975" t="s">
        <v>2071</v>
      </c>
      <c r="C74" s="1975"/>
      <c r="D74" s="1975"/>
      <c r="E74" s="1975"/>
      <c r="F74" s="1975"/>
      <c r="G74" s="1976"/>
      <c r="H74" s="1976"/>
      <c r="I74" s="1976"/>
      <c r="J74" s="1976"/>
      <c r="K74" s="1975"/>
      <c r="L74" s="1980"/>
      <c r="M74" s="1975"/>
      <c r="N74" s="1975"/>
      <c r="O74" s="1975"/>
      <c r="P74" s="1975"/>
      <c r="Q74" s="1975"/>
      <c r="R74" s="1975"/>
      <c r="S74" s="1975">
        <f t="shared" si="1"/>
        <v>0</v>
      </c>
    </row>
    <row r="75" spans="2:19" s="602" customFormat="1" x14ac:dyDescent="0.25">
      <c r="B75" s="1979" t="s">
        <v>2072</v>
      </c>
      <c r="C75" s="1975" t="s">
        <v>2073</v>
      </c>
      <c r="D75" s="1975" t="s">
        <v>2074</v>
      </c>
      <c r="E75" s="1975" t="s">
        <v>1509</v>
      </c>
      <c r="F75" s="1975" t="s">
        <v>2054</v>
      </c>
      <c r="G75" s="1976">
        <v>43191</v>
      </c>
      <c r="H75" s="1976"/>
      <c r="I75" s="1976">
        <v>43191</v>
      </c>
      <c r="J75" s="1976"/>
      <c r="K75" s="1975"/>
      <c r="L75" s="1980" t="s">
        <v>2036</v>
      </c>
      <c r="M75" s="1975">
        <v>92.4</v>
      </c>
      <c r="N75" s="1975">
        <f>SUM(F4.2!AD$38:AE$38)</f>
        <v>68.11</v>
      </c>
      <c r="O75" s="1975"/>
      <c r="P75" s="1975"/>
      <c r="Q75" s="1975"/>
      <c r="R75" s="1975"/>
      <c r="S75" s="1975">
        <f t="shared" si="1"/>
        <v>-24.290000000000006</v>
      </c>
    </row>
    <row r="76" spans="2:19" s="602" customFormat="1" x14ac:dyDescent="0.25">
      <c r="B76" s="1975"/>
      <c r="C76" s="1975" t="s">
        <v>2075</v>
      </c>
      <c r="D76" s="1975"/>
      <c r="E76" s="1975"/>
      <c r="F76" s="1975"/>
      <c r="G76" s="1976"/>
      <c r="H76" s="1976"/>
      <c r="I76" s="1976"/>
      <c r="J76" s="1976"/>
      <c r="K76" s="1975"/>
      <c r="L76" s="1980" t="s">
        <v>2036</v>
      </c>
      <c r="M76" s="1975">
        <v>25.69</v>
      </c>
      <c r="N76" s="1975">
        <f>SUM(F4.2!AD$39:AE$39)</f>
        <v>9.9699999999999989</v>
      </c>
      <c r="O76" s="1975"/>
      <c r="P76" s="1975"/>
      <c r="Q76" s="1975"/>
      <c r="R76" s="1975"/>
      <c r="S76" s="1975">
        <f t="shared" si="1"/>
        <v>-15.720000000000002</v>
      </c>
    </row>
    <row r="77" spans="2:19" s="602" customFormat="1" x14ac:dyDescent="0.25">
      <c r="B77" s="1975"/>
      <c r="C77" s="1975"/>
      <c r="D77" s="1975"/>
      <c r="E77" s="1975"/>
      <c r="F77" s="1975"/>
      <c r="G77" s="1976"/>
      <c r="H77" s="1976"/>
      <c r="I77" s="1976"/>
      <c r="J77" s="1976"/>
      <c r="K77" s="1975"/>
      <c r="L77" s="1980"/>
      <c r="M77" s="1975"/>
      <c r="N77" s="1975"/>
      <c r="O77" s="1975"/>
      <c r="P77" s="1975"/>
      <c r="Q77" s="1975"/>
      <c r="R77" s="1975"/>
      <c r="S77" s="1975">
        <f t="shared" si="1"/>
        <v>0</v>
      </c>
    </row>
    <row r="78" spans="2:19" s="602" customFormat="1" x14ac:dyDescent="0.25">
      <c r="B78" s="1975">
        <v>0</v>
      </c>
      <c r="C78" s="1975"/>
      <c r="D78" s="1975"/>
      <c r="E78" s="1975"/>
      <c r="F78" s="1975"/>
      <c r="G78" s="1976"/>
      <c r="H78" s="1976"/>
      <c r="I78" s="1976"/>
      <c r="J78" s="1976"/>
      <c r="K78" s="1975"/>
      <c r="L78" s="1980"/>
      <c r="M78" s="1975"/>
      <c r="N78" s="1975"/>
      <c r="O78" s="1975"/>
      <c r="P78" s="1975"/>
      <c r="Q78" s="1975"/>
      <c r="R78" s="1975"/>
      <c r="S78" s="1975">
        <f t="shared" si="1"/>
        <v>0</v>
      </c>
    </row>
    <row r="79" spans="2:19" s="602" customFormat="1" ht="28" x14ac:dyDescent="0.25">
      <c r="B79" s="1979" t="s">
        <v>1470</v>
      </c>
      <c r="C79" s="1975" t="s">
        <v>2007</v>
      </c>
      <c r="D79" s="1975"/>
      <c r="E79" s="1975"/>
      <c r="F79" s="1975" t="s">
        <v>2040</v>
      </c>
      <c r="G79" s="1976">
        <v>43556</v>
      </c>
      <c r="H79" s="1976"/>
      <c r="I79" s="1976">
        <v>43556</v>
      </c>
      <c r="J79" s="1976"/>
      <c r="K79" s="1975"/>
      <c r="L79" s="1980" t="s">
        <v>2036</v>
      </c>
      <c r="M79" s="1975">
        <v>56.07</v>
      </c>
      <c r="N79" s="1975"/>
      <c r="O79" s="1975"/>
      <c r="P79" s="1975"/>
      <c r="Q79" s="1975"/>
      <c r="R79" s="1975"/>
      <c r="S79" s="1975">
        <f t="shared" si="1"/>
        <v>-56.07</v>
      </c>
    </row>
    <row r="80" spans="2:19" s="602" customFormat="1" x14ac:dyDescent="0.25">
      <c r="B80" s="1975" t="s">
        <v>34</v>
      </c>
      <c r="C80" s="1975"/>
      <c r="D80" s="1975"/>
      <c r="E80" s="1975"/>
      <c r="F80" s="1975"/>
      <c r="G80" s="1976"/>
      <c r="H80" s="1976"/>
      <c r="I80" s="1976"/>
      <c r="J80" s="1976"/>
      <c r="K80" s="1975"/>
      <c r="L80" s="1980"/>
      <c r="M80" s="1975"/>
      <c r="N80" s="1975"/>
      <c r="O80" s="1975"/>
      <c r="P80" s="1975"/>
      <c r="Q80" s="1975"/>
      <c r="R80" s="1975"/>
      <c r="S80" s="1975">
        <f t="shared" si="1"/>
        <v>0</v>
      </c>
    </row>
    <row r="81" spans="2:19" s="602" customFormat="1" x14ac:dyDescent="0.25">
      <c r="B81" s="1975" t="s">
        <v>1471</v>
      </c>
      <c r="C81" s="1975"/>
      <c r="D81" s="1975"/>
      <c r="E81" s="1975"/>
      <c r="F81" s="1975"/>
      <c r="G81" s="1976"/>
      <c r="H81" s="1976"/>
      <c r="I81" s="1976"/>
      <c r="J81" s="1976"/>
      <c r="K81" s="1975"/>
      <c r="L81" s="1980"/>
      <c r="M81" s="1975">
        <v>0</v>
      </c>
      <c r="N81" s="1975">
        <f>SUM(F4.2!AD$53:AE$53)</f>
        <v>4.58</v>
      </c>
      <c r="O81" s="1975"/>
      <c r="P81" s="1975"/>
      <c r="Q81" s="1975"/>
      <c r="R81" s="1975"/>
      <c r="S81" s="1975">
        <f t="shared" si="1"/>
        <v>4.58</v>
      </c>
    </row>
    <row r="82" spans="2:19" s="602" customFormat="1" x14ac:dyDescent="0.25">
      <c r="B82" s="1975" t="s">
        <v>2003</v>
      </c>
      <c r="C82" s="1975"/>
      <c r="D82" s="1975"/>
      <c r="E82" s="1975"/>
      <c r="F82" s="1975"/>
      <c r="G82" s="1976"/>
      <c r="H82" s="1976"/>
      <c r="I82" s="1976"/>
      <c r="J82" s="1976"/>
      <c r="K82" s="1975"/>
      <c r="L82" s="1980"/>
      <c r="M82" s="1975">
        <v>0</v>
      </c>
      <c r="N82" s="1975">
        <f>SUM(F4.2!AD$54:AE$54)</f>
        <v>0.48</v>
      </c>
      <c r="O82" s="1975"/>
      <c r="P82" s="1975"/>
      <c r="Q82" s="1975"/>
      <c r="R82" s="1975"/>
      <c r="S82" s="1975">
        <f t="shared" si="1"/>
        <v>0.48</v>
      </c>
    </row>
    <row r="83" spans="2:19" s="602" customFormat="1" x14ac:dyDescent="0.25">
      <c r="B83" s="1974" t="s">
        <v>1473</v>
      </c>
      <c r="C83" s="1975"/>
      <c r="D83" s="1975"/>
      <c r="E83" s="1975"/>
      <c r="F83" s="1975"/>
      <c r="G83" s="1976"/>
      <c r="H83" s="1976"/>
      <c r="I83" s="1976"/>
      <c r="J83" s="1976"/>
      <c r="K83" s="1975"/>
      <c r="L83" s="1980"/>
      <c r="M83" s="1975">
        <v>0</v>
      </c>
      <c r="N83" s="1975">
        <f>SUM(F4.2!AD$55:AE$55)</f>
        <v>62.52</v>
      </c>
      <c r="O83" s="1975"/>
      <c r="P83" s="1975"/>
      <c r="Q83" s="1975"/>
      <c r="R83" s="1975"/>
      <c r="S83" s="1975">
        <f t="shared" si="1"/>
        <v>62.52</v>
      </c>
    </row>
    <row r="84" spans="2:19" s="602" customFormat="1" ht="28" x14ac:dyDescent="0.25">
      <c r="B84" s="1975" t="s">
        <v>1474</v>
      </c>
      <c r="C84" s="1975"/>
      <c r="D84" s="1975"/>
      <c r="E84" s="1975"/>
      <c r="F84" s="1975"/>
      <c r="G84" s="1976"/>
      <c r="H84" s="1976"/>
      <c r="I84" s="1976"/>
      <c r="J84" s="1976"/>
      <c r="K84" s="1975"/>
      <c r="L84" s="1980"/>
      <c r="M84" s="1975">
        <v>0</v>
      </c>
      <c r="N84" s="1975">
        <f>SUM(F4.2!AD$56:AE$56)</f>
        <v>4.21</v>
      </c>
      <c r="O84" s="1975"/>
      <c r="P84" s="1975"/>
      <c r="Q84" s="1975"/>
      <c r="R84" s="1975"/>
      <c r="S84" s="1975">
        <f t="shared" si="1"/>
        <v>4.21</v>
      </c>
    </row>
    <row r="85" spans="2:19" s="602" customFormat="1" x14ac:dyDescent="0.25">
      <c r="B85" s="1975"/>
      <c r="C85" s="1975" t="s">
        <v>1475</v>
      </c>
      <c r="D85" s="1975"/>
      <c r="E85" s="1975"/>
      <c r="F85" s="1975"/>
      <c r="G85" s="1976"/>
      <c r="H85" s="1976"/>
      <c r="I85" s="1976"/>
      <c r="J85" s="1976"/>
      <c r="K85" s="1975"/>
      <c r="L85" s="1980"/>
      <c r="M85" s="1975">
        <v>0</v>
      </c>
      <c r="N85" s="1975"/>
      <c r="O85" s="1975"/>
      <c r="P85" s="1975"/>
      <c r="Q85" s="1975"/>
      <c r="R85" s="1975"/>
      <c r="S85" s="1975">
        <f t="shared" si="1"/>
        <v>0</v>
      </c>
    </row>
    <row r="86" spans="2:19" s="602" customFormat="1" x14ac:dyDescent="0.25">
      <c r="B86" s="1983" t="s">
        <v>5</v>
      </c>
      <c r="C86" s="1983"/>
      <c r="D86" s="1983"/>
      <c r="E86" s="1983"/>
      <c r="F86" s="1983"/>
      <c r="G86" s="1984"/>
      <c r="H86" s="1984"/>
      <c r="I86" s="1984"/>
      <c r="J86" s="1984"/>
      <c r="K86" s="1983"/>
      <c r="L86" s="1983"/>
      <c r="M86" s="1983">
        <f t="shared" ref="M86:S86" si="2">SUM(M55:M85)</f>
        <v>1202.8399999999999</v>
      </c>
      <c r="N86" s="1983">
        <f t="shared" si="2"/>
        <v>329.15</v>
      </c>
      <c r="O86" s="1983">
        <f t="shared" si="2"/>
        <v>0</v>
      </c>
      <c r="P86" s="1983">
        <f t="shared" si="2"/>
        <v>0</v>
      </c>
      <c r="Q86" s="1983">
        <f t="shared" si="2"/>
        <v>0</v>
      </c>
      <c r="R86" s="1983">
        <f t="shared" si="2"/>
        <v>0</v>
      </c>
      <c r="S86" s="1983">
        <f t="shared" si="2"/>
        <v>-873.69</v>
      </c>
    </row>
    <row r="87" spans="2:19" s="602" customFormat="1" ht="13" x14ac:dyDescent="0.25">
      <c r="B87" s="1985"/>
      <c r="C87" s="1985"/>
      <c r="D87" s="1985"/>
      <c r="E87" s="1985"/>
      <c r="F87" s="1985"/>
      <c r="G87" s="1986"/>
      <c r="H87" s="1986"/>
      <c r="I87" s="1986"/>
      <c r="J87" s="1986"/>
      <c r="K87" s="1985"/>
      <c r="L87" s="1985"/>
      <c r="M87" s="1985"/>
      <c r="N87" s="1985"/>
      <c r="O87" s="1985"/>
      <c r="P87" s="1985"/>
      <c r="Q87" s="1985"/>
      <c r="R87" s="1985"/>
      <c r="S87" s="1985"/>
    </row>
    <row r="88" spans="2:19" s="602" customFormat="1" ht="14" customHeight="1" x14ac:dyDescent="0.25">
      <c r="B88" s="2300" t="s">
        <v>26</v>
      </c>
      <c r="C88" s="2300" t="s">
        <v>1</v>
      </c>
      <c r="D88" s="2300" t="s">
        <v>617</v>
      </c>
      <c r="E88" s="2300" t="s">
        <v>618</v>
      </c>
      <c r="F88" s="2300" t="s">
        <v>6</v>
      </c>
      <c r="G88" s="2292" t="s">
        <v>2</v>
      </c>
      <c r="H88" s="2293"/>
      <c r="I88" s="2294"/>
      <c r="J88" s="2295" t="s">
        <v>13</v>
      </c>
      <c r="K88" s="2296"/>
      <c r="L88" s="2297"/>
      <c r="M88" s="2295" t="s">
        <v>619</v>
      </c>
      <c r="N88" s="2296"/>
      <c r="O88" s="2296"/>
      <c r="P88" s="2296"/>
      <c r="Q88" s="2296"/>
      <c r="R88" s="2296"/>
      <c r="S88" s="2297"/>
    </row>
    <row r="89" spans="2:19" s="602" customFormat="1" ht="14" customHeight="1" x14ac:dyDescent="0.25">
      <c r="B89" s="2302"/>
      <c r="C89" s="2302"/>
      <c r="D89" s="2302"/>
      <c r="E89" s="2302"/>
      <c r="F89" s="2302"/>
      <c r="G89" s="2298" t="s">
        <v>17</v>
      </c>
      <c r="H89" s="2298" t="s">
        <v>14</v>
      </c>
      <c r="I89" s="2298" t="s">
        <v>620</v>
      </c>
      <c r="J89" s="2298" t="s">
        <v>17</v>
      </c>
      <c r="K89" s="2300" t="s">
        <v>14</v>
      </c>
      <c r="L89" s="2300" t="s">
        <v>12</v>
      </c>
      <c r="M89" s="2300" t="s">
        <v>37</v>
      </c>
      <c r="N89" s="2300" t="s">
        <v>621</v>
      </c>
      <c r="O89" s="2285" t="s">
        <v>787</v>
      </c>
      <c r="P89" s="2286"/>
      <c r="Q89" s="2286"/>
      <c r="R89" s="2286"/>
      <c r="S89" s="2287"/>
    </row>
    <row r="90" spans="2:19" s="602" customFormat="1" ht="28" x14ac:dyDescent="0.25">
      <c r="B90" s="2301"/>
      <c r="C90" s="2301"/>
      <c r="D90" s="2301"/>
      <c r="E90" s="2301"/>
      <c r="F90" s="2301"/>
      <c r="G90" s="2299"/>
      <c r="H90" s="2299"/>
      <c r="I90" s="2299"/>
      <c r="J90" s="2299"/>
      <c r="K90" s="2301"/>
      <c r="L90" s="2301"/>
      <c r="M90" s="2301"/>
      <c r="N90" s="2301"/>
      <c r="O90" s="1973" t="s">
        <v>788</v>
      </c>
      <c r="P90" s="1973" t="s">
        <v>789</v>
      </c>
      <c r="Q90" s="1973" t="s">
        <v>790</v>
      </c>
      <c r="R90" s="1973" t="s">
        <v>791</v>
      </c>
      <c r="S90" s="1973" t="s">
        <v>792</v>
      </c>
    </row>
    <row r="91" spans="2:19" s="602" customFormat="1" x14ac:dyDescent="0.25">
      <c r="B91" s="1974" t="s">
        <v>426</v>
      </c>
      <c r="C91" s="1975"/>
      <c r="D91" s="1975"/>
      <c r="E91" s="1975"/>
      <c r="F91" s="1975"/>
      <c r="G91" s="1976"/>
      <c r="H91" s="1976"/>
      <c r="I91" s="1976"/>
      <c r="J91" s="1976"/>
      <c r="K91" s="1975"/>
      <c r="L91" s="1975"/>
      <c r="M91" s="1975"/>
      <c r="N91" s="1975"/>
      <c r="O91" s="1975"/>
      <c r="P91" s="1975"/>
      <c r="Q91" s="1975"/>
      <c r="R91" s="1975"/>
      <c r="S91" s="1977"/>
    </row>
    <row r="92" spans="2:19" s="602" customFormat="1" x14ac:dyDescent="0.25">
      <c r="B92" s="1978" t="s">
        <v>33</v>
      </c>
      <c r="C92" s="1975"/>
      <c r="D92" s="1975"/>
      <c r="E92" s="1975"/>
      <c r="F92" s="1975"/>
      <c r="G92" s="1976"/>
      <c r="H92" s="1976"/>
      <c r="I92" s="1976"/>
      <c r="J92" s="1976"/>
      <c r="K92" s="1975"/>
      <c r="L92" s="1975"/>
      <c r="M92" s="1975"/>
      <c r="N92" s="1975"/>
      <c r="O92" s="1975"/>
      <c r="P92" s="1975"/>
      <c r="Q92" s="1975"/>
      <c r="R92" s="1975"/>
      <c r="S92" s="1977"/>
    </row>
    <row r="93" spans="2:19" s="602" customFormat="1" x14ac:dyDescent="0.25">
      <c r="B93" s="1979" t="s">
        <v>35</v>
      </c>
      <c r="C93" s="1975"/>
      <c r="D93" s="1975"/>
      <c r="E93" s="1975"/>
      <c r="F93" s="1975"/>
      <c r="G93" s="1976"/>
      <c r="H93" s="1976"/>
      <c r="I93" s="1976"/>
      <c r="J93" s="1976"/>
      <c r="K93" s="1975"/>
      <c r="L93" s="1975"/>
      <c r="M93" s="1975"/>
      <c r="N93" s="1975"/>
      <c r="O93" s="1975"/>
      <c r="P93" s="1975"/>
      <c r="Q93" s="1975"/>
      <c r="R93" s="1975"/>
      <c r="S93" s="1977"/>
    </row>
    <row r="94" spans="2:19" s="602" customFormat="1" x14ac:dyDescent="0.25">
      <c r="B94" s="1979"/>
      <c r="C94" s="1975" t="s">
        <v>1468</v>
      </c>
      <c r="D94" s="1975"/>
      <c r="E94" s="1975"/>
      <c r="F94" s="1975"/>
      <c r="G94" s="1976"/>
      <c r="H94" s="1976"/>
      <c r="I94" s="1976"/>
      <c r="J94" s="1976"/>
      <c r="K94" s="1975"/>
      <c r="L94" s="1975"/>
      <c r="M94" s="1975"/>
      <c r="N94" s="1975"/>
      <c r="O94" s="1975"/>
      <c r="P94" s="1975"/>
      <c r="Q94" s="1975"/>
      <c r="R94" s="1975"/>
      <c r="S94" s="1977"/>
    </row>
    <row r="95" spans="2:19" s="602" customFormat="1" ht="28" x14ac:dyDescent="0.25">
      <c r="B95" s="1975" t="s">
        <v>1477</v>
      </c>
      <c r="C95" s="1975" t="s">
        <v>2031</v>
      </c>
      <c r="D95" s="1975" t="s">
        <v>2035</v>
      </c>
      <c r="E95" s="1975" t="s">
        <v>1479</v>
      </c>
      <c r="F95" s="1975" t="s">
        <v>2034</v>
      </c>
      <c r="G95" s="1976">
        <v>42095</v>
      </c>
      <c r="H95" s="1976"/>
      <c r="I95" s="1976">
        <v>42095</v>
      </c>
      <c r="J95" s="1976"/>
      <c r="K95" s="1975"/>
      <c r="L95" s="1980" t="s">
        <v>2036</v>
      </c>
      <c r="M95" s="1975">
        <v>82.23</v>
      </c>
      <c r="N95" s="1975">
        <f>SUM(F4.2!AE$18:AF$18)</f>
        <v>0</v>
      </c>
      <c r="O95" s="1975"/>
      <c r="P95" s="1975"/>
      <c r="Q95" s="1975"/>
      <c r="R95" s="1975"/>
      <c r="S95" s="1975">
        <f>N95-M95</f>
        <v>-82.23</v>
      </c>
    </row>
    <row r="96" spans="2:19" s="602" customFormat="1" x14ac:dyDescent="0.25">
      <c r="B96" s="1975" t="s">
        <v>2061</v>
      </c>
      <c r="C96" s="1975" t="s">
        <v>2031</v>
      </c>
      <c r="D96" s="1975" t="s">
        <v>2062</v>
      </c>
      <c r="E96" s="1975" t="s">
        <v>2063</v>
      </c>
      <c r="F96" s="1975" t="s">
        <v>2034</v>
      </c>
      <c r="G96" s="1976">
        <v>43922</v>
      </c>
      <c r="H96" s="1976"/>
      <c r="I96" s="1976">
        <v>43922</v>
      </c>
      <c r="J96" s="1976">
        <v>45747</v>
      </c>
      <c r="K96" s="1975"/>
      <c r="L96" s="1980" t="s">
        <v>2036</v>
      </c>
      <c r="M96" s="1975">
        <v>27.4</v>
      </c>
      <c r="N96" s="1975">
        <f>SUM(F4.2!AE$19:AF$19)</f>
        <v>0</v>
      </c>
      <c r="O96" s="1975"/>
      <c r="P96" s="1975"/>
      <c r="Q96" s="1975"/>
      <c r="R96" s="1975"/>
      <c r="S96" s="1975">
        <f>N96-M96</f>
        <v>-27.4</v>
      </c>
    </row>
    <row r="97" spans="2:19" s="602" customFormat="1" x14ac:dyDescent="0.25">
      <c r="B97" s="1975"/>
      <c r="C97" s="1975"/>
      <c r="D97" s="1975"/>
      <c r="E97" s="1975"/>
      <c r="F97" s="1975"/>
      <c r="G97" s="1976"/>
      <c r="H97" s="1976"/>
      <c r="I97" s="1976"/>
      <c r="J97" s="1976"/>
      <c r="K97" s="1975"/>
      <c r="L97" s="1980"/>
      <c r="M97" s="1975"/>
      <c r="N97" s="1975"/>
      <c r="O97" s="1975"/>
      <c r="P97" s="1975"/>
      <c r="Q97" s="1975"/>
      <c r="R97" s="1975"/>
      <c r="S97" s="1975"/>
    </row>
    <row r="98" spans="2:19" s="602" customFormat="1" x14ac:dyDescent="0.25">
      <c r="B98" s="1979" t="s">
        <v>2037</v>
      </c>
      <c r="C98" s="1975"/>
      <c r="D98" s="1975"/>
      <c r="E98" s="1975"/>
      <c r="F98" s="1975"/>
      <c r="G98" s="1976"/>
      <c r="H98" s="1976"/>
      <c r="I98" s="1976"/>
      <c r="J98" s="1976"/>
      <c r="K98" s="1975"/>
      <c r="L98" s="1980"/>
      <c r="M98" s="1975"/>
      <c r="N98" s="1975"/>
      <c r="O98" s="1975"/>
      <c r="P98" s="1975"/>
      <c r="Q98" s="1975"/>
      <c r="R98" s="1975"/>
      <c r="S98" s="1975"/>
    </row>
    <row r="99" spans="2:19" s="602" customFormat="1" ht="28" x14ac:dyDescent="0.25">
      <c r="B99" s="1975" t="s">
        <v>1480</v>
      </c>
      <c r="C99" s="1975" t="s">
        <v>2038</v>
      </c>
      <c r="D99" s="1975" t="s">
        <v>2039</v>
      </c>
      <c r="E99" s="1975" t="s">
        <v>1482</v>
      </c>
      <c r="F99" s="1975" t="s">
        <v>2040</v>
      </c>
      <c r="G99" s="1976">
        <v>42095</v>
      </c>
      <c r="H99" s="1976"/>
      <c r="I99" s="1976" t="s">
        <v>2041</v>
      </c>
      <c r="J99" s="1976">
        <v>42460</v>
      </c>
      <c r="K99" s="1975"/>
      <c r="L99" s="1980" t="s">
        <v>2036</v>
      </c>
      <c r="M99" s="1975">
        <v>36.630000000000003</v>
      </c>
      <c r="N99" s="1975">
        <f>SUM(F4.2!AE$21:AF$21)</f>
        <v>1.21</v>
      </c>
      <c r="O99" s="1975"/>
      <c r="P99" s="1975"/>
      <c r="Q99" s="1975"/>
      <c r="R99" s="1975"/>
      <c r="S99" s="1975">
        <f>N99-M99</f>
        <v>-35.42</v>
      </c>
    </row>
    <row r="100" spans="2:19" s="602" customFormat="1" ht="28" x14ac:dyDescent="0.25">
      <c r="B100" s="1975" t="s">
        <v>1483</v>
      </c>
      <c r="C100" s="1975" t="s">
        <v>2038</v>
      </c>
      <c r="D100" s="1975" t="s">
        <v>2042</v>
      </c>
      <c r="E100" s="1975" t="s">
        <v>1485</v>
      </c>
      <c r="F100" s="1975" t="s">
        <v>2040</v>
      </c>
      <c r="G100" s="1976">
        <v>42095</v>
      </c>
      <c r="H100" s="1976"/>
      <c r="I100" s="1976">
        <v>42095</v>
      </c>
      <c r="J100" s="1976"/>
      <c r="K100" s="1975"/>
      <c r="L100" s="1980" t="s">
        <v>2036</v>
      </c>
      <c r="M100" s="1975">
        <v>64.09</v>
      </c>
      <c r="N100" s="1975">
        <f>SUM(F4.2!AE$22:AF$22)</f>
        <v>6.4</v>
      </c>
      <c r="O100" s="1975"/>
      <c r="P100" s="1975"/>
      <c r="Q100" s="1975"/>
      <c r="R100" s="1975"/>
      <c r="S100" s="1975">
        <f>N100-M100</f>
        <v>-57.690000000000005</v>
      </c>
    </row>
    <row r="101" spans="2:19" s="602" customFormat="1" ht="28" x14ac:dyDescent="0.25">
      <c r="B101" s="1975" t="s">
        <v>1486</v>
      </c>
      <c r="C101" s="1975" t="s">
        <v>2038</v>
      </c>
      <c r="D101" s="1975" t="s">
        <v>2042</v>
      </c>
      <c r="E101" s="1975" t="s">
        <v>1485</v>
      </c>
      <c r="F101" s="1975" t="s">
        <v>2040</v>
      </c>
      <c r="G101" s="1976">
        <v>42461</v>
      </c>
      <c r="H101" s="1976"/>
      <c r="I101" s="1976">
        <v>42461</v>
      </c>
      <c r="J101" s="1976"/>
      <c r="K101" s="1975"/>
      <c r="L101" s="1980" t="s">
        <v>2036</v>
      </c>
      <c r="M101" s="1975">
        <v>58.86</v>
      </c>
      <c r="N101" s="1975">
        <f>SUM(F4.2!AE$23:AF$23)</f>
        <v>2.84</v>
      </c>
      <c r="O101" s="1975"/>
      <c r="P101" s="1975"/>
      <c r="Q101" s="1975"/>
      <c r="R101" s="1975"/>
      <c r="S101" s="1975">
        <f>N101-M101</f>
        <v>-56.019999999999996</v>
      </c>
    </row>
    <row r="102" spans="2:19" s="602" customFormat="1" ht="28" x14ac:dyDescent="0.25">
      <c r="B102" s="1975" t="s">
        <v>1487</v>
      </c>
      <c r="C102" s="1975" t="s">
        <v>2038</v>
      </c>
      <c r="D102" s="1975" t="s">
        <v>2043</v>
      </c>
      <c r="E102" s="1975" t="s">
        <v>1489</v>
      </c>
      <c r="F102" s="1975" t="s">
        <v>2040</v>
      </c>
      <c r="G102" s="1976">
        <v>42826</v>
      </c>
      <c r="H102" s="1976"/>
      <c r="I102" s="1976">
        <v>43922</v>
      </c>
      <c r="J102" s="1976"/>
      <c r="K102" s="1975"/>
      <c r="L102" s="1980"/>
      <c r="M102" s="1975">
        <v>15.58</v>
      </c>
      <c r="N102" s="1975">
        <f>SUM(F4.2!AE$24:AF$24)</f>
        <v>2.56</v>
      </c>
      <c r="O102" s="1975"/>
      <c r="P102" s="1975"/>
      <c r="Q102" s="1975"/>
      <c r="R102" s="1975"/>
      <c r="S102" s="1975">
        <f>N102-M102</f>
        <v>-13.02</v>
      </c>
    </row>
    <row r="103" spans="2:19" s="602" customFormat="1" ht="28" x14ac:dyDescent="0.25">
      <c r="B103" s="1975" t="s">
        <v>1490</v>
      </c>
      <c r="C103" s="1975" t="s">
        <v>2038</v>
      </c>
      <c r="D103" s="1975" t="s">
        <v>2044</v>
      </c>
      <c r="E103" s="1975" t="s">
        <v>1492</v>
      </c>
      <c r="F103" s="1975" t="s">
        <v>2040</v>
      </c>
      <c r="G103" s="1976">
        <v>43556</v>
      </c>
      <c r="H103" s="1976"/>
      <c r="I103" s="1976">
        <v>43556</v>
      </c>
      <c r="J103" s="1976">
        <v>45747</v>
      </c>
      <c r="K103" s="1975"/>
      <c r="L103" s="1980" t="s">
        <v>2036</v>
      </c>
      <c r="M103" s="1975">
        <v>40.6</v>
      </c>
      <c r="N103" s="1975">
        <f>SUM(F4.2!AE$25:AF$25)</f>
        <v>17.240000000000002</v>
      </c>
      <c r="O103" s="1975"/>
      <c r="P103" s="1975"/>
      <c r="Q103" s="1975"/>
      <c r="R103" s="1975"/>
      <c r="S103" s="1975"/>
    </row>
    <row r="104" spans="2:19" s="602" customFormat="1" x14ac:dyDescent="0.25">
      <c r="B104" s="1979"/>
      <c r="C104" s="1975"/>
      <c r="D104" s="1975"/>
      <c r="E104" s="1975"/>
      <c r="F104" s="1975"/>
      <c r="G104" s="1976"/>
      <c r="H104" s="1976"/>
      <c r="I104" s="1976"/>
      <c r="J104" s="1976"/>
      <c r="K104" s="1975"/>
      <c r="L104" s="1980"/>
      <c r="M104" s="1975"/>
      <c r="N104" s="1975"/>
      <c r="O104" s="1975"/>
      <c r="P104" s="1975"/>
      <c r="Q104" s="1975"/>
      <c r="R104" s="1975"/>
      <c r="S104" s="1975"/>
    </row>
    <row r="105" spans="2:19" s="602" customFormat="1" ht="28" x14ac:dyDescent="0.25">
      <c r="B105" s="1975" t="s">
        <v>2045</v>
      </c>
      <c r="C105" s="1975"/>
      <c r="D105" s="1975"/>
      <c r="E105" s="1975"/>
      <c r="F105" s="1975"/>
      <c r="G105" s="1976"/>
      <c r="H105" s="1976"/>
      <c r="I105" s="1976"/>
      <c r="J105" s="1976"/>
      <c r="K105" s="1975"/>
      <c r="L105" s="1980"/>
      <c r="M105" s="1975"/>
      <c r="N105" s="1975"/>
      <c r="O105" s="1975"/>
      <c r="P105" s="1975"/>
      <c r="Q105" s="1975"/>
      <c r="R105" s="1975"/>
      <c r="S105" s="1975">
        <f>N105-M105</f>
        <v>0</v>
      </c>
    </row>
    <row r="106" spans="2:19" s="602" customFormat="1" x14ac:dyDescent="0.25">
      <c r="B106" s="1975" t="s">
        <v>2064</v>
      </c>
      <c r="C106" s="1975" t="s">
        <v>2046</v>
      </c>
      <c r="D106" s="1975" t="s">
        <v>2065</v>
      </c>
      <c r="E106" s="1975" t="s">
        <v>1492</v>
      </c>
      <c r="F106" s="1975" t="s">
        <v>2048</v>
      </c>
      <c r="G106" s="1976">
        <v>43922</v>
      </c>
      <c r="H106" s="1976"/>
      <c r="I106" s="1976">
        <v>43922</v>
      </c>
      <c r="J106" s="1976"/>
      <c r="K106" s="1975"/>
      <c r="L106" s="1980" t="s">
        <v>2036</v>
      </c>
      <c r="M106" s="1975">
        <v>147.65</v>
      </c>
      <c r="N106" s="1975">
        <f>SUM(F4.2!AE$29:AF$29)</f>
        <v>39.21</v>
      </c>
      <c r="O106" s="1975"/>
      <c r="P106" s="1975"/>
      <c r="Q106" s="1975"/>
      <c r="R106" s="1975"/>
      <c r="S106" s="1975"/>
    </row>
    <row r="107" spans="2:19" s="602" customFormat="1" x14ac:dyDescent="0.25">
      <c r="B107" s="1979"/>
      <c r="C107" s="1975"/>
      <c r="D107" s="1975"/>
      <c r="E107" s="1975"/>
      <c r="F107" s="1975"/>
      <c r="G107" s="1976"/>
      <c r="H107" s="1976"/>
      <c r="I107" s="1976"/>
      <c r="J107" s="1976"/>
      <c r="K107" s="1975"/>
      <c r="L107" s="1980"/>
      <c r="M107" s="1975"/>
      <c r="N107" s="1975"/>
      <c r="O107" s="1975"/>
      <c r="P107" s="1975"/>
      <c r="Q107" s="1975"/>
      <c r="R107" s="1975"/>
      <c r="S107" s="1975"/>
    </row>
    <row r="108" spans="2:19" s="602" customFormat="1" ht="28" x14ac:dyDescent="0.25">
      <c r="B108" s="1975"/>
      <c r="C108" s="1975" t="s">
        <v>2049</v>
      </c>
      <c r="D108" s="1975"/>
      <c r="E108" s="1975"/>
      <c r="F108" s="1975"/>
      <c r="G108" s="1976"/>
      <c r="H108" s="1976"/>
      <c r="I108" s="1976"/>
      <c r="J108" s="1976"/>
      <c r="K108" s="1975"/>
      <c r="L108" s="1980"/>
      <c r="M108" s="1975"/>
      <c r="N108" s="1975"/>
      <c r="O108" s="1975"/>
      <c r="P108" s="1975"/>
      <c r="Q108" s="1975"/>
      <c r="R108" s="1975"/>
      <c r="S108" s="1975">
        <f>N108-M108</f>
        <v>0</v>
      </c>
    </row>
    <row r="109" spans="2:19" s="602" customFormat="1" ht="28" x14ac:dyDescent="0.25">
      <c r="B109" s="1975" t="s">
        <v>2066</v>
      </c>
      <c r="C109" s="1975" t="s">
        <v>2049</v>
      </c>
      <c r="D109" s="1975" t="s">
        <v>2067</v>
      </c>
      <c r="E109" s="1975" t="s">
        <v>2068</v>
      </c>
      <c r="F109" s="1975" t="s">
        <v>2048</v>
      </c>
      <c r="G109" s="1976">
        <v>43922</v>
      </c>
      <c r="H109" s="1976"/>
      <c r="I109" s="1976">
        <v>43922</v>
      </c>
      <c r="J109" s="1976"/>
      <c r="K109" s="1975"/>
      <c r="L109" s="1980" t="s">
        <v>2036</v>
      </c>
      <c r="M109" s="1975">
        <v>246.2</v>
      </c>
      <c r="N109" s="1975">
        <f>SUM(F4.2!AE$32:AF$32)</f>
        <v>101.52</v>
      </c>
      <c r="O109" s="1975"/>
      <c r="P109" s="1975"/>
      <c r="Q109" s="1975"/>
      <c r="R109" s="1975"/>
      <c r="S109" s="1975"/>
    </row>
    <row r="110" spans="2:19" s="602" customFormat="1" ht="28" x14ac:dyDescent="0.25">
      <c r="B110" s="1975"/>
      <c r="C110" s="1975" t="s">
        <v>2050</v>
      </c>
      <c r="D110" s="1975"/>
      <c r="E110" s="1975"/>
      <c r="F110" s="1975"/>
      <c r="G110" s="1976"/>
      <c r="H110" s="1976"/>
      <c r="I110" s="1976"/>
      <c r="J110" s="1976"/>
      <c r="K110" s="1975"/>
      <c r="L110" s="1980"/>
      <c r="M110" s="1975"/>
      <c r="N110" s="1975"/>
      <c r="O110" s="1975"/>
      <c r="P110" s="1975"/>
      <c r="Q110" s="1975"/>
      <c r="R110" s="1975"/>
      <c r="S110" s="1975"/>
    </row>
    <row r="111" spans="2:19" s="602" customFormat="1" x14ac:dyDescent="0.25">
      <c r="B111" s="1979" t="s">
        <v>1501</v>
      </c>
      <c r="C111" s="1975" t="s">
        <v>2051</v>
      </c>
      <c r="D111" s="1975" t="s">
        <v>2052</v>
      </c>
      <c r="E111" s="1975" t="s">
        <v>2053</v>
      </c>
      <c r="F111" s="1975" t="s">
        <v>2054</v>
      </c>
      <c r="G111" s="1976">
        <v>42826</v>
      </c>
      <c r="H111" s="1976"/>
      <c r="I111" s="1976">
        <v>42826</v>
      </c>
      <c r="J111" s="1976"/>
      <c r="K111" s="1975"/>
      <c r="L111" s="1980" t="s">
        <v>2036</v>
      </c>
      <c r="M111" s="1975">
        <v>13.12</v>
      </c>
      <c r="N111" s="1975">
        <f>SUM(F4.2!AE$34:AF$34)</f>
        <v>0</v>
      </c>
      <c r="O111" s="1975"/>
      <c r="P111" s="1975"/>
      <c r="Q111" s="1975"/>
      <c r="R111" s="1975"/>
      <c r="S111" s="1975"/>
    </row>
    <row r="112" spans="2:19" s="602" customFormat="1" x14ac:dyDescent="0.25">
      <c r="B112" s="1975" t="s">
        <v>1504</v>
      </c>
      <c r="C112" s="1975" t="s">
        <v>2069</v>
      </c>
      <c r="D112" s="1975" t="s">
        <v>2052</v>
      </c>
      <c r="E112" s="1975" t="s">
        <v>2070</v>
      </c>
      <c r="F112" s="1975" t="s">
        <v>2054</v>
      </c>
      <c r="G112" s="1976">
        <v>43191</v>
      </c>
      <c r="H112" s="1976"/>
      <c r="I112" s="1976">
        <v>43191</v>
      </c>
      <c r="J112" s="1976"/>
      <c r="K112" s="1975"/>
      <c r="L112" s="1980" t="s">
        <v>2036</v>
      </c>
      <c r="M112" s="1975">
        <v>9.2200000000000006</v>
      </c>
      <c r="N112" s="1975">
        <f>SUM(F4.2!AE$35:AF$35)</f>
        <v>0</v>
      </c>
      <c r="O112" s="1975"/>
      <c r="P112" s="1975"/>
      <c r="Q112" s="1975"/>
      <c r="R112" s="1975"/>
      <c r="S112" s="1975">
        <f>N112-M112</f>
        <v>-9.2200000000000006</v>
      </c>
    </row>
    <row r="113" spans="2:19" s="602" customFormat="1" x14ac:dyDescent="0.25">
      <c r="B113" s="1975"/>
      <c r="C113" s="1975"/>
      <c r="D113" s="1975"/>
      <c r="E113" s="1975"/>
      <c r="F113" s="1975"/>
      <c r="G113" s="1976"/>
      <c r="H113" s="1976"/>
      <c r="I113" s="1976"/>
      <c r="J113" s="1976"/>
      <c r="K113" s="1975"/>
      <c r="L113" s="1980"/>
      <c r="M113" s="1975"/>
      <c r="N113" s="1975"/>
      <c r="O113" s="1975"/>
      <c r="P113" s="1975"/>
      <c r="Q113" s="1975"/>
      <c r="R113" s="1975"/>
      <c r="S113" s="1975">
        <f>N113-M113</f>
        <v>0</v>
      </c>
    </row>
    <row r="114" spans="2:19" s="602" customFormat="1" x14ac:dyDescent="0.25">
      <c r="B114" s="1975" t="s">
        <v>2071</v>
      </c>
      <c r="C114" s="1975"/>
      <c r="D114" s="1975"/>
      <c r="E114" s="1975"/>
      <c r="F114" s="1975"/>
      <c r="G114" s="1976"/>
      <c r="H114" s="1976"/>
      <c r="I114" s="1976"/>
      <c r="J114" s="1976"/>
      <c r="K114" s="1975"/>
      <c r="L114" s="1980"/>
      <c r="M114" s="1975"/>
      <c r="N114" s="1975">
        <f>SUM(F4.2!AE$38:AF$38)</f>
        <v>6.79</v>
      </c>
      <c r="O114" s="1975"/>
      <c r="P114" s="1975"/>
      <c r="Q114" s="1975"/>
      <c r="R114" s="1975"/>
      <c r="S114" s="1975"/>
    </row>
    <row r="115" spans="2:19" s="602" customFormat="1" x14ac:dyDescent="0.25">
      <c r="B115" s="2290" t="s">
        <v>2072</v>
      </c>
      <c r="C115" s="1975" t="s">
        <v>2073</v>
      </c>
      <c r="D115" s="2288" t="s">
        <v>2074</v>
      </c>
      <c r="E115" s="1975" t="s">
        <v>1509</v>
      </c>
      <c r="F115" s="1975" t="s">
        <v>2054</v>
      </c>
      <c r="G115" s="1976">
        <v>43191</v>
      </c>
      <c r="H115" s="1976"/>
      <c r="I115" s="1976">
        <v>43191</v>
      </c>
      <c r="J115" s="1976"/>
      <c r="K115" s="1975"/>
      <c r="L115" s="1980" t="s">
        <v>2036</v>
      </c>
      <c r="M115" s="1975">
        <v>92.4</v>
      </c>
      <c r="N115" s="1975">
        <f>SUM(F4.2!AE$39:AF$39)</f>
        <v>3.87</v>
      </c>
      <c r="O115" s="1975"/>
      <c r="P115" s="1975"/>
      <c r="Q115" s="1975"/>
      <c r="R115" s="1975"/>
      <c r="S115" s="1975"/>
    </row>
    <row r="116" spans="2:19" s="602" customFormat="1" x14ac:dyDescent="0.25">
      <c r="B116" s="2291"/>
      <c r="C116" s="1975" t="s">
        <v>2075</v>
      </c>
      <c r="D116" s="2289"/>
      <c r="E116" s="1975"/>
      <c r="F116" s="1975"/>
      <c r="G116" s="1976">
        <v>43191</v>
      </c>
      <c r="H116" s="1976"/>
      <c r="I116" s="1976">
        <v>43191</v>
      </c>
      <c r="J116" s="1976"/>
      <c r="K116" s="1975"/>
      <c r="L116" s="1980" t="s">
        <v>2036</v>
      </c>
      <c r="M116" s="1975">
        <v>25.69</v>
      </c>
      <c r="N116" s="1975"/>
      <c r="O116" s="1975"/>
      <c r="P116" s="1975"/>
      <c r="Q116" s="1975"/>
      <c r="R116" s="1975"/>
      <c r="S116" s="1975">
        <f>N116-M116</f>
        <v>-25.69</v>
      </c>
    </row>
    <row r="117" spans="2:19" s="602" customFormat="1" x14ac:dyDescent="0.25">
      <c r="B117" s="1975"/>
      <c r="C117" s="1975"/>
      <c r="D117" s="1975"/>
      <c r="E117" s="1975"/>
      <c r="F117" s="1975"/>
      <c r="G117" s="1976"/>
      <c r="H117" s="1976"/>
      <c r="I117" s="1976"/>
      <c r="J117" s="1976"/>
      <c r="K117" s="1975"/>
      <c r="L117" s="1980"/>
      <c r="M117" s="1975"/>
      <c r="N117" s="1975"/>
      <c r="O117" s="1975"/>
      <c r="P117" s="1975"/>
      <c r="Q117" s="1975"/>
      <c r="R117" s="1975"/>
      <c r="S117" s="1975">
        <f>N117-M117</f>
        <v>0</v>
      </c>
    </row>
    <row r="118" spans="2:19" s="602" customFormat="1" x14ac:dyDescent="0.25">
      <c r="B118" s="1975">
        <v>0</v>
      </c>
      <c r="C118" s="1975"/>
      <c r="D118" s="1975"/>
      <c r="E118" s="1975"/>
      <c r="F118" s="1975"/>
      <c r="G118" s="1976"/>
      <c r="H118" s="1976"/>
      <c r="I118" s="1976"/>
      <c r="J118" s="1976"/>
      <c r="K118" s="1975"/>
      <c r="L118" s="1980"/>
      <c r="M118" s="1975"/>
      <c r="N118" s="1975"/>
      <c r="O118" s="1975"/>
      <c r="P118" s="1975"/>
      <c r="Q118" s="1975"/>
      <c r="R118" s="1975"/>
      <c r="S118" s="1975"/>
    </row>
    <row r="119" spans="2:19" s="602" customFormat="1" ht="28" x14ac:dyDescent="0.25">
      <c r="B119" s="1975" t="s">
        <v>1470</v>
      </c>
      <c r="C119" s="1975" t="s">
        <v>2007</v>
      </c>
      <c r="D119" s="1975" t="s">
        <v>2041</v>
      </c>
      <c r="E119" s="1975" t="s">
        <v>2076</v>
      </c>
      <c r="F119" s="1975" t="s">
        <v>2040</v>
      </c>
      <c r="G119" s="1976">
        <v>43556</v>
      </c>
      <c r="H119" s="1976"/>
      <c r="I119" s="1976">
        <v>43556</v>
      </c>
      <c r="J119" s="1976"/>
      <c r="K119" s="1975"/>
      <c r="L119" s="1980" t="s">
        <v>2036</v>
      </c>
      <c r="M119" s="1975">
        <v>56.07</v>
      </c>
      <c r="N119" s="1975">
        <f>SUM(F4.2!AE$42:AF$42)</f>
        <v>17.399999999999999</v>
      </c>
      <c r="O119" s="1975"/>
      <c r="P119" s="1975"/>
      <c r="Q119" s="1975"/>
      <c r="R119" s="1975"/>
      <c r="S119" s="1975"/>
    </row>
    <row r="120" spans="2:19" s="602" customFormat="1" x14ac:dyDescent="0.25">
      <c r="B120" s="1975"/>
      <c r="C120" s="1975"/>
      <c r="D120" s="1975"/>
      <c r="E120" s="1975"/>
      <c r="F120" s="1975"/>
      <c r="G120" s="1976"/>
      <c r="H120" s="1976"/>
      <c r="I120" s="1976"/>
      <c r="J120" s="1976"/>
      <c r="K120" s="1975"/>
      <c r="L120" s="1975"/>
      <c r="M120" s="1975"/>
      <c r="N120" s="1975"/>
      <c r="O120" s="1975"/>
      <c r="P120" s="1975"/>
      <c r="Q120" s="1975"/>
      <c r="R120" s="1975"/>
      <c r="S120" s="1975">
        <f>N120-M120</f>
        <v>0</v>
      </c>
    </row>
    <row r="121" spans="2:19" s="602" customFormat="1" x14ac:dyDescent="0.25">
      <c r="B121" s="1975" t="s">
        <v>34</v>
      </c>
      <c r="C121" s="1975"/>
      <c r="D121" s="1975"/>
      <c r="E121" s="1975"/>
      <c r="F121" s="1975"/>
      <c r="G121" s="1976"/>
      <c r="H121" s="1976"/>
      <c r="I121" s="1976"/>
      <c r="J121" s="1976"/>
      <c r="K121" s="1975"/>
      <c r="L121" s="1975"/>
      <c r="M121" s="1975"/>
      <c r="N121" s="1975"/>
      <c r="O121" s="1975"/>
      <c r="P121" s="1975"/>
      <c r="Q121" s="1975"/>
      <c r="R121" s="1975"/>
      <c r="S121" s="1975">
        <f>N121-M121</f>
        <v>0</v>
      </c>
    </row>
    <row r="122" spans="2:19" s="602" customFormat="1" ht="28" x14ac:dyDescent="0.25">
      <c r="B122" s="1975" t="s">
        <v>1471</v>
      </c>
      <c r="C122" s="1975" t="s">
        <v>1471</v>
      </c>
      <c r="D122" s="1975"/>
      <c r="E122" s="1975"/>
      <c r="F122" s="1975"/>
      <c r="G122" s="1976"/>
      <c r="H122" s="1976"/>
      <c r="I122" s="1976"/>
      <c r="J122" s="1976"/>
      <c r="K122" s="1975"/>
      <c r="L122" s="1975">
        <v>0</v>
      </c>
      <c r="M122" s="1975">
        <v>0</v>
      </c>
      <c r="N122" s="1975">
        <f>SUM(F4.2!AE$53:AF$53)</f>
        <v>7.9799999999999995</v>
      </c>
      <c r="O122" s="1975"/>
      <c r="P122" s="1975"/>
      <c r="Q122" s="1975"/>
      <c r="R122" s="1975"/>
      <c r="S122" s="1975"/>
    </row>
    <row r="123" spans="2:19" s="602" customFormat="1" ht="28" x14ac:dyDescent="0.25">
      <c r="B123" s="1975" t="s">
        <v>2003</v>
      </c>
      <c r="C123" s="1975" t="s">
        <v>1473</v>
      </c>
      <c r="D123" s="1975"/>
      <c r="E123" s="1975"/>
      <c r="F123" s="1975"/>
      <c r="G123" s="1976"/>
      <c r="H123" s="1976"/>
      <c r="I123" s="1976"/>
      <c r="J123" s="1976"/>
      <c r="K123" s="1975"/>
      <c r="L123" s="1975">
        <v>0</v>
      </c>
      <c r="M123" s="1975">
        <v>0</v>
      </c>
      <c r="N123" s="1975">
        <f>SUM(F4.2!AE$54:AF$54)</f>
        <v>0.87</v>
      </c>
      <c r="O123" s="1975"/>
      <c r="P123" s="1975"/>
      <c r="Q123" s="1975"/>
      <c r="R123" s="1975"/>
      <c r="S123" s="1975"/>
    </row>
    <row r="124" spans="2:19" s="602" customFormat="1" ht="42" x14ac:dyDescent="0.25">
      <c r="B124" s="1974" t="s">
        <v>1473</v>
      </c>
      <c r="C124" s="1975" t="s">
        <v>2060</v>
      </c>
      <c r="D124" s="1975"/>
      <c r="E124" s="1975"/>
      <c r="F124" s="1975"/>
      <c r="G124" s="1976"/>
      <c r="H124" s="1976"/>
      <c r="I124" s="1976"/>
      <c r="J124" s="1976"/>
      <c r="K124" s="1975"/>
      <c r="L124" s="1975">
        <v>0</v>
      </c>
      <c r="M124" s="1975">
        <v>0</v>
      </c>
      <c r="N124" s="1975">
        <f>SUM(F4.2!AE$55:AF$55)</f>
        <v>16.920000000000002</v>
      </c>
      <c r="O124" s="1975"/>
      <c r="P124" s="1975"/>
      <c r="Q124" s="1975"/>
      <c r="R124" s="1975"/>
      <c r="S124" s="1975">
        <f>N124-M124</f>
        <v>16.920000000000002</v>
      </c>
    </row>
    <row r="125" spans="2:19" s="602" customFormat="1" ht="28" x14ac:dyDescent="0.25">
      <c r="B125" s="1975" t="s">
        <v>1474</v>
      </c>
      <c r="C125" s="1975" t="s">
        <v>1475</v>
      </c>
      <c r="D125" s="1975"/>
      <c r="E125" s="1975"/>
      <c r="F125" s="1975"/>
      <c r="G125" s="1976"/>
      <c r="H125" s="1976"/>
      <c r="I125" s="1976"/>
      <c r="J125" s="1976"/>
      <c r="K125" s="1975"/>
      <c r="L125" s="1975">
        <v>0</v>
      </c>
      <c r="M125" s="1975">
        <v>0</v>
      </c>
      <c r="N125" s="1975">
        <f>SUM(F4.2!AE$56:AF$56)</f>
        <v>7.89</v>
      </c>
      <c r="O125" s="1975"/>
      <c r="P125" s="1975"/>
      <c r="Q125" s="1975"/>
      <c r="R125" s="1975"/>
      <c r="S125" s="1975">
        <f>N125-M125</f>
        <v>7.89</v>
      </c>
    </row>
    <row r="126" spans="2:19" s="602" customFormat="1" x14ac:dyDescent="0.25">
      <c r="B126" s="1983" t="s">
        <v>5</v>
      </c>
      <c r="C126" s="1983"/>
      <c r="D126" s="1983"/>
      <c r="E126" s="1983"/>
      <c r="F126" s="1983"/>
      <c r="G126" s="1984"/>
      <c r="H126" s="1984"/>
      <c r="I126" s="1984"/>
      <c r="J126" s="1984"/>
      <c r="K126" s="1983"/>
      <c r="L126" s="1983"/>
      <c r="M126" s="1983">
        <f>SUM(M95:M125)</f>
        <v>915.74000000000012</v>
      </c>
      <c r="N126" s="1983">
        <f t="shared" ref="N126:S126" si="3">SUM(N95:N125)</f>
        <v>232.7</v>
      </c>
      <c r="O126" s="1983">
        <f t="shared" si="3"/>
        <v>0</v>
      </c>
      <c r="P126" s="1983">
        <f t="shared" si="3"/>
        <v>0</v>
      </c>
      <c r="Q126" s="1983">
        <f t="shared" si="3"/>
        <v>0</v>
      </c>
      <c r="R126" s="1983">
        <f t="shared" si="3"/>
        <v>0</v>
      </c>
      <c r="S126" s="1983">
        <f t="shared" si="3"/>
        <v>-281.88</v>
      </c>
    </row>
    <row r="127" spans="2:19" s="602" customFormat="1" ht="13" x14ac:dyDescent="0.25">
      <c r="B127" s="1985"/>
      <c r="C127" s="1985"/>
      <c r="D127" s="1985"/>
      <c r="E127" s="1985"/>
      <c r="F127" s="1985"/>
      <c r="G127" s="1986"/>
      <c r="H127" s="1986"/>
      <c r="I127" s="1986"/>
      <c r="J127" s="1986"/>
      <c r="K127" s="1985"/>
      <c r="L127" s="1985"/>
      <c r="M127" s="1985"/>
      <c r="N127" s="1985"/>
      <c r="O127" s="1985"/>
      <c r="P127" s="1985"/>
      <c r="Q127" s="1985"/>
      <c r="R127" s="1985"/>
      <c r="S127" s="1985"/>
    </row>
    <row r="128" spans="2:19" s="602" customFormat="1" ht="14" customHeight="1" x14ac:dyDescent="0.25">
      <c r="B128" s="2300" t="s">
        <v>26</v>
      </c>
      <c r="C128" s="2300" t="s">
        <v>1</v>
      </c>
      <c r="D128" s="2300" t="s">
        <v>617</v>
      </c>
      <c r="E128" s="2300" t="s">
        <v>618</v>
      </c>
      <c r="F128" s="2300" t="s">
        <v>6</v>
      </c>
      <c r="G128" s="2292" t="s">
        <v>2</v>
      </c>
      <c r="H128" s="2293"/>
      <c r="I128" s="2294"/>
      <c r="J128" s="2295" t="s">
        <v>13</v>
      </c>
      <c r="K128" s="2296"/>
      <c r="L128" s="2297"/>
      <c r="M128" s="2295" t="s">
        <v>619</v>
      </c>
      <c r="N128" s="2296"/>
      <c r="O128" s="2296"/>
      <c r="P128" s="2296"/>
      <c r="Q128" s="2296"/>
      <c r="R128" s="2296"/>
      <c r="S128" s="2297"/>
    </row>
    <row r="129" spans="2:19" s="602" customFormat="1" ht="14" customHeight="1" x14ac:dyDescent="0.25">
      <c r="B129" s="2302"/>
      <c r="C129" s="2302"/>
      <c r="D129" s="2302"/>
      <c r="E129" s="2302"/>
      <c r="F129" s="2302"/>
      <c r="G129" s="2298" t="s">
        <v>17</v>
      </c>
      <c r="H129" s="2298" t="s">
        <v>14</v>
      </c>
      <c r="I129" s="2298" t="s">
        <v>620</v>
      </c>
      <c r="J129" s="2298" t="s">
        <v>17</v>
      </c>
      <c r="K129" s="2300" t="s">
        <v>14</v>
      </c>
      <c r="L129" s="2300" t="s">
        <v>12</v>
      </c>
      <c r="M129" s="2300" t="s">
        <v>37</v>
      </c>
      <c r="N129" s="2300" t="s">
        <v>621</v>
      </c>
      <c r="O129" s="2285" t="s">
        <v>787</v>
      </c>
      <c r="P129" s="2286"/>
      <c r="Q129" s="2286"/>
      <c r="R129" s="2286"/>
      <c r="S129" s="2287"/>
    </row>
    <row r="130" spans="2:19" s="602" customFormat="1" ht="28" x14ac:dyDescent="0.25">
      <c r="B130" s="2301"/>
      <c r="C130" s="2301"/>
      <c r="D130" s="2301"/>
      <c r="E130" s="2301"/>
      <c r="F130" s="2301"/>
      <c r="G130" s="2299"/>
      <c r="H130" s="2299"/>
      <c r="I130" s="2299"/>
      <c r="J130" s="2299"/>
      <c r="K130" s="2301"/>
      <c r="L130" s="2301"/>
      <c r="M130" s="2301"/>
      <c r="N130" s="2301"/>
      <c r="O130" s="1973" t="s">
        <v>788</v>
      </c>
      <c r="P130" s="1973" t="s">
        <v>789</v>
      </c>
      <c r="Q130" s="1973" t="s">
        <v>790</v>
      </c>
      <c r="R130" s="1973" t="s">
        <v>791</v>
      </c>
      <c r="S130" s="1973" t="s">
        <v>792</v>
      </c>
    </row>
    <row r="131" spans="2:19" s="602" customFormat="1" x14ac:dyDescent="0.25">
      <c r="B131" s="1974" t="s">
        <v>427</v>
      </c>
      <c r="C131" s="1975"/>
      <c r="D131" s="1975"/>
      <c r="E131" s="1975"/>
      <c r="F131" s="1975"/>
      <c r="G131" s="1976"/>
      <c r="H131" s="1976"/>
      <c r="I131" s="1976"/>
      <c r="J131" s="1976"/>
      <c r="K131" s="1975"/>
      <c r="L131" s="1975"/>
      <c r="M131" s="1975"/>
      <c r="N131" s="1975"/>
      <c r="O131" s="1975"/>
      <c r="P131" s="1975"/>
      <c r="Q131" s="1975"/>
      <c r="R131" s="1975"/>
      <c r="S131" s="1977"/>
    </row>
    <row r="132" spans="2:19" s="602" customFormat="1" x14ac:dyDescent="0.25">
      <c r="B132" s="1978" t="s">
        <v>33</v>
      </c>
      <c r="C132" s="1975"/>
      <c r="D132" s="1975"/>
      <c r="E132" s="1975"/>
      <c r="F132" s="1975"/>
      <c r="G132" s="1976"/>
      <c r="H132" s="1976"/>
      <c r="I132" s="1976"/>
      <c r="J132" s="1976"/>
      <c r="K132" s="1975"/>
      <c r="L132" s="1975"/>
      <c r="M132" s="1975"/>
      <c r="N132" s="1975"/>
      <c r="O132" s="1975"/>
      <c r="P132" s="1975"/>
      <c r="Q132" s="1975"/>
      <c r="R132" s="1975"/>
      <c r="S132" s="1977"/>
    </row>
    <row r="133" spans="2:19" s="602" customFormat="1" x14ac:dyDescent="0.25">
      <c r="B133" s="1979" t="s">
        <v>35</v>
      </c>
      <c r="C133" s="1975"/>
      <c r="D133" s="1975"/>
      <c r="E133" s="1975"/>
      <c r="F133" s="1975"/>
      <c r="G133" s="1976"/>
      <c r="H133" s="1976"/>
      <c r="I133" s="1976"/>
      <c r="J133" s="1976"/>
      <c r="K133" s="1975"/>
      <c r="L133" s="1975"/>
      <c r="M133" s="1975"/>
      <c r="N133" s="1975"/>
      <c r="O133" s="1975"/>
      <c r="P133" s="1975"/>
      <c r="Q133" s="1975"/>
      <c r="R133" s="1975"/>
      <c r="S133" s="1977"/>
    </row>
    <row r="134" spans="2:19" s="602" customFormat="1" x14ac:dyDescent="0.25">
      <c r="B134" s="1979"/>
      <c r="C134" s="1975" t="s">
        <v>1468</v>
      </c>
      <c r="D134" s="1975"/>
      <c r="E134" s="1975"/>
      <c r="F134" s="1975"/>
      <c r="G134" s="1976"/>
      <c r="H134" s="1976"/>
      <c r="I134" s="1976"/>
      <c r="J134" s="1976"/>
      <c r="K134" s="1975"/>
      <c r="L134" s="1975"/>
      <c r="M134" s="1975"/>
      <c r="N134" s="1975"/>
      <c r="O134" s="1975"/>
      <c r="P134" s="1975"/>
      <c r="Q134" s="1975"/>
      <c r="R134" s="1975"/>
      <c r="S134" s="1977"/>
    </row>
    <row r="135" spans="2:19" s="602" customFormat="1" ht="28" x14ac:dyDescent="0.25">
      <c r="B135" s="1975" t="s">
        <v>1477</v>
      </c>
      <c r="C135" s="1975" t="s">
        <v>2031</v>
      </c>
      <c r="D135" s="1975" t="s">
        <v>2035</v>
      </c>
      <c r="E135" s="1975" t="s">
        <v>1479</v>
      </c>
      <c r="F135" s="1975" t="s">
        <v>2034</v>
      </c>
      <c r="G135" s="1976">
        <v>42095</v>
      </c>
      <c r="H135" s="1976"/>
      <c r="I135" s="1976">
        <v>42095</v>
      </c>
      <c r="J135" s="1976"/>
      <c r="K135" s="1975"/>
      <c r="L135" s="1980" t="s">
        <v>2036</v>
      </c>
      <c r="M135" s="1975">
        <v>82.23</v>
      </c>
      <c r="N135" s="1975">
        <f>SUM(F4.2!AF$18:AG$18)</f>
        <v>14.03</v>
      </c>
      <c r="O135" s="1975"/>
      <c r="P135" s="1975"/>
      <c r="Q135" s="1975"/>
      <c r="R135" s="1975"/>
      <c r="S135" s="1987">
        <f>N135-M135</f>
        <v>-68.2</v>
      </c>
    </row>
    <row r="136" spans="2:19" s="602" customFormat="1" x14ac:dyDescent="0.25">
      <c r="B136" s="1975" t="s">
        <v>2061</v>
      </c>
      <c r="C136" s="1975" t="s">
        <v>2031</v>
      </c>
      <c r="D136" s="1975" t="s">
        <v>2062</v>
      </c>
      <c r="E136" s="1975" t="s">
        <v>2063</v>
      </c>
      <c r="F136" s="1975" t="s">
        <v>2034</v>
      </c>
      <c r="G136" s="1976">
        <v>43922</v>
      </c>
      <c r="H136" s="1976"/>
      <c r="I136" s="1976">
        <v>43922</v>
      </c>
      <c r="J136" s="1976">
        <v>45747</v>
      </c>
      <c r="K136" s="1975"/>
      <c r="L136" s="1980" t="s">
        <v>2036</v>
      </c>
      <c r="M136" s="1975">
        <v>27.4</v>
      </c>
      <c r="N136" s="1975">
        <f>SUM(F4.2!AF$19:AG$19)</f>
        <v>5.71</v>
      </c>
      <c r="O136" s="1975"/>
      <c r="P136" s="1975"/>
      <c r="Q136" s="1975"/>
      <c r="R136" s="1975"/>
      <c r="S136" s="1987">
        <f t="shared" ref="S136:S162" si="4">N136-M136</f>
        <v>-21.689999999999998</v>
      </c>
    </row>
    <row r="137" spans="2:19" s="602" customFormat="1" x14ac:dyDescent="0.25">
      <c r="B137" s="1975"/>
      <c r="C137" s="1975"/>
      <c r="D137" s="1975"/>
      <c r="E137" s="1975"/>
      <c r="F137" s="1975"/>
      <c r="G137" s="1976"/>
      <c r="H137" s="1976"/>
      <c r="I137" s="1976"/>
      <c r="J137" s="1976"/>
      <c r="K137" s="1975"/>
      <c r="L137" s="1980"/>
      <c r="M137" s="1975"/>
      <c r="N137" s="1975"/>
      <c r="O137" s="1975"/>
      <c r="P137" s="1975"/>
      <c r="Q137" s="1975"/>
      <c r="R137" s="1975"/>
      <c r="S137" s="1987">
        <f t="shared" si="4"/>
        <v>0</v>
      </c>
    </row>
    <row r="138" spans="2:19" s="602" customFormat="1" x14ac:dyDescent="0.25">
      <c r="B138" s="1979" t="s">
        <v>2037</v>
      </c>
      <c r="C138" s="1975"/>
      <c r="D138" s="1975"/>
      <c r="E138" s="1975"/>
      <c r="F138" s="1975"/>
      <c r="G138" s="1976"/>
      <c r="H138" s="1976"/>
      <c r="I138" s="1976"/>
      <c r="J138" s="1976"/>
      <c r="K138" s="1975"/>
      <c r="L138" s="1980"/>
      <c r="M138" s="1975"/>
      <c r="N138" s="1975"/>
      <c r="O138" s="1975"/>
      <c r="P138" s="1975"/>
      <c r="Q138" s="1975"/>
      <c r="R138" s="1975"/>
      <c r="S138" s="1987">
        <f t="shared" si="4"/>
        <v>0</v>
      </c>
    </row>
    <row r="139" spans="2:19" s="602" customFormat="1" ht="28" x14ac:dyDescent="0.25">
      <c r="B139" s="1975" t="s">
        <v>1480</v>
      </c>
      <c r="C139" s="1975" t="s">
        <v>2038</v>
      </c>
      <c r="D139" s="1975" t="s">
        <v>2039</v>
      </c>
      <c r="E139" s="1975" t="s">
        <v>1482</v>
      </c>
      <c r="F139" s="1975" t="s">
        <v>2040</v>
      </c>
      <c r="G139" s="1976">
        <v>42095</v>
      </c>
      <c r="H139" s="1976"/>
      <c r="I139" s="1976" t="s">
        <v>2041</v>
      </c>
      <c r="J139" s="1976">
        <v>42460</v>
      </c>
      <c r="K139" s="1975"/>
      <c r="L139" s="1980" t="s">
        <v>2036</v>
      </c>
      <c r="M139" s="1975">
        <v>36.630000000000003</v>
      </c>
      <c r="N139" s="1975">
        <f>SUM(F4.2!AF$21:AG$21)</f>
        <v>2.71</v>
      </c>
      <c r="O139" s="1975"/>
      <c r="P139" s="1975"/>
      <c r="Q139" s="1975"/>
      <c r="R139" s="1975"/>
      <c r="S139" s="1987">
        <f t="shared" si="4"/>
        <v>-33.92</v>
      </c>
    </row>
    <row r="140" spans="2:19" s="602" customFormat="1" ht="28" x14ac:dyDescent="0.25">
      <c r="B140" s="1975" t="s">
        <v>1483</v>
      </c>
      <c r="C140" s="1975" t="s">
        <v>2038</v>
      </c>
      <c r="D140" s="1975" t="s">
        <v>2042</v>
      </c>
      <c r="E140" s="1975" t="s">
        <v>1485</v>
      </c>
      <c r="F140" s="1975" t="s">
        <v>2040</v>
      </c>
      <c r="G140" s="1976">
        <v>42095</v>
      </c>
      <c r="H140" s="1976"/>
      <c r="I140" s="1976">
        <v>42095</v>
      </c>
      <c r="J140" s="1976"/>
      <c r="K140" s="1975"/>
      <c r="L140" s="1980" t="s">
        <v>2036</v>
      </c>
      <c r="M140" s="1975">
        <v>64.09</v>
      </c>
      <c r="N140" s="1975">
        <f>SUM(F4.2!AF$22:AG$22)</f>
        <v>8.1999999999999993</v>
      </c>
      <c r="O140" s="1975"/>
      <c r="P140" s="1975"/>
      <c r="Q140" s="1975"/>
      <c r="R140" s="1975"/>
      <c r="S140" s="1987">
        <f t="shared" si="4"/>
        <v>-55.89</v>
      </c>
    </row>
    <row r="141" spans="2:19" s="602" customFormat="1" ht="28" x14ac:dyDescent="0.25">
      <c r="B141" s="1975" t="s">
        <v>1486</v>
      </c>
      <c r="C141" s="1975" t="s">
        <v>2038</v>
      </c>
      <c r="D141" s="1975" t="s">
        <v>2042</v>
      </c>
      <c r="E141" s="1975" t="s">
        <v>1485</v>
      </c>
      <c r="F141" s="1975" t="s">
        <v>2040</v>
      </c>
      <c r="G141" s="1976">
        <v>42461</v>
      </c>
      <c r="H141" s="1976"/>
      <c r="I141" s="1976">
        <v>42461</v>
      </c>
      <c r="J141" s="1976"/>
      <c r="K141" s="1975"/>
      <c r="L141" s="1980" t="s">
        <v>2036</v>
      </c>
      <c r="M141" s="1975">
        <v>58.86</v>
      </c>
      <c r="N141" s="1975">
        <f>SUM(F4.2!AF$23:AG$23)</f>
        <v>4.47</v>
      </c>
      <c r="O141" s="1975"/>
      <c r="P141" s="1975"/>
      <c r="Q141" s="1975"/>
      <c r="R141" s="1975"/>
      <c r="S141" s="1987">
        <f t="shared" si="4"/>
        <v>-54.39</v>
      </c>
    </row>
    <row r="142" spans="2:19" s="602" customFormat="1" ht="28" x14ac:dyDescent="0.25">
      <c r="B142" s="1975" t="s">
        <v>1490</v>
      </c>
      <c r="C142" s="1975" t="s">
        <v>2038</v>
      </c>
      <c r="D142" s="1975" t="s">
        <v>2044</v>
      </c>
      <c r="E142" s="1975" t="s">
        <v>1492</v>
      </c>
      <c r="F142" s="1975" t="s">
        <v>2040</v>
      </c>
      <c r="G142" s="1976">
        <v>43556</v>
      </c>
      <c r="H142" s="1976"/>
      <c r="I142" s="1976">
        <v>43556</v>
      </c>
      <c r="J142" s="1976">
        <v>45747</v>
      </c>
      <c r="K142" s="1975"/>
      <c r="L142" s="1980" t="s">
        <v>2036</v>
      </c>
      <c r="M142" s="1975">
        <v>40.6</v>
      </c>
      <c r="N142" s="1975">
        <f>SUM(F4.2!AF$25:AG$25)</f>
        <v>9.59</v>
      </c>
      <c r="O142" s="1975"/>
      <c r="P142" s="1975"/>
      <c r="Q142" s="1975"/>
      <c r="R142" s="1975"/>
      <c r="S142" s="1987">
        <f t="shared" si="4"/>
        <v>-31.01</v>
      </c>
    </row>
    <row r="143" spans="2:19" s="602" customFormat="1" x14ac:dyDescent="0.25">
      <c r="B143" s="1975"/>
      <c r="C143" s="1975"/>
      <c r="D143" s="1975"/>
      <c r="E143" s="1975"/>
      <c r="F143" s="1975"/>
      <c r="G143" s="1976"/>
      <c r="H143" s="1976"/>
      <c r="I143" s="1976"/>
      <c r="J143" s="1976"/>
      <c r="K143" s="1975"/>
      <c r="L143" s="1980"/>
      <c r="M143" s="1975"/>
      <c r="N143" s="1975"/>
      <c r="O143" s="1975"/>
      <c r="P143" s="1975"/>
      <c r="Q143" s="1975"/>
      <c r="R143" s="1975"/>
      <c r="S143" s="1987">
        <f t="shared" si="4"/>
        <v>0</v>
      </c>
    </row>
    <row r="144" spans="2:19" s="602" customFormat="1" ht="28" x14ac:dyDescent="0.25">
      <c r="B144" s="1979" t="s">
        <v>2045</v>
      </c>
      <c r="C144" s="1975"/>
      <c r="D144" s="1975"/>
      <c r="E144" s="1975"/>
      <c r="F144" s="1975"/>
      <c r="G144" s="1976"/>
      <c r="H144" s="1976"/>
      <c r="I144" s="1976"/>
      <c r="J144" s="1976"/>
      <c r="K144" s="1975"/>
      <c r="L144" s="1980"/>
      <c r="M144" s="1975"/>
      <c r="N144" s="1975"/>
      <c r="O144" s="1975"/>
      <c r="P144" s="1975"/>
      <c r="Q144" s="1975"/>
      <c r="R144" s="1975"/>
      <c r="S144" s="1987">
        <f t="shared" si="4"/>
        <v>0</v>
      </c>
    </row>
    <row r="145" spans="2:19" s="602" customFormat="1" x14ac:dyDescent="0.25">
      <c r="B145" s="1975" t="s">
        <v>2064</v>
      </c>
      <c r="C145" s="1975" t="s">
        <v>2046</v>
      </c>
      <c r="D145" s="1975" t="s">
        <v>2065</v>
      </c>
      <c r="E145" s="1975" t="s">
        <v>1492</v>
      </c>
      <c r="F145" s="1975" t="s">
        <v>2048</v>
      </c>
      <c r="G145" s="1976">
        <v>43922</v>
      </c>
      <c r="H145" s="1976"/>
      <c r="I145" s="1976">
        <v>43922</v>
      </c>
      <c r="J145" s="1976"/>
      <c r="K145" s="1975"/>
      <c r="L145" s="1980" t="s">
        <v>2036</v>
      </c>
      <c r="M145" s="1975">
        <v>147.65</v>
      </c>
      <c r="N145" s="1975">
        <f>SUM(F4.2!AF$29:AG$29)</f>
        <v>45.95</v>
      </c>
      <c r="O145" s="1975"/>
      <c r="P145" s="1975"/>
      <c r="Q145" s="1975"/>
      <c r="R145" s="1975"/>
      <c r="S145" s="1987">
        <f t="shared" si="4"/>
        <v>-101.7</v>
      </c>
    </row>
    <row r="146" spans="2:19" s="602" customFormat="1" x14ac:dyDescent="0.25">
      <c r="B146" s="1975"/>
      <c r="C146" s="1975"/>
      <c r="D146" s="1975"/>
      <c r="E146" s="1975"/>
      <c r="F146" s="1975"/>
      <c r="G146" s="1976"/>
      <c r="H146" s="1976"/>
      <c r="I146" s="1976"/>
      <c r="J146" s="1976"/>
      <c r="K146" s="1975"/>
      <c r="L146" s="1980"/>
      <c r="M146" s="1975"/>
      <c r="N146" s="1975"/>
      <c r="O146" s="1975"/>
      <c r="P146" s="1975"/>
      <c r="Q146" s="1975"/>
      <c r="R146" s="1975"/>
      <c r="S146" s="1987">
        <f t="shared" si="4"/>
        <v>0</v>
      </c>
    </row>
    <row r="147" spans="2:19" s="602" customFormat="1" ht="28" x14ac:dyDescent="0.25">
      <c r="B147" s="1979"/>
      <c r="C147" s="1975" t="s">
        <v>2049</v>
      </c>
      <c r="D147" s="1975"/>
      <c r="E147" s="1975"/>
      <c r="F147" s="1975"/>
      <c r="G147" s="1976"/>
      <c r="H147" s="1976"/>
      <c r="I147" s="1976"/>
      <c r="J147" s="1976"/>
      <c r="K147" s="1975"/>
      <c r="L147" s="1980"/>
      <c r="M147" s="1975"/>
      <c r="N147" s="1975"/>
      <c r="O147" s="1975"/>
      <c r="P147" s="1975"/>
      <c r="Q147" s="1975"/>
      <c r="R147" s="1975"/>
      <c r="S147" s="1987">
        <f t="shared" si="4"/>
        <v>0</v>
      </c>
    </row>
    <row r="148" spans="2:19" s="602" customFormat="1" ht="28" x14ac:dyDescent="0.25">
      <c r="B148" s="1975" t="s">
        <v>2066</v>
      </c>
      <c r="C148" s="1975" t="s">
        <v>2049</v>
      </c>
      <c r="D148" s="1975" t="s">
        <v>2067</v>
      </c>
      <c r="E148" s="1975" t="s">
        <v>2068</v>
      </c>
      <c r="F148" s="1975" t="s">
        <v>2048</v>
      </c>
      <c r="G148" s="1976">
        <v>43922</v>
      </c>
      <c r="H148" s="1976"/>
      <c r="I148" s="1976">
        <v>43922</v>
      </c>
      <c r="J148" s="1976"/>
      <c r="K148" s="1975"/>
      <c r="L148" s="1980" t="s">
        <v>2036</v>
      </c>
      <c r="M148" s="1975">
        <v>246.2</v>
      </c>
      <c r="N148" s="1975">
        <f>SUM(F4.2!AF$32:AG$32)</f>
        <v>93.83</v>
      </c>
      <c r="O148" s="1975"/>
      <c r="P148" s="1975"/>
      <c r="Q148" s="1975"/>
      <c r="R148" s="1975"/>
      <c r="S148" s="1987">
        <f t="shared" si="4"/>
        <v>-152.37</v>
      </c>
    </row>
    <row r="149" spans="2:19" s="602" customFormat="1" x14ac:dyDescent="0.25">
      <c r="B149" s="1975"/>
      <c r="C149" s="1975"/>
      <c r="D149" s="1975"/>
      <c r="E149" s="1975"/>
      <c r="F149" s="1975"/>
      <c r="G149" s="1976"/>
      <c r="H149" s="1976"/>
      <c r="I149" s="1976"/>
      <c r="J149" s="1976"/>
      <c r="K149" s="1975"/>
      <c r="L149" s="1980"/>
      <c r="M149" s="1975"/>
      <c r="N149" s="1975"/>
      <c r="O149" s="1975"/>
      <c r="P149" s="1975"/>
      <c r="Q149" s="1975"/>
      <c r="R149" s="1975"/>
      <c r="S149" s="1987">
        <f t="shared" si="4"/>
        <v>0</v>
      </c>
    </row>
    <row r="150" spans="2:19" s="602" customFormat="1" ht="28" x14ac:dyDescent="0.25">
      <c r="B150" s="1975"/>
      <c r="C150" s="1975" t="s">
        <v>2050</v>
      </c>
      <c r="D150" s="1975"/>
      <c r="E150" s="1975"/>
      <c r="F150" s="1975"/>
      <c r="G150" s="1976"/>
      <c r="H150" s="1976"/>
      <c r="I150" s="1976"/>
      <c r="J150" s="1976"/>
      <c r="K150" s="1975"/>
      <c r="L150" s="1980"/>
      <c r="M150" s="1975"/>
      <c r="N150" s="1975"/>
      <c r="O150" s="1975"/>
      <c r="P150" s="1975"/>
      <c r="Q150" s="1975"/>
      <c r="R150" s="1975"/>
      <c r="S150" s="1987">
        <f t="shared" si="4"/>
        <v>0</v>
      </c>
    </row>
    <row r="151" spans="2:19" s="602" customFormat="1" x14ac:dyDescent="0.25">
      <c r="B151" s="1979" t="s">
        <v>1501</v>
      </c>
      <c r="C151" s="1975" t="s">
        <v>2051</v>
      </c>
      <c r="D151" s="1975" t="s">
        <v>2052</v>
      </c>
      <c r="E151" s="1975" t="s">
        <v>2053</v>
      </c>
      <c r="F151" s="1975" t="s">
        <v>2054</v>
      </c>
      <c r="G151" s="1976">
        <v>42826</v>
      </c>
      <c r="H151" s="1976"/>
      <c r="I151" s="1976">
        <v>42826</v>
      </c>
      <c r="J151" s="1976"/>
      <c r="K151" s="1975"/>
      <c r="L151" s="1980" t="s">
        <v>2036</v>
      </c>
      <c r="M151" s="1975">
        <v>13.12</v>
      </c>
      <c r="N151" s="1975">
        <f>SUM(F4.2!AF$34:AG$34)</f>
        <v>0</v>
      </c>
      <c r="O151" s="1975"/>
      <c r="P151" s="1975"/>
      <c r="Q151" s="1975"/>
      <c r="R151" s="1975"/>
      <c r="S151" s="1987">
        <f t="shared" si="4"/>
        <v>-13.12</v>
      </c>
    </row>
    <row r="152" spans="2:19" s="602" customFormat="1" x14ac:dyDescent="0.25">
      <c r="B152" s="1975" t="s">
        <v>1504</v>
      </c>
      <c r="C152" s="1975" t="s">
        <v>2069</v>
      </c>
      <c r="D152" s="1975" t="s">
        <v>2052</v>
      </c>
      <c r="E152" s="1975" t="s">
        <v>2070</v>
      </c>
      <c r="F152" s="1975" t="s">
        <v>2054</v>
      </c>
      <c r="G152" s="1976">
        <v>43191</v>
      </c>
      <c r="H152" s="1976"/>
      <c r="I152" s="1976">
        <v>43191</v>
      </c>
      <c r="J152" s="1976"/>
      <c r="K152" s="1975"/>
      <c r="L152" s="1980" t="s">
        <v>2036</v>
      </c>
      <c r="M152" s="1975">
        <v>9.2200000000000006</v>
      </c>
      <c r="N152" s="1975">
        <f>SUM(F4.2!AF$35:AG$35)</f>
        <v>0.5</v>
      </c>
      <c r="O152" s="1975"/>
      <c r="P152" s="1975"/>
      <c r="Q152" s="1975"/>
      <c r="R152" s="1975"/>
      <c r="S152" s="1987">
        <f t="shared" si="4"/>
        <v>-8.7200000000000006</v>
      </c>
    </row>
    <row r="153" spans="2:19" s="602" customFormat="1" x14ac:dyDescent="0.25">
      <c r="B153" s="1975"/>
      <c r="C153" s="1975"/>
      <c r="D153" s="1975"/>
      <c r="E153" s="1975"/>
      <c r="F153" s="1975"/>
      <c r="G153" s="1976"/>
      <c r="H153" s="1976"/>
      <c r="I153" s="1976"/>
      <c r="J153" s="1976"/>
      <c r="K153" s="1975"/>
      <c r="L153" s="1980"/>
      <c r="M153" s="1975"/>
      <c r="N153" s="1975"/>
      <c r="O153" s="1975"/>
      <c r="P153" s="1975"/>
      <c r="Q153" s="1975"/>
      <c r="R153" s="1975"/>
      <c r="S153" s="1987">
        <f t="shared" si="4"/>
        <v>0</v>
      </c>
    </row>
    <row r="154" spans="2:19" s="602" customFormat="1" x14ac:dyDescent="0.25">
      <c r="B154" s="1975">
        <v>0</v>
      </c>
      <c r="C154" s="1975"/>
      <c r="D154" s="1975"/>
      <c r="E154" s="1975"/>
      <c r="F154" s="1975"/>
      <c r="G154" s="1976"/>
      <c r="H154" s="1976"/>
      <c r="I154" s="1976"/>
      <c r="J154" s="1976"/>
      <c r="K154" s="1975"/>
      <c r="L154" s="1980"/>
      <c r="M154" s="1975"/>
      <c r="N154" s="1975"/>
      <c r="O154" s="1975"/>
      <c r="P154" s="1975"/>
      <c r="Q154" s="1975"/>
      <c r="R154" s="1975"/>
      <c r="S154" s="1987">
        <f t="shared" si="4"/>
        <v>0</v>
      </c>
    </row>
    <row r="155" spans="2:19" s="602" customFormat="1" ht="28" x14ac:dyDescent="0.25">
      <c r="B155" s="1979" t="s">
        <v>1470</v>
      </c>
      <c r="C155" s="1975" t="s">
        <v>2007</v>
      </c>
      <c r="D155" s="1975" t="s">
        <v>2041</v>
      </c>
      <c r="E155" s="1975" t="s">
        <v>2076</v>
      </c>
      <c r="F155" s="1975" t="s">
        <v>2040</v>
      </c>
      <c r="G155" s="1976">
        <v>43556</v>
      </c>
      <c r="H155" s="1976"/>
      <c r="I155" s="1976">
        <v>43556</v>
      </c>
      <c r="J155" s="1976"/>
      <c r="K155" s="1975"/>
      <c r="L155" s="1980" t="s">
        <v>2036</v>
      </c>
      <c r="M155" s="1975">
        <v>56.07</v>
      </c>
      <c r="N155" s="1975">
        <f>SUM(F4.2!AF$42:AG$42)</f>
        <v>11.059999999999999</v>
      </c>
      <c r="O155" s="1975"/>
      <c r="P155" s="1975"/>
      <c r="Q155" s="1975"/>
      <c r="R155" s="1975"/>
      <c r="S155" s="1987">
        <f t="shared" si="4"/>
        <v>-45.010000000000005</v>
      </c>
    </row>
    <row r="156" spans="2:19" s="602" customFormat="1" x14ac:dyDescent="0.25">
      <c r="B156" s="1975"/>
      <c r="C156" s="1975"/>
      <c r="D156" s="1975"/>
      <c r="E156" s="1975"/>
      <c r="F156" s="1975"/>
      <c r="G156" s="1976"/>
      <c r="H156" s="1976"/>
      <c r="I156" s="1976"/>
      <c r="J156" s="1976"/>
      <c r="K156" s="1975"/>
      <c r="L156" s="1975"/>
      <c r="M156" s="1975"/>
      <c r="N156" s="1975"/>
      <c r="O156" s="1975"/>
      <c r="P156" s="1975"/>
      <c r="Q156" s="1975"/>
      <c r="R156" s="1975"/>
      <c r="S156" s="1987">
        <f t="shared" si="4"/>
        <v>0</v>
      </c>
    </row>
    <row r="157" spans="2:19" s="602" customFormat="1" x14ac:dyDescent="0.25">
      <c r="B157" s="1975" t="s">
        <v>34</v>
      </c>
      <c r="C157" s="1975"/>
      <c r="D157" s="1975"/>
      <c r="E157" s="1975"/>
      <c r="F157" s="1975"/>
      <c r="G157" s="1976"/>
      <c r="H157" s="1976"/>
      <c r="I157" s="1976"/>
      <c r="J157" s="1976"/>
      <c r="K157" s="1975"/>
      <c r="L157" s="1975"/>
      <c r="M157" s="1975"/>
      <c r="N157" s="1975"/>
      <c r="O157" s="1975"/>
      <c r="P157" s="1975"/>
      <c r="Q157" s="1975"/>
      <c r="R157" s="1975"/>
      <c r="S157" s="1987">
        <f t="shared" si="4"/>
        <v>0</v>
      </c>
    </row>
    <row r="158" spans="2:19" s="602" customFormat="1" ht="28" x14ac:dyDescent="0.25">
      <c r="B158" s="1975" t="s">
        <v>1471</v>
      </c>
      <c r="C158" s="1975" t="s">
        <v>1471</v>
      </c>
      <c r="D158" s="1975"/>
      <c r="E158" s="1975"/>
      <c r="F158" s="1975"/>
      <c r="G158" s="1976"/>
      <c r="H158" s="1976"/>
      <c r="I158" s="1976"/>
      <c r="J158" s="1976"/>
      <c r="K158" s="1975"/>
      <c r="L158" s="1975"/>
      <c r="M158" s="1975"/>
      <c r="N158" s="1975">
        <f>SUM(F4.2!AF$53:AG$53)</f>
        <v>15.93</v>
      </c>
      <c r="O158" s="1975"/>
      <c r="P158" s="1975"/>
      <c r="Q158" s="1975"/>
      <c r="R158" s="1975"/>
      <c r="S158" s="1987">
        <f t="shared" si="4"/>
        <v>15.93</v>
      </c>
    </row>
    <row r="159" spans="2:19" s="602" customFormat="1" ht="28" x14ac:dyDescent="0.25">
      <c r="B159" s="1975" t="s">
        <v>2003</v>
      </c>
      <c r="C159" s="1975" t="s">
        <v>1473</v>
      </c>
      <c r="D159" s="1975"/>
      <c r="E159" s="1975"/>
      <c r="F159" s="1975"/>
      <c r="G159" s="1976"/>
      <c r="H159" s="1976"/>
      <c r="I159" s="1976"/>
      <c r="J159" s="1976"/>
      <c r="K159" s="1975"/>
      <c r="L159" s="1975"/>
      <c r="M159" s="1975"/>
      <c r="N159" s="1975">
        <f>SUM(F4.2!AF$54:AG$54)</f>
        <v>0.48</v>
      </c>
      <c r="O159" s="1975"/>
      <c r="P159" s="1975"/>
      <c r="Q159" s="1975"/>
      <c r="R159" s="1975"/>
      <c r="S159" s="1987">
        <f t="shared" si="4"/>
        <v>0.48</v>
      </c>
    </row>
    <row r="160" spans="2:19" s="602" customFormat="1" ht="42" x14ac:dyDescent="0.25">
      <c r="B160" s="1974" t="s">
        <v>1473</v>
      </c>
      <c r="C160" s="1975" t="s">
        <v>2060</v>
      </c>
      <c r="D160" s="1975"/>
      <c r="E160" s="1975"/>
      <c r="F160" s="1975"/>
      <c r="G160" s="1976"/>
      <c r="H160" s="1976"/>
      <c r="I160" s="1976"/>
      <c r="J160" s="1976"/>
      <c r="K160" s="1975"/>
      <c r="L160" s="1975"/>
      <c r="M160" s="1975"/>
      <c r="N160" s="1975">
        <f>SUM(F4.2!AF$55:AG$55)</f>
        <v>17.96</v>
      </c>
      <c r="O160" s="1975"/>
      <c r="P160" s="1975"/>
      <c r="Q160" s="1975"/>
      <c r="R160" s="1975"/>
      <c r="S160" s="1987">
        <f t="shared" si="4"/>
        <v>17.96</v>
      </c>
    </row>
    <row r="161" spans="2:19" s="602" customFormat="1" ht="28" x14ac:dyDescent="0.25">
      <c r="B161" s="1975" t="s">
        <v>1474</v>
      </c>
      <c r="C161" s="1975" t="s">
        <v>1475</v>
      </c>
      <c r="D161" s="1975"/>
      <c r="E161" s="1975"/>
      <c r="F161" s="1975"/>
      <c r="G161" s="1976"/>
      <c r="H161" s="1976"/>
      <c r="I161" s="1976"/>
      <c r="J161" s="1976"/>
      <c r="K161" s="1975"/>
      <c r="L161" s="1975"/>
      <c r="M161" s="1975"/>
      <c r="N161" s="1975">
        <f>SUM(F4.2!AF$56:AG$56)</f>
        <v>9.7899999999999991</v>
      </c>
      <c r="O161" s="1975"/>
      <c r="P161" s="1975"/>
      <c r="Q161" s="1975"/>
      <c r="R161" s="1975"/>
      <c r="S161" s="1987">
        <f t="shared" si="4"/>
        <v>9.7899999999999991</v>
      </c>
    </row>
    <row r="162" spans="2:19" s="602" customFormat="1" x14ac:dyDescent="0.25">
      <c r="B162" s="1983" t="s">
        <v>5</v>
      </c>
      <c r="C162" s="1983"/>
      <c r="D162" s="1983"/>
      <c r="E162" s="1983"/>
      <c r="F162" s="1983"/>
      <c r="G162" s="1984"/>
      <c r="H162" s="1984"/>
      <c r="I162" s="1984"/>
      <c r="J162" s="1984"/>
      <c r="K162" s="1983"/>
      <c r="L162" s="1983"/>
      <c r="M162" s="1983">
        <f t="shared" ref="M162:R162" si="5">SUM(M135:M161)</f>
        <v>782.07000000000016</v>
      </c>
      <c r="N162" s="1983">
        <f t="shared" si="5"/>
        <v>240.21</v>
      </c>
      <c r="O162" s="1983">
        <f t="shared" si="5"/>
        <v>0</v>
      </c>
      <c r="P162" s="1983">
        <f t="shared" si="5"/>
        <v>0</v>
      </c>
      <c r="Q162" s="1983">
        <f t="shared" si="5"/>
        <v>0</v>
      </c>
      <c r="R162" s="1983">
        <f t="shared" si="5"/>
        <v>0</v>
      </c>
      <c r="S162" s="1988">
        <f t="shared" si="4"/>
        <v>-541.86000000000013</v>
      </c>
    </row>
    <row r="163" spans="2:19" s="602" customFormat="1" ht="13" x14ac:dyDescent="0.25">
      <c r="B163" s="1985"/>
      <c r="C163" s="1985"/>
      <c r="D163" s="1985"/>
      <c r="E163" s="1985"/>
      <c r="F163" s="1985"/>
      <c r="G163" s="1986"/>
      <c r="H163" s="1986"/>
      <c r="I163" s="1986"/>
      <c r="J163" s="1986"/>
      <c r="K163" s="1985"/>
      <c r="L163" s="1985"/>
      <c r="M163" s="1985"/>
      <c r="N163" s="1985"/>
      <c r="O163" s="1985"/>
      <c r="P163" s="1985"/>
      <c r="Q163" s="1985"/>
      <c r="R163" s="1985"/>
      <c r="S163" s="1985"/>
    </row>
    <row r="164" spans="2:19" s="602" customFormat="1" ht="14" customHeight="1" x14ac:dyDescent="0.25">
      <c r="B164" s="2300" t="s">
        <v>26</v>
      </c>
      <c r="C164" s="2300" t="s">
        <v>1</v>
      </c>
      <c r="D164" s="2300" t="s">
        <v>617</v>
      </c>
      <c r="E164" s="2300" t="s">
        <v>618</v>
      </c>
      <c r="F164" s="2300" t="s">
        <v>6</v>
      </c>
      <c r="G164" s="2292" t="s">
        <v>2</v>
      </c>
      <c r="H164" s="2293"/>
      <c r="I164" s="2294"/>
      <c r="J164" s="2295" t="s">
        <v>13</v>
      </c>
      <c r="K164" s="2296"/>
      <c r="L164" s="2297"/>
      <c r="M164" s="2295" t="s">
        <v>619</v>
      </c>
      <c r="N164" s="2296"/>
      <c r="O164" s="2296"/>
      <c r="P164" s="2296"/>
      <c r="Q164" s="2296"/>
      <c r="R164" s="2296"/>
      <c r="S164" s="2297"/>
    </row>
    <row r="165" spans="2:19" s="602" customFormat="1" ht="14" customHeight="1" x14ac:dyDescent="0.25">
      <c r="B165" s="2302"/>
      <c r="C165" s="2302"/>
      <c r="D165" s="2302"/>
      <c r="E165" s="2302"/>
      <c r="F165" s="2302"/>
      <c r="G165" s="2298" t="s">
        <v>17</v>
      </c>
      <c r="H165" s="2298" t="s">
        <v>14</v>
      </c>
      <c r="I165" s="2298" t="s">
        <v>620</v>
      </c>
      <c r="J165" s="2298" t="s">
        <v>17</v>
      </c>
      <c r="K165" s="2300" t="s">
        <v>14</v>
      </c>
      <c r="L165" s="2300" t="s">
        <v>12</v>
      </c>
      <c r="M165" s="2300" t="s">
        <v>37</v>
      </c>
      <c r="N165" s="2300" t="s">
        <v>621</v>
      </c>
      <c r="O165" s="2285" t="s">
        <v>787</v>
      </c>
      <c r="P165" s="2286"/>
      <c r="Q165" s="2286"/>
      <c r="R165" s="2286"/>
      <c r="S165" s="2287"/>
    </row>
    <row r="166" spans="2:19" s="602" customFormat="1" ht="28" x14ac:dyDescent="0.25">
      <c r="B166" s="2301"/>
      <c r="C166" s="2301"/>
      <c r="D166" s="2301"/>
      <c r="E166" s="2301"/>
      <c r="F166" s="2301"/>
      <c r="G166" s="2299"/>
      <c r="H166" s="2299"/>
      <c r="I166" s="2299"/>
      <c r="J166" s="2299"/>
      <c r="K166" s="2301"/>
      <c r="L166" s="2301"/>
      <c r="M166" s="2301"/>
      <c r="N166" s="2301"/>
      <c r="O166" s="1973" t="s">
        <v>788</v>
      </c>
      <c r="P166" s="1973" t="s">
        <v>789</v>
      </c>
      <c r="Q166" s="1973" t="s">
        <v>790</v>
      </c>
      <c r="R166" s="1973" t="s">
        <v>791</v>
      </c>
      <c r="S166" s="1973" t="s">
        <v>792</v>
      </c>
    </row>
    <row r="167" spans="2:19" s="602" customFormat="1" x14ac:dyDescent="0.25">
      <c r="B167" s="1974" t="s">
        <v>428</v>
      </c>
      <c r="C167" s="1975"/>
      <c r="D167" s="1975"/>
      <c r="E167" s="1975"/>
      <c r="F167" s="1975"/>
      <c r="G167" s="1976"/>
      <c r="H167" s="1976"/>
      <c r="I167" s="1976"/>
      <c r="J167" s="1976"/>
      <c r="K167" s="1975"/>
      <c r="L167" s="1975"/>
      <c r="M167" s="1975"/>
      <c r="N167" s="1975"/>
      <c r="O167" s="1975"/>
      <c r="P167" s="1975"/>
      <c r="Q167" s="1975"/>
      <c r="R167" s="1975"/>
      <c r="S167" s="1977"/>
    </row>
    <row r="168" spans="2:19" s="602" customFormat="1" x14ac:dyDescent="0.25">
      <c r="B168" s="1978" t="s">
        <v>33</v>
      </c>
      <c r="C168" s="1975"/>
      <c r="D168" s="1975"/>
      <c r="E168" s="1975"/>
      <c r="F168" s="1975"/>
      <c r="G168" s="1976"/>
      <c r="H168" s="1976"/>
      <c r="I168" s="1976"/>
      <c r="J168" s="1976"/>
      <c r="K168" s="1975"/>
      <c r="L168" s="1975"/>
      <c r="M168" s="1975"/>
      <c r="N168" s="1975"/>
      <c r="O168" s="1975"/>
      <c r="P168" s="1975"/>
      <c r="Q168" s="1975"/>
      <c r="R168" s="1975"/>
      <c r="S168" s="1977"/>
    </row>
    <row r="169" spans="2:19" s="602" customFormat="1" x14ac:dyDescent="0.25">
      <c r="B169" s="1979" t="s">
        <v>35</v>
      </c>
      <c r="C169" s="1975"/>
      <c r="D169" s="1975"/>
      <c r="E169" s="1975"/>
      <c r="F169" s="1975"/>
      <c r="G169" s="1976"/>
      <c r="H169" s="1976"/>
      <c r="I169" s="1976"/>
      <c r="J169" s="1976"/>
      <c r="K169" s="1975"/>
      <c r="L169" s="1975"/>
      <c r="M169" s="1975"/>
      <c r="N169" s="1975"/>
      <c r="O169" s="1975"/>
      <c r="P169" s="1975"/>
      <c r="Q169" s="1975"/>
      <c r="R169" s="1975"/>
      <c r="S169" s="1977"/>
    </row>
    <row r="170" spans="2:19" s="602" customFormat="1" x14ac:dyDescent="0.25">
      <c r="B170" s="1979"/>
      <c r="C170" s="1975" t="s">
        <v>1468</v>
      </c>
      <c r="D170" s="1975"/>
      <c r="E170" s="1975"/>
      <c r="F170" s="1975"/>
      <c r="G170" s="1976"/>
      <c r="H170" s="1976"/>
      <c r="I170" s="1976"/>
      <c r="J170" s="1976"/>
      <c r="K170" s="1975"/>
      <c r="L170" s="1975"/>
      <c r="M170" s="1975"/>
      <c r="N170" s="1975"/>
      <c r="O170" s="1975"/>
      <c r="P170" s="1975"/>
      <c r="Q170" s="1975"/>
      <c r="R170" s="1975"/>
      <c r="S170" s="1977"/>
    </row>
    <row r="171" spans="2:19" s="602" customFormat="1" x14ac:dyDescent="0.25">
      <c r="B171" s="1975" t="s">
        <v>1477</v>
      </c>
      <c r="C171" s="1975" t="s">
        <v>2031</v>
      </c>
      <c r="D171" s="1975" t="s">
        <v>2077</v>
      </c>
      <c r="E171" s="1975" t="s">
        <v>1479</v>
      </c>
      <c r="F171" s="1975" t="s">
        <v>2034</v>
      </c>
      <c r="G171" s="1976">
        <v>42095</v>
      </c>
      <c r="H171" s="1976"/>
      <c r="I171" s="1976">
        <v>42095</v>
      </c>
      <c r="J171" s="1976"/>
      <c r="K171" s="1975">
        <v>0</v>
      </c>
      <c r="L171" s="1975" t="s">
        <v>2036</v>
      </c>
      <c r="M171" s="1975">
        <v>82.23</v>
      </c>
      <c r="N171" s="1975">
        <f>SUM(F4.2!AG$18:AH$18)</f>
        <v>19.93</v>
      </c>
      <c r="O171" s="1975"/>
      <c r="P171" s="1975"/>
      <c r="Q171" s="1975"/>
      <c r="R171" s="1975"/>
      <c r="S171" s="1987">
        <f>N171-M171</f>
        <v>-62.300000000000004</v>
      </c>
    </row>
    <row r="172" spans="2:19" s="602" customFormat="1" x14ac:dyDescent="0.25">
      <c r="B172" s="1975" t="s">
        <v>2061</v>
      </c>
      <c r="C172" s="1975" t="s">
        <v>2031</v>
      </c>
      <c r="D172" s="1975" t="s">
        <v>2062</v>
      </c>
      <c r="E172" s="1975" t="s">
        <v>2063</v>
      </c>
      <c r="F172" s="1975" t="s">
        <v>2034</v>
      </c>
      <c r="G172" s="1976">
        <v>43922</v>
      </c>
      <c r="H172" s="1976"/>
      <c r="I172" s="1976">
        <v>43922</v>
      </c>
      <c r="J172" s="1976">
        <v>45747</v>
      </c>
      <c r="K172" s="1975">
        <v>0</v>
      </c>
      <c r="L172" s="1975" t="s">
        <v>2036</v>
      </c>
      <c r="M172" s="1975">
        <v>27.4</v>
      </c>
      <c r="N172" s="1975">
        <f>SUM(F4.2!AG$19:AH$19)</f>
        <v>19.14</v>
      </c>
      <c r="O172" s="1975"/>
      <c r="P172" s="1975"/>
      <c r="Q172" s="1975"/>
      <c r="R172" s="1975"/>
      <c r="S172" s="1987">
        <f t="shared" ref="S172:S201" si="6">N172-M172</f>
        <v>-8.259999999999998</v>
      </c>
    </row>
    <row r="173" spans="2:19" s="602" customFormat="1" x14ac:dyDescent="0.25">
      <c r="B173" s="1975">
        <v>0</v>
      </c>
      <c r="C173" s="1975">
        <v>0</v>
      </c>
      <c r="D173" s="1975">
        <v>0</v>
      </c>
      <c r="E173" s="1975">
        <v>0</v>
      </c>
      <c r="F173" s="1975">
        <v>0</v>
      </c>
      <c r="G173" s="1976">
        <v>0</v>
      </c>
      <c r="H173" s="1976"/>
      <c r="I173" s="1976"/>
      <c r="J173" s="1976"/>
      <c r="K173" s="1975">
        <v>0</v>
      </c>
      <c r="L173" s="1975">
        <v>0</v>
      </c>
      <c r="M173" s="1975">
        <v>0</v>
      </c>
      <c r="N173" s="1975"/>
      <c r="O173" s="1975"/>
      <c r="P173" s="1975"/>
      <c r="Q173" s="1975"/>
      <c r="R173" s="1975"/>
      <c r="S173" s="1987">
        <f t="shared" si="6"/>
        <v>0</v>
      </c>
    </row>
    <row r="174" spans="2:19" s="602" customFormat="1" x14ac:dyDescent="0.25">
      <c r="B174" s="1979" t="s">
        <v>2037</v>
      </c>
      <c r="C174" s="1975">
        <v>0</v>
      </c>
      <c r="D174" s="1975">
        <v>0</v>
      </c>
      <c r="E174" s="1975">
        <v>0</v>
      </c>
      <c r="F174" s="1975">
        <v>0</v>
      </c>
      <c r="G174" s="1976">
        <v>0</v>
      </c>
      <c r="H174" s="1976"/>
      <c r="I174" s="1976"/>
      <c r="J174" s="1976"/>
      <c r="K174" s="1975">
        <v>0</v>
      </c>
      <c r="L174" s="1975">
        <v>0</v>
      </c>
      <c r="M174" s="1975">
        <v>0</v>
      </c>
      <c r="N174" s="1975"/>
      <c r="O174" s="1975"/>
      <c r="P174" s="1975"/>
      <c r="Q174" s="1975"/>
      <c r="R174" s="1975"/>
      <c r="S174" s="1987">
        <f t="shared" si="6"/>
        <v>0</v>
      </c>
    </row>
    <row r="175" spans="2:19" s="602" customFormat="1" ht="28" x14ac:dyDescent="0.25">
      <c r="B175" s="1975" t="s">
        <v>1480</v>
      </c>
      <c r="C175" s="1975" t="s">
        <v>2038</v>
      </c>
      <c r="D175" s="1975" t="s">
        <v>2039</v>
      </c>
      <c r="E175" s="1975" t="s">
        <v>1482</v>
      </c>
      <c r="F175" s="1975" t="s">
        <v>2040</v>
      </c>
      <c r="G175" s="1976">
        <v>42095</v>
      </c>
      <c r="H175" s="1976"/>
      <c r="I175" s="1976" t="s">
        <v>2041</v>
      </c>
      <c r="J175" s="1976">
        <v>42460</v>
      </c>
      <c r="K175" s="1975">
        <v>0</v>
      </c>
      <c r="L175" s="1975" t="s">
        <v>2036</v>
      </c>
      <c r="M175" s="1975">
        <v>36.630000000000003</v>
      </c>
      <c r="N175" s="1975">
        <f>SUM(F4.2!AG$21:AH$21)</f>
        <v>7.5</v>
      </c>
      <c r="O175" s="1975"/>
      <c r="P175" s="1975"/>
      <c r="Q175" s="1975"/>
      <c r="R175" s="1975"/>
      <c r="S175" s="1987">
        <f t="shared" si="6"/>
        <v>-29.130000000000003</v>
      </c>
    </row>
    <row r="176" spans="2:19" s="602" customFormat="1" ht="28" x14ac:dyDescent="0.25">
      <c r="B176" s="1975" t="s">
        <v>1483</v>
      </c>
      <c r="C176" s="1975" t="s">
        <v>2038</v>
      </c>
      <c r="D176" s="1975" t="s">
        <v>2042</v>
      </c>
      <c r="E176" s="1975" t="s">
        <v>1485</v>
      </c>
      <c r="F176" s="1975" t="s">
        <v>2040</v>
      </c>
      <c r="G176" s="1976">
        <v>42095</v>
      </c>
      <c r="H176" s="1976"/>
      <c r="I176" s="1976">
        <v>42095</v>
      </c>
      <c r="J176" s="1976"/>
      <c r="K176" s="1975">
        <v>0</v>
      </c>
      <c r="L176" s="1975" t="s">
        <v>2036</v>
      </c>
      <c r="M176" s="1975">
        <v>64.09</v>
      </c>
      <c r="N176" s="1975">
        <f>SUM(F4.2!AG$22:AH$22)</f>
        <v>10.5</v>
      </c>
      <c r="O176" s="1975"/>
      <c r="P176" s="1975"/>
      <c r="Q176" s="1975"/>
      <c r="R176" s="1975"/>
      <c r="S176" s="1987">
        <f t="shared" si="6"/>
        <v>-53.59</v>
      </c>
    </row>
    <row r="177" spans="2:19" s="602" customFormat="1" ht="28" x14ac:dyDescent="0.25">
      <c r="B177" s="1975" t="s">
        <v>1486</v>
      </c>
      <c r="C177" s="1975" t="s">
        <v>2038</v>
      </c>
      <c r="D177" s="1975" t="s">
        <v>2042</v>
      </c>
      <c r="E177" s="1975" t="s">
        <v>1485</v>
      </c>
      <c r="F177" s="1975" t="s">
        <v>2040</v>
      </c>
      <c r="G177" s="1976">
        <v>42461</v>
      </c>
      <c r="H177" s="1976"/>
      <c r="I177" s="1976">
        <v>42461</v>
      </c>
      <c r="J177" s="1976"/>
      <c r="K177" s="1975">
        <v>0</v>
      </c>
      <c r="L177" s="1975" t="s">
        <v>2036</v>
      </c>
      <c r="M177" s="1975">
        <v>58.86</v>
      </c>
      <c r="N177" s="1975">
        <f>SUM(F4.2!AG$23:AH$23)</f>
        <v>11.75</v>
      </c>
      <c r="O177" s="1975"/>
      <c r="P177" s="1975"/>
      <c r="Q177" s="1975"/>
      <c r="R177" s="1975"/>
      <c r="S177" s="1987">
        <f t="shared" si="6"/>
        <v>-47.11</v>
      </c>
    </row>
    <row r="178" spans="2:19" s="602" customFormat="1" ht="28" x14ac:dyDescent="0.25">
      <c r="B178" s="1975" t="s">
        <v>1490</v>
      </c>
      <c r="C178" s="1975" t="s">
        <v>2038</v>
      </c>
      <c r="D178" s="1975" t="s">
        <v>2044</v>
      </c>
      <c r="E178" s="1975" t="s">
        <v>1492</v>
      </c>
      <c r="F178" s="1975" t="s">
        <v>2040</v>
      </c>
      <c r="G178" s="1976">
        <v>43556</v>
      </c>
      <c r="H178" s="1976"/>
      <c r="I178" s="1976">
        <v>43556</v>
      </c>
      <c r="J178" s="1976">
        <v>45747</v>
      </c>
      <c r="K178" s="1975">
        <v>0</v>
      </c>
      <c r="L178" s="1975" t="s">
        <v>2036</v>
      </c>
      <c r="M178" s="1975">
        <v>40.6</v>
      </c>
      <c r="N178" s="1975">
        <f>SUM(F4.2!AG$25:AH$25)</f>
        <v>10.16</v>
      </c>
      <c r="O178" s="1975"/>
      <c r="P178" s="1975"/>
      <c r="Q178" s="1975"/>
      <c r="R178" s="1975"/>
      <c r="S178" s="1987">
        <f t="shared" si="6"/>
        <v>-30.44</v>
      </c>
    </row>
    <row r="179" spans="2:19" s="602" customFormat="1" x14ac:dyDescent="0.25">
      <c r="B179" s="1975"/>
      <c r="C179" s="1975"/>
      <c r="D179" s="1975"/>
      <c r="E179" s="1975"/>
      <c r="F179" s="1975"/>
      <c r="G179" s="1976"/>
      <c r="H179" s="1976"/>
      <c r="I179" s="1976"/>
      <c r="J179" s="1976"/>
      <c r="K179" s="1975"/>
      <c r="L179" s="1975"/>
      <c r="M179" s="1975"/>
      <c r="N179" s="1975"/>
      <c r="O179" s="1975"/>
      <c r="P179" s="1975"/>
      <c r="Q179" s="1975"/>
      <c r="R179" s="1975"/>
      <c r="S179" s="1987">
        <f t="shared" si="6"/>
        <v>0</v>
      </c>
    </row>
    <row r="180" spans="2:19" s="602" customFormat="1" ht="28" x14ac:dyDescent="0.25">
      <c r="B180" s="1979" t="s">
        <v>2045</v>
      </c>
      <c r="C180" s="1975"/>
      <c r="D180" s="1975"/>
      <c r="E180" s="1975"/>
      <c r="F180" s="1975"/>
      <c r="G180" s="1976"/>
      <c r="H180" s="1976"/>
      <c r="I180" s="1976"/>
      <c r="J180" s="1976"/>
      <c r="K180" s="1975"/>
      <c r="L180" s="1975"/>
      <c r="M180" s="1975"/>
      <c r="N180" s="1975"/>
      <c r="O180" s="1975"/>
      <c r="P180" s="1975"/>
      <c r="Q180" s="1975"/>
      <c r="R180" s="1975"/>
      <c r="S180" s="1987">
        <f t="shared" si="6"/>
        <v>0</v>
      </c>
    </row>
    <row r="181" spans="2:19" s="602" customFormat="1" x14ac:dyDescent="0.25">
      <c r="B181" s="1975" t="s">
        <v>2064</v>
      </c>
      <c r="C181" s="1975" t="s">
        <v>2046</v>
      </c>
      <c r="D181" s="1975" t="s">
        <v>2065</v>
      </c>
      <c r="E181" s="1975" t="s">
        <v>1492</v>
      </c>
      <c r="F181" s="1975" t="s">
        <v>2048</v>
      </c>
      <c r="G181" s="1976">
        <v>43922</v>
      </c>
      <c r="H181" s="1976"/>
      <c r="I181" s="1976">
        <v>43922</v>
      </c>
      <c r="J181" s="1976"/>
      <c r="K181" s="1975">
        <v>0</v>
      </c>
      <c r="L181" s="1975" t="s">
        <v>2036</v>
      </c>
      <c r="M181" s="1975">
        <v>147.65</v>
      </c>
      <c r="N181" s="1975">
        <f>SUM(F4.2!AG$29:AH$29)</f>
        <v>51.25</v>
      </c>
      <c r="O181" s="1975"/>
      <c r="P181" s="1975"/>
      <c r="Q181" s="1975"/>
      <c r="R181" s="1975"/>
      <c r="S181" s="1987">
        <f t="shared" si="6"/>
        <v>-96.4</v>
      </c>
    </row>
    <row r="182" spans="2:19" s="602" customFormat="1" x14ac:dyDescent="0.25">
      <c r="B182" s="1975"/>
      <c r="C182" s="1975"/>
      <c r="D182" s="1975"/>
      <c r="E182" s="1975"/>
      <c r="F182" s="1975"/>
      <c r="G182" s="1976"/>
      <c r="H182" s="1976"/>
      <c r="I182" s="1976"/>
      <c r="J182" s="1976"/>
      <c r="K182" s="1975"/>
      <c r="L182" s="1975"/>
      <c r="M182" s="1975"/>
      <c r="N182" s="1975"/>
      <c r="O182" s="1975"/>
      <c r="P182" s="1975"/>
      <c r="Q182" s="1975"/>
      <c r="R182" s="1975"/>
      <c r="S182" s="1987">
        <f t="shared" si="6"/>
        <v>0</v>
      </c>
    </row>
    <row r="183" spans="2:19" s="602" customFormat="1" ht="28" x14ac:dyDescent="0.25">
      <c r="B183" s="1979"/>
      <c r="C183" s="1975" t="s">
        <v>2049</v>
      </c>
      <c r="D183" s="1975"/>
      <c r="E183" s="1975"/>
      <c r="F183" s="1975"/>
      <c r="G183" s="1976"/>
      <c r="H183" s="1976"/>
      <c r="I183" s="1976"/>
      <c r="J183" s="1976"/>
      <c r="K183" s="1975"/>
      <c r="L183" s="1975"/>
      <c r="M183" s="1975"/>
      <c r="N183" s="1975"/>
      <c r="O183" s="1975"/>
      <c r="P183" s="1975"/>
      <c r="Q183" s="1975"/>
      <c r="R183" s="1975"/>
      <c r="S183" s="1987">
        <f t="shared" si="6"/>
        <v>0</v>
      </c>
    </row>
    <row r="184" spans="2:19" s="602" customFormat="1" ht="28" x14ac:dyDescent="0.25">
      <c r="B184" s="1975" t="s">
        <v>2066</v>
      </c>
      <c r="C184" s="1975" t="s">
        <v>2049</v>
      </c>
      <c r="D184" s="1975" t="s">
        <v>2067</v>
      </c>
      <c r="E184" s="1975" t="s">
        <v>2068</v>
      </c>
      <c r="F184" s="1975" t="s">
        <v>2048</v>
      </c>
      <c r="G184" s="1976">
        <v>43922</v>
      </c>
      <c r="H184" s="1976"/>
      <c r="I184" s="1976">
        <v>43922</v>
      </c>
      <c r="J184" s="1976"/>
      <c r="K184" s="1975">
        <v>0</v>
      </c>
      <c r="L184" s="1975" t="s">
        <v>2036</v>
      </c>
      <c r="M184" s="1975">
        <v>246.2</v>
      </c>
      <c r="N184" s="1975">
        <f>SUM(F4.2!AG$32:AH$32)</f>
        <v>97.68</v>
      </c>
      <c r="O184" s="1975"/>
      <c r="P184" s="1975"/>
      <c r="Q184" s="1975"/>
      <c r="R184" s="1975"/>
      <c r="S184" s="1987">
        <f t="shared" si="6"/>
        <v>-148.51999999999998</v>
      </c>
    </row>
    <row r="185" spans="2:19" s="602" customFormat="1" ht="28" x14ac:dyDescent="0.25">
      <c r="B185" s="1975"/>
      <c r="C185" s="1975" t="s">
        <v>2050</v>
      </c>
      <c r="D185" s="1975"/>
      <c r="E185" s="1975"/>
      <c r="F185" s="1975"/>
      <c r="G185" s="1976"/>
      <c r="H185" s="1976"/>
      <c r="I185" s="1976"/>
      <c r="J185" s="1976"/>
      <c r="K185" s="1975"/>
      <c r="L185" s="1975"/>
      <c r="M185" s="1975"/>
      <c r="N185" s="1975"/>
      <c r="O185" s="1975"/>
      <c r="P185" s="1975"/>
      <c r="Q185" s="1975"/>
      <c r="R185" s="1975"/>
      <c r="S185" s="1987">
        <f t="shared" si="6"/>
        <v>0</v>
      </c>
    </row>
    <row r="186" spans="2:19" s="602" customFormat="1" x14ac:dyDescent="0.25">
      <c r="B186" s="1975" t="s">
        <v>1501</v>
      </c>
      <c r="C186" s="1975" t="s">
        <v>2051</v>
      </c>
      <c r="D186" s="1975" t="s">
        <v>2052</v>
      </c>
      <c r="E186" s="1975" t="s">
        <v>2053</v>
      </c>
      <c r="F186" s="1975" t="s">
        <v>2054</v>
      </c>
      <c r="G186" s="1976">
        <v>42826</v>
      </c>
      <c r="H186" s="1976"/>
      <c r="I186" s="1976">
        <v>42826</v>
      </c>
      <c r="J186" s="1976"/>
      <c r="K186" s="1975">
        <v>0</v>
      </c>
      <c r="L186" s="1975" t="s">
        <v>2036</v>
      </c>
      <c r="M186" s="1975">
        <v>13.12</v>
      </c>
      <c r="N186" s="1975">
        <f>SUM(F4.2!AG$34:AH$34)</f>
        <v>0</v>
      </c>
      <c r="O186" s="1975"/>
      <c r="P186" s="1975"/>
      <c r="Q186" s="1975"/>
      <c r="R186" s="1975"/>
      <c r="S186" s="1987">
        <f t="shared" si="6"/>
        <v>-13.12</v>
      </c>
    </row>
    <row r="187" spans="2:19" s="602" customFormat="1" x14ac:dyDescent="0.25">
      <c r="B187" s="1979" t="s">
        <v>1504</v>
      </c>
      <c r="C187" s="1975" t="s">
        <v>2069</v>
      </c>
      <c r="D187" s="1975" t="s">
        <v>2052</v>
      </c>
      <c r="E187" s="1975" t="s">
        <v>2070</v>
      </c>
      <c r="F187" s="1975" t="s">
        <v>2054</v>
      </c>
      <c r="G187" s="1976">
        <v>43191</v>
      </c>
      <c r="H187" s="1976"/>
      <c r="I187" s="1976">
        <v>43191</v>
      </c>
      <c r="J187" s="1976"/>
      <c r="K187" s="1975">
        <v>0</v>
      </c>
      <c r="L187" s="1975" t="s">
        <v>2036</v>
      </c>
      <c r="M187" s="1975">
        <v>9.2200000000000006</v>
      </c>
      <c r="N187" s="1975">
        <f>SUM(F4.2!AG$35:AH$35)</f>
        <v>4</v>
      </c>
      <c r="O187" s="1975"/>
      <c r="P187" s="1975"/>
      <c r="Q187" s="1975"/>
      <c r="R187" s="1975"/>
      <c r="S187" s="1987">
        <f t="shared" si="6"/>
        <v>-5.2200000000000006</v>
      </c>
    </row>
    <row r="188" spans="2:19" s="602" customFormat="1" x14ac:dyDescent="0.25">
      <c r="B188" s="1975">
        <v>0</v>
      </c>
      <c r="C188" s="1975"/>
      <c r="D188" s="1975"/>
      <c r="E188" s="1975"/>
      <c r="F188" s="1975"/>
      <c r="G188" s="1976"/>
      <c r="H188" s="1976"/>
      <c r="I188" s="1976"/>
      <c r="J188" s="1976"/>
      <c r="K188" s="1975"/>
      <c r="L188" s="1975"/>
      <c r="M188" s="1975"/>
      <c r="N188" s="1975"/>
      <c r="O188" s="1975"/>
      <c r="P188" s="1975"/>
      <c r="Q188" s="1975"/>
      <c r="R188" s="1975"/>
      <c r="S188" s="1987">
        <f t="shared" si="6"/>
        <v>0</v>
      </c>
    </row>
    <row r="189" spans="2:19" s="602" customFormat="1" ht="28" x14ac:dyDescent="0.25">
      <c r="B189" s="1975" t="s">
        <v>1470</v>
      </c>
      <c r="C189" s="1975" t="s">
        <v>2007</v>
      </c>
      <c r="D189" s="1975"/>
      <c r="E189" s="1975" t="s">
        <v>2076</v>
      </c>
      <c r="F189" s="1975" t="s">
        <v>2040</v>
      </c>
      <c r="G189" s="1976">
        <v>43556</v>
      </c>
      <c r="H189" s="1976"/>
      <c r="I189" s="1976">
        <v>43556</v>
      </c>
      <c r="J189" s="1976"/>
      <c r="K189" s="1975">
        <v>0</v>
      </c>
      <c r="L189" s="1975" t="s">
        <v>2036</v>
      </c>
      <c r="M189" s="1975">
        <v>56.07</v>
      </c>
      <c r="N189" s="1975">
        <f>SUM(F4.2!AG$42:AH$42)</f>
        <v>5.5</v>
      </c>
      <c r="O189" s="1975"/>
      <c r="P189" s="1975"/>
      <c r="Q189" s="1975"/>
      <c r="R189" s="1975"/>
      <c r="S189" s="1987">
        <f t="shared" si="6"/>
        <v>-50.57</v>
      </c>
    </row>
    <row r="190" spans="2:19" s="602" customFormat="1" x14ac:dyDescent="0.25">
      <c r="B190" s="1975"/>
      <c r="C190" s="1975"/>
      <c r="D190" s="1975"/>
      <c r="E190" s="1975"/>
      <c r="F190" s="1975"/>
      <c r="G190" s="1976"/>
      <c r="H190" s="1976"/>
      <c r="I190" s="1976"/>
      <c r="J190" s="1976"/>
      <c r="K190" s="1975"/>
      <c r="L190" s="1975"/>
      <c r="M190" s="1975"/>
      <c r="N190" s="1975"/>
      <c r="O190" s="1975"/>
      <c r="P190" s="1975"/>
      <c r="Q190" s="1975"/>
      <c r="R190" s="1975"/>
      <c r="S190" s="1987"/>
    </row>
    <row r="191" spans="2:19" s="602" customFormat="1" x14ac:dyDescent="0.25">
      <c r="B191" s="1974" t="s">
        <v>1696</v>
      </c>
      <c r="C191" s="1975">
        <v>0</v>
      </c>
      <c r="D191" s="1975">
        <v>0</v>
      </c>
      <c r="E191" s="1975">
        <v>0</v>
      </c>
      <c r="F191" s="1975">
        <v>0</v>
      </c>
      <c r="G191" s="1976"/>
      <c r="H191" s="1976"/>
      <c r="I191" s="1976"/>
      <c r="J191" s="1976"/>
      <c r="K191" s="1975">
        <v>0</v>
      </c>
      <c r="L191" s="1975">
        <v>0</v>
      </c>
      <c r="M191" s="1975">
        <v>0</v>
      </c>
      <c r="N191" s="1975"/>
      <c r="O191" s="1975"/>
      <c r="P191" s="1975"/>
      <c r="Q191" s="1975"/>
      <c r="R191" s="1975"/>
      <c r="S191" s="1987"/>
    </row>
    <row r="192" spans="2:19" s="602" customFormat="1" x14ac:dyDescent="0.25">
      <c r="B192" s="1975" t="s">
        <v>1697</v>
      </c>
      <c r="C192" s="1975">
        <v>0</v>
      </c>
      <c r="D192" s="1975">
        <v>0</v>
      </c>
      <c r="E192" s="1975">
        <v>0</v>
      </c>
      <c r="F192" s="1975">
        <v>0</v>
      </c>
      <c r="G192" s="1976"/>
      <c r="H192" s="1976"/>
      <c r="I192" s="1976"/>
      <c r="J192" s="1976"/>
      <c r="K192" s="1975">
        <v>0</v>
      </c>
      <c r="L192" s="1975">
        <v>0</v>
      </c>
      <c r="M192" s="1975"/>
      <c r="N192" s="1975">
        <f>SUM(F4.2!AG$45:AH$45)</f>
        <v>82.011999999999986</v>
      </c>
      <c r="O192" s="1975"/>
      <c r="P192" s="1975"/>
      <c r="Q192" s="1975"/>
      <c r="R192" s="1975"/>
      <c r="S192" s="1987"/>
    </row>
    <row r="193" spans="2:19" s="602" customFormat="1" x14ac:dyDescent="0.25">
      <c r="B193" s="1975" t="s">
        <v>1695</v>
      </c>
      <c r="C193" s="1975">
        <v>0</v>
      </c>
      <c r="D193" s="1975">
        <v>0</v>
      </c>
      <c r="E193" s="1975">
        <v>0</v>
      </c>
      <c r="F193" s="1975">
        <v>0</v>
      </c>
      <c r="G193" s="1976"/>
      <c r="H193" s="1976"/>
      <c r="I193" s="1976"/>
      <c r="J193" s="1976"/>
      <c r="K193" s="1975">
        <v>0</v>
      </c>
      <c r="L193" s="1975">
        <v>0</v>
      </c>
      <c r="M193" s="1975"/>
      <c r="N193" s="1975">
        <f>SUM(F4.2!AG$46:AH$46)</f>
        <v>495.01650000000001</v>
      </c>
      <c r="O193" s="1975"/>
      <c r="P193" s="1975"/>
      <c r="Q193" s="1975"/>
      <c r="R193" s="1975"/>
      <c r="S193" s="1987"/>
    </row>
    <row r="194" spans="2:19" s="602" customFormat="1" x14ac:dyDescent="0.25">
      <c r="B194" s="1372" t="s">
        <v>1953</v>
      </c>
      <c r="C194" s="1975"/>
      <c r="D194" s="1975"/>
      <c r="E194" s="1975"/>
      <c r="F194" s="1975"/>
      <c r="G194" s="1976"/>
      <c r="H194" s="1976"/>
      <c r="I194" s="1976"/>
      <c r="J194" s="1976"/>
      <c r="K194" s="1975"/>
      <c r="L194" s="1975"/>
      <c r="M194" s="1975"/>
      <c r="N194" s="1975">
        <f>SUM(F4.2!AG$47:AH$47)</f>
        <v>0</v>
      </c>
      <c r="O194" s="1975"/>
      <c r="P194" s="1975"/>
      <c r="Q194" s="1975"/>
      <c r="R194" s="1975"/>
      <c r="S194" s="1987"/>
    </row>
    <row r="195" spans="2:19" s="602" customFormat="1" x14ac:dyDescent="0.25">
      <c r="B195" s="1975"/>
      <c r="C195" s="1975"/>
      <c r="D195" s="1975"/>
      <c r="E195" s="1975"/>
      <c r="F195" s="1975"/>
      <c r="G195" s="1976"/>
      <c r="H195" s="1976"/>
      <c r="I195" s="1976"/>
      <c r="J195" s="1976"/>
      <c r="K195" s="1975"/>
      <c r="L195" s="1975"/>
      <c r="M195" s="1975"/>
      <c r="N195" s="1975"/>
      <c r="O195" s="1975"/>
      <c r="P195" s="1975"/>
      <c r="Q195" s="1975"/>
      <c r="R195" s="1975"/>
      <c r="S195" s="1987">
        <f t="shared" si="6"/>
        <v>0</v>
      </c>
    </row>
    <row r="196" spans="2:19" s="602" customFormat="1" x14ac:dyDescent="0.25">
      <c r="B196" s="1979" t="s">
        <v>34</v>
      </c>
      <c r="C196" s="1975"/>
      <c r="D196" s="1975"/>
      <c r="E196" s="1975"/>
      <c r="F196" s="1975"/>
      <c r="G196" s="1976"/>
      <c r="H196" s="1976"/>
      <c r="I196" s="1976"/>
      <c r="J196" s="1976"/>
      <c r="K196" s="1975"/>
      <c r="L196" s="1975"/>
      <c r="M196" s="1975"/>
      <c r="N196" s="1975"/>
      <c r="O196" s="1975"/>
      <c r="P196" s="1975"/>
      <c r="Q196" s="1975"/>
      <c r="R196" s="1975"/>
      <c r="S196" s="1987">
        <f t="shared" si="6"/>
        <v>0</v>
      </c>
    </row>
    <row r="197" spans="2:19" s="602" customFormat="1" ht="28" x14ac:dyDescent="0.25">
      <c r="B197" s="1975" t="s">
        <v>1471</v>
      </c>
      <c r="C197" s="1975" t="s">
        <v>1471</v>
      </c>
      <c r="D197" s="1975"/>
      <c r="E197" s="1975"/>
      <c r="F197" s="1975"/>
      <c r="G197" s="1976"/>
      <c r="H197" s="1976"/>
      <c r="I197" s="1976"/>
      <c r="J197" s="1976"/>
      <c r="K197" s="1975"/>
      <c r="L197" s="1975"/>
      <c r="M197" s="1975">
        <v>0</v>
      </c>
      <c r="N197" s="1975">
        <f>SUM(F4.2!AG$53:AH$53)</f>
        <v>18.670000000000002</v>
      </c>
      <c r="O197" s="1975"/>
      <c r="P197" s="1975"/>
      <c r="Q197" s="1975"/>
      <c r="R197" s="1975"/>
      <c r="S197" s="1987">
        <f t="shared" si="6"/>
        <v>18.670000000000002</v>
      </c>
    </row>
    <row r="198" spans="2:19" s="602" customFormat="1" ht="28" x14ac:dyDescent="0.25">
      <c r="B198" s="1975" t="s">
        <v>2003</v>
      </c>
      <c r="C198" s="1975" t="s">
        <v>1473</v>
      </c>
      <c r="D198" s="1975"/>
      <c r="E198" s="1975"/>
      <c r="F198" s="1975"/>
      <c r="G198" s="1976"/>
      <c r="H198" s="1976"/>
      <c r="I198" s="1976"/>
      <c r="J198" s="1976"/>
      <c r="K198" s="1975"/>
      <c r="L198" s="1975"/>
      <c r="M198" s="1975">
        <v>0</v>
      </c>
      <c r="N198" s="1975">
        <f>SUM(F4.2!AG$54:AH$54)</f>
        <v>0</v>
      </c>
      <c r="O198" s="1975"/>
      <c r="P198" s="1975"/>
      <c r="Q198" s="1975"/>
      <c r="R198" s="1975"/>
      <c r="S198" s="1987">
        <f t="shared" si="6"/>
        <v>0</v>
      </c>
    </row>
    <row r="199" spans="2:19" s="602" customFormat="1" ht="42" x14ac:dyDescent="0.25">
      <c r="B199" s="1974" t="s">
        <v>1473</v>
      </c>
      <c r="C199" s="1975" t="s">
        <v>2060</v>
      </c>
      <c r="D199" s="1975"/>
      <c r="E199" s="1975"/>
      <c r="F199" s="1975"/>
      <c r="G199" s="1976"/>
      <c r="H199" s="1976"/>
      <c r="I199" s="1976"/>
      <c r="J199" s="1976"/>
      <c r="K199" s="1975"/>
      <c r="L199" s="1975"/>
      <c r="M199" s="1975">
        <v>0</v>
      </c>
      <c r="N199" s="1975">
        <f>SUM(F4.2!AG$55:AH$55)</f>
        <v>15</v>
      </c>
      <c r="O199" s="1975"/>
      <c r="P199" s="1975"/>
      <c r="Q199" s="1975"/>
      <c r="R199" s="1975"/>
      <c r="S199" s="1987">
        <f t="shared" si="6"/>
        <v>15</v>
      </c>
    </row>
    <row r="200" spans="2:19" s="602" customFormat="1" ht="28" x14ac:dyDescent="0.25">
      <c r="B200" s="1975" t="s">
        <v>1474</v>
      </c>
      <c r="C200" s="1975" t="s">
        <v>1475</v>
      </c>
      <c r="D200" s="1975"/>
      <c r="E200" s="1975"/>
      <c r="F200" s="1975"/>
      <c r="G200" s="1976"/>
      <c r="H200" s="1976"/>
      <c r="I200" s="1976"/>
      <c r="J200" s="1976"/>
      <c r="K200" s="1975"/>
      <c r="L200" s="1975"/>
      <c r="M200" s="1975">
        <v>0</v>
      </c>
      <c r="N200" s="1975">
        <f>SUM(F4.2!AG$56:AH$56)</f>
        <v>8</v>
      </c>
      <c r="O200" s="1975"/>
      <c r="P200" s="1975"/>
      <c r="Q200" s="1975"/>
      <c r="R200" s="1975"/>
      <c r="S200" s="1987">
        <f t="shared" si="6"/>
        <v>8</v>
      </c>
    </row>
    <row r="201" spans="2:19" s="602" customFormat="1" x14ac:dyDescent="0.25">
      <c r="B201" s="1983" t="s">
        <v>5</v>
      </c>
      <c r="C201" s="1983"/>
      <c r="D201" s="1983"/>
      <c r="E201" s="1983"/>
      <c r="F201" s="1983"/>
      <c r="G201" s="1984"/>
      <c r="H201" s="1984"/>
      <c r="I201" s="1984"/>
      <c r="J201" s="1984"/>
      <c r="K201" s="1983"/>
      <c r="L201" s="1983"/>
      <c r="M201" s="1983">
        <f>SUM(M192:M200)</f>
        <v>0</v>
      </c>
      <c r="N201" s="1983">
        <f>SUM(N192:N200)</f>
        <v>618.69849999999997</v>
      </c>
      <c r="O201" s="1983">
        <f t="shared" ref="O201:R201" si="7">SUM(O171:O200)</f>
        <v>0</v>
      </c>
      <c r="P201" s="1983">
        <f t="shared" si="7"/>
        <v>0</v>
      </c>
      <c r="Q201" s="1983">
        <f t="shared" si="7"/>
        <v>0</v>
      </c>
      <c r="R201" s="1983">
        <f t="shared" si="7"/>
        <v>0</v>
      </c>
      <c r="S201" s="1988">
        <f t="shared" si="6"/>
        <v>618.69849999999997</v>
      </c>
    </row>
    <row r="202" spans="2:19" s="602" customFormat="1" ht="13" x14ac:dyDescent="0.25">
      <c r="B202" s="1985"/>
      <c r="C202" s="1985"/>
      <c r="D202" s="1985"/>
      <c r="E202" s="1985"/>
      <c r="F202" s="1985"/>
      <c r="G202" s="1986"/>
      <c r="H202" s="1986"/>
      <c r="I202" s="1986"/>
      <c r="J202" s="1986"/>
      <c r="K202" s="1985"/>
      <c r="L202" s="1985"/>
      <c r="M202" s="1985"/>
      <c r="N202" s="1985"/>
      <c r="O202" s="1985"/>
      <c r="P202" s="1985"/>
      <c r="Q202" s="1985"/>
      <c r="R202" s="1985"/>
      <c r="S202" s="1985"/>
    </row>
    <row r="203" spans="2:19" s="602" customFormat="1" ht="14" customHeight="1" x14ac:dyDescent="0.25">
      <c r="B203" s="2300" t="s">
        <v>26</v>
      </c>
      <c r="C203" s="2300" t="s">
        <v>1</v>
      </c>
      <c r="D203" s="2300" t="s">
        <v>617</v>
      </c>
      <c r="E203" s="2300" t="s">
        <v>618</v>
      </c>
      <c r="F203" s="2300" t="s">
        <v>6</v>
      </c>
      <c r="G203" s="2292" t="s">
        <v>2</v>
      </c>
      <c r="H203" s="2293"/>
      <c r="I203" s="2294"/>
      <c r="J203" s="2295" t="s">
        <v>13</v>
      </c>
      <c r="K203" s="2296"/>
      <c r="L203" s="2297"/>
      <c r="M203" s="2295" t="s">
        <v>619</v>
      </c>
      <c r="N203" s="2296"/>
      <c r="O203" s="2296"/>
      <c r="P203" s="2296"/>
      <c r="Q203" s="2296"/>
      <c r="R203" s="2296"/>
      <c r="S203" s="2297"/>
    </row>
    <row r="204" spans="2:19" s="602" customFormat="1" ht="14" customHeight="1" x14ac:dyDescent="0.25">
      <c r="B204" s="2302"/>
      <c r="C204" s="2302"/>
      <c r="D204" s="2302"/>
      <c r="E204" s="2302"/>
      <c r="F204" s="2302"/>
      <c r="G204" s="2298" t="s">
        <v>17</v>
      </c>
      <c r="H204" s="2298" t="s">
        <v>14</v>
      </c>
      <c r="I204" s="2298" t="s">
        <v>620</v>
      </c>
      <c r="J204" s="2298" t="s">
        <v>17</v>
      </c>
      <c r="K204" s="2300" t="s">
        <v>14</v>
      </c>
      <c r="L204" s="2300" t="s">
        <v>12</v>
      </c>
      <c r="M204" s="2300" t="s">
        <v>37</v>
      </c>
      <c r="N204" s="2300" t="s">
        <v>621</v>
      </c>
      <c r="O204" s="2285" t="s">
        <v>787</v>
      </c>
      <c r="P204" s="2286"/>
      <c r="Q204" s="2286"/>
      <c r="R204" s="2286"/>
      <c r="S204" s="2287"/>
    </row>
    <row r="205" spans="2:19" s="602" customFormat="1" ht="28" x14ac:dyDescent="0.25">
      <c r="B205" s="2301"/>
      <c r="C205" s="2301"/>
      <c r="D205" s="2301"/>
      <c r="E205" s="2301"/>
      <c r="F205" s="2301"/>
      <c r="G205" s="2299"/>
      <c r="H205" s="2299"/>
      <c r="I205" s="2299"/>
      <c r="J205" s="2299"/>
      <c r="K205" s="2301"/>
      <c r="L205" s="2301"/>
      <c r="M205" s="2301"/>
      <c r="N205" s="2301"/>
      <c r="O205" s="1973" t="s">
        <v>788</v>
      </c>
      <c r="P205" s="1973" t="s">
        <v>789</v>
      </c>
      <c r="Q205" s="1973" t="s">
        <v>790</v>
      </c>
      <c r="R205" s="1973" t="s">
        <v>791</v>
      </c>
      <c r="S205" s="1973" t="s">
        <v>792</v>
      </c>
    </row>
    <row r="206" spans="2:19" s="602" customFormat="1" x14ac:dyDescent="0.25">
      <c r="B206" s="1974" t="s">
        <v>429</v>
      </c>
      <c r="C206" s="1975"/>
      <c r="D206" s="1975"/>
      <c r="E206" s="1975"/>
      <c r="F206" s="1975"/>
      <c r="G206" s="1976"/>
      <c r="H206" s="1976"/>
      <c r="I206" s="1976"/>
      <c r="J206" s="1976"/>
      <c r="K206" s="1975"/>
      <c r="L206" s="1975"/>
      <c r="M206" s="1975"/>
      <c r="N206" s="1975"/>
      <c r="O206" s="1975"/>
      <c r="P206" s="1975"/>
      <c r="Q206" s="1975"/>
      <c r="R206" s="1975"/>
      <c r="S206" s="1977"/>
    </row>
    <row r="207" spans="2:19" s="602" customFormat="1" x14ac:dyDescent="0.25">
      <c r="B207" s="1978" t="s">
        <v>33</v>
      </c>
      <c r="C207" s="1975"/>
      <c r="D207" s="1975"/>
      <c r="E207" s="1975"/>
      <c r="F207" s="1975"/>
      <c r="G207" s="1976"/>
      <c r="H207" s="1976"/>
      <c r="I207" s="1976"/>
      <c r="J207" s="1976"/>
      <c r="K207" s="1975"/>
      <c r="L207" s="1975"/>
      <c r="M207" s="1975"/>
      <c r="N207" s="1975"/>
      <c r="O207" s="1975"/>
      <c r="P207" s="1975"/>
      <c r="Q207" s="1975"/>
      <c r="R207" s="1975"/>
      <c r="S207" s="1977"/>
    </row>
    <row r="208" spans="2:19" s="602" customFormat="1" x14ac:dyDescent="0.25">
      <c r="B208" s="1979" t="s">
        <v>35</v>
      </c>
      <c r="C208" s="1975"/>
      <c r="D208" s="1975"/>
      <c r="E208" s="1975"/>
      <c r="F208" s="1975"/>
      <c r="G208" s="1976"/>
      <c r="H208" s="1976"/>
      <c r="I208" s="1976"/>
      <c r="J208" s="1976"/>
      <c r="K208" s="1975"/>
      <c r="L208" s="1975"/>
      <c r="M208" s="1975"/>
      <c r="N208" s="1975"/>
      <c r="O208" s="1975"/>
      <c r="P208" s="1975"/>
      <c r="Q208" s="1975"/>
      <c r="R208" s="1975"/>
      <c r="S208" s="1977"/>
    </row>
    <row r="209" spans="2:19" s="602" customFormat="1" x14ac:dyDescent="0.25">
      <c r="B209" s="1979"/>
      <c r="C209" s="1975" t="s">
        <v>1468</v>
      </c>
      <c r="D209" s="1975"/>
      <c r="E209" s="1975"/>
      <c r="F209" s="1975"/>
      <c r="G209" s="1976"/>
      <c r="H209" s="1976"/>
      <c r="I209" s="1976"/>
      <c r="J209" s="1976"/>
      <c r="K209" s="1975"/>
      <c r="L209" s="1975"/>
      <c r="M209" s="1975"/>
      <c r="N209" s="1975"/>
      <c r="O209" s="1975"/>
      <c r="P209" s="1975"/>
      <c r="Q209" s="1975"/>
      <c r="R209" s="1975"/>
      <c r="S209" s="1977"/>
    </row>
    <row r="210" spans="2:19" s="602" customFormat="1" ht="28" x14ac:dyDescent="0.25">
      <c r="B210" s="1975" t="s">
        <v>1477</v>
      </c>
      <c r="C210" s="1975" t="s">
        <v>2031</v>
      </c>
      <c r="D210" s="1975" t="s">
        <v>2035</v>
      </c>
      <c r="E210" s="1975" t="s">
        <v>1479</v>
      </c>
      <c r="F210" s="1975" t="s">
        <v>2034</v>
      </c>
      <c r="G210" s="1976">
        <v>42095</v>
      </c>
      <c r="H210" s="1976"/>
      <c r="I210" s="1976">
        <v>42095</v>
      </c>
      <c r="J210" s="1976"/>
      <c r="K210" s="1975">
        <v>0</v>
      </c>
      <c r="L210" s="1975" t="s">
        <v>2036</v>
      </c>
      <c r="M210" s="1975">
        <v>82.23</v>
      </c>
      <c r="N210" s="1975">
        <f>SUM(F4.2!AH$18:AI$18)</f>
        <v>12.32</v>
      </c>
      <c r="O210" s="1975"/>
      <c r="P210" s="1975"/>
      <c r="Q210" s="1975"/>
      <c r="R210" s="1975"/>
      <c r="S210" s="1987">
        <f>N210-M210</f>
        <v>-69.91</v>
      </c>
    </row>
    <row r="211" spans="2:19" s="602" customFormat="1" x14ac:dyDescent="0.25">
      <c r="B211" s="1975" t="s">
        <v>2061</v>
      </c>
      <c r="C211" s="1975" t="s">
        <v>2031</v>
      </c>
      <c r="D211" s="1975" t="s">
        <v>2062</v>
      </c>
      <c r="E211" s="1975" t="s">
        <v>2063</v>
      </c>
      <c r="F211" s="1975" t="s">
        <v>2034</v>
      </c>
      <c r="G211" s="1976">
        <v>43922</v>
      </c>
      <c r="H211" s="1976"/>
      <c r="I211" s="1976">
        <v>43922</v>
      </c>
      <c r="J211" s="1976">
        <v>45747</v>
      </c>
      <c r="K211" s="1975">
        <v>0</v>
      </c>
      <c r="L211" s="1975" t="s">
        <v>2036</v>
      </c>
      <c r="M211" s="1975">
        <v>27.4</v>
      </c>
      <c r="N211" s="1975">
        <f>SUM(F4.2!AH$19:AI$19)</f>
        <v>21.689999999999998</v>
      </c>
      <c r="O211" s="1975"/>
      <c r="P211" s="1975"/>
      <c r="Q211" s="1975"/>
      <c r="R211" s="1975"/>
      <c r="S211" s="1987">
        <f t="shared" ref="S211:S239" si="8">N211-M211</f>
        <v>-5.7100000000000009</v>
      </c>
    </row>
    <row r="212" spans="2:19" s="602" customFormat="1" x14ac:dyDescent="0.25">
      <c r="B212" s="1975"/>
      <c r="C212" s="1975"/>
      <c r="D212" s="1975"/>
      <c r="E212" s="1975"/>
      <c r="F212" s="1975"/>
      <c r="G212" s="1976"/>
      <c r="H212" s="1976"/>
      <c r="I212" s="1976"/>
      <c r="J212" s="1976"/>
      <c r="K212" s="1975"/>
      <c r="L212" s="1975"/>
      <c r="M212" s="1975"/>
      <c r="N212" s="1975"/>
      <c r="O212" s="1975"/>
      <c r="P212" s="1975"/>
      <c r="Q212" s="1975"/>
      <c r="R212" s="1975"/>
      <c r="S212" s="1987">
        <f t="shared" si="8"/>
        <v>0</v>
      </c>
    </row>
    <row r="213" spans="2:19" s="602" customFormat="1" x14ac:dyDescent="0.25">
      <c r="B213" s="1979" t="s">
        <v>2037</v>
      </c>
      <c r="C213" s="1975"/>
      <c r="D213" s="1975"/>
      <c r="E213" s="1975"/>
      <c r="F213" s="1975"/>
      <c r="G213" s="1976"/>
      <c r="H213" s="1976"/>
      <c r="I213" s="1976"/>
      <c r="J213" s="1976"/>
      <c r="K213" s="1975"/>
      <c r="L213" s="1975"/>
      <c r="M213" s="1975"/>
      <c r="N213" s="1975"/>
      <c r="O213" s="1975"/>
      <c r="P213" s="1975"/>
      <c r="Q213" s="1975"/>
      <c r="R213" s="1975"/>
      <c r="S213" s="1987">
        <f t="shared" si="8"/>
        <v>0</v>
      </c>
    </row>
    <row r="214" spans="2:19" s="602" customFormat="1" ht="28" x14ac:dyDescent="0.25">
      <c r="B214" s="1975" t="s">
        <v>1480</v>
      </c>
      <c r="C214" s="1975" t="s">
        <v>2038</v>
      </c>
      <c r="D214" s="1975" t="s">
        <v>2039</v>
      </c>
      <c r="E214" s="1975" t="s">
        <v>1482</v>
      </c>
      <c r="F214" s="1975" t="s">
        <v>2040</v>
      </c>
      <c r="G214" s="1976">
        <v>42095</v>
      </c>
      <c r="H214" s="1976"/>
      <c r="I214" s="1976" t="s">
        <v>2041</v>
      </c>
      <c r="J214" s="1976">
        <v>42460</v>
      </c>
      <c r="K214" s="1975">
        <v>0</v>
      </c>
      <c r="L214" s="1975" t="s">
        <v>2036</v>
      </c>
      <c r="M214" s="1975">
        <v>36.630000000000003</v>
      </c>
      <c r="N214" s="1975">
        <f>SUM(F4.2!AH$21:AI$21)</f>
        <v>5</v>
      </c>
      <c r="O214" s="1975"/>
      <c r="P214" s="1975"/>
      <c r="Q214" s="1975"/>
      <c r="R214" s="1975"/>
      <c r="S214" s="1987">
        <f t="shared" si="8"/>
        <v>-31.630000000000003</v>
      </c>
    </row>
    <row r="215" spans="2:19" s="602" customFormat="1" ht="28" x14ac:dyDescent="0.25">
      <c r="B215" s="1975" t="s">
        <v>1483</v>
      </c>
      <c r="C215" s="1975" t="s">
        <v>2038</v>
      </c>
      <c r="D215" s="1975" t="s">
        <v>2042</v>
      </c>
      <c r="E215" s="1975" t="s">
        <v>1485</v>
      </c>
      <c r="F215" s="1975" t="s">
        <v>2040</v>
      </c>
      <c r="G215" s="1976">
        <v>42095</v>
      </c>
      <c r="H215" s="1976"/>
      <c r="I215" s="1976">
        <v>42095</v>
      </c>
      <c r="J215" s="1976"/>
      <c r="K215" s="1975">
        <v>0</v>
      </c>
      <c r="L215" s="1975" t="s">
        <v>2036</v>
      </c>
      <c r="M215" s="1975">
        <v>64.09</v>
      </c>
      <c r="N215" s="1975">
        <f>SUM(F4.2!AH$22:AI$22)</f>
        <v>7.5</v>
      </c>
      <c r="O215" s="1975"/>
      <c r="P215" s="1975"/>
      <c r="Q215" s="1975"/>
      <c r="R215" s="1975"/>
      <c r="S215" s="1987">
        <f t="shared" si="8"/>
        <v>-56.59</v>
      </c>
    </row>
    <row r="216" spans="2:19" s="602" customFormat="1" ht="28" x14ac:dyDescent="0.25">
      <c r="B216" s="1975" t="s">
        <v>1486</v>
      </c>
      <c r="C216" s="1975" t="s">
        <v>2038</v>
      </c>
      <c r="D216" s="1975" t="s">
        <v>2042</v>
      </c>
      <c r="E216" s="1975" t="s">
        <v>1485</v>
      </c>
      <c r="F216" s="1975" t="s">
        <v>2040</v>
      </c>
      <c r="G216" s="1976">
        <v>42461</v>
      </c>
      <c r="H216" s="1976"/>
      <c r="I216" s="1976">
        <v>42461</v>
      </c>
      <c r="J216" s="1976"/>
      <c r="K216" s="1975">
        <v>0</v>
      </c>
      <c r="L216" s="1975" t="s">
        <v>2036</v>
      </c>
      <c r="M216" s="1975">
        <v>58.86</v>
      </c>
      <c r="N216" s="1975">
        <f>SUM(F4.2!AH$23:AI$23)</f>
        <v>17.75</v>
      </c>
      <c r="O216" s="1975"/>
      <c r="P216" s="1975"/>
      <c r="Q216" s="1975"/>
      <c r="R216" s="1975"/>
      <c r="S216" s="1987">
        <f t="shared" si="8"/>
        <v>-41.11</v>
      </c>
    </row>
    <row r="217" spans="2:19" s="602" customFormat="1" ht="28" x14ac:dyDescent="0.25">
      <c r="B217" s="1975" t="s">
        <v>1490</v>
      </c>
      <c r="C217" s="1975" t="s">
        <v>2038</v>
      </c>
      <c r="D217" s="1975" t="s">
        <v>2044</v>
      </c>
      <c r="E217" s="1975" t="s">
        <v>1492</v>
      </c>
      <c r="F217" s="1975" t="s">
        <v>2040</v>
      </c>
      <c r="G217" s="1976">
        <v>43556</v>
      </c>
      <c r="H217" s="1976"/>
      <c r="I217" s="1976">
        <v>43556</v>
      </c>
      <c r="J217" s="1976">
        <v>45747</v>
      </c>
      <c r="K217" s="1975">
        <v>0</v>
      </c>
      <c r="L217" s="1975" t="s">
        <v>2036</v>
      </c>
      <c r="M217" s="1975">
        <v>40.6</v>
      </c>
      <c r="N217" s="1975">
        <f>SUM(F4.2!AH$25:AI$25)</f>
        <v>14.280000000000001</v>
      </c>
      <c r="O217" s="1975"/>
      <c r="P217" s="1975"/>
      <c r="Q217" s="1975"/>
      <c r="R217" s="1975"/>
      <c r="S217" s="1987">
        <f t="shared" si="8"/>
        <v>-26.32</v>
      </c>
    </row>
    <row r="218" spans="2:19" s="602" customFormat="1" x14ac:dyDescent="0.25">
      <c r="B218" s="1975"/>
      <c r="C218" s="1975"/>
      <c r="D218" s="1975"/>
      <c r="E218" s="1975"/>
      <c r="F218" s="1975"/>
      <c r="G218" s="1976"/>
      <c r="H218" s="1976"/>
      <c r="I218" s="1976"/>
      <c r="J218" s="1976"/>
      <c r="K218" s="1975"/>
      <c r="L218" s="1975"/>
      <c r="M218" s="1975"/>
      <c r="N218" s="1975"/>
      <c r="O218" s="1975"/>
      <c r="P218" s="1975"/>
      <c r="Q218" s="1975"/>
      <c r="R218" s="1975"/>
      <c r="S218" s="1987">
        <f t="shared" si="8"/>
        <v>0</v>
      </c>
    </row>
    <row r="219" spans="2:19" s="602" customFormat="1" ht="28" x14ac:dyDescent="0.25">
      <c r="B219" s="1979" t="s">
        <v>2045</v>
      </c>
      <c r="C219" s="1975"/>
      <c r="D219" s="1975"/>
      <c r="E219" s="1975"/>
      <c r="F219" s="1975"/>
      <c r="G219" s="1976"/>
      <c r="H219" s="1976"/>
      <c r="I219" s="1976"/>
      <c r="J219" s="1976"/>
      <c r="K219" s="1975"/>
      <c r="L219" s="1975"/>
      <c r="M219" s="1975"/>
      <c r="N219" s="1975"/>
      <c r="O219" s="1975"/>
      <c r="P219" s="1975"/>
      <c r="Q219" s="1975"/>
      <c r="R219" s="1975"/>
      <c r="S219" s="1987">
        <f t="shared" si="8"/>
        <v>0</v>
      </c>
    </row>
    <row r="220" spans="2:19" s="602" customFormat="1" x14ac:dyDescent="0.25">
      <c r="B220" s="1975" t="s">
        <v>2064</v>
      </c>
      <c r="C220" s="1975" t="s">
        <v>2046</v>
      </c>
      <c r="D220" s="1975" t="s">
        <v>2065</v>
      </c>
      <c r="E220" s="1975" t="s">
        <v>1492</v>
      </c>
      <c r="F220" s="1975" t="s">
        <v>2048</v>
      </c>
      <c r="G220" s="1976">
        <v>43922</v>
      </c>
      <c r="H220" s="1976"/>
      <c r="I220" s="1976">
        <v>43922</v>
      </c>
      <c r="J220" s="1976"/>
      <c r="K220" s="1975">
        <v>0</v>
      </c>
      <c r="L220" s="1975" t="s">
        <v>2036</v>
      </c>
      <c r="M220" s="1975">
        <v>147.65</v>
      </c>
      <c r="N220" s="1975">
        <f>SUM(F4.2!AH$29:AI$29)</f>
        <v>52.42</v>
      </c>
      <c r="O220" s="1975"/>
      <c r="P220" s="1975"/>
      <c r="Q220" s="1975"/>
      <c r="R220" s="1975"/>
      <c r="S220" s="1987">
        <f t="shared" si="8"/>
        <v>-95.23</v>
      </c>
    </row>
    <row r="221" spans="2:19" s="602" customFormat="1" x14ac:dyDescent="0.25">
      <c r="B221" s="1975"/>
      <c r="C221" s="1975"/>
      <c r="D221" s="1975"/>
      <c r="E221" s="1975"/>
      <c r="F221" s="1975"/>
      <c r="G221" s="1976"/>
      <c r="H221" s="1976"/>
      <c r="I221" s="1976"/>
      <c r="J221" s="1976"/>
      <c r="K221" s="1975"/>
      <c r="L221" s="1975"/>
      <c r="M221" s="1975"/>
      <c r="N221" s="1975"/>
      <c r="O221" s="1975"/>
      <c r="P221" s="1975"/>
      <c r="Q221" s="1975"/>
      <c r="R221" s="1975"/>
      <c r="S221" s="1987">
        <f t="shared" si="8"/>
        <v>0</v>
      </c>
    </row>
    <row r="222" spans="2:19" s="602" customFormat="1" x14ac:dyDescent="0.25">
      <c r="B222" s="1979" t="s">
        <v>2049</v>
      </c>
      <c r="C222" s="1975"/>
      <c r="D222" s="1975"/>
      <c r="E222" s="1975"/>
      <c r="F222" s="1975"/>
      <c r="G222" s="1976"/>
      <c r="H222" s="1976"/>
      <c r="I222" s="1976"/>
      <c r="J222" s="1976"/>
      <c r="K222" s="1975"/>
      <c r="L222" s="1975"/>
      <c r="M222" s="1975"/>
      <c r="N222" s="1975"/>
      <c r="O222" s="1975"/>
      <c r="P222" s="1975"/>
      <c r="Q222" s="1975"/>
      <c r="R222" s="1975"/>
      <c r="S222" s="1987">
        <f t="shared" si="8"/>
        <v>0</v>
      </c>
    </row>
    <row r="223" spans="2:19" s="602" customFormat="1" ht="28" x14ac:dyDescent="0.25">
      <c r="B223" s="1975" t="s">
        <v>2066</v>
      </c>
      <c r="C223" s="1975" t="s">
        <v>2049</v>
      </c>
      <c r="D223" s="1975" t="s">
        <v>2067</v>
      </c>
      <c r="E223" s="1975" t="s">
        <v>2068</v>
      </c>
      <c r="F223" s="1975" t="s">
        <v>2048</v>
      </c>
      <c r="G223" s="1976">
        <v>43922</v>
      </c>
      <c r="H223" s="1976"/>
      <c r="I223" s="1976">
        <v>43922</v>
      </c>
      <c r="J223" s="1976"/>
      <c r="K223" s="1975">
        <v>0</v>
      </c>
      <c r="L223" s="1975" t="s">
        <v>2036</v>
      </c>
      <c r="M223" s="1975">
        <v>246.2</v>
      </c>
      <c r="N223" s="1975">
        <f>SUM(F4.2!AH$32:AI$32)</f>
        <v>95</v>
      </c>
      <c r="O223" s="1975"/>
      <c r="P223" s="1975"/>
      <c r="Q223" s="1975"/>
      <c r="R223" s="1975"/>
      <c r="S223" s="1987">
        <f t="shared" si="8"/>
        <v>-151.19999999999999</v>
      </c>
    </row>
    <row r="224" spans="2:19" s="602" customFormat="1" x14ac:dyDescent="0.25">
      <c r="B224" s="1975" t="s">
        <v>2050</v>
      </c>
      <c r="C224" s="1975"/>
      <c r="D224" s="1975"/>
      <c r="E224" s="1975"/>
      <c r="F224" s="1975"/>
      <c r="G224" s="1976"/>
      <c r="H224" s="1976"/>
      <c r="I224" s="1976"/>
      <c r="J224" s="1976"/>
      <c r="K224" s="1975"/>
      <c r="L224" s="1975"/>
      <c r="M224" s="1975"/>
      <c r="N224" s="1975"/>
      <c r="O224" s="1975"/>
      <c r="P224" s="1975"/>
      <c r="Q224" s="1975"/>
      <c r="R224" s="1975"/>
      <c r="S224" s="1987">
        <f t="shared" si="8"/>
        <v>0</v>
      </c>
    </row>
    <row r="225" spans="2:19" s="602" customFormat="1" x14ac:dyDescent="0.25">
      <c r="B225" s="1975" t="s">
        <v>1501</v>
      </c>
      <c r="C225" s="1975" t="s">
        <v>2051</v>
      </c>
      <c r="D225" s="1975" t="s">
        <v>2052</v>
      </c>
      <c r="E225" s="1975" t="s">
        <v>2053</v>
      </c>
      <c r="F225" s="1975" t="s">
        <v>2054</v>
      </c>
      <c r="G225" s="1976">
        <v>42826</v>
      </c>
      <c r="H225" s="1976"/>
      <c r="I225" s="1976">
        <v>42826</v>
      </c>
      <c r="J225" s="1976"/>
      <c r="K225" s="1975">
        <v>0</v>
      </c>
      <c r="L225" s="1975" t="s">
        <v>2036</v>
      </c>
      <c r="M225" s="1975">
        <v>13.12</v>
      </c>
      <c r="N225" s="1975">
        <f>SUM(F4.2!AH$34:AI$34)</f>
        <v>0</v>
      </c>
      <c r="O225" s="1975"/>
      <c r="P225" s="1975"/>
      <c r="Q225" s="1975"/>
      <c r="R225" s="1975"/>
      <c r="S225" s="1987">
        <f t="shared" si="8"/>
        <v>-13.12</v>
      </c>
    </row>
    <row r="226" spans="2:19" s="602" customFormat="1" x14ac:dyDescent="0.25">
      <c r="B226" s="1979" t="s">
        <v>1504</v>
      </c>
      <c r="C226" s="1975" t="s">
        <v>2069</v>
      </c>
      <c r="D226" s="1975" t="s">
        <v>2052</v>
      </c>
      <c r="E226" s="1975" t="s">
        <v>2070</v>
      </c>
      <c r="F226" s="1975" t="s">
        <v>2054</v>
      </c>
      <c r="G226" s="1976">
        <v>43191</v>
      </c>
      <c r="H226" s="1976"/>
      <c r="I226" s="1976">
        <v>43191</v>
      </c>
      <c r="J226" s="1976"/>
      <c r="K226" s="1975">
        <v>0</v>
      </c>
      <c r="L226" s="1975" t="s">
        <v>2036</v>
      </c>
      <c r="M226" s="1975">
        <v>9.2200000000000006</v>
      </c>
      <c r="N226" s="1975">
        <f>SUM(F4.2!AH$35:AI$35)</f>
        <v>8.27</v>
      </c>
      <c r="O226" s="1975"/>
      <c r="P226" s="1975"/>
      <c r="Q226" s="1975"/>
      <c r="R226" s="1975"/>
      <c r="S226" s="1987">
        <f t="shared" si="8"/>
        <v>-0.95000000000000107</v>
      </c>
    </row>
    <row r="227" spans="2:19" s="602" customFormat="1" x14ac:dyDescent="0.25">
      <c r="B227" s="1975"/>
      <c r="C227" s="1975"/>
      <c r="D227" s="1975"/>
      <c r="E227" s="1975"/>
      <c r="F227" s="1975"/>
      <c r="G227" s="1976"/>
      <c r="H227" s="1976"/>
      <c r="I227" s="1976"/>
      <c r="J227" s="1976"/>
      <c r="K227" s="1975"/>
      <c r="L227" s="1975"/>
      <c r="M227" s="1975"/>
      <c r="N227" s="1975"/>
      <c r="O227" s="1975"/>
      <c r="P227" s="1975"/>
      <c r="Q227" s="1975"/>
      <c r="R227" s="1975"/>
      <c r="S227" s="1987">
        <f t="shared" si="8"/>
        <v>0</v>
      </c>
    </row>
    <row r="228" spans="2:19" s="602" customFormat="1" x14ac:dyDescent="0.25">
      <c r="B228" s="1975">
        <v>0</v>
      </c>
      <c r="C228" s="1975"/>
      <c r="D228" s="1975"/>
      <c r="E228" s="1975"/>
      <c r="F228" s="1975"/>
      <c r="G228" s="1976"/>
      <c r="H228" s="1976"/>
      <c r="I228" s="1976"/>
      <c r="J228" s="1976"/>
      <c r="K228" s="1975"/>
      <c r="L228" s="1975"/>
      <c r="M228" s="1975"/>
      <c r="N228" s="1975"/>
      <c r="O228" s="1975"/>
      <c r="P228" s="1975"/>
      <c r="Q228" s="1975"/>
      <c r="R228" s="1975"/>
      <c r="S228" s="1987">
        <f t="shared" si="8"/>
        <v>0</v>
      </c>
    </row>
    <row r="229" spans="2:19" s="602" customFormat="1" ht="28" x14ac:dyDescent="0.25">
      <c r="B229" s="1975" t="s">
        <v>1470</v>
      </c>
      <c r="C229" s="1975" t="s">
        <v>2007</v>
      </c>
      <c r="D229" s="1975"/>
      <c r="E229" s="1975" t="s">
        <v>2076</v>
      </c>
      <c r="F229" s="1975" t="s">
        <v>2040</v>
      </c>
      <c r="G229" s="1976">
        <v>43556</v>
      </c>
      <c r="H229" s="1976"/>
      <c r="I229" s="1976">
        <v>43556</v>
      </c>
      <c r="J229" s="1976"/>
      <c r="K229" s="1975">
        <v>0</v>
      </c>
      <c r="L229" s="1975" t="s">
        <v>2036</v>
      </c>
      <c r="M229" s="1975">
        <v>56.07</v>
      </c>
      <c r="N229" s="1975">
        <f>SUM(F4.2!AH$42:AI$42)</f>
        <v>0</v>
      </c>
      <c r="O229" s="1975"/>
      <c r="P229" s="1975"/>
      <c r="Q229" s="1975"/>
      <c r="R229" s="1975"/>
      <c r="S229" s="1987">
        <f t="shared" si="8"/>
        <v>-56.07</v>
      </c>
    </row>
    <row r="230" spans="2:19" s="602" customFormat="1" x14ac:dyDescent="0.25">
      <c r="B230" s="1975"/>
      <c r="C230" s="1975"/>
      <c r="D230" s="1975"/>
      <c r="E230" s="1975"/>
      <c r="F230" s="1975"/>
      <c r="G230" s="1976"/>
      <c r="H230" s="1976"/>
      <c r="I230" s="1976"/>
      <c r="J230" s="1976"/>
      <c r="K230" s="1975"/>
      <c r="L230" s="1975"/>
      <c r="M230" s="1975"/>
      <c r="N230" s="1975"/>
      <c r="O230" s="1975"/>
      <c r="P230" s="1975"/>
      <c r="Q230" s="1975"/>
      <c r="R230" s="1975"/>
      <c r="S230" s="1987"/>
    </row>
    <row r="231" spans="2:19" s="602" customFormat="1" x14ac:dyDescent="0.25">
      <c r="B231" s="1974" t="s">
        <v>1696</v>
      </c>
      <c r="C231" s="1975">
        <v>0</v>
      </c>
      <c r="D231" s="1975">
        <v>0</v>
      </c>
      <c r="E231" s="1975">
        <v>0</v>
      </c>
      <c r="F231" s="1975">
        <v>0</v>
      </c>
      <c r="G231" s="1976"/>
      <c r="H231" s="1976"/>
      <c r="I231" s="1976"/>
      <c r="J231" s="1976"/>
      <c r="K231" s="1975">
        <v>0</v>
      </c>
      <c r="L231" s="1975">
        <v>0</v>
      </c>
      <c r="M231" s="1975">
        <v>0</v>
      </c>
      <c r="N231" s="1989"/>
      <c r="O231" s="1975"/>
      <c r="P231" s="1975"/>
      <c r="Q231" s="1975"/>
      <c r="R231" s="1975"/>
      <c r="S231" s="1987"/>
    </row>
    <row r="232" spans="2:19" s="602" customFormat="1" x14ac:dyDescent="0.25">
      <c r="B232" s="1975" t="s">
        <v>1697</v>
      </c>
      <c r="C232" s="1975">
        <v>0</v>
      </c>
      <c r="D232" s="1975">
        <v>0</v>
      </c>
      <c r="E232" s="1975">
        <v>0</v>
      </c>
      <c r="F232" s="1975">
        <v>0</v>
      </c>
      <c r="G232" s="1976"/>
      <c r="H232" s="1976"/>
      <c r="I232" s="1976"/>
      <c r="J232" s="1976"/>
      <c r="K232" s="1975">
        <v>0</v>
      </c>
      <c r="L232" s="1975">
        <v>0</v>
      </c>
      <c r="M232" s="1975"/>
      <c r="N232" s="1975">
        <f>SUM(F4.2!AH$45:AI$45)</f>
        <v>205.02999999999997</v>
      </c>
      <c r="O232" s="1975"/>
      <c r="P232" s="1975"/>
      <c r="Q232" s="1975"/>
      <c r="R232" s="1975"/>
      <c r="S232" s="1987">
        <f t="shared" si="8"/>
        <v>205.02999999999997</v>
      </c>
    </row>
    <row r="233" spans="2:19" s="602" customFormat="1" ht="18.5" customHeight="1" x14ac:dyDescent="0.25">
      <c r="B233" s="1975" t="s">
        <v>1695</v>
      </c>
      <c r="C233" s="1975">
        <v>0</v>
      </c>
      <c r="D233" s="1975">
        <v>0</v>
      </c>
      <c r="E233" s="1975">
        <v>0</v>
      </c>
      <c r="F233" s="1975">
        <v>0</v>
      </c>
      <c r="G233" s="1976"/>
      <c r="H233" s="1976"/>
      <c r="I233" s="1976"/>
      <c r="J233" s="1976"/>
      <c r="K233" s="1975">
        <v>0</v>
      </c>
      <c r="L233" s="1975">
        <v>0</v>
      </c>
      <c r="M233" s="1975"/>
      <c r="N233" s="1975">
        <f>SUM(F4.2!AH$46:AI$46)</f>
        <v>956.34220000000005</v>
      </c>
      <c r="O233" s="1975"/>
      <c r="P233" s="1975"/>
      <c r="Q233" s="1975"/>
      <c r="R233" s="1975"/>
      <c r="S233" s="1987">
        <f t="shared" si="8"/>
        <v>956.34220000000005</v>
      </c>
    </row>
    <row r="234" spans="2:19" s="602" customFormat="1" x14ac:dyDescent="0.25">
      <c r="B234" s="1372" t="s">
        <v>1953</v>
      </c>
      <c r="C234" s="1975"/>
      <c r="D234" s="1975"/>
      <c r="E234" s="1975"/>
      <c r="F234" s="1975"/>
      <c r="G234" s="1976"/>
      <c r="H234" s="1976"/>
      <c r="I234" s="1976"/>
      <c r="J234" s="1976"/>
      <c r="K234" s="1975"/>
      <c r="L234" s="1975"/>
      <c r="M234" s="1975"/>
      <c r="N234" s="1975">
        <f>SUM(F4.2!AH$47:AI$47)</f>
        <v>176.38</v>
      </c>
      <c r="O234" s="1975"/>
      <c r="P234" s="1975"/>
      <c r="Q234" s="1975"/>
      <c r="R234" s="1975"/>
      <c r="S234" s="1987">
        <f t="shared" si="8"/>
        <v>176.38</v>
      </c>
    </row>
    <row r="235" spans="2:19" s="602" customFormat="1" x14ac:dyDescent="0.25">
      <c r="B235" s="1975" t="s">
        <v>34</v>
      </c>
      <c r="C235" s="1975"/>
      <c r="D235" s="1975"/>
      <c r="E235" s="1975"/>
      <c r="F235" s="1975"/>
      <c r="G235" s="1976"/>
      <c r="H235" s="1976"/>
      <c r="I235" s="1976"/>
      <c r="J235" s="1976"/>
      <c r="K235" s="1975"/>
      <c r="L235" s="1975"/>
      <c r="M235" s="1975"/>
      <c r="N235" s="1975"/>
      <c r="O235" s="1975"/>
      <c r="P235" s="1975"/>
      <c r="Q235" s="1975"/>
      <c r="R235" s="1975"/>
      <c r="S235" s="1987">
        <f t="shared" si="8"/>
        <v>0</v>
      </c>
    </row>
    <row r="236" spans="2:19" s="602" customFormat="1" ht="28" x14ac:dyDescent="0.25">
      <c r="B236" s="1975" t="s">
        <v>1471</v>
      </c>
      <c r="C236" s="1975" t="s">
        <v>1471</v>
      </c>
      <c r="D236" s="1975"/>
      <c r="E236" s="1975"/>
      <c r="F236" s="1975"/>
      <c r="G236" s="1976"/>
      <c r="H236" s="1976"/>
      <c r="I236" s="1976"/>
      <c r="J236" s="1976"/>
      <c r="K236" s="1975">
        <v>0</v>
      </c>
      <c r="L236" s="1975">
        <v>0</v>
      </c>
      <c r="M236" s="1975">
        <v>0</v>
      </c>
      <c r="N236" s="1975">
        <f>SUM(F4.2!AH$53:AI$53)</f>
        <v>19.5</v>
      </c>
      <c r="O236" s="1975"/>
      <c r="P236" s="1975"/>
      <c r="Q236" s="1975"/>
      <c r="R236" s="1975"/>
      <c r="S236" s="1987">
        <f t="shared" si="8"/>
        <v>19.5</v>
      </c>
    </row>
    <row r="237" spans="2:19" s="602" customFormat="1" ht="28" x14ac:dyDescent="0.25">
      <c r="B237" s="1975" t="s">
        <v>2003</v>
      </c>
      <c r="C237" s="1975" t="s">
        <v>1473</v>
      </c>
      <c r="D237" s="1975"/>
      <c r="E237" s="1975"/>
      <c r="F237" s="1975"/>
      <c r="G237" s="1976"/>
      <c r="H237" s="1976"/>
      <c r="I237" s="1976"/>
      <c r="J237" s="1976"/>
      <c r="K237" s="1975">
        <v>0</v>
      </c>
      <c r="L237" s="1975">
        <v>0</v>
      </c>
      <c r="M237" s="1975">
        <v>0</v>
      </c>
      <c r="N237" s="1975">
        <f>SUM(F4.2!AH$54:AI$54)</f>
        <v>0</v>
      </c>
      <c r="O237" s="1975"/>
      <c r="P237" s="1975"/>
      <c r="Q237" s="1975"/>
      <c r="R237" s="1975"/>
      <c r="S237" s="1987">
        <f t="shared" si="8"/>
        <v>0</v>
      </c>
    </row>
    <row r="238" spans="2:19" s="602" customFormat="1" ht="42" x14ac:dyDescent="0.25">
      <c r="B238" s="1974" t="s">
        <v>1473</v>
      </c>
      <c r="C238" s="1975" t="s">
        <v>2060</v>
      </c>
      <c r="D238" s="1975"/>
      <c r="E238" s="1975"/>
      <c r="F238" s="1975"/>
      <c r="G238" s="1976"/>
      <c r="H238" s="1976"/>
      <c r="I238" s="1976"/>
      <c r="J238" s="1976"/>
      <c r="K238" s="1975">
        <v>0</v>
      </c>
      <c r="L238" s="1975">
        <v>0</v>
      </c>
      <c r="M238" s="1975">
        <v>0</v>
      </c>
      <c r="N238" s="1975">
        <f>SUM(F4.2!AH$55:AI$55)</f>
        <v>15</v>
      </c>
      <c r="O238" s="1975"/>
      <c r="P238" s="1975"/>
      <c r="Q238" s="1975"/>
      <c r="R238" s="1975"/>
      <c r="S238" s="1987">
        <f t="shared" si="8"/>
        <v>15</v>
      </c>
    </row>
    <row r="239" spans="2:19" s="602" customFormat="1" ht="28" x14ac:dyDescent="0.25">
      <c r="B239" s="1975" t="s">
        <v>1474</v>
      </c>
      <c r="C239" s="1975" t="s">
        <v>1475</v>
      </c>
      <c r="D239" s="1975"/>
      <c r="E239" s="1975"/>
      <c r="F239" s="1975"/>
      <c r="G239" s="1976"/>
      <c r="H239" s="1976"/>
      <c r="I239" s="1976"/>
      <c r="J239" s="1976"/>
      <c r="K239" s="1975">
        <v>0</v>
      </c>
      <c r="L239" s="1975">
        <v>0</v>
      </c>
      <c r="M239" s="1975">
        <v>0</v>
      </c>
      <c r="N239" s="1975">
        <f>SUM(F4.2!AH$56:AI$56)</f>
        <v>7.5</v>
      </c>
      <c r="O239" s="1975"/>
      <c r="P239" s="1975"/>
      <c r="Q239" s="1975"/>
      <c r="R239" s="1975"/>
      <c r="S239" s="1987">
        <f t="shared" si="8"/>
        <v>7.5</v>
      </c>
    </row>
    <row r="240" spans="2:19" s="602" customFormat="1" x14ac:dyDescent="0.25">
      <c r="B240" s="1983" t="s">
        <v>5</v>
      </c>
      <c r="C240" s="1983"/>
      <c r="D240" s="1983"/>
      <c r="E240" s="1983"/>
      <c r="F240" s="1983"/>
      <c r="G240" s="1984"/>
      <c r="H240" s="1984"/>
      <c r="I240" s="1984"/>
      <c r="J240" s="1984"/>
      <c r="K240" s="1983"/>
      <c r="L240" s="1983"/>
      <c r="M240" s="1983">
        <f>SUM(M231:M239)</f>
        <v>0</v>
      </c>
      <c r="N240" s="1983">
        <f>SUM(N232:N239)</f>
        <v>1379.7521999999999</v>
      </c>
      <c r="O240" s="1983">
        <f>SUM(O210:O239)</f>
        <v>0</v>
      </c>
      <c r="P240" s="1983">
        <f>SUM(P210:P239)</f>
        <v>0</v>
      </c>
      <c r="Q240" s="1983">
        <f>SUM(Q210:Q239)</f>
        <v>0</v>
      </c>
      <c r="R240" s="1983">
        <f>SUM(R210:R239)</f>
        <v>0</v>
      </c>
      <c r="S240" s="1988">
        <f>SUM(S210:S239)</f>
        <v>831.91219999999998</v>
      </c>
    </row>
    <row r="241" spans="2:19" s="602" customFormat="1" ht="13" x14ac:dyDescent="0.25">
      <c r="B241" s="1985"/>
      <c r="C241" s="1985"/>
      <c r="D241" s="1985"/>
      <c r="E241" s="1985"/>
      <c r="F241" s="1985"/>
      <c r="G241" s="1986"/>
      <c r="H241" s="1986"/>
      <c r="I241" s="1986"/>
      <c r="J241" s="1986"/>
      <c r="K241" s="1985"/>
      <c r="L241" s="1985"/>
      <c r="M241" s="1985"/>
      <c r="N241" s="1985"/>
      <c r="O241" s="1985"/>
      <c r="P241" s="1985"/>
      <c r="Q241" s="1985"/>
      <c r="R241" s="1985"/>
      <c r="S241" s="1985"/>
    </row>
    <row r="242" spans="2:19" s="602" customFormat="1" ht="13" x14ac:dyDescent="0.25">
      <c r="B242" s="1985"/>
      <c r="C242" s="1985"/>
      <c r="D242" s="1985"/>
      <c r="E242" s="1985"/>
      <c r="F242" s="1985"/>
      <c r="G242" s="1986"/>
      <c r="H242" s="1986"/>
      <c r="I242" s="1986"/>
      <c r="J242" s="1986"/>
      <c r="K242" s="1985"/>
      <c r="L242" s="1985"/>
      <c r="M242" s="1985"/>
      <c r="N242" s="1985"/>
      <c r="O242" s="1985"/>
      <c r="P242" s="1985"/>
      <c r="Q242" s="1985"/>
      <c r="R242" s="1985"/>
      <c r="S242" s="1985"/>
    </row>
    <row r="243" spans="2:19" s="602" customFormat="1" x14ac:dyDescent="0.25">
      <c r="B243" s="1953"/>
      <c r="C243" s="1953"/>
      <c r="D243" s="1953"/>
      <c r="E243" s="1953"/>
      <c r="F243" s="1953"/>
      <c r="G243" s="1954"/>
      <c r="H243" s="1954"/>
      <c r="I243" s="1954"/>
      <c r="J243" s="1954"/>
      <c r="K243" s="1953"/>
      <c r="L243" s="1953"/>
      <c r="M243" s="1953"/>
      <c r="N243" s="1953"/>
      <c r="O243" s="1953"/>
      <c r="P243" s="1953"/>
      <c r="Q243" s="1953"/>
      <c r="R243" s="1953"/>
      <c r="S243" s="1953"/>
    </row>
    <row r="244" spans="2:19" s="602" customFormat="1" x14ac:dyDescent="0.25">
      <c r="B244" s="1090" t="s">
        <v>1511</v>
      </c>
      <c r="C244" s="1953"/>
      <c r="D244" s="1953"/>
      <c r="E244" s="1953"/>
      <c r="F244" s="1953"/>
      <c r="G244" s="1954"/>
      <c r="H244" s="1954"/>
      <c r="I244" s="1954"/>
      <c r="J244" s="1954"/>
      <c r="K244" s="1953"/>
      <c r="L244" s="1953"/>
      <c r="M244" s="1953"/>
      <c r="N244" s="1990"/>
      <c r="O244" s="1990"/>
      <c r="P244" s="1990"/>
      <c r="Q244" s="1990"/>
      <c r="R244" s="1990"/>
      <c r="S244" s="1953"/>
    </row>
    <row r="245" spans="2:19" s="602" customFormat="1" x14ac:dyDescent="0.25">
      <c r="B245" s="1962"/>
      <c r="C245" s="1962"/>
      <c r="D245" s="1962"/>
      <c r="E245" s="1962"/>
      <c r="F245" s="1962"/>
      <c r="G245" s="1991"/>
      <c r="H245" s="1991"/>
      <c r="I245" s="1991"/>
      <c r="J245" s="1991"/>
      <c r="K245" s="1962"/>
      <c r="L245" s="1962"/>
      <c r="M245" s="1962"/>
      <c r="N245" s="1962"/>
      <c r="O245" s="1962"/>
      <c r="P245" s="1962"/>
      <c r="Q245" s="1962"/>
      <c r="R245" s="1962"/>
      <c r="S245" s="1962"/>
    </row>
    <row r="246" spans="2:19" s="602" customFormat="1" x14ac:dyDescent="0.25">
      <c r="B246" s="1955" t="s">
        <v>15</v>
      </c>
      <c r="C246" s="1953"/>
      <c r="D246" s="1953"/>
      <c r="E246" s="1953"/>
      <c r="F246" s="1953"/>
      <c r="G246" s="1954"/>
      <c r="H246" s="1954"/>
      <c r="I246" s="1954"/>
      <c r="J246" s="1954"/>
      <c r="K246" s="1953"/>
      <c r="L246" s="1953"/>
      <c r="M246" s="1953"/>
      <c r="N246" s="1953"/>
      <c r="O246" s="1953"/>
      <c r="P246" s="1953"/>
      <c r="Q246" s="1953"/>
      <c r="R246" s="1953"/>
      <c r="S246" s="1953"/>
    </row>
    <row r="247" spans="2:19" s="602" customFormat="1" x14ac:dyDescent="0.25">
      <c r="B247" s="1953"/>
      <c r="C247" s="1953"/>
      <c r="D247" s="1953"/>
      <c r="E247" s="1953"/>
      <c r="F247" s="1953"/>
      <c r="G247" s="1954"/>
      <c r="H247" s="1954"/>
      <c r="I247" s="1954"/>
      <c r="J247" s="1954"/>
      <c r="K247" s="1972" t="s">
        <v>16</v>
      </c>
      <c r="L247" s="1953"/>
      <c r="M247" s="1953"/>
      <c r="N247" s="1992"/>
      <c r="O247" s="1992"/>
      <c r="P247" s="1992"/>
      <c r="Q247" s="1992"/>
      <c r="R247" s="1992"/>
      <c r="S247" s="1953"/>
    </row>
    <row r="248" spans="2:19" s="602" customFormat="1" ht="14" customHeight="1" x14ac:dyDescent="0.25">
      <c r="B248" s="2303" t="s">
        <v>7</v>
      </c>
      <c r="C248" s="2295" t="s">
        <v>622</v>
      </c>
      <c r="D248" s="2296"/>
      <c r="E248" s="2296"/>
      <c r="F248" s="2296"/>
      <c r="G248" s="2296"/>
      <c r="H248" s="2296"/>
      <c r="I248" s="2296"/>
      <c r="J248" s="2296"/>
      <c r="K248" s="2297"/>
      <c r="L248" s="1993"/>
      <c r="M248" s="1993"/>
      <c r="N248" s="1953"/>
      <c r="O248" s="1953"/>
      <c r="P248" s="1953"/>
      <c r="Q248" s="1953"/>
      <c r="R248" s="1953"/>
      <c r="S248" s="1953"/>
    </row>
    <row r="249" spans="2:19" s="602" customFormat="1" ht="14" customHeight="1" x14ac:dyDescent="0.25">
      <c r="B249" s="2304"/>
      <c r="C249" s="2300" t="s">
        <v>617</v>
      </c>
      <c r="D249" s="2300" t="s">
        <v>618</v>
      </c>
      <c r="E249" s="2300" t="s">
        <v>20</v>
      </c>
      <c r="F249" s="2300" t="s">
        <v>8</v>
      </c>
      <c r="G249" s="2295" t="s">
        <v>9</v>
      </c>
      <c r="H249" s="2296"/>
      <c r="I249" s="2296"/>
      <c r="J249" s="2296"/>
      <c r="K249" s="2297"/>
      <c r="L249" s="1994"/>
      <c r="M249" s="1994"/>
      <c r="N249" s="1953"/>
      <c r="O249" s="1953"/>
      <c r="P249" s="1953"/>
      <c r="Q249" s="1953"/>
      <c r="R249" s="1953"/>
      <c r="S249" s="1953"/>
    </row>
    <row r="250" spans="2:19" s="602" customFormat="1" ht="28" x14ac:dyDescent="0.25">
      <c r="B250" s="2305"/>
      <c r="C250" s="2301"/>
      <c r="D250" s="2301"/>
      <c r="E250" s="2301"/>
      <c r="F250" s="2301"/>
      <c r="G250" s="1995" t="s">
        <v>3</v>
      </c>
      <c r="H250" s="1995" t="s">
        <v>21</v>
      </c>
      <c r="I250" s="1995" t="s">
        <v>18</v>
      </c>
      <c r="J250" s="1995" t="s">
        <v>19</v>
      </c>
      <c r="K250" s="1652" t="s">
        <v>4</v>
      </c>
      <c r="L250" s="1953"/>
      <c r="M250" s="1953"/>
      <c r="N250" s="1953"/>
      <c r="O250" s="1953"/>
      <c r="P250" s="1953"/>
      <c r="Q250" s="1953"/>
      <c r="R250" s="1953"/>
      <c r="S250" s="1953"/>
    </row>
    <row r="251" spans="2:19" s="602" customFormat="1" x14ac:dyDescent="0.25">
      <c r="B251" s="1974" t="s">
        <v>179</v>
      </c>
      <c r="C251" s="1975">
        <v>0</v>
      </c>
      <c r="D251" s="1975">
        <v>0</v>
      </c>
      <c r="E251" s="1975">
        <v>0</v>
      </c>
      <c r="F251" s="1975">
        <v>0</v>
      </c>
      <c r="G251" s="1975">
        <v>0</v>
      </c>
      <c r="H251" s="1975">
        <v>0</v>
      </c>
      <c r="I251" s="1975">
        <v>0</v>
      </c>
      <c r="J251" s="1975">
        <v>0</v>
      </c>
      <c r="K251" s="1980">
        <v>0</v>
      </c>
      <c r="L251" s="1996"/>
      <c r="M251" s="1996"/>
      <c r="N251" s="1996"/>
      <c r="O251" s="1996"/>
      <c r="P251" s="1996"/>
      <c r="Q251" s="1996"/>
      <c r="R251" s="1996"/>
      <c r="S251" s="1996"/>
    </row>
    <row r="252" spans="2:19" s="602" customFormat="1" x14ac:dyDescent="0.25">
      <c r="B252" s="1978" t="s">
        <v>33</v>
      </c>
      <c r="C252" s="1975">
        <v>0</v>
      </c>
      <c r="D252" s="1975">
        <v>0</v>
      </c>
      <c r="E252" s="1975">
        <v>0</v>
      </c>
      <c r="F252" s="1975">
        <v>0</v>
      </c>
      <c r="G252" s="1975">
        <v>0</v>
      </c>
      <c r="H252" s="1975">
        <v>0</v>
      </c>
      <c r="I252" s="1975">
        <v>0</v>
      </c>
      <c r="J252" s="1975">
        <v>0</v>
      </c>
      <c r="K252" s="1980">
        <v>0</v>
      </c>
      <c r="L252" s="1996"/>
      <c r="M252" s="1996"/>
      <c r="N252" s="1996"/>
      <c r="O252" s="1996"/>
      <c r="P252" s="1996"/>
      <c r="Q252" s="1996"/>
      <c r="R252" s="1996"/>
      <c r="S252" s="1996"/>
    </row>
    <row r="253" spans="2:19" s="602" customFormat="1" x14ac:dyDescent="0.25">
      <c r="B253" s="1979" t="s">
        <v>35</v>
      </c>
      <c r="C253" s="1975">
        <v>0</v>
      </c>
      <c r="D253" s="1975">
        <v>0</v>
      </c>
      <c r="E253" s="1975">
        <v>0</v>
      </c>
      <c r="F253" s="1975">
        <v>0</v>
      </c>
      <c r="G253" s="1975">
        <v>0</v>
      </c>
      <c r="H253" s="1975">
        <v>0</v>
      </c>
      <c r="I253" s="1975">
        <v>0</v>
      </c>
      <c r="J253" s="1975">
        <v>0</v>
      </c>
      <c r="K253" s="1980">
        <v>0</v>
      </c>
      <c r="L253" s="1996"/>
      <c r="M253" s="1996"/>
      <c r="N253" s="1996"/>
      <c r="O253" s="1996"/>
      <c r="P253" s="1996"/>
      <c r="Q253" s="1996"/>
      <c r="R253" s="1996"/>
      <c r="S253" s="1996"/>
    </row>
    <row r="254" spans="2:19" s="602" customFormat="1" x14ac:dyDescent="0.25">
      <c r="B254" s="1975">
        <v>0</v>
      </c>
      <c r="C254" s="1975">
        <v>0</v>
      </c>
      <c r="D254" s="1975">
        <v>0</v>
      </c>
      <c r="E254" s="1975">
        <v>29.853000000000002</v>
      </c>
      <c r="F254" s="1975">
        <v>0</v>
      </c>
      <c r="G254" s="1975">
        <v>69.656999999999996</v>
      </c>
      <c r="H254" s="1975">
        <v>0</v>
      </c>
      <c r="I254" s="1975">
        <v>0</v>
      </c>
      <c r="J254" s="1975">
        <v>0</v>
      </c>
      <c r="K254" s="1980" t="s">
        <v>2078</v>
      </c>
      <c r="L254" s="1996"/>
      <c r="M254" s="1996"/>
      <c r="N254" s="1996"/>
      <c r="O254" s="1996"/>
      <c r="P254" s="1996"/>
      <c r="Q254" s="1996"/>
      <c r="R254" s="1996"/>
      <c r="S254" s="1996"/>
    </row>
    <row r="255" spans="2:19" s="602" customFormat="1" x14ac:dyDescent="0.25">
      <c r="B255" s="1975">
        <v>0</v>
      </c>
      <c r="C255" s="1975">
        <v>0</v>
      </c>
      <c r="D255" s="1975">
        <v>0</v>
      </c>
      <c r="E255" s="1975">
        <v>0</v>
      </c>
      <c r="F255" s="1975">
        <v>0</v>
      </c>
      <c r="G255" s="1975">
        <v>0</v>
      </c>
      <c r="H255" s="1975">
        <v>0</v>
      </c>
      <c r="I255" s="1975">
        <v>0</v>
      </c>
      <c r="J255" s="1975">
        <v>0</v>
      </c>
      <c r="K255" s="1980">
        <v>0</v>
      </c>
      <c r="L255" s="1996"/>
      <c r="M255" s="1996"/>
      <c r="N255" s="1996"/>
      <c r="O255" s="1996"/>
      <c r="P255" s="1996"/>
      <c r="Q255" s="1996"/>
      <c r="R255" s="1996"/>
      <c r="S255" s="1996"/>
    </row>
    <row r="256" spans="2:19" s="602" customFormat="1" x14ac:dyDescent="0.25">
      <c r="B256" s="1979" t="s">
        <v>2079</v>
      </c>
      <c r="C256" s="1975">
        <v>0</v>
      </c>
      <c r="D256" s="1975">
        <v>0</v>
      </c>
      <c r="E256" s="1975">
        <v>7.8016000000000005</v>
      </c>
      <c r="F256" s="1975">
        <v>0</v>
      </c>
      <c r="G256" s="1975">
        <v>11.702400000000001</v>
      </c>
      <c r="H256" s="1975">
        <v>0</v>
      </c>
      <c r="I256" s="1975">
        <v>0</v>
      </c>
      <c r="J256" s="1975">
        <v>0</v>
      </c>
      <c r="K256" s="1980">
        <v>0</v>
      </c>
      <c r="L256" s="1996"/>
      <c r="M256" s="1996"/>
      <c r="N256" s="1996"/>
      <c r="O256" s="1996"/>
      <c r="P256" s="1996"/>
      <c r="Q256" s="1996"/>
      <c r="R256" s="1996"/>
      <c r="S256" s="1996"/>
    </row>
    <row r="257" spans="2:28" s="602" customFormat="1" x14ac:dyDescent="0.25">
      <c r="B257" s="1975" t="s">
        <v>2080</v>
      </c>
      <c r="C257" s="1975">
        <v>0</v>
      </c>
      <c r="D257" s="1975">
        <v>0</v>
      </c>
      <c r="E257" s="1975">
        <v>1.8299999999999998</v>
      </c>
      <c r="F257" s="1975">
        <v>0</v>
      </c>
      <c r="G257" s="1975">
        <v>4.2699999999999996</v>
      </c>
      <c r="H257" s="1975">
        <v>0</v>
      </c>
      <c r="I257" s="1975">
        <v>0</v>
      </c>
      <c r="J257" s="1975">
        <v>0</v>
      </c>
      <c r="K257" s="1980">
        <v>0</v>
      </c>
      <c r="L257" s="1996"/>
      <c r="M257" s="1996"/>
      <c r="N257" s="1996"/>
      <c r="O257" s="1996"/>
      <c r="P257" s="1996"/>
      <c r="Q257" s="1996"/>
      <c r="R257" s="1996"/>
      <c r="S257" s="1996"/>
    </row>
    <row r="258" spans="2:28" s="602" customFormat="1" x14ac:dyDescent="0.25">
      <c r="B258" s="1975" t="s">
        <v>2081</v>
      </c>
      <c r="C258" s="1975">
        <v>0</v>
      </c>
      <c r="D258" s="1975">
        <v>0</v>
      </c>
      <c r="E258" s="1975">
        <v>0</v>
      </c>
      <c r="F258" s="1975">
        <v>0</v>
      </c>
      <c r="G258" s="1975">
        <v>0</v>
      </c>
      <c r="H258" s="1975">
        <v>0</v>
      </c>
      <c r="I258" s="1975">
        <v>0</v>
      </c>
      <c r="J258" s="1975">
        <v>0</v>
      </c>
      <c r="K258" s="1980">
        <v>0</v>
      </c>
      <c r="L258" s="1996"/>
      <c r="M258" s="1996"/>
      <c r="N258" s="1996"/>
      <c r="O258" s="1996"/>
      <c r="P258" s="1996"/>
      <c r="Q258" s="1996"/>
      <c r="R258" s="1996"/>
      <c r="S258" s="1996"/>
    </row>
    <row r="259" spans="2:28" s="602" customFormat="1" x14ac:dyDescent="0.25">
      <c r="B259" s="1974">
        <v>0</v>
      </c>
      <c r="C259" s="1975">
        <v>0</v>
      </c>
      <c r="D259" s="1975">
        <v>0</v>
      </c>
      <c r="E259" s="1975">
        <v>0</v>
      </c>
      <c r="F259" s="1975">
        <v>0</v>
      </c>
      <c r="G259" s="1975">
        <v>0</v>
      </c>
      <c r="H259" s="1975">
        <v>0</v>
      </c>
      <c r="I259" s="1975">
        <v>0</v>
      </c>
      <c r="J259" s="1975">
        <v>0</v>
      </c>
      <c r="K259" s="1980" t="s">
        <v>2078</v>
      </c>
      <c r="L259" s="1996"/>
      <c r="M259" s="1996"/>
      <c r="N259" s="1996"/>
      <c r="O259" s="1996"/>
      <c r="P259" s="1996"/>
      <c r="Q259" s="1996"/>
      <c r="R259" s="1996"/>
      <c r="S259" s="1996"/>
    </row>
    <row r="260" spans="2:28" s="602" customFormat="1" x14ac:dyDescent="0.25">
      <c r="B260" s="1975" t="s">
        <v>34</v>
      </c>
      <c r="C260" s="1975">
        <v>0</v>
      </c>
      <c r="D260" s="1975">
        <v>0</v>
      </c>
      <c r="E260" s="1975">
        <v>0</v>
      </c>
      <c r="F260" s="1975">
        <v>0</v>
      </c>
      <c r="G260" s="1975">
        <v>0</v>
      </c>
      <c r="H260" s="1975">
        <v>0</v>
      </c>
      <c r="I260" s="1975">
        <v>0</v>
      </c>
      <c r="J260" s="1975">
        <v>0</v>
      </c>
      <c r="K260" s="1980">
        <v>0</v>
      </c>
      <c r="L260" s="1996"/>
      <c r="M260" s="1996"/>
      <c r="N260" s="1996"/>
      <c r="O260" s="1996"/>
      <c r="P260" s="1996"/>
      <c r="Q260" s="1996"/>
      <c r="R260" s="1996"/>
      <c r="S260" s="1996"/>
    </row>
    <row r="261" spans="2:28" s="602" customFormat="1" x14ac:dyDescent="0.25">
      <c r="B261" s="1975" t="s">
        <v>36</v>
      </c>
      <c r="C261" s="1975">
        <v>0</v>
      </c>
      <c r="D261" s="1975">
        <v>0</v>
      </c>
      <c r="E261" s="1975">
        <v>1.6679999999999999</v>
      </c>
      <c r="F261" s="1975">
        <v>0</v>
      </c>
      <c r="G261" s="1975">
        <v>3.8919999999999995</v>
      </c>
      <c r="H261" s="1975">
        <v>0</v>
      </c>
      <c r="I261" s="1975">
        <v>0</v>
      </c>
      <c r="J261" s="1975">
        <v>0</v>
      </c>
      <c r="K261" s="1980" t="s">
        <v>2078</v>
      </c>
      <c r="L261" s="1996"/>
      <c r="M261" s="1996"/>
      <c r="N261" s="1996"/>
      <c r="O261" s="1996"/>
      <c r="P261" s="1996"/>
      <c r="Q261" s="1996"/>
      <c r="R261" s="1996"/>
      <c r="S261" s="1996"/>
    </row>
    <row r="262" spans="2:28" s="602" customFormat="1" x14ac:dyDescent="0.25">
      <c r="B262" s="1975" t="s">
        <v>186</v>
      </c>
      <c r="C262" s="1975">
        <v>0</v>
      </c>
      <c r="D262" s="1975">
        <v>0</v>
      </c>
      <c r="E262" s="1975">
        <v>0</v>
      </c>
      <c r="F262" s="1975">
        <v>0</v>
      </c>
      <c r="G262" s="1975">
        <v>0</v>
      </c>
      <c r="H262" s="1975">
        <v>0</v>
      </c>
      <c r="I262" s="1975">
        <v>0</v>
      </c>
      <c r="J262" s="1975">
        <v>0</v>
      </c>
      <c r="K262" s="1980">
        <v>0</v>
      </c>
      <c r="L262" s="1996"/>
      <c r="M262" s="1996"/>
      <c r="N262" s="1996"/>
      <c r="O262" s="1996"/>
      <c r="P262" s="1996"/>
      <c r="Q262" s="1996"/>
      <c r="R262" s="1996"/>
      <c r="S262" s="1996"/>
    </row>
    <row r="263" spans="2:28" s="602" customFormat="1" x14ac:dyDescent="0.25">
      <c r="B263" s="1974" t="s">
        <v>33</v>
      </c>
      <c r="C263" s="1975">
        <v>0</v>
      </c>
      <c r="D263" s="1975">
        <v>0</v>
      </c>
      <c r="E263" s="1975">
        <v>0</v>
      </c>
      <c r="F263" s="1975">
        <v>0</v>
      </c>
      <c r="G263" s="1975">
        <v>0</v>
      </c>
      <c r="H263" s="1975">
        <v>0</v>
      </c>
      <c r="I263" s="1975">
        <v>0</v>
      </c>
      <c r="J263" s="1975">
        <v>0</v>
      </c>
      <c r="K263" s="1980">
        <v>0</v>
      </c>
      <c r="L263" s="1996"/>
      <c r="M263" s="1996"/>
      <c r="N263" s="1996"/>
      <c r="O263" s="1996"/>
      <c r="P263" s="1996"/>
      <c r="Q263" s="1996"/>
      <c r="R263" s="1996"/>
      <c r="S263" s="1996"/>
    </row>
    <row r="264" spans="2:28" s="602" customFormat="1" x14ac:dyDescent="0.25">
      <c r="B264" s="1978" t="s">
        <v>35</v>
      </c>
      <c r="C264" s="1975">
        <v>0</v>
      </c>
      <c r="D264" s="1975">
        <v>0</v>
      </c>
      <c r="E264" s="1975">
        <v>0</v>
      </c>
      <c r="F264" s="1975">
        <v>0</v>
      </c>
      <c r="G264" s="1975">
        <v>0</v>
      </c>
      <c r="H264" s="1975">
        <v>0</v>
      </c>
      <c r="I264" s="1975">
        <v>0</v>
      </c>
      <c r="J264" s="1975">
        <v>0</v>
      </c>
      <c r="K264" s="1980">
        <v>0</v>
      </c>
      <c r="L264" s="1996"/>
      <c r="M264" s="1996"/>
      <c r="N264" s="1996"/>
      <c r="O264" s="1996"/>
      <c r="P264" s="1996"/>
      <c r="Q264" s="1996"/>
      <c r="R264" s="1996"/>
      <c r="S264" s="1996"/>
    </row>
    <row r="265" spans="2:28" s="602" customFormat="1" x14ac:dyDescent="0.25">
      <c r="B265" s="1979" t="s">
        <v>36</v>
      </c>
      <c r="C265" s="1975">
        <v>0</v>
      </c>
      <c r="D265" s="1975">
        <v>0</v>
      </c>
      <c r="E265" s="1975">
        <v>27.804000000000002</v>
      </c>
      <c r="F265" s="1975">
        <v>0</v>
      </c>
      <c r="G265" s="1975">
        <v>64.876000000000005</v>
      </c>
      <c r="H265" s="1975">
        <v>0</v>
      </c>
      <c r="I265" s="1975">
        <v>0</v>
      </c>
      <c r="J265" s="1975">
        <v>0</v>
      </c>
      <c r="K265" s="1980" t="s">
        <v>2078</v>
      </c>
      <c r="L265" s="1996"/>
      <c r="M265" s="1996"/>
      <c r="N265" s="1996"/>
      <c r="O265" s="1996"/>
      <c r="P265" s="1996"/>
      <c r="Q265" s="1996"/>
      <c r="R265" s="1996"/>
      <c r="S265" s="1996"/>
    </row>
    <row r="266" spans="2:28" s="602" customFormat="1" x14ac:dyDescent="0.25">
      <c r="B266" s="1975" t="s">
        <v>2079</v>
      </c>
      <c r="C266" s="1975">
        <v>0</v>
      </c>
      <c r="D266" s="1975">
        <v>0</v>
      </c>
      <c r="E266" s="1975">
        <v>0.81480000000000008</v>
      </c>
      <c r="F266" s="1975">
        <v>0</v>
      </c>
      <c r="G266" s="1975">
        <v>1.9012</v>
      </c>
      <c r="H266" s="1975">
        <v>0</v>
      </c>
      <c r="I266" s="1975">
        <v>0</v>
      </c>
      <c r="J266" s="1975">
        <v>0</v>
      </c>
      <c r="K266" s="1980" t="s">
        <v>2078</v>
      </c>
      <c r="L266" s="1996"/>
      <c r="M266" s="1996"/>
      <c r="N266" s="1996"/>
      <c r="O266" s="1996"/>
      <c r="P266" s="1996"/>
      <c r="Q266" s="1996"/>
      <c r="R266" s="1996"/>
      <c r="S266" s="1996"/>
    </row>
    <row r="267" spans="2:28" s="602" customFormat="1" x14ac:dyDescent="0.25">
      <c r="B267" s="1975" t="s">
        <v>2080</v>
      </c>
      <c r="C267" s="1975">
        <v>0</v>
      </c>
      <c r="D267" s="1975">
        <v>0</v>
      </c>
      <c r="E267" s="1975">
        <v>1.155</v>
      </c>
      <c r="F267" s="1975">
        <v>0</v>
      </c>
      <c r="G267" s="1975">
        <v>2.6949999999999998</v>
      </c>
      <c r="H267" s="1975">
        <v>0</v>
      </c>
      <c r="I267" s="1975">
        <v>0</v>
      </c>
      <c r="J267" s="1975">
        <v>0</v>
      </c>
      <c r="K267" s="1980" t="s">
        <v>2078</v>
      </c>
      <c r="L267" s="1996"/>
      <c r="M267" s="1996"/>
      <c r="N267" s="1996"/>
      <c r="O267" s="1996"/>
      <c r="P267" s="1996"/>
      <c r="Q267" s="1996"/>
      <c r="R267" s="1996"/>
      <c r="S267" s="1996"/>
    </row>
    <row r="268" spans="2:28" s="602" customFormat="1" x14ac:dyDescent="0.25">
      <c r="B268" s="1979" t="s">
        <v>2081</v>
      </c>
      <c r="C268" s="1975">
        <v>0</v>
      </c>
      <c r="D268" s="1975">
        <v>0</v>
      </c>
      <c r="E268" s="1975">
        <v>0</v>
      </c>
      <c r="F268" s="1975">
        <v>0</v>
      </c>
      <c r="G268" s="1975">
        <v>0</v>
      </c>
      <c r="H268" s="1975">
        <v>0</v>
      </c>
      <c r="I268" s="1975">
        <v>0</v>
      </c>
      <c r="J268" s="1975">
        <v>0</v>
      </c>
      <c r="K268" s="1980">
        <v>0</v>
      </c>
      <c r="L268" s="1996"/>
      <c r="M268" s="1996"/>
      <c r="N268" s="1996"/>
      <c r="O268" s="1996"/>
      <c r="P268" s="1996"/>
      <c r="Q268" s="1996"/>
      <c r="R268" s="1996"/>
      <c r="S268" s="1996"/>
    </row>
    <row r="269" spans="2:28" s="602" customFormat="1" x14ac:dyDescent="0.25">
      <c r="B269" s="1975">
        <v>0</v>
      </c>
      <c r="C269" s="1975">
        <v>0</v>
      </c>
      <c r="D269" s="1975">
        <v>0</v>
      </c>
      <c r="E269" s="1975">
        <v>3.552</v>
      </c>
      <c r="F269" s="1975">
        <v>0</v>
      </c>
      <c r="G269" s="1975">
        <v>8.2880000000000003</v>
      </c>
      <c r="H269" s="1975">
        <v>0</v>
      </c>
      <c r="I269" s="1975">
        <v>0</v>
      </c>
      <c r="J269" s="1975">
        <v>0</v>
      </c>
      <c r="K269" s="1980" t="s">
        <v>2078</v>
      </c>
      <c r="L269" s="1996"/>
      <c r="M269" s="1996"/>
      <c r="N269" s="1996"/>
      <c r="O269" s="1996"/>
      <c r="P269" s="1996"/>
      <c r="Q269" s="1996"/>
      <c r="R269" s="1996"/>
      <c r="S269" s="1996"/>
    </row>
    <row r="270" spans="2:28" x14ac:dyDescent="0.25">
      <c r="B270" s="1975" t="s">
        <v>34</v>
      </c>
      <c r="C270" s="1975">
        <v>0</v>
      </c>
      <c r="D270" s="1975">
        <v>0</v>
      </c>
      <c r="E270" s="1975">
        <v>0</v>
      </c>
      <c r="F270" s="1975">
        <v>0</v>
      </c>
      <c r="G270" s="1975">
        <v>0</v>
      </c>
      <c r="H270" s="1975">
        <v>0</v>
      </c>
      <c r="I270" s="1975">
        <v>0</v>
      </c>
      <c r="J270" s="1975">
        <v>0</v>
      </c>
      <c r="K270" s="1980">
        <v>0</v>
      </c>
      <c r="L270" s="1996"/>
      <c r="M270" s="1996"/>
      <c r="N270" s="1996"/>
      <c r="O270" s="1996"/>
      <c r="P270" s="1996"/>
      <c r="Q270" s="1996"/>
      <c r="R270" s="1996"/>
      <c r="S270" s="1996"/>
    </row>
    <row r="271" spans="2:28" x14ac:dyDescent="0.25">
      <c r="B271" s="1974" t="s">
        <v>36</v>
      </c>
      <c r="C271" s="1975">
        <v>0</v>
      </c>
      <c r="D271" s="1975">
        <v>0</v>
      </c>
      <c r="E271" s="1975">
        <v>1.113</v>
      </c>
      <c r="F271" s="1975">
        <v>0</v>
      </c>
      <c r="G271" s="1975">
        <v>2.597</v>
      </c>
      <c r="H271" s="1975">
        <v>0</v>
      </c>
      <c r="I271" s="1975">
        <v>0</v>
      </c>
      <c r="J271" s="1975">
        <v>0</v>
      </c>
      <c r="K271" s="1980" t="s">
        <v>2078</v>
      </c>
      <c r="L271" s="1996"/>
      <c r="M271" s="1996"/>
      <c r="N271" s="1996"/>
      <c r="O271" s="1996"/>
      <c r="P271" s="1996"/>
      <c r="Q271" s="1996"/>
      <c r="R271" s="1996"/>
      <c r="S271" s="1996"/>
    </row>
    <row r="272" spans="2:28" x14ac:dyDescent="0.25">
      <c r="B272" s="1975" t="s">
        <v>426</v>
      </c>
      <c r="C272" s="1975">
        <v>0</v>
      </c>
      <c r="D272" s="1975">
        <v>0</v>
      </c>
      <c r="E272" s="1975">
        <v>0</v>
      </c>
      <c r="F272" s="1975">
        <v>0</v>
      </c>
      <c r="G272" s="1975">
        <v>0</v>
      </c>
      <c r="H272" s="1975">
        <v>0</v>
      </c>
      <c r="I272" s="1975">
        <v>0</v>
      </c>
      <c r="J272" s="1975">
        <v>0</v>
      </c>
      <c r="K272" s="1980">
        <v>0</v>
      </c>
      <c r="L272" s="1996"/>
      <c r="M272" s="1996"/>
      <c r="N272" s="1996"/>
      <c r="O272" s="1996"/>
      <c r="P272" s="1996"/>
      <c r="Q272" s="1996"/>
      <c r="R272" s="1996"/>
      <c r="S272" s="1996"/>
      <c r="T272" s="926"/>
      <c r="U272" s="926"/>
      <c r="V272" s="926"/>
      <c r="W272" s="926"/>
      <c r="X272" s="926"/>
      <c r="Y272" s="1086"/>
      <c r="Z272" s="1086"/>
      <c r="AA272" s="1086"/>
      <c r="AB272" s="1086"/>
    </row>
    <row r="273" spans="2:19" x14ac:dyDescent="0.25">
      <c r="B273" s="1975" t="s">
        <v>33</v>
      </c>
      <c r="C273" s="1975">
        <v>0</v>
      </c>
      <c r="D273" s="1975">
        <v>0</v>
      </c>
      <c r="E273" s="1975">
        <v>0</v>
      </c>
      <c r="F273" s="1975">
        <v>0</v>
      </c>
      <c r="G273" s="1975">
        <v>0</v>
      </c>
      <c r="H273" s="1975">
        <v>0</v>
      </c>
      <c r="I273" s="1975">
        <v>0</v>
      </c>
      <c r="J273" s="1975">
        <v>0</v>
      </c>
      <c r="K273" s="1980">
        <v>0</v>
      </c>
      <c r="L273" s="1996"/>
      <c r="M273" s="1996"/>
      <c r="N273" s="1996"/>
      <c r="O273" s="1996"/>
      <c r="P273" s="1996"/>
      <c r="Q273" s="1996"/>
      <c r="R273" s="1996"/>
      <c r="S273" s="1996"/>
    </row>
    <row r="274" spans="2:19" x14ac:dyDescent="0.25">
      <c r="B274" s="1975" t="s">
        <v>35</v>
      </c>
      <c r="C274" s="1975">
        <v>0</v>
      </c>
      <c r="D274" s="1975">
        <v>0</v>
      </c>
      <c r="E274" s="1975">
        <v>0</v>
      </c>
      <c r="F274" s="1975">
        <v>0</v>
      </c>
      <c r="G274" s="1975">
        <v>0</v>
      </c>
      <c r="H274" s="1975">
        <v>0</v>
      </c>
      <c r="I274" s="1975">
        <v>0</v>
      </c>
      <c r="J274" s="1975">
        <v>0</v>
      </c>
      <c r="K274" s="1980">
        <v>0</v>
      </c>
      <c r="L274" s="1996"/>
      <c r="M274" s="1996"/>
      <c r="N274" s="1996"/>
      <c r="O274" s="1996"/>
      <c r="P274" s="1996"/>
      <c r="Q274" s="1996"/>
      <c r="R274" s="1996"/>
      <c r="S274" s="1996"/>
    </row>
    <row r="275" spans="2:19" x14ac:dyDescent="0.25">
      <c r="B275" s="1974" t="s">
        <v>36</v>
      </c>
      <c r="C275" s="1975">
        <v>0</v>
      </c>
      <c r="D275" s="1975">
        <v>0</v>
      </c>
      <c r="E275" s="1975">
        <v>24.068999999999996</v>
      </c>
      <c r="F275" s="1975">
        <v>0</v>
      </c>
      <c r="G275" s="1975">
        <v>56.167999999999992</v>
      </c>
      <c r="H275" s="1975">
        <v>0</v>
      </c>
      <c r="I275" s="1975">
        <v>0</v>
      </c>
      <c r="J275" s="1975">
        <v>0</v>
      </c>
      <c r="K275" s="1980" t="s">
        <v>2078</v>
      </c>
      <c r="L275" s="1996"/>
      <c r="M275" s="1996"/>
      <c r="N275" s="1996"/>
      <c r="O275" s="1996"/>
      <c r="P275" s="1996"/>
      <c r="Q275" s="1996"/>
      <c r="R275" s="1996"/>
      <c r="S275" s="1996"/>
    </row>
    <row r="276" spans="2:19" x14ac:dyDescent="0.25">
      <c r="B276" s="1978" t="s">
        <v>2082</v>
      </c>
      <c r="C276" s="1975">
        <v>0</v>
      </c>
      <c r="D276" s="1975">
        <v>0</v>
      </c>
      <c r="E276" s="1975">
        <v>0</v>
      </c>
      <c r="F276" s="1975">
        <v>0</v>
      </c>
      <c r="G276" s="1975">
        <v>0</v>
      </c>
      <c r="H276" s="1975">
        <v>0</v>
      </c>
      <c r="I276" s="1975">
        <v>0</v>
      </c>
      <c r="J276" s="1975">
        <v>0</v>
      </c>
      <c r="K276" s="1980">
        <v>0</v>
      </c>
      <c r="L276" s="1996"/>
      <c r="M276" s="1996"/>
      <c r="N276" s="1996"/>
      <c r="O276" s="1996"/>
      <c r="P276" s="1996"/>
      <c r="Q276" s="1996"/>
      <c r="R276" s="1996"/>
      <c r="S276" s="1996"/>
    </row>
    <row r="277" spans="2:19" x14ac:dyDescent="0.25">
      <c r="B277" s="1979" t="s">
        <v>36</v>
      </c>
      <c r="C277" s="1975">
        <v>0</v>
      </c>
      <c r="D277" s="1975">
        <v>0</v>
      </c>
      <c r="E277" s="1975">
        <v>0</v>
      </c>
      <c r="F277" s="1975">
        <v>0</v>
      </c>
      <c r="G277" s="1975">
        <v>0</v>
      </c>
      <c r="H277" s="1975">
        <v>0</v>
      </c>
      <c r="I277" s="1975">
        <v>0</v>
      </c>
      <c r="J277" s="1975">
        <v>0</v>
      </c>
      <c r="K277" s="1980">
        <v>0</v>
      </c>
      <c r="L277" s="1996"/>
      <c r="M277" s="1996"/>
      <c r="N277" s="1996"/>
      <c r="O277" s="1996"/>
      <c r="P277" s="1996"/>
      <c r="Q277" s="1996"/>
      <c r="R277" s="1996"/>
      <c r="S277" s="1996"/>
    </row>
    <row r="278" spans="2:19" s="1087" customFormat="1" x14ac:dyDescent="0.25">
      <c r="B278" s="1975" t="s">
        <v>2081</v>
      </c>
      <c r="C278" s="1975">
        <v>0</v>
      </c>
      <c r="D278" s="1975">
        <v>0</v>
      </c>
      <c r="E278" s="1975">
        <v>0</v>
      </c>
      <c r="F278" s="1975">
        <v>0</v>
      </c>
      <c r="G278" s="1975">
        <v>0</v>
      </c>
      <c r="H278" s="1975">
        <v>0</v>
      </c>
      <c r="I278" s="1975">
        <v>0</v>
      </c>
      <c r="J278" s="1975">
        <v>0</v>
      </c>
      <c r="K278" s="1980">
        <v>0</v>
      </c>
      <c r="L278" s="1996"/>
      <c r="M278" s="1996"/>
      <c r="N278" s="1996"/>
      <c r="O278" s="1996"/>
      <c r="P278" s="1996"/>
      <c r="Q278" s="1996"/>
      <c r="R278" s="1996"/>
      <c r="S278" s="1996"/>
    </row>
    <row r="279" spans="2:19" s="1087" customFormat="1" x14ac:dyDescent="0.25">
      <c r="B279" s="1975" t="s">
        <v>36</v>
      </c>
      <c r="C279" s="1975">
        <v>0</v>
      </c>
      <c r="D279" s="1975">
        <v>0</v>
      </c>
      <c r="E279" s="1975">
        <v>1.6679999999999999</v>
      </c>
      <c r="F279" s="1975">
        <v>0</v>
      </c>
      <c r="G279" s="1975">
        <v>3.8919999999999995</v>
      </c>
      <c r="H279" s="1975">
        <v>0</v>
      </c>
      <c r="I279" s="1975">
        <v>0</v>
      </c>
      <c r="J279" s="1975">
        <v>0</v>
      </c>
      <c r="K279" s="1980" t="s">
        <v>2078</v>
      </c>
      <c r="L279" s="1996"/>
      <c r="M279" s="1996"/>
      <c r="N279" s="1996"/>
      <c r="O279" s="1996"/>
      <c r="P279" s="1996"/>
      <c r="Q279" s="1996"/>
      <c r="R279" s="1996"/>
      <c r="S279" s="1996"/>
    </row>
    <row r="280" spans="2:19" s="1087" customFormat="1" x14ac:dyDescent="0.25">
      <c r="B280" s="1979" t="s">
        <v>34</v>
      </c>
      <c r="C280" s="1975">
        <v>0</v>
      </c>
      <c r="D280" s="1975">
        <v>0</v>
      </c>
      <c r="E280" s="1975">
        <v>0</v>
      </c>
      <c r="F280" s="1975">
        <v>0</v>
      </c>
      <c r="G280" s="1975">
        <v>0</v>
      </c>
      <c r="H280" s="1975">
        <v>0</v>
      </c>
      <c r="I280" s="1975">
        <v>0</v>
      </c>
      <c r="J280" s="1975">
        <v>0</v>
      </c>
      <c r="K280" s="1980">
        <v>0</v>
      </c>
      <c r="L280" s="1996"/>
      <c r="M280" s="1996"/>
      <c r="N280" s="1996"/>
      <c r="O280" s="1996"/>
      <c r="P280" s="1996"/>
      <c r="Q280" s="1996"/>
      <c r="R280" s="1996"/>
      <c r="S280" s="1996"/>
    </row>
    <row r="281" spans="2:19" s="1087" customFormat="1" x14ac:dyDescent="0.25">
      <c r="B281" s="1975" t="s">
        <v>36</v>
      </c>
      <c r="C281" s="1975">
        <v>0</v>
      </c>
      <c r="D281" s="1975">
        <v>0</v>
      </c>
      <c r="E281" s="1975">
        <v>3.9779999999999998</v>
      </c>
      <c r="F281" s="1975">
        <v>0</v>
      </c>
      <c r="G281" s="1975">
        <v>9.282</v>
      </c>
      <c r="H281" s="1975">
        <v>0</v>
      </c>
      <c r="I281" s="1975">
        <v>0</v>
      </c>
      <c r="J281" s="1975">
        <v>0</v>
      </c>
      <c r="K281" s="1980" t="s">
        <v>2078</v>
      </c>
      <c r="L281" s="1996"/>
      <c r="M281" s="1996"/>
      <c r="N281" s="1996"/>
      <c r="O281" s="1996"/>
      <c r="P281" s="1996"/>
      <c r="Q281" s="1996"/>
      <c r="R281" s="1996"/>
      <c r="S281" s="1996"/>
    </row>
    <row r="282" spans="2:19" s="1087" customFormat="1" x14ac:dyDescent="0.25">
      <c r="B282" s="1975" t="s">
        <v>36</v>
      </c>
      <c r="C282" s="1975">
        <v>0</v>
      </c>
      <c r="D282" s="1975">
        <v>0</v>
      </c>
      <c r="E282" s="1975">
        <v>0</v>
      </c>
      <c r="F282" s="1975">
        <v>0</v>
      </c>
      <c r="G282" s="1975">
        <v>0</v>
      </c>
      <c r="H282" s="1975">
        <v>0</v>
      </c>
      <c r="I282" s="1975">
        <v>0</v>
      </c>
      <c r="J282" s="1975">
        <v>0</v>
      </c>
      <c r="K282" s="1980">
        <v>0</v>
      </c>
      <c r="L282" s="1996"/>
      <c r="M282" s="1996"/>
      <c r="N282" s="1996"/>
      <c r="O282" s="1996"/>
      <c r="P282" s="1996"/>
      <c r="Q282" s="1996"/>
      <c r="R282" s="1996"/>
      <c r="S282" s="1996"/>
    </row>
    <row r="283" spans="2:19" s="1087" customFormat="1" x14ac:dyDescent="0.25">
      <c r="B283" s="1974" t="s">
        <v>427</v>
      </c>
      <c r="C283" s="1975">
        <v>0</v>
      </c>
      <c r="D283" s="1975">
        <v>0</v>
      </c>
      <c r="E283" s="1975">
        <v>0</v>
      </c>
      <c r="F283" s="1975">
        <v>0</v>
      </c>
      <c r="G283" s="1975">
        <v>0</v>
      </c>
      <c r="H283" s="1975">
        <v>0</v>
      </c>
      <c r="I283" s="1975">
        <v>0</v>
      </c>
      <c r="J283" s="1975">
        <v>0</v>
      </c>
      <c r="K283" s="1980">
        <v>0</v>
      </c>
      <c r="L283" s="1996"/>
      <c r="M283" s="1996"/>
      <c r="N283" s="1996"/>
      <c r="O283" s="1996"/>
      <c r="P283" s="1996"/>
      <c r="Q283" s="1996"/>
      <c r="R283" s="1996"/>
      <c r="S283" s="1996"/>
    </row>
    <row r="284" spans="2:19" s="1087" customFormat="1" x14ac:dyDescent="0.25">
      <c r="B284" s="1975" t="s">
        <v>33</v>
      </c>
      <c r="C284" s="1975">
        <v>0</v>
      </c>
      <c r="D284" s="1975">
        <v>0</v>
      </c>
      <c r="E284" s="1975">
        <v>0</v>
      </c>
      <c r="F284" s="1975">
        <v>0</v>
      </c>
      <c r="G284" s="1975">
        <v>0</v>
      </c>
      <c r="H284" s="1975">
        <v>0</v>
      </c>
      <c r="I284" s="1975">
        <v>0</v>
      </c>
      <c r="J284" s="1975">
        <v>0</v>
      </c>
      <c r="K284" s="1980">
        <v>0</v>
      </c>
      <c r="L284" s="1996"/>
      <c r="M284" s="1996"/>
      <c r="N284" s="1996"/>
      <c r="O284" s="1996"/>
      <c r="P284" s="1996"/>
      <c r="Q284" s="1996"/>
      <c r="R284" s="1996"/>
      <c r="S284" s="1996"/>
    </row>
    <row r="285" spans="2:19" s="1087" customFormat="1" x14ac:dyDescent="0.25">
      <c r="B285" s="1975" t="s">
        <v>35</v>
      </c>
      <c r="C285" s="1975">
        <v>0</v>
      </c>
      <c r="D285" s="1975">
        <v>0</v>
      </c>
      <c r="E285" s="1975">
        <v>0</v>
      </c>
      <c r="F285" s="1975">
        <v>0</v>
      </c>
      <c r="G285" s="1975">
        <v>0</v>
      </c>
      <c r="H285" s="1975">
        <v>0</v>
      </c>
      <c r="I285" s="1975">
        <v>0</v>
      </c>
      <c r="J285" s="1975">
        <v>0</v>
      </c>
      <c r="K285" s="1980">
        <v>0</v>
      </c>
      <c r="L285" s="1996"/>
      <c r="M285" s="1996"/>
      <c r="N285" s="1996"/>
      <c r="O285" s="1996"/>
      <c r="P285" s="1996"/>
      <c r="Q285" s="1996"/>
      <c r="R285" s="1996"/>
      <c r="S285" s="1996"/>
    </row>
    <row r="286" spans="2:19" s="1087" customFormat="1" x14ac:dyDescent="0.25">
      <c r="B286" s="1997">
        <v>0</v>
      </c>
      <c r="C286" s="1975">
        <v>0</v>
      </c>
      <c r="D286" s="1975">
        <v>0</v>
      </c>
      <c r="E286" s="1975">
        <v>29.456999999999997</v>
      </c>
      <c r="F286" s="1975">
        <v>0</v>
      </c>
      <c r="G286" s="1975">
        <v>68.73299999999999</v>
      </c>
      <c r="H286" s="1975">
        <v>0</v>
      </c>
      <c r="I286" s="1975">
        <v>1</v>
      </c>
      <c r="J286" s="1975">
        <v>0</v>
      </c>
      <c r="K286" s="1980" t="s">
        <v>2078</v>
      </c>
      <c r="L286" s="1996"/>
      <c r="M286" s="1996"/>
      <c r="N286" s="1996"/>
      <c r="O286" s="1996"/>
      <c r="P286" s="1996"/>
      <c r="Q286" s="1996"/>
      <c r="R286" s="1996"/>
      <c r="S286" s="1996"/>
    </row>
    <row r="287" spans="2:19" s="1087" customFormat="1" x14ac:dyDescent="0.25">
      <c r="B287" s="1978">
        <v>0</v>
      </c>
      <c r="C287" s="1975">
        <v>0</v>
      </c>
      <c r="D287" s="1975">
        <v>0</v>
      </c>
      <c r="E287" s="1975">
        <v>0</v>
      </c>
      <c r="F287" s="1975">
        <v>0</v>
      </c>
      <c r="G287" s="1975">
        <v>0</v>
      </c>
      <c r="H287" s="1975">
        <v>0</v>
      </c>
      <c r="I287" s="1975">
        <v>0</v>
      </c>
      <c r="J287" s="1975">
        <v>0</v>
      </c>
      <c r="K287" s="1980">
        <v>0</v>
      </c>
      <c r="L287" s="1996"/>
      <c r="M287" s="1996"/>
      <c r="N287" s="1996"/>
      <c r="O287" s="1996"/>
      <c r="P287" s="1996"/>
      <c r="Q287" s="1996"/>
      <c r="R287" s="1996"/>
      <c r="S287" s="1996"/>
    </row>
    <row r="288" spans="2:19" s="1087" customFormat="1" x14ac:dyDescent="0.25">
      <c r="B288" s="1978" t="s">
        <v>2081</v>
      </c>
      <c r="C288" s="1975">
        <v>0</v>
      </c>
      <c r="D288" s="1975">
        <v>0</v>
      </c>
      <c r="E288" s="1975">
        <v>0</v>
      </c>
      <c r="F288" s="1975">
        <v>0</v>
      </c>
      <c r="G288" s="1975">
        <v>0</v>
      </c>
      <c r="H288" s="1975">
        <v>0</v>
      </c>
      <c r="I288" s="1975">
        <v>0</v>
      </c>
      <c r="J288" s="1975">
        <v>0</v>
      </c>
      <c r="K288" s="1980">
        <v>0</v>
      </c>
      <c r="L288" s="1996"/>
      <c r="M288" s="1996"/>
      <c r="N288" s="1996"/>
      <c r="O288" s="1996"/>
      <c r="P288" s="1996"/>
      <c r="Q288" s="1996"/>
      <c r="R288" s="1996"/>
      <c r="S288" s="1996"/>
    </row>
    <row r="289" spans="2:19" s="1087" customFormat="1" x14ac:dyDescent="0.25">
      <c r="B289" s="1979" t="s">
        <v>36</v>
      </c>
      <c r="C289" s="1975">
        <v>0</v>
      </c>
      <c r="D289" s="1975">
        <v>0</v>
      </c>
      <c r="E289" s="1975">
        <v>1.65</v>
      </c>
      <c r="F289" s="1975">
        <v>0</v>
      </c>
      <c r="G289" s="1975">
        <v>3.8499999999999996</v>
      </c>
      <c r="H289" s="1975">
        <v>0</v>
      </c>
      <c r="I289" s="1975">
        <v>1</v>
      </c>
      <c r="J289" s="1975">
        <v>0</v>
      </c>
      <c r="K289" s="1980" t="s">
        <v>2078</v>
      </c>
      <c r="L289" s="1996"/>
      <c r="M289" s="1996"/>
      <c r="N289" s="1996"/>
      <c r="O289" s="1996"/>
      <c r="P289" s="1996"/>
      <c r="Q289" s="1996"/>
      <c r="R289" s="1996"/>
      <c r="S289" s="1996"/>
    </row>
    <row r="290" spans="2:19" s="1087" customFormat="1" x14ac:dyDescent="0.25">
      <c r="B290" s="1975" t="s">
        <v>36</v>
      </c>
      <c r="C290" s="1975">
        <v>0</v>
      </c>
      <c r="D290" s="1975">
        <v>0</v>
      </c>
      <c r="E290" s="1975">
        <v>0</v>
      </c>
      <c r="F290" s="1975">
        <v>0</v>
      </c>
      <c r="G290" s="1975">
        <v>0</v>
      </c>
      <c r="H290" s="1975">
        <v>0</v>
      </c>
      <c r="I290" s="1975">
        <v>0</v>
      </c>
      <c r="J290" s="1975">
        <v>0</v>
      </c>
      <c r="K290" s="1980">
        <v>0</v>
      </c>
      <c r="L290" s="1996"/>
      <c r="M290" s="1996"/>
      <c r="N290" s="1996"/>
      <c r="O290" s="1996"/>
      <c r="P290" s="1996"/>
      <c r="Q290" s="1996"/>
      <c r="R290" s="1996"/>
      <c r="S290" s="1996"/>
    </row>
    <row r="291" spans="2:19" s="1087" customFormat="1" x14ac:dyDescent="0.25">
      <c r="B291" s="1975" t="s">
        <v>34</v>
      </c>
      <c r="C291" s="1975">
        <v>0</v>
      </c>
      <c r="D291" s="1975">
        <v>0</v>
      </c>
      <c r="E291" s="1975">
        <v>0</v>
      </c>
      <c r="F291" s="1975">
        <v>0</v>
      </c>
      <c r="G291" s="1975">
        <v>0</v>
      </c>
      <c r="H291" s="1975">
        <v>0</v>
      </c>
      <c r="I291" s="1975">
        <v>0</v>
      </c>
      <c r="J291" s="1975">
        <v>0</v>
      </c>
      <c r="K291" s="1980">
        <v>0</v>
      </c>
      <c r="L291" s="1996"/>
      <c r="M291" s="1996"/>
      <c r="N291" s="1996"/>
      <c r="O291" s="1996"/>
      <c r="P291" s="1996"/>
      <c r="Q291" s="1996"/>
      <c r="R291" s="1996"/>
      <c r="S291" s="1996"/>
    </row>
    <row r="292" spans="2:19" s="1087" customFormat="1" x14ac:dyDescent="0.25">
      <c r="B292" s="1979" t="s">
        <v>36</v>
      </c>
      <c r="C292" s="1975">
        <v>0</v>
      </c>
      <c r="D292" s="1975">
        <v>0</v>
      </c>
      <c r="E292" s="1975">
        <v>3.75</v>
      </c>
      <c r="F292" s="1975">
        <v>0</v>
      </c>
      <c r="G292" s="1975">
        <v>8.75</v>
      </c>
      <c r="H292" s="1975">
        <v>0</v>
      </c>
      <c r="I292" s="1975">
        <v>1</v>
      </c>
      <c r="J292" s="1975">
        <v>0</v>
      </c>
      <c r="K292" s="1980" t="s">
        <v>2078</v>
      </c>
      <c r="L292" s="1996"/>
      <c r="M292" s="1996"/>
      <c r="N292" s="1996"/>
      <c r="O292" s="1996"/>
      <c r="P292" s="1996"/>
      <c r="Q292" s="1996"/>
      <c r="R292" s="1996"/>
      <c r="S292" s="1996"/>
    </row>
    <row r="293" spans="2:19" s="1087" customFormat="1" x14ac:dyDescent="0.25">
      <c r="B293" s="1975" t="s">
        <v>36</v>
      </c>
      <c r="C293" s="1975">
        <v>0</v>
      </c>
      <c r="D293" s="1975">
        <v>0</v>
      </c>
      <c r="E293" s="1975">
        <v>0</v>
      </c>
      <c r="F293" s="1975">
        <v>0</v>
      </c>
      <c r="G293" s="1975">
        <v>0</v>
      </c>
      <c r="H293" s="1975">
        <v>0</v>
      </c>
      <c r="I293" s="1975">
        <v>0</v>
      </c>
      <c r="J293" s="1975">
        <v>0</v>
      </c>
      <c r="K293" s="1980">
        <v>0</v>
      </c>
      <c r="L293" s="1996"/>
      <c r="M293" s="1996"/>
      <c r="N293" s="1996"/>
      <c r="O293" s="1996"/>
      <c r="P293" s="1996"/>
      <c r="Q293" s="1996"/>
      <c r="R293" s="1996"/>
      <c r="S293" s="1996"/>
    </row>
    <row r="294" spans="2:19" s="1087" customFormat="1" x14ac:dyDescent="0.25">
      <c r="B294" s="1975" t="s">
        <v>428</v>
      </c>
      <c r="C294" s="1975">
        <v>0</v>
      </c>
      <c r="D294" s="1975">
        <v>0</v>
      </c>
      <c r="E294" s="1975">
        <v>0</v>
      </c>
      <c r="F294" s="1975">
        <v>0</v>
      </c>
      <c r="G294" s="1975">
        <v>0</v>
      </c>
      <c r="H294" s="1975">
        <v>0</v>
      </c>
      <c r="I294" s="1975">
        <v>0</v>
      </c>
      <c r="J294" s="1975">
        <v>0</v>
      </c>
      <c r="K294" s="1980">
        <v>0</v>
      </c>
      <c r="L294" s="1996"/>
      <c r="M294" s="1996"/>
      <c r="N294" s="1996"/>
      <c r="O294" s="1996"/>
      <c r="P294" s="1996"/>
      <c r="Q294" s="1996"/>
      <c r="R294" s="1996"/>
      <c r="S294" s="1996"/>
    </row>
    <row r="295" spans="2:19" s="1087" customFormat="1" x14ac:dyDescent="0.25">
      <c r="B295" s="1975" t="s">
        <v>33</v>
      </c>
      <c r="C295" s="1975">
        <v>0</v>
      </c>
      <c r="D295" s="1975">
        <v>0</v>
      </c>
      <c r="E295" s="1975">
        <v>0</v>
      </c>
      <c r="F295" s="1975">
        <v>0</v>
      </c>
      <c r="G295" s="1975">
        <v>0</v>
      </c>
      <c r="H295" s="1975">
        <v>0</v>
      </c>
      <c r="I295" s="1975">
        <v>0</v>
      </c>
      <c r="J295" s="1975">
        <v>0</v>
      </c>
      <c r="K295" s="1980">
        <v>0</v>
      </c>
      <c r="L295" s="1996"/>
      <c r="M295" s="1996"/>
      <c r="N295" s="1996"/>
      <c r="O295" s="1996"/>
      <c r="P295" s="1996"/>
      <c r="Q295" s="1996"/>
      <c r="R295" s="1996"/>
      <c r="S295" s="1996"/>
    </row>
    <row r="296" spans="2:19" s="1087" customFormat="1" x14ac:dyDescent="0.25">
      <c r="B296" s="1975" t="s">
        <v>35</v>
      </c>
      <c r="C296" s="1975">
        <v>0</v>
      </c>
      <c r="D296" s="1975">
        <v>0</v>
      </c>
      <c r="E296" s="1975">
        <v>0</v>
      </c>
      <c r="F296" s="1975">
        <v>0</v>
      </c>
      <c r="G296" s="1975">
        <v>0</v>
      </c>
      <c r="H296" s="1975">
        <v>0</v>
      </c>
      <c r="I296" s="1975">
        <v>0</v>
      </c>
      <c r="J296" s="1975">
        <v>0</v>
      </c>
      <c r="K296" s="1980">
        <v>0</v>
      </c>
      <c r="L296" s="1996"/>
      <c r="M296" s="1996"/>
      <c r="N296" s="1996"/>
      <c r="O296" s="1996"/>
      <c r="P296" s="1996"/>
      <c r="Q296" s="1996"/>
      <c r="R296" s="1996"/>
      <c r="S296" s="1996"/>
    </row>
    <row r="297" spans="2:19" s="1087" customFormat="1" x14ac:dyDescent="0.25">
      <c r="B297" s="1975">
        <v>0</v>
      </c>
      <c r="C297" s="1975">
        <v>0</v>
      </c>
      <c r="D297" s="1975">
        <v>0</v>
      </c>
      <c r="E297" s="1975">
        <v>37.646999999999998</v>
      </c>
      <c r="F297" s="1975">
        <v>0</v>
      </c>
      <c r="G297" s="1975">
        <v>87.842999999999989</v>
      </c>
      <c r="H297" s="1975">
        <v>0</v>
      </c>
      <c r="I297" s="1975">
        <v>1</v>
      </c>
      <c r="J297" s="1975">
        <v>0</v>
      </c>
      <c r="K297" s="1980" t="s">
        <v>2078</v>
      </c>
      <c r="L297" s="1996"/>
      <c r="M297" s="1996"/>
      <c r="N297" s="1996"/>
      <c r="O297" s="1996"/>
      <c r="P297" s="1996"/>
      <c r="Q297" s="1996"/>
      <c r="R297" s="1996"/>
      <c r="S297" s="1996"/>
    </row>
    <row r="298" spans="2:19" s="1087" customFormat="1" x14ac:dyDescent="0.25">
      <c r="B298" s="1975">
        <v>0</v>
      </c>
      <c r="C298" s="1975">
        <v>0</v>
      </c>
      <c r="D298" s="1975">
        <v>0</v>
      </c>
      <c r="E298" s="1975">
        <v>0</v>
      </c>
      <c r="F298" s="1975">
        <v>0</v>
      </c>
      <c r="G298" s="1975">
        <v>0</v>
      </c>
      <c r="H298" s="1975">
        <v>0</v>
      </c>
      <c r="I298" s="1975">
        <v>0</v>
      </c>
      <c r="J298" s="1975">
        <v>0</v>
      </c>
      <c r="K298" s="1980">
        <v>0</v>
      </c>
      <c r="L298" s="1996"/>
      <c r="M298" s="1996"/>
      <c r="N298" s="1996"/>
      <c r="O298" s="1996"/>
      <c r="P298" s="1996"/>
      <c r="Q298" s="1996"/>
      <c r="R298" s="1996"/>
      <c r="S298" s="1996"/>
    </row>
    <row r="299" spans="2:19" s="1087" customFormat="1" x14ac:dyDescent="0.25">
      <c r="B299" s="1975" t="s">
        <v>2081</v>
      </c>
      <c r="C299" s="1975">
        <v>0</v>
      </c>
      <c r="D299" s="1975">
        <v>0</v>
      </c>
      <c r="E299" s="1975">
        <v>0</v>
      </c>
      <c r="F299" s="1975">
        <v>0</v>
      </c>
      <c r="G299" s="1975">
        <v>0</v>
      </c>
      <c r="H299" s="1975">
        <v>0</v>
      </c>
      <c r="I299" s="1975">
        <v>0</v>
      </c>
      <c r="J299" s="1975">
        <v>0</v>
      </c>
      <c r="K299" s="1980">
        <v>0</v>
      </c>
      <c r="L299" s="1996"/>
      <c r="M299" s="1996"/>
      <c r="N299" s="1996"/>
      <c r="O299" s="1996"/>
      <c r="P299" s="1996"/>
      <c r="Q299" s="1996"/>
      <c r="R299" s="1996"/>
      <c r="S299" s="1996"/>
    </row>
    <row r="300" spans="2:19" s="1087" customFormat="1" x14ac:dyDescent="0.25">
      <c r="B300" s="1975" t="s">
        <v>36</v>
      </c>
      <c r="C300" s="1975">
        <v>0</v>
      </c>
      <c r="D300" s="1975">
        <v>0</v>
      </c>
      <c r="E300" s="1975">
        <v>3.75</v>
      </c>
      <c r="F300" s="1975">
        <v>0</v>
      </c>
      <c r="G300" s="1975">
        <v>8.75</v>
      </c>
      <c r="H300" s="1975">
        <v>0</v>
      </c>
      <c r="I300" s="1975">
        <v>1</v>
      </c>
      <c r="J300" s="1975">
        <v>0</v>
      </c>
      <c r="K300" s="1980" t="s">
        <v>2078</v>
      </c>
      <c r="L300" s="1996"/>
      <c r="M300" s="1996"/>
      <c r="N300" s="1996"/>
      <c r="O300" s="1996"/>
      <c r="P300" s="1996"/>
      <c r="Q300" s="1996"/>
      <c r="R300" s="1996"/>
      <c r="S300" s="1996"/>
    </row>
    <row r="301" spans="2:19" s="1087" customFormat="1" x14ac:dyDescent="0.25">
      <c r="B301" s="1975" t="s">
        <v>36</v>
      </c>
      <c r="C301" s="1975">
        <v>0</v>
      </c>
      <c r="D301" s="1975">
        <v>0</v>
      </c>
      <c r="E301" s="1975">
        <v>0</v>
      </c>
      <c r="F301" s="1975">
        <v>0</v>
      </c>
      <c r="G301" s="1975">
        <v>0</v>
      </c>
      <c r="H301" s="1975">
        <v>0</v>
      </c>
      <c r="I301" s="1975">
        <v>0</v>
      </c>
      <c r="J301" s="1975">
        <v>0</v>
      </c>
      <c r="K301" s="1980">
        <v>0</v>
      </c>
      <c r="L301" s="1996"/>
      <c r="M301" s="1996"/>
      <c r="N301" s="1996"/>
      <c r="O301" s="1996"/>
      <c r="P301" s="1996"/>
      <c r="Q301" s="1996"/>
      <c r="R301" s="1996"/>
      <c r="S301" s="1996"/>
    </row>
    <row r="302" spans="2:19" s="1087" customFormat="1" x14ac:dyDescent="0.25">
      <c r="B302" s="1975" t="s">
        <v>34</v>
      </c>
      <c r="C302" s="1975">
        <v>0</v>
      </c>
      <c r="D302" s="1975">
        <v>0</v>
      </c>
      <c r="E302" s="1975">
        <v>0</v>
      </c>
      <c r="F302" s="1975">
        <v>0</v>
      </c>
      <c r="G302" s="1975">
        <v>0</v>
      </c>
      <c r="H302" s="1975">
        <v>0</v>
      </c>
      <c r="I302" s="1975">
        <v>0</v>
      </c>
      <c r="J302" s="1975">
        <v>0</v>
      </c>
      <c r="K302" s="1980">
        <v>0</v>
      </c>
      <c r="L302" s="1996"/>
      <c r="M302" s="1996"/>
      <c r="N302" s="1996"/>
      <c r="O302" s="1996"/>
      <c r="P302" s="1996"/>
      <c r="Q302" s="1996"/>
      <c r="R302" s="1996"/>
      <c r="S302" s="1996"/>
    </row>
    <row r="303" spans="2:19" s="1087" customFormat="1" x14ac:dyDescent="0.25">
      <c r="B303" s="1975" t="s">
        <v>36</v>
      </c>
      <c r="C303" s="1975">
        <v>0</v>
      </c>
      <c r="D303" s="1975">
        <v>0</v>
      </c>
      <c r="E303" s="1975">
        <v>4.05</v>
      </c>
      <c r="F303" s="1975">
        <v>0</v>
      </c>
      <c r="G303" s="1975">
        <v>9.4499999999999993</v>
      </c>
      <c r="H303" s="1975">
        <v>0</v>
      </c>
      <c r="I303" s="1975">
        <v>1</v>
      </c>
      <c r="J303" s="1975">
        <v>0</v>
      </c>
      <c r="K303" s="1980" t="s">
        <v>2078</v>
      </c>
      <c r="L303" s="1996"/>
      <c r="M303" s="1996"/>
      <c r="N303" s="1996"/>
      <c r="O303" s="1996"/>
      <c r="P303" s="1996"/>
      <c r="Q303" s="1996"/>
      <c r="R303" s="1996"/>
      <c r="S303" s="1996"/>
    </row>
    <row r="304" spans="2:19" s="1087" customFormat="1" x14ac:dyDescent="0.25">
      <c r="B304" s="1975" t="s">
        <v>36</v>
      </c>
      <c r="C304" s="1975">
        <v>0</v>
      </c>
      <c r="D304" s="1975">
        <v>0</v>
      </c>
      <c r="E304" s="1975">
        <v>0</v>
      </c>
      <c r="F304" s="1975">
        <v>0</v>
      </c>
      <c r="G304" s="1975">
        <v>0</v>
      </c>
      <c r="H304" s="1975">
        <v>0</v>
      </c>
      <c r="I304" s="1975">
        <v>0</v>
      </c>
      <c r="J304" s="1975">
        <v>0</v>
      </c>
      <c r="K304" s="1980">
        <v>0</v>
      </c>
      <c r="L304" s="1996"/>
      <c r="M304" s="1996"/>
      <c r="N304" s="1996"/>
      <c r="O304" s="1996"/>
      <c r="P304" s="1996"/>
      <c r="Q304" s="1996"/>
      <c r="R304" s="1996"/>
      <c r="S304" s="1996"/>
    </row>
    <row r="305" spans="2:19 16384:16384" s="1087" customFormat="1" x14ac:dyDescent="0.25">
      <c r="B305" s="1975" t="s">
        <v>429</v>
      </c>
      <c r="C305" s="1975">
        <v>0</v>
      </c>
      <c r="D305" s="1975">
        <v>0</v>
      </c>
      <c r="E305" s="1975">
        <v>0</v>
      </c>
      <c r="F305" s="1975">
        <v>0</v>
      </c>
      <c r="G305" s="1975">
        <v>0</v>
      </c>
      <c r="H305" s="1975">
        <v>0</v>
      </c>
      <c r="I305" s="1975">
        <v>0</v>
      </c>
      <c r="J305" s="1975">
        <v>0</v>
      </c>
      <c r="K305" s="1980">
        <v>0</v>
      </c>
      <c r="L305" s="1996"/>
      <c r="M305" s="1996"/>
      <c r="N305" s="1996"/>
      <c r="O305" s="1996"/>
      <c r="P305" s="1996"/>
      <c r="Q305" s="1996"/>
      <c r="R305" s="1996"/>
      <c r="S305" s="1996"/>
    </row>
    <row r="306" spans="2:19 16384:16384" s="1087" customFormat="1" x14ac:dyDescent="0.25">
      <c r="B306" s="1975" t="s">
        <v>33</v>
      </c>
      <c r="C306" s="1975">
        <v>0</v>
      </c>
      <c r="D306" s="1975">
        <v>0</v>
      </c>
      <c r="E306" s="1975">
        <v>0</v>
      </c>
      <c r="F306" s="1975">
        <v>0</v>
      </c>
      <c r="G306" s="1975">
        <v>0</v>
      </c>
      <c r="H306" s="1975">
        <v>0</v>
      </c>
      <c r="I306" s="1975">
        <v>0</v>
      </c>
      <c r="J306" s="1975">
        <v>0</v>
      </c>
      <c r="K306" s="1980">
        <v>0</v>
      </c>
      <c r="L306" s="1996"/>
      <c r="M306" s="1996"/>
      <c r="N306" s="1996"/>
      <c r="O306" s="1996"/>
      <c r="P306" s="1996"/>
      <c r="Q306" s="1996"/>
      <c r="R306" s="1996"/>
      <c r="S306" s="1996"/>
    </row>
    <row r="307" spans="2:19 16384:16384" s="1087" customFormat="1" x14ac:dyDescent="0.25">
      <c r="B307" s="1975" t="s">
        <v>35</v>
      </c>
      <c r="C307" s="1975">
        <v>0</v>
      </c>
      <c r="D307" s="1975">
        <v>0</v>
      </c>
      <c r="E307" s="1975">
        <v>0</v>
      </c>
      <c r="F307" s="1975">
        <v>0</v>
      </c>
      <c r="G307" s="1975">
        <v>0</v>
      </c>
      <c r="H307" s="1975">
        <v>0</v>
      </c>
      <c r="I307" s="1975">
        <v>0</v>
      </c>
      <c r="J307" s="1975">
        <v>0</v>
      </c>
      <c r="K307" s="1980">
        <v>0</v>
      </c>
      <c r="L307" s="1996"/>
      <c r="M307" s="1996"/>
      <c r="N307" s="1996"/>
      <c r="O307" s="1996"/>
      <c r="P307" s="1996"/>
      <c r="Q307" s="1996"/>
      <c r="R307" s="1996"/>
      <c r="S307" s="1996"/>
    </row>
    <row r="308" spans="2:19 16384:16384" s="1087" customFormat="1" x14ac:dyDescent="0.25">
      <c r="B308" s="1975">
        <v>0</v>
      </c>
      <c r="C308" s="1975">
        <v>0</v>
      </c>
      <c r="D308" s="1975">
        <v>0</v>
      </c>
      <c r="E308" s="1975">
        <v>32.622</v>
      </c>
      <c r="F308" s="1975">
        <v>0</v>
      </c>
      <c r="G308" s="1975">
        <v>76.117999999999995</v>
      </c>
      <c r="H308" s="1975">
        <v>0</v>
      </c>
      <c r="I308" s="1975">
        <v>1</v>
      </c>
      <c r="J308" s="1975">
        <v>0</v>
      </c>
      <c r="K308" s="1980" t="s">
        <v>2078</v>
      </c>
      <c r="L308" s="1996"/>
      <c r="M308" s="1996"/>
      <c r="N308" s="1996"/>
      <c r="O308" s="1996"/>
      <c r="P308" s="1996"/>
      <c r="Q308" s="1996"/>
      <c r="R308" s="1996"/>
      <c r="S308" s="1996"/>
    </row>
    <row r="309" spans="2:19 16384:16384" s="1087" customFormat="1" x14ac:dyDescent="0.25">
      <c r="B309" s="1975">
        <v>0</v>
      </c>
      <c r="C309" s="1975">
        <v>0</v>
      </c>
      <c r="D309" s="1975">
        <v>0</v>
      </c>
      <c r="E309" s="1975">
        <v>0</v>
      </c>
      <c r="F309" s="1975">
        <v>0</v>
      </c>
      <c r="G309" s="1975">
        <v>0</v>
      </c>
      <c r="H309" s="1975">
        <v>0</v>
      </c>
      <c r="I309" s="1975">
        <v>0</v>
      </c>
      <c r="J309" s="1975">
        <v>0</v>
      </c>
      <c r="K309" s="1980">
        <v>0</v>
      </c>
      <c r="L309" s="1996"/>
      <c r="M309" s="1996"/>
      <c r="N309" s="1996"/>
      <c r="O309" s="1996"/>
      <c r="P309" s="1996"/>
      <c r="Q309" s="1996"/>
      <c r="R309" s="1996"/>
      <c r="S309" s="1996"/>
    </row>
    <row r="310" spans="2:19 16384:16384" s="1087" customFormat="1" x14ac:dyDescent="0.25">
      <c r="B310" s="1975" t="s">
        <v>2081</v>
      </c>
      <c r="C310" s="1975">
        <v>0</v>
      </c>
      <c r="D310" s="1975">
        <v>0</v>
      </c>
      <c r="E310" s="1975">
        <v>0</v>
      </c>
      <c r="F310" s="1975">
        <v>0</v>
      </c>
      <c r="G310" s="1975">
        <v>0</v>
      </c>
      <c r="H310" s="1975">
        <v>0</v>
      </c>
      <c r="I310" s="1975">
        <v>0</v>
      </c>
      <c r="J310" s="1975">
        <v>0</v>
      </c>
      <c r="K310" s="1980">
        <v>0</v>
      </c>
      <c r="L310" s="1996"/>
      <c r="M310" s="1996"/>
      <c r="N310" s="1996"/>
      <c r="O310" s="1996"/>
      <c r="P310" s="1996"/>
      <c r="Q310" s="1996"/>
      <c r="R310" s="1996"/>
      <c r="S310" s="1996"/>
    </row>
    <row r="311" spans="2:19 16384:16384" s="1087" customFormat="1" x14ac:dyDescent="0.25">
      <c r="B311" s="1975" t="s">
        <v>36</v>
      </c>
      <c r="C311" s="1975">
        <v>0</v>
      </c>
      <c r="D311" s="1975">
        <v>0</v>
      </c>
      <c r="E311" s="1975">
        <v>3.5939999999999999</v>
      </c>
      <c r="F311" s="1975">
        <v>0</v>
      </c>
      <c r="G311" s="1975">
        <v>8.3859999999999992</v>
      </c>
      <c r="H311" s="1975">
        <v>0</v>
      </c>
      <c r="I311" s="1975">
        <v>1</v>
      </c>
      <c r="J311" s="1975">
        <v>0</v>
      </c>
      <c r="K311" s="1980" t="s">
        <v>2078</v>
      </c>
      <c r="L311" s="1996"/>
      <c r="M311" s="1996"/>
      <c r="N311" s="1996"/>
      <c r="O311" s="1996"/>
      <c r="P311" s="1996"/>
      <c r="Q311" s="1996"/>
      <c r="R311" s="1996"/>
      <c r="S311" s="1996"/>
    </row>
    <row r="312" spans="2:19 16384:16384" s="1087" customFormat="1" x14ac:dyDescent="0.25">
      <c r="B312" s="1975" t="s">
        <v>36</v>
      </c>
      <c r="C312" s="1975">
        <v>0</v>
      </c>
      <c r="D312" s="1975">
        <v>0</v>
      </c>
      <c r="E312" s="1975">
        <v>0</v>
      </c>
      <c r="F312" s="1975">
        <v>0</v>
      </c>
      <c r="G312" s="1975">
        <v>0</v>
      </c>
      <c r="H312" s="1975">
        <v>0</v>
      </c>
      <c r="I312" s="1975">
        <v>0</v>
      </c>
      <c r="J312" s="1975">
        <v>0</v>
      </c>
      <c r="K312" s="1980">
        <v>0</v>
      </c>
      <c r="L312" s="1996"/>
      <c r="M312" s="1996"/>
      <c r="N312" s="1996"/>
      <c r="O312" s="1996"/>
      <c r="P312" s="1996"/>
      <c r="Q312" s="1996"/>
      <c r="R312" s="1996"/>
      <c r="S312" s="1996"/>
    </row>
    <row r="313" spans="2:19 16384:16384" s="1087" customFormat="1" x14ac:dyDescent="0.25">
      <c r="B313" s="1975" t="s">
        <v>34</v>
      </c>
      <c r="C313" s="1975">
        <v>0</v>
      </c>
      <c r="D313" s="1975">
        <v>0</v>
      </c>
      <c r="E313" s="1975">
        <v>0</v>
      </c>
      <c r="F313" s="1975">
        <v>0</v>
      </c>
      <c r="G313" s="1975">
        <v>0</v>
      </c>
      <c r="H313" s="1975">
        <v>0</v>
      </c>
      <c r="I313" s="1975">
        <v>0</v>
      </c>
      <c r="J313" s="1975">
        <v>0</v>
      </c>
      <c r="K313" s="1980">
        <v>0</v>
      </c>
      <c r="L313" s="1996"/>
      <c r="M313" s="1996"/>
      <c r="N313" s="1996"/>
      <c r="O313" s="1996"/>
      <c r="P313" s="1996"/>
      <c r="Q313" s="1996"/>
      <c r="R313" s="1996"/>
      <c r="S313" s="1996"/>
    </row>
    <row r="314" spans="2:19 16384:16384" s="1087" customFormat="1" x14ac:dyDescent="0.25">
      <c r="B314" s="1975" t="s">
        <v>36</v>
      </c>
      <c r="C314" s="1975">
        <v>0</v>
      </c>
      <c r="D314" s="1975">
        <v>0</v>
      </c>
      <c r="E314" s="1975">
        <v>4.05</v>
      </c>
      <c r="F314" s="1975">
        <v>0</v>
      </c>
      <c r="G314" s="1975">
        <v>9.4499999999999993</v>
      </c>
      <c r="H314" s="1975">
        <v>0</v>
      </c>
      <c r="I314" s="1975">
        <v>1</v>
      </c>
      <c r="J314" s="1975">
        <v>0</v>
      </c>
      <c r="K314" s="1980" t="s">
        <v>2078</v>
      </c>
      <c r="L314" s="1996"/>
      <c r="M314" s="1996"/>
      <c r="N314" s="1996"/>
      <c r="O314" s="1996"/>
      <c r="P314" s="1996"/>
      <c r="Q314" s="1996"/>
      <c r="R314" s="1996"/>
      <c r="S314" s="1996"/>
    </row>
    <row r="315" spans="2:19 16384:16384" s="1087" customFormat="1" x14ac:dyDescent="0.25">
      <c r="B315" s="1975" t="s">
        <v>36</v>
      </c>
      <c r="C315" s="1975">
        <v>0</v>
      </c>
      <c r="D315" s="1975">
        <v>0</v>
      </c>
      <c r="E315" s="1975">
        <v>0</v>
      </c>
      <c r="F315" s="1975">
        <v>0</v>
      </c>
      <c r="G315" s="1975">
        <v>0</v>
      </c>
      <c r="H315" s="1975">
        <v>0</v>
      </c>
      <c r="I315" s="1975">
        <v>0</v>
      </c>
      <c r="J315" s="1975">
        <v>0</v>
      </c>
      <c r="K315" s="1980">
        <v>0</v>
      </c>
      <c r="L315" s="1996"/>
      <c r="M315" s="1996"/>
      <c r="N315" s="1996"/>
      <c r="O315" s="1996"/>
      <c r="P315" s="1996"/>
      <c r="Q315" s="1996"/>
      <c r="R315" s="1996"/>
      <c r="S315" s="1996"/>
    </row>
    <row r="316" spans="2:19 16384:16384" s="1087" customFormat="1" x14ac:dyDescent="0.25">
      <c r="B316" s="1983" t="s">
        <v>5</v>
      </c>
      <c r="C316" s="1998">
        <f t="shared" ref="C316:H316" si="9">SUM(C251:C315)</f>
        <v>0</v>
      </c>
      <c r="D316" s="1998">
        <f t="shared" si="9"/>
        <v>0</v>
      </c>
      <c r="E316" s="1983">
        <f t="shared" si="9"/>
        <v>225.87640000000005</v>
      </c>
      <c r="F316" s="1983">
        <f t="shared" si="9"/>
        <v>0</v>
      </c>
      <c r="G316" s="1983">
        <f t="shared" si="9"/>
        <v>520.55060000000003</v>
      </c>
      <c r="H316" s="1998">
        <f t="shared" si="9"/>
        <v>0</v>
      </c>
      <c r="I316" s="1998"/>
      <c r="J316" s="1999"/>
      <c r="K316" s="1998"/>
      <c r="L316" s="1953"/>
      <c r="M316" s="1953"/>
      <c r="N316" s="1953"/>
      <c r="O316" s="1953"/>
      <c r="P316" s="1953"/>
      <c r="Q316" s="1953"/>
      <c r="R316" s="1953"/>
      <c r="S316" s="1953"/>
      <c r="XFD316" s="1091"/>
    </row>
    <row r="317" spans="2:19 16384:16384" s="1087" customFormat="1" x14ac:dyDescent="0.25">
      <c r="B317" s="1953"/>
      <c r="C317" s="1953"/>
      <c r="D317" s="1953"/>
      <c r="E317" s="1953"/>
      <c r="F317" s="1953"/>
      <c r="G317" s="1954"/>
      <c r="H317" s="1954"/>
      <c r="I317" s="1954"/>
      <c r="J317" s="1954"/>
      <c r="K317" s="1953"/>
      <c r="L317" s="1953"/>
      <c r="M317" s="1953"/>
      <c r="N317" s="1953"/>
      <c r="O317" s="1953"/>
      <c r="P317" s="1953"/>
      <c r="Q317" s="1953"/>
      <c r="R317" s="1953"/>
      <c r="S317" s="1953"/>
    </row>
    <row r="318" spans="2:19 16384:16384" s="1087" customFormat="1" x14ac:dyDescent="0.25">
      <c r="B318" s="1953"/>
      <c r="C318" s="1953"/>
      <c r="D318" s="1953"/>
      <c r="E318" s="1953"/>
      <c r="F318" s="1953"/>
      <c r="G318" s="1954"/>
      <c r="H318" s="1954"/>
      <c r="I318" s="1954"/>
      <c r="J318" s="1954"/>
      <c r="K318" s="1953"/>
      <c r="L318" s="1953"/>
      <c r="M318" s="1953"/>
      <c r="N318" s="1953"/>
      <c r="O318" s="1953"/>
      <c r="P318" s="1953"/>
      <c r="Q318" s="1953"/>
      <c r="R318" s="1953"/>
      <c r="S318" s="1953"/>
    </row>
    <row r="319" spans="2:19 16384:16384" s="1087" customFormat="1" x14ac:dyDescent="0.25">
      <c r="B319" s="1971" t="s">
        <v>283</v>
      </c>
      <c r="C319" s="1968"/>
      <c r="D319" s="1968"/>
      <c r="E319" s="1968"/>
      <c r="F319" s="1969"/>
      <c r="G319" s="1970"/>
      <c r="H319" s="1970"/>
      <c r="I319" s="1970"/>
      <c r="J319" s="1970"/>
      <c r="K319" s="1969"/>
      <c r="L319" s="1969"/>
      <c r="M319" s="1969"/>
      <c r="N319" s="1969"/>
      <c r="O319" s="1969"/>
      <c r="P319" s="1969"/>
      <c r="Q319" s="1969"/>
      <c r="R319" s="1969"/>
      <c r="S319" s="1969"/>
    </row>
    <row r="320" spans="2:19 16384:16384" s="1087" customFormat="1" x14ac:dyDescent="0.25">
      <c r="B320" s="1967"/>
      <c r="C320" s="1968"/>
      <c r="D320" s="1968"/>
      <c r="E320" s="1968"/>
      <c r="F320" s="1969"/>
      <c r="G320" s="1970"/>
      <c r="H320" s="1970"/>
      <c r="I320" s="1970"/>
      <c r="J320" s="1970"/>
      <c r="K320" s="1969"/>
      <c r="L320" s="1969"/>
      <c r="M320" s="1969"/>
      <c r="N320" s="1969"/>
      <c r="O320" s="1969"/>
      <c r="P320" s="1969"/>
      <c r="Q320" s="1969"/>
      <c r="R320" s="1969"/>
      <c r="S320" s="1969"/>
    </row>
    <row r="321" spans="2:19" s="1087" customFormat="1" x14ac:dyDescent="0.25">
      <c r="B321" s="1968" t="s">
        <v>0</v>
      </c>
      <c r="C321" s="1953"/>
      <c r="D321" s="1953"/>
      <c r="E321" s="1953"/>
      <c r="F321" s="1969"/>
      <c r="G321" s="1970"/>
      <c r="H321" s="1970"/>
      <c r="I321" s="1970"/>
      <c r="J321" s="1970"/>
      <c r="K321" s="1969"/>
      <c r="L321" s="1969"/>
      <c r="M321" s="1969"/>
      <c r="N321" s="1969"/>
      <c r="O321" s="1969"/>
      <c r="P321" s="1969"/>
      <c r="Q321" s="1969"/>
      <c r="R321" s="1969"/>
      <c r="S321" s="1969"/>
    </row>
    <row r="322" spans="2:19" s="1087" customFormat="1" x14ac:dyDescent="0.25">
      <c r="B322" s="1967"/>
      <c r="C322" s="1967"/>
      <c r="D322" s="1967"/>
      <c r="E322" s="1967"/>
      <c r="F322" s="1969"/>
      <c r="G322" s="1970"/>
      <c r="H322" s="1970"/>
      <c r="I322" s="1970"/>
      <c r="J322" s="1970"/>
      <c r="K322" s="1969"/>
      <c r="L322" s="1969"/>
      <c r="M322" s="1969"/>
      <c r="N322" s="1953"/>
      <c r="O322" s="1953"/>
      <c r="P322" s="1953"/>
      <c r="Q322" s="1953"/>
      <c r="R322" s="1953"/>
      <c r="S322" s="1972" t="s">
        <v>16</v>
      </c>
    </row>
    <row r="323" spans="2:19" s="1087" customFormat="1" ht="14" customHeight="1" x14ac:dyDescent="0.25">
      <c r="B323" s="2300" t="s">
        <v>26</v>
      </c>
      <c r="C323" s="2300" t="s">
        <v>1</v>
      </c>
      <c r="D323" s="2300" t="s">
        <v>617</v>
      </c>
      <c r="E323" s="2300" t="s">
        <v>618</v>
      </c>
      <c r="F323" s="2300" t="s">
        <v>6</v>
      </c>
      <c r="G323" s="2292" t="s">
        <v>2</v>
      </c>
      <c r="H323" s="2293"/>
      <c r="I323" s="2294"/>
      <c r="J323" s="2295" t="s">
        <v>13</v>
      </c>
      <c r="K323" s="2296"/>
      <c r="L323" s="2297"/>
      <c r="M323" s="2295" t="s">
        <v>619</v>
      </c>
      <c r="N323" s="2296"/>
      <c r="O323" s="2296"/>
      <c r="P323" s="2296"/>
      <c r="Q323" s="2296"/>
      <c r="R323" s="2296"/>
      <c r="S323" s="2297"/>
    </row>
    <row r="324" spans="2:19" s="1087" customFormat="1" ht="14" customHeight="1" x14ac:dyDescent="0.25">
      <c r="B324" s="2302"/>
      <c r="C324" s="2302"/>
      <c r="D324" s="2302"/>
      <c r="E324" s="2302"/>
      <c r="F324" s="2302"/>
      <c r="G324" s="2298" t="s">
        <v>17</v>
      </c>
      <c r="H324" s="2298" t="s">
        <v>14</v>
      </c>
      <c r="I324" s="2298" t="s">
        <v>620</v>
      </c>
      <c r="J324" s="2298" t="s">
        <v>17</v>
      </c>
      <c r="K324" s="2300" t="s">
        <v>14</v>
      </c>
      <c r="L324" s="2300" t="s">
        <v>12</v>
      </c>
      <c r="M324" s="2300" t="s">
        <v>37</v>
      </c>
      <c r="N324" s="2300" t="s">
        <v>621</v>
      </c>
      <c r="O324" s="2285" t="s">
        <v>787</v>
      </c>
      <c r="P324" s="2286"/>
      <c r="Q324" s="2286"/>
      <c r="R324" s="2286"/>
      <c r="S324" s="2287"/>
    </row>
    <row r="325" spans="2:19" s="1087" customFormat="1" ht="28" x14ac:dyDescent="0.25">
      <c r="B325" s="2301"/>
      <c r="C325" s="2301"/>
      <c r="D325" s="2301"/>
      <c r="E325" s="2301"/>
      <c r="F325" s="2301"/>
      <c r="G325" s="2299"/>
      <c r="H325" s="2299"/>
      <c r="I325" s="2299"/>
      <c r="J325" s="2299"/>
      <c r="K325" s="2301"/>
      <c r="L325" s="2301"/>
      <c r="M325" s="2301"/>
      <c r="N325" s="2301"/>
      <c r="O325" s="1973" t="s">
        <v>788</v>
      </c>
      <c r="P325" s="1973" t="s">
        <v>789</v>
      </c>
      <c r="Q325" s="1973" t="s">
        <v>790</v>
      </c>
      <c r="R325" s="1973" t="s">
        <v>791</v>
      </c>
      <c r="S325" s="1973" t="s">
        <v>792</v>
      </c>
    </row>
    <row r="326" spans="2:19" s="1087" customFormat="1" x14ac:dyDescent="0.25">
      <c r="B326" s="1974" t="s">
        <v>179</v>
      </c>
      <c r="C326" s="1975"/>
      <c r="D326" s="1975"/>
      <c r="E326" s="1975"/>
      <c r="F326" s="1975"/>
      <c r="G326" s="1976"/>
      <c r="H326" s="1976"/>
      <c r="I326" s="1976"/>
      <c r="J326" s="1976"/>
      <c r="K326" s="1975"/>
      <c r="L326" s="1975"/>
      <c r="M326" s="1975"/>
      <c r="N326" s="1975"/>
      <c r="O326" s="1975"/>
      <c r="P326" s="1975"/>
      <c r="Q326" s="1975"/>
      <c r="R326" s="1975"/>
      <c r="S326" s="1977"/>
    </row>
    <row r="327" spans="2:19" s="1087" customFormat="1" x14ac:dyDescent="0.25">
      <c r="B327" s="1978" t="s">
        <v>33</v>
      </c>
      <c r="C327" s="1975"/>
      <c r="D327" s="1975"/>
      <c r="E327" s="1975"/>
      <c r="F327" s="1975"/>
      <c r="G327" s="1976"/>
      <c r="H327" s="1976"/>
      <c r="I327" s="1976"/>
      <c r="J327" s="1976"/>
      <c r="K327" s="1975"/>
      <c r="L327" s="1975"/>
      <c r="M327" s="1975"/>
      <c r="N327" s="1975"/>
      <c r="O327" s="1975"/>
      <c r="P327" s="1975"/>
      <c r="Q327" s="1975"/>
      <c r="R327" s="1975"/>
      <c r="S327" s="1977"/>
    </row>
    <row r="328" spans="2:19" s="1087" customFormat="1" x14ac:dyDescent="0.25">
      <c r="B328" s="1979" t="s">
        <v>35</v>
      </c>
      <c r="C328" s="1975"/>
      <c r="D328" s="1975"/>
      <c r="E328" s="1975"/>
      <c r="F328" s="1975"/>
      <c r="G328" s="1976"/>
      <c r="H328" s="1976"/>
      <c r="I328" s="1976"/>
      <c r="J328" s="1976"/>
      <c r="K328" s="1975"/>
      <c r="L328" s="1975"/>
      <c r="M328" s="1975"/>
      <c r="N328" s="1975"/>
      <c r="O328" s="1975"/>
      <c r="P328" s="1975"/>
      <c r="Q328" s="1975"/>
      <c r="R328" s="1975"/>
      <c r="S328" s="1977"/>
    </row>
    <row r="329" spans="2:19" s="1087" customFormat="1" ht="28" x14ac:dyDescent="0.25">
      <c r="B329" s="1975" t="s">
        <v>2083</v>
      </c>
      <c r="C329" s="1975" t="s">
        <v>2084</v>
      </c>
      <c r="D329" s="1975" t="s">
        <v>2085</v>
      </c>
      <c r="E329" s="1975" t="s">
        <v>2086</v>
      </c>
      <c r="F329" s="1975" t="s">
        <v>2087</v>
      </c>
      <c r="G329" s="2000" t="s">
        <v>2088</v>
      </c>
      <c r="H329" s="2000"/>
      <c r="I329" s="2000" t="s">
        <v>2088</v>
      </c>
      <c r="J329" s="2000" t="s">
        <v>2089</v>
      </c>
      <c r="K329" s="2001">
        <v>0</v>
      </c>
      <c r="L329" s="2001" t="s">
        <v>2036</v>
      </c>
      <c r="M329" s="1975">
        <v>18.05</v>
      </c>
      <c r="N329" s="1975"/>
      <c r="O329" s="1975"/>
      <c r="P329" s="1975"/>
      <c r="Q329" s="1975"/>
      <c r="R329" s="1975"/>
      <c r="S329" s="1987">
        <f>N329-M329</f>
        <v>-18.05</v>
      </c>
    </row>
    <row r="330" spans="2:19" s="1087" customFormat="1" ht="28" x14ac:dyDescent="0.25">
      <c r="B330" s="1974" t="s">
        <v>2090</v>
      </c>
      <c r="C330" s="1975" t="s">
        <v>2084</v>
      </c>
      <c r="D330" s="1975" t="s">
        <v>2091</v>
      </c>
      <c r="E330" s="1975" t="s">
        <v>2092</v>
      </c>
      <c r="F330" s="1975" t="s">
        <v>2087</v>
      </c>
      <c r="G330" s="2000" t="s">
        <v>2093</v>
      </c>
      <c r="H330" s="2000"/>
      <c r="I330" s="2000" t="s">
        <v>2093</v>
      </c>
      <c r="J330" s="2000" t="s">
        <v>2094</v>
      </c>
      <c r="K330" s="2001">
        <v>0</v>
      </c>
      <c r="L330" s="2001" t="s">
        <v>2036</v>
      </c>
      <c r="M330" s="1975">
        <v>30.19</v>
      </c>
      <c r="N330" s="1975">
        <f>SUM(F4.2!AC72:AD72)</f>
        <v>17.309999999999999</v>
      </c>
      <c r="O330" s="1975"/>
      <c r="P330" s="1975"/>
      <c r="Q330" s="1975"/>
      <c r="R330" s="1975"/>
      <c r="S330" s="1987">
        <f>N330-M330</f>
        <v>-12.880000000000003</v>
      </c>
    </row>
    <row r="331" spans="2:19" s="1087" customFormat="1" ht="28" x14ac:dyDescent="0.25">
      <c r="B331" s="1979" t="s">
        <v>2095</v>
      </c>
      <c r="C331" s="1975" t="s">
        <v>2084</v>
      </c>
      <c r="D331" s="1975" t="s">
        <v>2096</v>
      </c>
      <c r="E331" s="1975" t="s">
        <v>2097</v>
      </c>
      <c r="F331" s="1975" t="s">
        <v>2087</v>
      </c>
      <c r="G331" s="2000" t="s">
        <v>2093</v>
      </c>
      <c r="H331" s="2000"/>
      <c r="I331" s="2000" t="s">
        <v>2093</v>
      </c>
      <c r="J331" s="2000" t="s">
        <v>2098</v>
      </c>
      <c r="K331" s="2001">
        <v>0</v>
      </c>
      <c r="L331" s="2001" t="s">
        <v>2036</v>
      </c>
      <c r="M331" s="1975">
        <v>12.94</v>
      </c>
      <c r="N331" s="1975">
        <f>SUM(F4.2!AC73:AD73)</f>
        <v>12.9</v>
      </c>
      <c r="O331" s="1975"/>
      <c r="P331" s="1975"/>
      <c r="Q331" s="1975"/>
      <c r="R331" s="1975"/>
      <c r="S331" s="1987">
        <f>N331-M331</f>
        <v>-3.9999999999999147E-2</v>
      </c>
    </row>
    <row r="332" spans="2:19" s="1087" customFormat="1" x14ac:dyDescent="0.25">
      <c r="B332" s="1975"/>
      <c r="C332" s="1975"/>
      <c r="D332" s="1975"/>
      <c r="E332" s="1975"/>
      <c r="F332" s="1975"/>
      <c r="G332" s="2000"/>
      <c r="H332" s="2000"/>
      <c r="I332" s="2000"/>
      <c r="J332" s="2000"/>
      <c r="K332" s="2001"/>
      <c r="L332" s="2001"/>
      <c r="M332" s="1975"/>
      <c r="N332" s="1975"/>
      <c r="O332" s="1975"/>
      <c r="P332" s="1975"/>
      <c r="Q332" s="1975"/>
      <c r="R332" s="1975"/>
      <c r="S332" s="1987"/>
    </row>
    <row r="333" spans="2:19" s="1087" customFormat="1" x14ac:dyDescent="0.25">
      <c r="B333" s="1974" t="s">
        <v>2081</v>
      </c>
      <c r="C333" s="1975"/>
      <c r="D333" s="1975"/>
      <c r="E333" s="1975"/>
      <c r="F333" s="1975"/>
      <c r="G333" s="2000"/>
      <c r="H333" s="2000"/>
      <c r="I333" s="2000"/>
      <c r="J333" s="2000"/>
      <c r="K333" s="2001"/>
      <c r="L333" s="2001"/>
      <c r="M333" s="1975"/>
      <c r="N333" s="1975"/>
      <c r="O333" s="1975"/>
      <c r="P333" s="1975"/>
      <c r="Q333" s="1975"/>
      <c r="R333" s="1975"/>
      <c r="S333" s="1987"/>
    </row>
    <row r="334" spans="2:19" s="1087" customFormat="1" x14ac:dyDescent="0.25">
      <c r="B334" s="1974" t="s">
        <v>36</v>
      </c>
      <c r="C334" s="1975"/>
      <c r="D334" s="1975"/>
      <c r="E334" s="1975"/>
      <c r="F334" s="1975"/>
      <c r="G334" s="2000"/>
      <c r="H334" s="2000"/>
      <c r="I334" s="2000"/>
      <c r="J334" s="2000"/>
      <c r="K334" s="2001"/>
      <c r="L334" s="2001"/>
      <c r="M334" s="1975"/>
      <c r="N334" s="1975"/>
      <c r="O334" s="1975"/>
      <c r="P334" s="1975"/>
      <c r="Q334" s="1975"/>
      <c r="R334" s="1975"/>
      <c r="S334" s="1987"/>
    </row>
    <row r="335" spans="2:19" s="1087" customFormat="1" x14ac:dyDescent="0.25">
      <c r="B335" s="1975" t="s">
        <v>34</v>
      </c>
      <c r="C335" s="1975"/>
      <c r="D335" s="1975"/>
      <c r="E335" s="1975"/>
      <c r="F335" s="1975"/>
      <c r="G335" s="2000"/>
      <c r="H335" s="2000"/>
      <c r="I335" s="2000"/>
      <c r="J335" s="2000"/>
      <c r="K335" s="2001"/>
      <c r="L335" s="2001"/>
      <c r="M335" s="1975"/>
      <c r="N335" s="1975"/>
      <c r="O335" s="1975"/>
      <c r="P335" s="1975"/>
      <c r="Q335" s="1975"/>
      <c r="R335" s="1975"/>
      <c r="S335" s="1987"/>
    </row>
    <row r="336" spans="2:19" s="1087" customFormat="1" x14ac:dyDescent="0.25">
      <c r="B336" s="1975" t="s">
        <v>36</v>
      </c>
      <c r="C336" s="1975"/>
      <c r="D336" s="1975"/>
      <c r="E336" s="1975"/>
      <c r="F336" s="1975"/>
      <c r="G336" s="2000"/>
      <c r="H336" s="2000"/>
      <c r="I336" s="2000"/>
      <c r="J336" s="2000"/>
      <c r="K336" s="2001"/>
      <c r="L336" s="2001"/>
      <c r="M336" s="1975"/>
      <c r="N336" s="1975"/>
      <c r="O336" s="1975"/>
      <c r="P336" s="1975"/>
      <c r="Q336" s="1975"/>
      <c r="R336" s="1975"/>
      <c r="S336" s="1987"/>
    </row>
    <row r="337" spans="2:19" s="1087" customFormat="1" x14ac:dyDescent="0.25">
      <c r="B337" s="1975" t="s">
        <v>36</v>
      </c>
      <c r="C337" s="1975"/>
      <c r="D337" s="1975"/>
      <c r="E337" s="1975"/>
      <c r="F337" s="1975"/>
      <c r="G337" s="2000"/>
      <c r="H337" s="2000"/>
      <c r="I337" s="2000"/>
      <c r="J337" s="2000"/>
      <c r="K337" s="2001"/>
      <c r="L337" s="2001"/>
      <c r="M337" s="1975"/>
      <c r="N337" s="1975"/>
      <c r="O337" s="1975"/>
      <c r="P337" s="1975"/>
      <c r="Q337" s="1975"/>
      <c r="R337" s="1975"/>
      <c r="S337" s="1987"/>
    </row>
    <row r="338" spans="2:19" s="1087" customFormat="1" x14ac:dyDescent="0.25">
      <c r="B338" s="1975">
        <v>0</v>
      </c>
      <c r="C338" s="1975"/>
      <c r="D338" s="1975"/>
      <c r="E338" s="1975"/>
      <c r="F338" s="1975"/>
      <c r="G338" s="2000"/>
      <c r="H338" s="2000"/>
      <c r="I338" s="2000"/>
      <c r="J338" s="2000"/>
      <c r="K338" s="2001"/>
      <c r="L338" s="2001"/>
      <c r="M338" s="1975"/>
      <c r="N338" s="1975"/>
      <c r="O338" s="1975"/>
      <c r="P338" s="1975"/>
      <c r="Q338" s="1975"/>
      <c r="R338" s="1975"/>
      <c r="S338" s="1987"/>
    </row>
    <row r="339" spans="2:19" s="1087" customFormat="1" x14ac:dyDescent="0.25">
      <c r="B339" s="1974" t="s">
        <v>186</v>
      </c>
      <c r="C339" s="1975"/>
      <c r="D339" s="1975"/>
      <c r="E339" s="1975"/>
      <c r="F339" s="1975"/>
      <c r="G339" s="2000"/>
      <c r="H339" s="2000"/>
      <c r="I339" s="2000"/>
      <c r="J339" s="2000"/>
      <c r="K339" s="2001"/>
      <c r="L339" s="2001"/>
      <c r="M339" s="1975"/>
      <c r="N339" s="1975"/>
      <c r="O339" s="1975"/>
      <c r="P339" s="1975"/>
      <c r="Q339" s="1975"/>
      <c r="R339" s="1975"/>
      <c r="S339" s="1987"/>
    </row>
    <row r="340" spans="2:19" s="1087" customFormat="1" x14ac:dyDescent="0.25">
      <c r="B340" s="1975" t="s">
        <v>35</v>
      </c>
      <c r="C340" s="1975"/>
      <c r="D340" s="1975"/>
      <c r="E340" s="1975"/>
      <c r="F340" s="1975"/>
      <c r="G340" s="2000"/>
      <c r="H340" s="2000"/>
      <c r="I340" s="2000"/>
      <c r="J340" s="2000"/>
      <c r="K340" s="2001"/>
      <c r="L340" s="2001"/>
      <c r="M340" s="1975"/>
      <c r="N340" s="1975"/>
      <c r="O340" s="1975"/>
      <c r="P340" s="1975"/>
      <c r="Q340" s="1975"/>
      <c r="R340" s="1975"/>
      <c r="S340" s="1987"/>
    </row>
    <row r="341" spans="2:19" s="1087" customFormat="1" ht="28" x14ac:dyDescent="0.25">
      <c r="B341" s="1975" t="s">
        <v>2090</v>
      </c>
      <c r="C341" s="1975" t="s">
        <v>2084</v>
      </c>
      <c r="D341" s="1975" t="s">
        <v>2091</v>
      </c>
      <c r="E341" s="1975" t="s">
        <v>2092</v>
      </c>
      <c r="F341" s="1975" t="s">
        <v>2087</v>
      </c>
      <c r="G341" s="2000" t="s">
        <v>2093</v>
      </c>
      <c r="H341" s="2000"/>
      <c r="I341" s="2000" t="s">
        <v>2093</v>
      </c>
      <c r="J341" s="2000" t="s">
        <v>2094</v>
      </c>
      <c r="K341" s="2001">
        <v>0</v>
      </c>
      <c r="L341" s="2001" t="s">
        <v>2036</v>
      </c>
      <c r="M341" s="1975">
        <v>30.19</v>
      </c>
      <c r="N341" s="1975">
        <f>SUM(F4.2!AD72:AE72)</f>
        <v>22.47</v>
      </c>
      <c r="O341" s="1975"/>
      <c r="P341" s="1975"/>
      <c r="Q341" s="1975"/>
      <c r="R341" s="1975"/>
      <c r="S341" s="1987">
        <f>N341-M341</f>
        <v>-7.7200000000000024</v>
      </c>
    </row>
    <row r="342" spans="2:19" s="1087" customFormat="1" x14ac:dyDescent="0.25">
      <c r="B342" s="1974" t="s">
        <v>36</v>
      </c>
      <c r="C342" s="1975"/>
      <c r="D342" s="1975"/>
      <c r="E342" s="1975"/>
      <c r="F342" s="1975"/>
      <c r="G342" s="2000"/>
      <c r="H342" s="2000"/>
      <c r="I342" s="2000"/>
      <c r="J342" s="2000"/>
      <c r="K342" s="2001"/>
      <c r="L342" s="2001"/>
      <c r="M342" s="1975"/>
      <c r="N342" s="1975"/>
      <c r="O342" s="1975"/>
      <c r="P342" s="1975"/>
      <c r="Q342" s="1975"/>
      <c r="R342" s="1975"/>
      <c r="S342" s="1987"/>
    </row>
    <row r="343" spans="2:19" s="1087" customFormat="1" x14ac:dyDescent="0.25">
      <c r="B343" s="1974" t="s">
        <v>2081</v>
      </c>
      <c r="C343" s="1975"/>
      <c r="D343" s="1975"/>
      <c r="E343" s="1975"/>
      <c r="F343" s="1975"/>
      <c r="G343" s="2000"/>
      <c r="H343" s="2000"/>
      <c r="I343" s="2000"/>
      <c r="J343" s="2000"/>
      <c r="K343" s="2001"/>
      <c r="L343" s="2001"/>
      <c r="M343" s="1975"/>
      <c r="N343" s="1975"/>
      <c r="O343" s="1975"/>
      <c r="P343" s="1975"/>
      <c r="Q343" s="1975"/>
      <c r="R343" s="1975"/>
      <c r="S343" s="1987"/>
    </row>
    <row r="344" spans="2:19" s="1087" customFormat="1" x14ac:dyDescent="0.25">
      <c r="B344" s="1975">
        <v>0</v>
      </c>
      <c r="C344" s="1975"/>
      <c r="D344" s="1975"/>
      <c r="E344" s="1975"/>
      <c r="F344" s="1975"/>
      <c r="G344" s="2000"/>
      <c r="H344" s="2000"/>
      <c r="I344" s="2000"/>
      <c r="J344" s="2000"/>
      <c r="K344" s="2001"/>
      <c r="L344" s="2001"/>
      <c r="M344" s="1975"/>
      <c r="N344" s="1975"/>
      <c r="O344" s="1975"/>
      <c r="P344" s="1975"/>
      <c r="Q344" s="1975"/>
      <c r="R344" s="1975"/>
      <c r="S344" s="1987"/>
    </row>
    <row r="345" spans="2:19" s="1087" customFormat="1" x14ac:dyDescent="0.25">
      <c r="B345" s="1975" t="s">
        <v>36</v>
      </c>
      <c r="C345" s="1975"/>
      <c r="D345" s="1975"/>
      <c r="E345" s="1975"/>
      <c r="F345" s="1975"/>
      <c r="G345" s="2000"/>
      <c r="H345" s="2000"/>
      <c r="I345" s="2000"/>
      <c r="J345" s="2000"/>
      <c r="K345" s="2001"/>
      <c r="L345" s="2001"/>
      <c r="M345" s="1975"/>
      <c r="N345" s="1975"/>
      <c r="O345" s="1975"/>
      <c r="P345" s="1975"/>
      <c r="Q345" s="1975"/>
      <c r="R345" s="1975"/>
      <c r="S345" s="1987"/>
    </row>
    <row r="346" spans="2:19" s="1087" customFormat="1" x14ac:dyDescent="0.25">
      <c r="B346" s="1974" t="s">
        <v>34</v>
      </c>
      <c r="C346" s="1975"/>
      <c r="D346" s="1975"/>
      <c r="E346" s="1975"/>
      <c r="F346" s="1975"/>
      <c r="G346" s="2000"/>
      <c r="H346" s="2000"/>
      <c r="I346" s="2000"/>
      <c r="J346" s="2000"/>
      <c r="K346" s="2001"/>
      <c r="L346" s="2001"/>
      <c r="M346" s="1975"/>
      <c r="N346" s="1975"/>
      <c r="O346" s="1975"/>
      <c r="P346" s="1975"/>
      <c r="Q346" s="1975"/>
      <c r="R346" s="1975"/>
      <c r="S346" s="1987"/>
    </row>
    <row r="347" spans="2:19" s="1087" customFormat="1" x14ac:dyDescent="0.25">
      <c r="B347" s="1978" t="s">
        <v>36</v>
      </c>
      <c r="C347" s="1975"/>
      <c r="D347" s="1975"/>
      <c r="E347" s="1975"/>
      <c r="F347" s="1975"/>
      <c r="G347" s="2000"/>
      <c r="H347" s="2000"/>
      <c r="I347" s="2000"/>
      <c r="J347" s="2000"/>
      <c r="K347" s="2001"/>
      <c r="L347" s="2001"/>
      <c r="M347" s="1975"/>
      <c r="N347" s="1975"/>
      <c r="O347" s="1975"/>
      <c r="P347" s="1975"/>
      <c r="Q347" s="1975"/>
      <c r="R347" s="1975"/>
      <c r="S347" s="1987"/>
    </row>
    <row r="348" spans="2:19" s="1087" customFormat="1" x14ac:dyDescent="0.25">
      <c r="B348" s="1979">
        <v>0</v>
      </c>
      <c r="C348" s="1975"/>
      <c r="D348" s="1975"/>
      <c r="E348" s="1975"/>
      <c r="F348" s="1975"/>
      <c r="G348" s="2000"/>
      <c r="H348" s="2000"/>
      <c r="I348" s="2000"/>
      <c r="J348" s="2000"/>
      <c r="K348" s="2001"/>
      <c r="L348" s="2001"/>
      <c r="M348" s="1975"/>
      <c r="N348" s="1975"/>
      <c r="O348" s="1975"/>
      <c r="P348" s="1975"/>
      <c r="Q348" s="1975"/>
      <c r="R348" s="1975"/>
      <c r="S348" s="1987"/>
    </row>
    <row r="349" spans="2:19" s="1087" customFormat="1" x14ac:dyDescent="0.25">
      <c r="B349" s="1974" t="s">
        <v>426</v>
      </c>
      <c r="C349" s="1975"/>
      <c r="D349" s="1975"/>
      <c r="E349" s="1975"/>
      <c r="F349" s="1975"/>
      <c r="G349" s="2000"/>
      <c r="H349" s="2000"/>
      <c r="I349" s="2000"/>
      <c r="J349" s="2000"/>
      <c r="K349" s="2001"/>
      <c r="L349" s="2001"/>
      <c r="M349" s="1975"/>
      <c r="N349" s="1975"/>
      <c r="O349" s="1975"/>
      <c r="P349" s="1975"/>
      <c r="Q349" s="1975"/>
      <c r="R349" s="1975"/>
      <c r="S349" s="1987"/>
    </row>
    <row r="350" spans="2:19" s="1087" customFormat="1" x14ac:dyDescent="0.25">
      <c r="B350" s="1975" t="s">
        <v>33</v>
      </c>
      <c r="C350" s="1975"/>
      <c r="D350" s="1975"/>
      <c r="E350" s="1975"/>
      <c r="F350" s="1975"/>
      <c r="G350" s="2000"/>
      <c r="H350" s="2000"/>
      <c r="I350" s="2000"/>
      <c r="J350" s="2000"/>
      <c r="K350" s="2001"/>
      <c r="L350" s="2001"/>
      <c r="M350" s="1975"/>
      <c r="N350" s="1975"/>
      <c r="O350" s="1975"/>
      <c r="P350" s="1975"/>
      <c r="Q350" s="1975"/>
      <c r="R350" s="1975"/>
      <c r="S350" s="1987"/>
    </row>
    <row r="351" spans="2:19" x14ac:dyDescent="0.25">
      <c r="B351" s="1979" t="s">
        <v>35</v>
      </c>
      <c r="C351" s="1975"/>
      <c r="D351" s="1975"/>
      <c r="E351" s="1975"/>
      <c r="F351" s="1975"/>
      <c r="G351" s="2000"/>
      <c r="H351" s="2000"/>
      <c r="I351" s="2000"/>
      <c r="J351" s="2000"/>
      <c r="K351" s="2001"/>
      <c r="L351" s="2001"/>
      <c r="M351" s="1975"/>
      <c r="N351" s="1975"/>
      <c r="O351" s="1975"/>
      <c r="P351" s="1975"/>
      <c r="Q351" s="1975"/>
      <c r="R351" s="1975"/>
      <c r="S351" s="1987"/>
    </row>
    <row r="352" spans="2:19" x14ac:dyDescent="0.3">
      <c r="B352" s="325" t="s">
        <v>2004</v>
      </c>
      <c r="C352" s="1975"/>
      <c r="D352" s="1975"/>
      <c r="E352" s="1975"/>
      <c r="F352" s="1975"/>
      <c r="G352" s="2000"/>
      <c r="H352" s="2000"/>
      <c r="I352" s="2000"/>
      <c r="J352" s="2000"/>
      <c r="K352" s="2001"/>
      <c r="L352" s="2001"/>
      <c r="M352" s="1975"/>
      <c r="N352" s="1975">
        <f>SUM(F4.2!AE72:AF72)</f>
        <v>11.95</v>
      </c>
      <c r="O352" s="1975"/>
      <c r="P352" s="1975"/>
      <c r="Q352" s="1975"/>
      <c r="R352" s="1975"/>
      <c r="S352" s="1987"/>
    </row>
    <row r="353" spans="2:28" x14ac:dyDescent="0.25">
      <c r="B353" s="1975" t="s">
        <v>36</v>
      </c>
      <c r="C353" s="1975"/>
      <c r="D353" s="1975"/>
      <c r="E353" s="1975"/>
      <c r="F353" s="1975"/>
      <c r="G353" s="2000"/>
      <c r="H353" s="2000"/>
      <c r="I353" s="2000"/>
      <c r="J353" s="2000"/>
      <c r="K353" s="2001"/>
      <c r="L353" s="2001"/>
      <c r="M353" s="1975"/>
      <c r="N353" s="1975"/>
      <c r="O353" s="1975"/>
      <c r="P353" s="1975"/>
      <c r="Q353" s="1975"/>
      <c r="R353" s="1975"/>
      <c r="S353" s="1987"/>
    </row>
    <row r="354" spans="2:28" x14ac:dyDescent="0.25">
      <c r="B354" s="1974" t="s">
        <v>2081</v>
      </c>
      <c r="C354" s="1975"/>
      <c r="D354" s="1975"/>
      <c r="E354" s="1975"/>
      <c r="F354" s="1975"/>
      <c r="G354" s="2000"/>
      <c r="H354" s="2000"/>
      <c r="I354" s="2000"/>
      <c r="J354" s="2000"/>
      <c r="K354" s="2001"/>
      <c r="L354" s="2001"/>
      <c r="M354" s="1975"/>
      <c r="N354" s="1975"/>
      <c r="O354" s="1975"/>
      <c r="P354" s="1975"/>
      <c r="Q354" s="1975"/>
      <c r="R354" s="1975"/>
      <c r="S354" s="1987"/>
      <c r="T354" s="1086"/>
      <c r="U354" s="1086"/>
      <c r="V354" s="1086"/>
      <c r="W354" s="1086"/>
      <c r="X354" s="1086"/>
      <c r="Y354" s="1086"/>
      <c r="Z354" s="1086"/>
      <c r="AA354" s="1086"/>
      <c r="AB354" s="1086"/>
    </row>
    <row r="355" spans="2:28" ht="28" x14ac:dyDescent="0.25">
      <c r="B355" s="1975" t="s">
        <v>2005</v>
      </c>
      <c r="C355" s="1975" t="s">
        <v>2084</v>
      </c>
      <c r="D355" s="1975" t="s">
        <v>2041</v>
      </c>
      <c r="E355" s="1975" t="s">
        <v>2041</v>
      </c>
      <c r="F355" s="1975" t="s">
        <v>2087</v>
      </c>
      <c r="G355" s="2000" t="s">
        <v>2099</v>
      </c>
      <c r="H355" s="2000"/>
      <c r="I355" s="2000" t="s">
        <v>2099</v>
      </c>
      <c r="J355" s="2000" t="s">
        <v>2100</v>
      </c>
      <c r="K355" s="2001" t="s">
        <v>2041</v>
      </c>
      <c r="L355" s="2001" t="s">
        <v>2036</v>
      </c>
      <c r="M355" s="1975">
        <v>25.46</v>
      </c>
      <c r="N355" s="1975">
        <f>SUM(F4.2!AE75:AF75)</f>
        <v>14.63</v>
      </c>
      <c r="O355" s="1975"/>
      <c r="P355" s="1975"/>
      <c r="Q355" s="1975"/>
      <c r="R355" s="1975"/>
      <c r="S355" s="1987">
        <f>N355-M355</f>
        <v>-10.83</v>
      </c>
      <c r="T355" s="1086"/>
      <c r="U355" s="1086"/>
      <c r="V355" s="1086"/>
      <c r="W355" s="1086"/>
      <c r="X355" s="1086"/>
      <c r="Y355" s="1086"/>
      <c r="Z355" s="1086"/>
      <c r="AA355" s="1086"/>
      <c r="AB355" s="1086"/>
    </row>
    <row r="356" spans="2:28" x14ac:dyDescent="0.25">
      <c r="B356" s="1975" t="s">
        <v>34</v>
      </c>
      <c r="C356" s="1975"/>
      <c r="D356" s="1975"/>
      <c r="E356" s="1975"/>
      <c r="F356" s="1975"/>
      <c r="G356" s="2000"/>
      <c r="H356" s="2000"/>
      <c r="I356" s="2000"/>
      <c r="J356" s="2000"/>
      <c r="K356" s="2001"/>
      <c r="L356" s="2001"/>
      <c r="M356" s="1975"/>
      <c r="N356" s="1975"/>
      <c r="O356" s="1975"/>
      <c r="P356" s="1975"/>
      <c r="Q356" s="1975"/>
      <c r="R356" s="1975"/>
      <c r="S356" s="1987"/>
      <c r="T356" s="1086"/>
      <c r="U356" s="1086"/>
      <c r="V356" s="1086"/>
      <c r="W356" s="1086"/>
      <c r="X356" s="1086"/>
      <c r="Y356" s="1086"/>
      <c r="Z356" s="1086"/>
      <c r="AA356" s="1086"/>
      <c r="AB356" s="1086"/>
    </row>
    <row r="357" spans="2:28" x14ac:dyDescent="0.25">
      <c r="B357" s="1975" t="s">
        <v>36</v>
      </c>
      <c r="C357" s="1975"/>
      <c r="D357" s="1975"/>
      <c r="E357" s="1975"/>
      <c r="F357" s="1975"/>
      <c r="G357" s="2000"/>
      <c r="H357" s="2000"/>
      <c r="I357" s="2000"/>
      <c r="J357" s="2000"/>
      <c r="K357" s="2001"/>
      <c r="L357" s="2001"/>
      <c r="M357" s="1975"/>
      <c r="N357" s="1975"/>
      <c r="O357" s="1975"/>
      <c r="P357" s="1975"/>
      <c r="Q357" s="1975"/>
      <c r="R357" s="1975"/>
      <c r="S357" s="1987"/>
      <c r="T357" s="1084"/>
      <c r="U357" s="1084"/>
      <c r="V357" s="1084"/>
      <c r="W357" s="1084"/>
      <c r="X357" s="1084"/>
      <c r="Y357" s="1086"/>
      <c r="Z357" s="1086"/>
      <c r="AA357" s="1086"/>
    </row>
    <row r="358" spans="2:28" x14ac:dyDescent="0.25">
      <c r="B358" s="1974" t="s">
        <v>427</v>
      </c>
      <c r="C358" s="1975"/>
      <c r="D358" s="1975"/>
      <c r="E358" s="1975"/>
      <c r="F358" s="1975"/>
      <c r="G358" s="2000"/>
      <c r="H358" s="2000"/>
      <c r="I358" s="2000"/>
      <c r="J358" s="2000"/>
      <c r="K358" s="2001"/>
      <c r="L358" s="2001"/>
      <c r="M358" s="1975"/>
      <c r="N358" s="1975"/>
      <c r="O358" s="1975"/>
      <c r="P358" s="1975"/>
      <c r="Q358" s="1975"/>
      <c r="R358" s="1975"/>
      <c r="S358" s="1987"/>
    </row>
    <row r="359" spans="2:28" x14ac:dyDescent="0.25">
      <c r="B359" s="1978" t="s">
        <v>33</v>
      </c>
      <c r="C359" s="1975"/>
      <c r="D359" s="1975"/>
      <c r="E359" s="1975"/>
      <c r="F359" s="1975"/>
      <c r="G359" s="2000"/>
      <c r="H359" s="2000"/>
      <c r="I359" s="2000"/>
      <c r="J359" s="2000"/>
      <c r="K359" s="2001"/>
      <c r="L359" s="2001"/>
      <c r="M359" s="1975"/>
      <c r="N359" s="1975"/>
      <c r="O359" s="1975"/>
      <c r="P359" s="1975"/>
      <c r="Q359" s="1975"/>
      <c r="R359" s="1975"/>
      <c r="S359" s="1987"/>
    </row>
    <row r="360" spans="2:28" x14ac:dyDescent="0.25">
      <c r="B360" s="1979" t="s">
        <v>35</v>
      </c>
      <c r="C360" s="1975"/>
      <c r="D360" s="1975"/>
      <c r="E360" s="1975"/>
      <c r="F360" s="1975"/>
      <c r="G360" s="2000"/>
      <c r="H360" s="2000"/>
      <c r="I360" s="2000"/>
      <c r="J360" s="2000"/>
      <c r="K360" s="2001"/>
      <c r="L360" s="2001"/>
      <c r="M360" s="1975"/>
      <c r="N360" s="1975"/>
      <c r="O360" s="1975"/>
      <c r="P360" s="1975"/>
      <c r="Q360" s="1975"/>
      <c r="R360" s="1975"/>
      <c r="S360" s="1987"/>
    </row>
    <row r="361" spans="2:28" s="1087" customFormat="1" x14ac:dyDescent="0.3">
      <c r="B361" s="325" t="s">
        <v>2004</v>
      </c>
      <c r="C361" s="1975"/>
      <c r="D361" s="1975"/>
      <c r="E361" s="1975"/>
      <c r="F361" s="1975"/>
      <c r="G361" s="2000"/>
      <c r="H361" s="2000"/>
      <c r="I361" s="2000"/>
      <c r="J361" s="2000"/>
      <c r="K361" s="2001"/>
      <c r="L361" s="2001"/>
      <c r="M361" s="1975"/>
      <c r="N361" s="1975">
        <f>SUM(F4.2!AF72:AG72)</f>
        <v>0</v>
      </c>
      <c r="O361" s="1975"/>
      <c r="P361" s="1975"/>
      <c r="Q361" s="1975"/>
      <c r="R361" s="1975"/>
      <c r="S361" s="1987"/>
    </row>
    <row r="362" spans="2:28" s="1087" customFormat="1" x14ac:dyDescent="0.25">
      <c r="B362" s="1974" t="s">
        <v>2081</v>
      </c>
      <c r="C362" s="1975"/>
      <c r="D362" s="1975"/>
      <c r="E362" s="1975"/>
      <c r="F362" s="1975"/>
      <c r="G362" s="2000"/>
      <c r="H362" s="2000"/>
      <c r="I362" s="2000"/>
      <c r="J362" s="2000"/>
      <c r="K362" s="2001"/>
      <c r="L362" s="2001"/>
      <c r="M362" s="1975"/>
      <c r="N362" s="1975"/>
      <c r="O362" s="1975"/>
      <c r="P362" s="1975"/>
      <c r="Q362" s="1975"/>
      <c r="R362" s="1975"/>
      <c r="S362" s="1987"/>
    </row>
    <row r="363" spans="2:28" s="1087" customFormat="1" ht="28" x14ac:dyDescent="0.25">
      <c r="B363" s="1979" t="s">
        <v>2005</v>
      </c>
      <c r="C363" s="1975" t="s">
        <v>2084</v>
      </c>
      <c r="D363" s="1975">
        <v>0</v>
      </c>
      <c r="E363" s="1975">
        <v>0</v>
      </c>
      <c r="F363" s="1975" t="s">
        <v>2087</v>
      </c>
      <c r="G363" s="2000" t="s">
        <v>2099</v>
      </c>
      <c r="H363" s="2000"/>
      <c r="I363" s="2000" t="s">
        <v>2099</v>
      </c>
      <c r="J363" s="2000" t="s">
        <v>2100</v>
      </c>
      <c r="K363" s="2001" t="s">
        <v>2041</v>
      </c>
      <c r="L363" s="2001" t="s">
        <v>2036</v>
      </c>
      <c r="M363" s="1975">
        <v>25.46</v>
      </c>
      <c r="N363" s="1975">
        <f>SUM(F4.2!AF75:AG75)</f>
        <v>25.47</v>
      </c>
      <c r="O363" s="1975"/>
      <c r="P363" s="1975"/>
      <c r="Q363" s="1975"/>
      <c r="R363" s="1975"/>
      <c r="S363" s="1987">
        <f>N363-M363</f>
        <v>9.9999999999980105E-3</v>
      </c>
    </row>
    <row r="364" spans="2:28" s="1087" customFormat="1" x14ac:dyDescent="0.25">
      <c r="B364" s="1975">
        <v>0</v>
      </c>
      <c r="C364" s="1975">
        <v>0</v>
      </c>
      <c r="D364" s="1975">
        <v>0</v>
      </c>
      <c r="E364" s="1975">
        <v>0</v>
      </c>
      <c r="F364" s="1975">
        <v>0</v>
      </c>
      <c r="G364" s="1976"/>
      <c r="H364" s="1976"/>
      <c r="I364" s="2002"/>
      <c r="J364" s="2002"/>
      <c r="K364" s="1980">
        <v>0</v>
      </c>
      <c r="L364" s="1980">
        <v>0</v>
      </c>
      <c r="M364" s="1975">
        <v>0</v>
      </c>
      <c r="N364" s="1975"/>
      <c r="O364" s="1975"/>
      <c r="P364" s="1975"/>
      <c r="Q364" s="1975"/>
      <c r="R364" s="1975"/>
      <c r="S364" s="1987">
        <f>N364-M364</f>
        <v>0</v>
      </c>
    </row>
    <row r="365" spans="2:28" s="1087" customFormat="1" x14ac:dyDescent="0.25">
      <c r="B365" s="1975">
        <v>0</v>
      </c>
      <c r="C365" s="1975"/>
      <c r="D365" s="1975"/>
      <c r="E365" s="1975"/>
      <c r="F365" s="1975"/>
      <c r="G365" s="1976"/>
      <c r="H365" s="1976"/>
      <c r="I365" s="2002"/>
      <c r="J365" s="2002"/>
      <c r="K365" s="1980"/>
      <c r="L365" s="1980"/>
      <c r="M365" s="1975"/>
      <c r="N365" s="1975"/>
      <c r="O365" s="1975"/>
      <c r="P365" s="1975"/>
      <c r="Q365" s="1975"/>
      <c r="R365" s="1975"/>
      <c r="S365" s="1987"/>
    </row>
    <row r="366" spans="2:28" s="1087" customFormat="1" x14ac:dyDescent="0.25">
      <c r="B366" s="1974" t="s">
        <v>34</v>
      </c>
      <c r="C366" s="1975"/>
      <c r="D366" s="1975"/>
      <c r="E366" s="1975"/>
      <c r="F366" s="1975"/>
      <c r="G366" s="1976"/>
      <c r="H366" s="1976"/>
      <c r="I366" s="2002"/>
      <c r="J366" s="2002"/>
      <c r="K366" s="1980"/>
      <c r="L366" s="1980"/>
      <c r="M366" s="1975"/>
      <c r="N366" s="1975"/>
      <c r="O366" s="1975"/>
      <c r="P366" s="1975"/>
      <c r="Q366" s="1975"/>
      <c r="R366" s="1975"/>
      <c r="S366" s="1987"/>
    </row>
    <row r="367" spans="2:28" s="1087" customFormat="1" x14ac:dyDescent="0.25">
      <c r="B367" s="1975">
        <v>0</v>
      </c>
      <c r="C367" s="1975"/>
      <c r="D367" s="1975"/>
      <c r="E367" s="1975"/>
      <c r="F367" s="1975"/>
      <c r="G367" s="1976"/>
      <c r="H367" s="1976"/>
      <c r="I367" s="2002"/>
      <c r="J367" s="2002"/>
      <c r="K367" s="1980"/>
      <c r="L367" s="1980"/>
      <c r="M367" s="1975"/>
      <c r="N367" s="1975"/>
      <c r="O367" s="1975"/>
      <c r="P367" s="1975"/>
      <c r="Q367" s="1975"/>
      <c r="R367" s="1975"/>
      <c r="S367" s="1987"/>
    </row>
    <row r="368" spans="2:28" s="1087" customFormat="1" x14ac:dyDescent="0.25">
      <c r="B368" s="1974" t="s">
        <v>428</v>
      </c>
      <c r="C368" s="1975"/>
      <c r="D368" s="1975"/>
      <c r="E368" s="1975"/>
      <c r="F368" s="1975"/>
      <c r="G368" s="1976"/>
      <c r="H368" s="1976"/>
      <c r="I368" s="2002"/>
      <c r="J368" s="2002"/>
      <c r="K368" s="1980"/>
      <c r="L368" s="1980"/>
      <c r="M368" s="1975"/>
      <c r="N368" s="1975"/>
      <c r="O368" s="1975"/>
      <c r="P368" s="1975"/>
      <c r="Q368" s="1975"/>
      <c r="R368" s="1975"/>
      <c r="S368" s="1987"/>
    </row>
    <row r="369" spans="2:19" s="1087" customFormat="1" x14ac:dyDescent="0.25">
      <c r="B369" s="1997" t="s">
        <v>33</v>
      </c>
      <c r="C369" s="1975"/>
      <c r="D369" s="1975"/>
      <c r="E369" s="1975"/>
      <c r="F369" s="1975"/>
      <c r="G369" s="1976"/>
      <c r="H369" s="1976"/>
      <c r="I369" s="2002"/>
      <c r="J369" s="2002"/>
      <c r="K369" s="1980"/>
      <c r="L369" s="1980"/>
      <c r="M369" s="1975"/>
      <c r="N369" s="1975"/>
      <c r="O369" s="1975"/>
      <c r="P369" s="1975"/>
      <c r="Q369" s="1975"/>
      <c r="R369" s="1975"/>
      <c r="S369" s="1987"/>
    </row>
    <row r="370" spans="2:19" s="1087" customFormat="1" x14ac:dyDescent="0.25">
      <c r="B370" s="1978" t="s">
        <v>35</v>
      </c>
      <c r="C370" s="1974"/>
      <c r="D370" s="1974"/>
      <c r="E370" s="1974"/>
      <c r="F370" s="1974"/>
      <c r="G370" s="2003"/>
      <c r="H370" s="2003"/>
      <c r="I370" s="2004"/>
      <c r="J370" s="2004"/>
      <c r="K370" s="2005"/>
      <c r="L370" s="2005"/>
      <c r="M370" s="1974"/>
      <c r="N370" s="1974"/>
      <c r="O370" s="1974"/>
      <c r="P370" s="1974"/>
      <c r="Q370" s="1974"/>
      <c r="R370" s="1974"/>
      <c r="S370" s="1987"/>
    </row>
    <row r="371" spans="2:19" s="1087" customFormat="1" x14ac:dyDescent="0.3">
      <c r="B371" s="325" t="s">
        <v>2004</v>
      </c>
      <c r="C371" s="1974"/>
      <c r="D371" s="1974"/>
      <c r="E371" s="1974"/>
      <c r="F371" s="1974"/>
      <c r="G371" s="2003"/>
      <c r="H371" s="2003"/>
      <c r="I371" s="2004"/>
      <c r="J371" s="2004"/>
      <c r="K371" s="2005"/>
      <c r="L371" s="2005"/>
      <c r="M371" s="1974"/>
      <c r="N371" s="1974"/>
      <c r="O371" s="1974"/>
      <c r="P371" s="1974"/>
      <c r="Q371" s="1974"/>
      <c r="R371" s="1974"/>
      <c r="S371" s="1987"/>
    </row>
    <row r="372" spans="2:19" s="1087" customFormat="1" x14ac:dyDescent="0.25">
      <c r="B372" s="2006" t="s">
        <v>2081</v>
      </c>
      <c r="C372" s="1974"/>
      <c r="D372" s="1974"/>
      <c r="E372" s="1974"/>
      <c r="F372" s="1974"/>
      <c r="G372" s="2003"/>
      <c r="H372" s="2003"/>
      <c r="I372" s="2004"/>
      <c r="J372" s="2004"/>
      <c r="K372" s="2005"/>
      <c r="L372" s="2005"/>
      <c r="M372" s="1974"/>
      <c r="N372" s="1974"/>
      <c r="O372" s="1974"/>
      <c r="P372" s="1974"/>
      <c r="Q372" s="1974"/>
      <c r="R372" s="1974"/>
      <c r="S372" s="1987"/>
    </row>
    <row r="373" spans="2:19" s="1087" customFormat="1" ht="42" x14ac:dyDescent="0.25">
      <c r="B373" s="1975" t="s">
        <v>2101</v>
      </c>
      <c r="C373" s="1974">
        <v>0</v>
      </c>
      <c r="D373" s="1974">
        <v>0</v>
      </c>
      <c r="E373" s="1974">
        <v>0</v>
      </c>
      <c r="F373" s="1975" t="s">
        <v>2102</v>
      </c>
      <c r="G373" s="1976"/>
      <c r="H373" s="1976"/>
      <c r="I373" s="2002"/>
      <c r="J373" s="2002"/>
      <c r="K373" s="2005">
        <v>0</v>
      </c>
      <c r="L373" s="2005">
        <v>0</v>
      </c>
      <c r="M373" s="1975">
        <v>289.00094999999999</v>
      </c>
      <c r="N373" s="1975">
        <f>SUM(F4.2!AG76:AH76)</f>
        <v>289.00094999999999</v>
      </c>
      <c r="O373" s="1974"/>
      <c r="P373" s="1974"/>
      <c r="Q373" s="1974"/>
      <c r="R373" s="1974"/>
      <c r="S373" s="1987">
        <f>N373-M373</f>
        <v>0</v>
      </c>
    </row>
    <row r="374" spans="2:19" s="1087" customFormat="1" ht="42" x14ac:dyDescent="0.25">
      <c r="B374" s="1975" t="s">
        <v>2103</v>
      </c>
      <c r="C374" s="1974">
        <v>0</v>
      </c>
      <c r="D374" s="1974">
        <v>0</v>
      </c>
      <c r="E374" s="1974">
        <v>0</v>
      </c>
      <c r="F374" s="1975" t="s">
        <v>2102</v>
      </c>
      <c r="G374" s="1976"/>
      <c r="H374" s="1976"/>
      <c r="I374" s="2002"/>
      <c r="J374" s="2002"/>
      <c r="K374" s="2005">
        <v>0</v>
      </c>
      <c r="L374" s="2005">
        <v>0</v>
      </c>
      <c r="M374" s="1975">
        <v>73.617949999999993</v>
      </c>
      <c r="N374" s="1975">
        <f>SUM(F4.2!AG77:AH77)</f>
        <v>73.617949999999993</v>
      </c>
      <c r="O374" s="1974"/>
      <c r="P374" s="1974"/>
      <c r="Q374" s="1974"/>
      <c r="R374" s="1974"/>
      <c r="S374" s="1987">
        <f>N374-M374</f>
        <v>0</v>
      </c>
    </row>
    <row r="375" spans="2:19" s="1087" customFormat="1" x14ac:dyDescent="0.25">
      <c r="B375" s="1979" t="s">
        <v>2005</v>
      </c>
      <c r="C375" s="1974"/>
      <c r="D375" s="1974"/>
      <c r="E375" s="1974"/>
      <c r="F375" s="1974"/>
      <c r="G375" s="2003"/>
      <c r="H375" s="2003"/>
      <c r="I375" s="2004"/>
      <c r="J375" s="2004"/>
      <c r="K375" s="2005"/>
      <c r="L375" s="2005"/>
      <c r="M375" s="1974"/>
      <c r="N375" s="1974">
        <f>SUM(F4.2!AG75:AH75)</f>
        <v>10.84</v>
      </c>
      <c r="O375" s="1974"/>
      <c r="P375" s="1974"/>
      <c r="Q375" s="1974"/>
      <c r="R375" s="1974"/>
      <c r="S375" s="1987"/>
    </row>
    <row r="376" spans="2:19" s="1087" customFormat="1" x14ac:dyDescent="0.25">
      <c r="B376" s="1979" t="s">
        <v>34</v>
      </c>
      <c r="C376" s="1974"/>
      <c r="D376" s="1974"/>
      <c r="E376" s="1974"/>
      <c r="F376" s="1974"/>
      <c r="G376" s="2003"/>
      <c r="H376" s="2003"/>
      <c r="I376" s="2004"/>
      <c r="J376" s="2004"/>
      <c r="K376" s="2005"/>
      <c r="L376" s="2005"/>
      <c r="M376" s="1974"/>
      <c r="N376" s="1974"/>
      <c r="O376" s="1974"/>
      <c r="P376" s="1974"/>
      <c r="Q376" s="1974"/>
      <c r="R376" s="1974"/>
      <c r="S376" s="1987"/>
    </row>
    <row r="377" spans="2:19" s="1087" customFormat="1" x14ac:dyDescent="0.25">
      <c r="B377" s="1974" t="s">
        <v>429</v>
      </c>
      <c r="C377" s="1974"/>
      <c r="D377" s="1974"/>
      <c r="E377" s="1974"/>
      <c r="F377" s="1974"/>
      <c r="G377" s="2003"/>
      <c r="H377" s="2003"/>
      <c r="I377" s="2004"/>
      <c r="J377" s="2004"/>
      <c r="K377" s="2005"/>
      <c r="L377" s="2005"/>
      <c r="M377" s="1974"/>
      <c r="N377" s="1974"/>
      <c r="O377" s="1974"/>
      <c r="P377" s="1974"/>
      <c r="Q377" s="1974"/>
      <c r="R377" s="1974"/>
      <c r="S377" s="1987"/>
    </row>
    <row r="378" spans="2:19" s="1087" customFormat="1" x14ac:dyDescent="0.25">
      <c r="B378" s="1974" t="s">
        <v>33</v>
      </c>
      <c r="C378" s="1974"/>
      <c r="D378" s="1974"/>
      <c r="E378" s="1974"/>
      <c r="F378" s="1974"/>
      <c r="G378" s="2003"/>
      <c r="H378" s="2003"/>
      <c r="I378" s="2004"/>
      <c r="J378" s="2004"/>
      <c r="K378" s="2005"/>
      <c r="L378" s="2005"/>
      <c r="M378" s="1974"/>
      <c r="N378" s="1974"/>
      <c r="O378" s="1974"/>
      <c r="P378" s="1974"/>
      <c r="Q378" s="1974"/>
      <c r="R378" s="1974"/>
      <c r="S378" s="1987"/>
    </row>
    <row r="379" spans="2:19" s="1087" customFormat="1" x14ac:dyDescent="0.25">
      <c r="B379" s="1975" t="s">
        <v>35</v>
      </c>
      <c r="C379" s="1975"/>
      <c r="D379" s="1975"/>
      <c r="E379" s="1975"/>
      <c r="F379" s="1975"/>
      <c r="G379" s="1976"/>
      <c r="H379" s="1976"/>
      <c r="I379" s="2002"/>
      <c r="J379" s="2002"/>
      <c r="K379" s="1980"/>
      <c r="L379" s="1980"/>
      <c r="M379" s="1975"/>
      <c r="N379" s="1975"/>
      <c r="O379" s="1975"/>
      <c r="P379" s="1975"/>
      <c r="Q379" s="1975"/>
      <c r="R379" s="1975"/>
      <c r="S379" s="1987"/>
    </row>
    <row r="380" spans="2:19" s="1087" customFormat="1" x14ac:dyDescent="0.3">
      <c r="B380" s="325" t="s">
        <v>2004</v>
      </c>
      <c r="C380" s="1975"/>
      <c r="D380" s="1975"/>
      <c r="E380" s="1975"/>
      <c r="F380" s="1975"/>
      <c r="G380" s="1976"/>
      <c r="H380" s="1976"/>
      <c r="I380" s="2002"/>
      <c r="J380" s="2002"/>
      <c r="K380" s="1980"/>
      <c r="L380" s="1980"/>
      <c r="M380" s="1975"/>
      <c r="N380" s="1975"/>
      <c r="O380" s="1975"/>
      <c r="P380" s="1975"/>
      <c r="Q380" s="1975"/>
      <c r="R380" s="1975"/>
      <c r="S380" s="1987"/>
    </row>
    <row r="381" spans="2:19" s="1087" customFormat="1" x14ac:dyDescent="0.25">
      <c r="B381" s="1978" t="s">
        <v>2081</v>
      </c>
      <c r="C381" s="1975"/>
      <c r="D381" s="1975"/>
      <c r="E381" s="1975"/>
      <c r="F381" s="1975"/>
      <c r="G381" s="1976"/>
      <c r="H381" s="1976"/>
      <c r="I381" s="2002"/>
      <c r="J381" s="2002"/>
      <c r="K381" s="1980"/>
      <c r="L381" s="1980"/>
      <c r="M381" s="1975"/>
      <c r="N381" s="1975"/>
      <c r="O381" s="1975"/>
      <c r="P381" s="1975"/>
      <c r="Q381" s="1975"/>
      <c r="R381" s="1975"/>
      <c r="S381" s="1987"/>
    </row>
    <row r="382" spans="2:19" s="1087" customFormat="1" ht="42" x14ac:dyDescent="0.25">
      <c r="B382" s="1997" t="s">
        <v>2101</v>
      </c>
      <c r="C382" s="1975">
        <v>0</v>
      </c>
      <c r="D382" s="1975">
        <v>0</v>
      </c>
      <c r="E382" s="1975">
        <v>0</v>
      </c>
      <c r="F382" s="1975" t="s">
        <v>2102</v>
      </c>
      <c r="G382" s="1976"/>
      <c r="H382" s="1976"/>
      <c r="I382" s="2002"/>
      <c r="J382" s="2002"/>
      <c r="K382" s="1980">
        <v>0</v>
      </c>
      <c r="L382" s="1980">
        <v>0</v>
      </c>
      <c r="M382" s="1975">
        <v>46.334749999999993</v>
      </c>
      <c r="N382" s="1975">
        <f>SUM(F4.2!AH76:AI76)</f>
        <v>289.00094999999999</v>
      </c>
      <c r="O382" s="1975"/>
      <c r="P382" s="1975"/>
      <c r="Q382" s="1975"/>
      <c r="R382" s="1975"/>
      <c r="S382" s="1987">
        <f>N382-M382</f>
        <v>242.6662</v>
      </c>
    </row>
    <row r="383" spans="2:19" s="1087" customFormat="1" ht="42" x14ac:dyDescent="0.25">
      <c r="B383" s="1997" t="s">
        <v>2103</v>
      </c>
      <c r="C383" s="1975"/>
      <c r="D383" s="1975"/>
      <c r="E383" s="1975"/>
      <c r="F383" s="1975" t="s">
        <v>2102</v>
      </c>
      <c r="G383" s="1976"/>
      <c r="H383" s="1976"/>
      <c r="I383" s="1976"/>
      <c r="J383" s="1976"/>
      <c r="K383" s="1975"/>
      <c r="L383" s="1975"/>
      <c r="M383" s="1975"/>
      <c r="N383" s="1975">
        <f>SUM(F4.2!AH77:AI77)</f>
        <v>119.95269999999999</v>
      </c>
      <c r="O383" s="1975"/>
      <c r="P383" s="1975"/>
      <c r="Q383" s="1975"/>
      <c r="R383" s="1975"/>
      <c r="S383" s="1987"/>
    </row>
    <row r="384" spans="2:19" s="1087" customFormat="1" x14ac:dyDescent="0.25">
      <c r="B384" s="1979" t="s">
        <v>34</v>
      </c>
      <c r="C384" s="1975"/>
      <c r="D384" s="1975"/>
      <c r="E384" s="1975"/>
      <c r="F384" s="1975"/>
      <c r="G384" s="1976"/>
      <c r="H384" s="1976"/>
      <c r="I384" s="1976"/>
      <c r="J384" s="1976"/>
      <c r="K384" s="1975"/>
      <c r="L384" s="1975"/>
      <c r="M384" s="1975"/>
      <c r="N384" s="1975"/>
      <c r="O384" s="1975"/>
      <c r="P384" s="1975"/>
      <c r="Q384" s="1975"/>
      <c r="R384" s="1975"/>
      <c r="S384" s="1987"/>
    </row>
    <row r="385" spans="2:19" s="1087" customFormat="1" x14ac:dyDescent="0.25">
      <c r="B385" s="1975"/>
      <c r="C385" s="1975"/>
      <c r="D385" s="1975"/>
      <c r="E385" s="1975"/>
      <c r="F385" s="1975"/>
      <c r="G385" s="1976"/>
      <c r="H385" s="1976"/>
      <c r="I385" s="1976"/>
      <c r="J385" s="1976"/>
      <c r="K385" s="1975"/>
      <c r="L385" s="1975"/>
      <c r="M385" s="1975"/>
      <c r="N385" s="1975"/>
      <c r="O385" s="1975"/>
      <c r="P385" s="1975"/>
      <c r="Q385" s="1975"/>
      <c r="R385" s="1975"/>
      <c r="S385" s="1987"/>
    </row>
    <row r="386" spans="2:19" s="1087" customFormat="1" x14ac:dyDescent="0.25">
      <c r="B386" s="1975" t="s">
        <v>36</v>
      </c>
      <c r="C386" s="1975"/>
      <c r="D386" s="1975"/>
      <c r="E386" s="1975"/>
      <c r="F386" s="1975"/>
      <c r="G386" s="1976"/>
      <c r="H386" s="1976"/>
      <c r="I386" s="1976"/>
      <c r="J386" s="1976"/>
      <c r="K386" s="1975"/>
      <c r="L386" s="1975"/>
      <c r="M386" s="1975"/>
      <c r="N386" s="1975"/>
      <c r="O386" s="1975"/>
      <c r="P386" s="1975"/>
      <c r="Q386" s="1975"/>
      <c r="R386" s="1975"/>
      <c r="S386" s="1987"/>
    </row>
    <row r="387" spans="2:19" s="1087" customFormat="1" x14ac:dyDescent="0.25">
      <c r="B387" s="1983" t="s">
        <v>5</v>
      </c>
      <c r="C387" s="1998"/>
      <c r="D387" s="1998"/>
      <c r="E387" s="1998"/>
      <c r="F387" s="1998"/>
      <c r="G387" s="1999"/>
      <c r="H387" s="1999"/>
      <c r="I387" s="1999"/>
      <c r="J387" s="1999"/>
      <c r="K387" s="1998"/>
      <c r="L387" s="1998"/>
      <c r="M387" s="1998">
        <f>SUM(M373:M386)</f>
        <v>408.95364999999998</v>
      </c>
      <c r="N387" s="1998">
        <f>SUM(N373:N386)</f>
        <v>782.41255000000001</v>
      </c>
      <c r="O387" s="1998"/>
      <c r="P387" s="1998"/>
      <c r="Q387" s="1998"/>
      <c r="R387" s="1998"/>
      <c r="S387" s="2007"/>
    </row>
    <row r="388" spans="2:19" s="1087" customFormat="1" x14ac:dyDescent="0.25">
      <c r="B388" s="1953"/>
      <c r="C388" s="1953"/>
      <c r="D388" s="1953"/>
      <c r="E388" s="1953"/>
      <c r="F388" s="1953"/>
      <c r="G388" s="1954"/>
      <c r="H388" s="1954"/>
      <c r="I388" s="1954"/>
      <c r="J388" s="1954"/>
      <c r="K388" s="1953"/>
      <c r="L388" s="1953"/>
      <c r="M388" s="1953"/>
      <c r="N388" s="1953"/>
      <c r="O388" s="1953"/>
      <c r="P388" s="1953"/>
      <c r="Q388" s="1953"/>
      <c r="R388" s="1953"/>
      <c r="S388" s="1953"/>
    </row>
    <row r="389" spans="2:19" s="1087" customFormat="1" x14ac:dyDescent="0.25">
      <c r="B389" s="1953"/>
      <c r="C389" s="1953"/>
      <c r="D389" s="1953"/>
      <c r="E389" s="1953"/>
      <c r="F389" s="1953"/>
      <c r="G389" s="1954"/>
      <c r="H389" s="1954"/>
      <c r="I389" s="1954"/>
      <c r="J389" s="1954"/>
      <c r="K389" s="1953"/>
      <c r="L389" s="1953"/>
      <c r="M389" s="1953"/>
      <c r="N389" s="1990"/>
      <c r="O389" s="1990"/>
      <c r="P389" s="1990"/>
      <c r="Q389" s="1990"/>
      <c r="R389" s="1990"/>
      <c r="S389" s="1953"/>
    </row>
    <row r="390" spans="2:19" s="1087" customFormat="1" x14ac:dyDescent="0.25">
      <c r="B390" s="1962"/>
      <c r="C390" s="1962"/>
      <c r="D390" s="1962"/>
      <c r="E390" s="1962"/>
      <c r="F390" s="1962"/>
      <c r="G390" s="1991"/>
      <c r="H390" s="1991"/>
      <c r="I390" s="1991"/>
      <c r="J390" s="1991"/>
      <c r="K390" s="1962"/>
      <c r="L390" s="1962"/>
      <c r="M390" s="1962"/>
      <c r="N390" s="1962"/>
      <c r="O390" s="1962"/>
      <c r="P390" s="1962"/>
      <c r="Q390" s="1962"/>
      <c r="R390" s="1962"/>
      <c r="S390" s="1962"/>
    </row>
    <row r="391" spans="2:19" s="1087" customFormat="1" x14ac:dyDescent="0.25">
      <c r="B391" s="1955" t="s">
        <v>15</v>
      </c>
      <c r="C391" s="1953"/>
      <c r="D391" s="1953"/>
      <c r="E391" s="1953"/>
      <c r="F391" s="1953"/>
      <c r="G391" s="1954"/>
      <c r="H391" s="1954"/>
      <c r="I391" s="1954"/>
      <c r="J391" s="1954"/>
      <c r="K391" s="1953"/>
      <c r="L391" s="1953"/>
      <c r="M391" s="1953"/>
      <c r="N391" s="1953"/>
      <c r="O391" s="1953"/>
      <c r="P391" s="1953"/>
      <c r="Q391" s="1953"/>
      <c r="R391" s="1953"/>
      <c r="S391" s="1953"/>
    </row>
    <row r="392" spans="2:19" s="1087" customFormat="1" x14ac:dyDescent="0.25">
      <c r="B392" s="1953"/>
      <c r="C392" s="1953"/>
      <c r="D392" s="1953"/>
      <c r="E392" s="1953"/>
      <c r="F392" s="1953"/>
      <c r="G392" s="1954"/>
      <c r="H392" s="1954"/>
      <c r="I392" s="1954"/>
      <c r="J392" s="1954"/>
      <c r="K392" s="1972" t="s">
        <v>16</v>
      </c>
      <c r="L392" s="1953"/>
      <c r="M392" s="1953"/>
      <c r="N392" s="1992"/>
      <c r="O392" s="1992"/>
      <c r="P392" s="1992"/>
      <c r="Q392" s="1992"/>
      <c r="R392" s="1992"/>
      <c r="S392" s="1953"/>
    </row>
    <row r="393" spans="2:19" s="1087" customFormat="1" ht="14" customHeight="1" x14ac:dyDescent="0.25">
      <c r="B393" s="2303" t="s">
        <v>7</v>
      </c>
      <c r="C393" s="2306" t="s">
        <v>622</v>
      </c>
      <c r="D393" s="2306"/>
      <c r="E393" s="2306"/>
      <c r="F393" s="2306"/>
      <c r="G393" s="2306"/>
      <c r="H393" s="2306"/>
      <c r="I393" s="2306"/>
      <c r="J393" s="2306"/>
      <c r="K393" s="2306"/>
      <c r="L393" s="1993"/>
      <c r="M393" s="1993"/>
      <c r="N393" s="1953"/>
      <c r="O393" s="1953"/>
      <c r="P393" s="1953"/>
      <c r="Q393" s="1953"/>
      <c r="R393" s="1953"/>
      <c r="S393" s="1953"/>
    </row>
    <row r="394" spans="2:19" s="1087" customFormat="1" ht="14" customHeight="1" x14ac:dyDescent="0.25">
      <c r="B394" s="2304"/>
      <c r="C394" s="2300" t="s">
        <v>617</v>
      </c>
      <c r="D394" s="2300" t="s">
        <v>618</v>
      </c>
      <c r="E394" s="2300" t="s">
        <v>20</v>
      </c>
      <c r="F394" s="2300" t="s">
        <v>8</v>
      </c>
      <c r="G394" s="2306" t="s">
        <v>9</v>
      </c>
      <c r="H394" s="2307"/>
      <c r="I394" s="2307"/>
      <c r="J394" s="2307"/>
      <c r="K394" s="2307"/>
      <c r="L394" s="1994"/>
      <c r="M394" s="1994"/>
      <c r="N394" s="1953"/>
      <c r="O394" s="1953"/>
      <c r="P394" s="1953"/>
      <c r="Q394" s="1953"/>
      <c r="R394" s="1953"/>
      <c r="S394" s="1953"/>
    </row>
    <row r="395" spans="2:19" s="1087" customFormat="1" ht="28" x14ac:dyDescent="0.25">
      <c r="B395" s="2305"/>
      <c r="C395" s="2301"/>
      <c r="D395" s="2301"/>
      <c r="E395" s="2301"/>
      <c r="F395" s="2301"/>
      <c r="G395" s="1995" t="s">
        <v>3</v>
      </c>
      <c r="H395" s="1995" t="s">
        <v>21</v>
      </c>
      <c r="I395" s="1995" t="s">
        <v>18</v>
      </c>
      <c r="J395" s="1995" t="s">
        <v>19</v>
      </c>
      <c r="K395" s="1652" t="s">
        <v>4</v>
      </c>
      <c r="L395" s="1953"/>
      <c r="M395" s="1953"/>
      <c r="N395" s="1953"/>
      <c r="O395" s="1953"/>
      <c r="P395" s="1953"/>
      <c r="Q395" s="1953"/>
      <c r="R395" s="1953"/>
      <c r="S395" s="1953"/>
    </row>
    <row r="396" spans="2:19" s="1087" customFormat="1" x14ac:dyDescent="0.25">
      <c r="B396" s="1974" t="s">
        <v>179</v>
      </c>
      <c r="C396" s="1975"/>
      <c r="D396" s="1975"/>
      <c r="E396" s="1975"/>
      <c r="F396" s="1975"/>
      <c r="G396" s="1975"/>
      <c r="H396" s="1975"/>
      <c r="I396" s="1975"/>
      <c r="J396" s="1975"/>
      <c r="K396" s="1975"/>
      <c r="L396" s="1996"/>
      <c r="M396" s="1996"/>
      <c r="N396" s="1996"/>
      <c r="O396" s="1996"/>
      <c r="P396" s="1996"/>
      <c r="Q396" s="1996"/>
      <c r="R396" s="1996"/>
      <c r="S396" s="1996"/>
    </row>
    <row r="397" spans="2:19" s="1087" customFormat="1" x14ac:dyDescent="0.25">
      <c r="B397" s="1978" t="s">
        <v>33</v>
      </c>
      <c r="C397" s="1975"/>
      <c r="D397" s="1975"/>
      <c r="E397" s="1975"/>
      <c r="F397" s="1975"/>
      <c r="G397" s="1975"/>
      <c r="H397" s="1975"/>
      <c r="I397" s="1975"/>
      <c r="J397" s="1975"/>
      <c r="K397" s="1975"/>
      <c r="L397" s="1996"/>
      <c r="M397" s="1996"/>
      <c r="N397" s="1996"/>
      <c r="O397" s="1996"/>
      <c r="P397" s="1996"/>
      <c r="Q397" s="1996"/>
      <c r="R397" s="1996"/>
      <c r="S397" s="1996"/>
    </row>
    <row r="398" spans="2:19" s="1087" customFormat="1" x14ac:dyDescent="0.25">
      <c r="B398" s="1979" t="s">
        <v>35</v>
      </c>
      <c r="C398" s="1975"/>
      <c r="D398" s="1975"/>
      <c r="E398" s="1975"/>
      <c r="F398" s="1975"/>
      <c r="G398" s="1975"/>
      <c r="H398" s="1975"/>
      <c r="I398" s="1975"/>
      <c r="J398" s="1975"/>
      <c r="K398" s="1975"/>
      <c r="L398" s="1996"/>
      <c r="M398" s="1996"/>
      <c r="N398" s="1996"/>
      <c r="O398" s="1996"/>
      <c r="P398" s="1996"/>
      <c r="Q398" s="1996"/>
      <c r="R398" s="1996"/>
      <c r="S398" s="1996"/>
    </row>
    <row r="399" spans="2:19" s="1087" customFormat="1" x14ac:dyDescent="0.25">
      <c r="B399" s="1975" t="s">
        <v>2090</v>
      </c>
      <c r="C399" s="1975" t="s">
        <v>2091</v>
      </c>
      <c r="D399" s="1975" t="s">
        <v>2092</v>
      </c>
      <c r="E399" s="1975">
        <v>3.1559999999999997</v>
      </c>
      <c r="F399" s="1975">
        <v>0</v>
      </c>
      <c r="G399" s="1975">
        <v>7.363999999999999</v>
      </c>
      <c r="H399" s="1975">
        <v>0</v>
      </c>
      <c r="I399" s="1975">
        <v>1</v>
      </c>
      <c r="J399" s="1975">
        <v>0</v>
      </c>
      <c r="K399" s="1980" t="s">
        <v>2078</v>
      </c>
      <c r="L399" s="1996"/>
      <c r="M399" s="1996"/>
      <c r="N399" s="1996"/>
      <c r="O399" s="1996"/>
      <c r="P399" s="1996"/>
      <c r="Q399" s="1996"/>
      <c r="R399" s="1996"/>
      <c r="S399" s="1996"/>
    </row>
    <row r="400" spans="2:19" s="1087" customFormat="1" x14ac:dyDescent="0.25">
      <c r="B400" s="1975">
        <v>0</v>
      </c>
      <c r="C400" s="1975"/>
      <c r="D400" s="1975"/>
      <c r="E400" s="1975"/>
      <c r="F400" s="1975"/>
      <c r="G400" s="1975"/>
      <c r="H400" s="1975"/>
      <c r="I400" s="1975"/>
      <c r="J400" s="1975"/>
      <c r="K400" s="1980"/>
      <c r="L400" s="1996"/>
      <c r="M400" s="1996"/>
      <c r="N400" s="1996"/>
      <c r="O400" s="1996"/>
      <c r="P400" s="1996"/>
      <c r="Q400" s="1996"/>
      <c r="R400" s="1996"/>
      <c r="S400" s="1996"/>
    </row>
    <row r="401" spans="2:19" s="1087" customFormat="1" x14ac:dyDescent="0.25">
      <c r="B401" s="1979" t="s">
        <v>2081</v>
      </c>
      <c r="C401" s="1975"/>
      <c r="D401" s="1975"/>
      <c r="E401" s="1975"/>
      <c r="F401" s="1975"/>
      <c r="G401" s="1975"/>
      <c r="H401" s="1975"/>
      <c r="I401" s="1975"/>
      <c r="J401" s="1975"/>
      <c r="K401" s="1980"/>
      <c r="L401" s="1996"/>
      <c r="M401" s="1996"/>
      <c r="N401" s="1996"/>
      <c r="O401" s="1996"/>
      <c r="P401" s="1996"/>
      <c r="Q401" s="1996"/>
      <c r="R401" s="1996"/>
      <c r="S401" s="1996"/>
    </row>
    <row r="402" spans="2:19" s="1087" customFormat="1" x14ac:dyDescent="0.25">
      <c r="B402" s="1975" t="s">
        <v>36</v>
      </c>
      <c r="C402" s="1975"/>
      <c r="D402" s="1975"/>
      <c r="E402" s="1975"/>
      <c r="F402" s="1975"/>
      <c r="G402" s="1975"/>
      <c r="H402" s="1975"/>
      <c r="I402" s="1975"/>
      <c r="J402" s="1975"/>
      <c r="K402" s="1980"/>
      <c r="L402" s="1996"/>
      <c r="M402" s="1996"/>
      <c r="N402" s="1996"/>
      <c r="O402" s="1996"/>
      <c r="P402" s="1996"/>
      <c r="Q402" s="1996"/>
      <c r="R402" s="1996"/>
      <c r="S402" s="1996"/>
    </row>
    <row r="403" spans="2:19" s="1087" customFormat="1" x14ac:dyDescent="0.25">
      <c r="B403" s="1975" t="s">
        <v>34</v>
      </c>
      <c r="C403" s="1975"/>
      <c r="D403" s="1975"/>
      <c r="E403" s="1975"/>
      <c r="F403" s="1975"/>
      <c r="G403" s="1975"/>
      <c r="H403" s="1975"/>
      <c r="I403" s="1975"/>
      <c r="J403" s="1975"/>
      <c r="K403" s="1980"/>
      <c r="L403" s="1996"/>
      <c r="M403" s="1996"/>
      <c r="N403" s="1996"/>
      <c r="O403" s="1996"/>
      <c r="P403" s="1996"/>
      <c r="Q403" s="1996"/>
      <c r="R403" s="1996"/>
      <c r="S403" s="1996"/>
    </row>
    <row r="404" spans="2:19" s="1087" customFormat="1" x14ac:dyDescent="0.25">
      <c r="B404" s="1974" t="s">
        <v>36</v>
      </c>
      <c r="C404" s="1975"/>
      <c r="D404" s="1975"/>
      <c r="E404" s="1975"/>
      <c r="F404" s="1975"/>
      <c r="G404" s="1975"/>
      <c r="H404" s="1975"/>
      <c r="I404" s="1975"/>
      <c r="J404" s="1975"/>
      <c r="K404" s="1980"/>
      <c r="L404" s="1996"/>
      <c r="M404" s="1996"/>
      <c r="N404" s="1996"/>
      <c r="O404" s="1996"/>
      <c r="P404" s="1996"/>
      <c r="Q404" s="1996"/>
      <c r="R404" s="1996"/>
      <c r="S404" s="1996"/>
    </row>
    <row r="405" spans="2:19" s="1087" customFormat="1" x14ac:dyDescent="0.25">
      <c r="B405" s="1975" t="s">
        <v>186</v>
      </c>
      <c r="C405" s="1975"/>
      <c r="D405" s="1975"/>
      <c r="E405" s="1975"/>
      <c r="F405" s="1975"/>
      <c r="G405" s="1975"/>
      <c r="H405" s="1975"/>
      <c r="I405" s="1975"/>
      <c r="J405" s="1975"/>
      <c r="K405" s="1980"/>
      <c r="L405" s="1996"/>
      <c r="M405" s="1996"/>
      <c r="N405" s="1996"/>
      <c r="O405" s="1996"/>
      <c r="P405" s="1996"/>
      <c r="Q405" s="1996"/>
      <c r="R405" s="1996"/>
      <c r="S405" s="1996"/>
    </row>
    <row r="406" spans="2:19" s="1087" customFormat="1" x14ac:dyDescent="0.25">
      <c r="B406" s="1975" t="s">
        <v>35</v>
      </c>
      <c r="C406" s="1975"/>
      <c r="D406" s="1975"/>
      <c r="E406" s="1975"/>
      <c r="F406" s="1975"/>
      <c r="G406" s="1975"/>
      <c r="H406" s="1975"/>
      <c r="I406" s="1975"/>
      <c r="J406" s="1975"/>
      <c r="K406" s="1980"/>
      <c r="L406" s="1996"/>
      <c r="M406" s="1996"/>
      <c r="N406" s="1996"/>
      <c r="O406" s="1996"/>
      <c r="P406" s="1996"/>
      <c r="Q406" s="1996"/>
      <c r="R406" s="1996"/>
      <c r="S406" s="1996"/>
    </row>
    <row r="407" spans="2:19" s="1087" customFormat="1" x14ac:dyDescent="0.25">
      <c r="B407" s="1975" t="s">
        <v>2090</v>
      </c>
      <c r="C407" s="1975" t="s">
        <v>2091</v>
      </c>
      <c r="D407" s="1975" t="s">
        <v>2092</v>
      </c>
      <c r="E407" s="1975">
        <v>3.5849999999999995</v>
      </c>
      <c r="F407" s="1975">
        <v>0</v>
      </c>
      <c r="G407" s="1975">
        <v>8.3649999999999984</v>
      </c>
      <c r="H407" s="1975">
        <v>0</v>
      </c>
      <c r="I407" s="1975">
        <v>1</v>
      </c>
      <c r="J407" s="1975">
        <v>0</v>
      </c>
      <c r="K407" s="1980" t="s">
        <v>2078</v>
      </c>
      <c r="L407" s="1996"/>
      <c r="M407" s="1996"/>
      <c r="N407" s="1996"/>
      <c r="O407" s="1996"/>
      <c r="P407" s="1996"/>
      <c r="Q407" s="1996"/>
      <c r="R407" s="1996"/>
      <c r="S407" s="1996"/>
    </row>
    <row r="408" spans="2:19" s="1087" customFormat="1" x14ac:dyDescent="0.25">
      <c r="B408" s="1974">
        <v>0</v>
      </c>
      <c r="C408" s="1975"/>
      <c r="D408" s="1975"/>
      <c r="E408" s="1975"/>
      <c r="F408" s="1975"/>
      <c r="G408" s="1975"/>
      <c r="H408" s="1975"/>
      <c r="I408" s="1975"/>
      <c r="J408" s="1975"/>
      <c r="K408" s="1980"/>
      <c r="L408" s="1996"/>
      <c r="M408" s="1996"/>
      <c r="N408" s="1996"/>
      <c r="O408" s="1996"/>
      <c r="P408" s="1996"/>
      <c r="Q408" s="1996"/>
      <c r="R408" s="1996"/>
      <c r="S408" s="1996"/>
    </row>
    <row r="409" spans="2:19" s="1087" customFormat="1" x14ac:dyDescent="0.25">
      <c r="B409" s="1978" t="s">
        <v>2081</v>
      </c>
      <c r="C409" s="1975"/>
      <c r="D409" s="1975"/>
      <c r="E409" s="1975"/>
      <c r="F409" s="1975"/>
      <c r="G409" s="1975"/>
      <c r="H409" s="1975"/>
      <c r="I409" s="1975"/>
      <c r="J409" s="1975"/>
      <c r="K409" s="1980"/>
      <c r="L409" s="1996"/>
      <c r="M409" s="1996"/>
      <c r="N409" s="1996"/>
      <c r="O409" s="1996"/>
      <c r="P409" s="1996"/>
      <c r="Q409" s="1996"/>
      <c r="R409" s="1996"/>
      <c r="S409" s="1996"/>
    </row>
    <row r="410" spans="2:19" s="1087" customFormat="1" x14ac:dyDescent="0.25">
      <c r="B410" s="1979">
        <v>0</v>
      </c>
      <c r="C410" s="1975"/>
      <c r="D410" s="1975"/>
      <c r="E410" s="1975"/>
      <c r="F410" s="1975"/>
      <c r="G410" s="1975"/>
      <c r="H410" s="1975"/>
      <c r="I410" s="1975"/>
      <c r="J410" s="1975"/>
      <c r="K410" s="1980"/>
      <c r="L410" s="1996"/>
      <c r="M410" s="1996"/>
      <c r="N410" s="1996"/>
      <c r="O410" s="1996"/>
      <c r="P410" s="1996"/>
      <c r="Q410" s="1996"/>
      <c r="R410" s="1996"/>
      <c r="S410" s="1996"/>
    </row>
    <row r="411" spans="2:19" s="1087" customFormat="1" x14ac:dyDescent="0.25">
      <c r="B411" s="1975">
        <v>0</v>
      </c>
      <c r="C411" s="1975"/>
      <c r="D411" s="1975"/>
      <c r="E411" s="1975"/>
      <c r="F411" s="1975"/>
      <c r="G411" s="1975"/>
      <c r="H411" s="1975"/>
      <c r="I411" s="1975"/>
      <c r="J411" s="1975"/>
      <c r="K411" s="1980"/>
      <c r="L411" s="1996"/>
      <c r="M411" s="1996"/>
      <c r="N411" s="1996"/>
      <c r="O411" s="1996"/>
      <c r="P411" s="1996"/>
      <c r="Q411" s="1996"/>
      <c r="R411" s="1996"/>
      <c r="S411" s="1996"/>
    </row>
    <row r="412" spans="2:19" s="1087" customFormat="1" x14ac:dyDescent="0.25">
      <c r="B412" s="1975">
        <v>0</v>
      </c>
      <c r="C412" s="1975"/>
      <c r="D412" s="1975"/>
      <c r="E412" s="1975"/>
      <c r="F412" s="1975"/>
      <c r="G412" s="1975"/>
      <c r="H412" s="1975"/>
      <c r="I412" s="1975"/>
      <c r="J412" s="1975"/>
      <c r="K412" s="1980"/>
      <c r="L412" s="1996"/>
      <c r="M412" s="1996"/>
      <c r="N412" s="1996"/>
      <c r="O412" s="1996"/>
      <c r="P412" s="1996"/>
      <c r="Q412" s="1996"/>
      <c r="R412" s="1996"/>
      <c r="S412" s="1996"/>
    </row>
    <row r="413" spans="2:19" s="1087" customFormat="1" x14ac:dyDescent="0.25">
      <c r="B413" s="1979" t="s">
        <v>426</v>
      </c>
      <c r="C413" s="1975"/>
      <c r="D413" s="1975"/>
      <c r="E413" s="1975"/>
      <c r="F413" s="1975"/>
      <c r="G413" s="1975"/>
      <c r="H413" s="1975"/>
      <c r="I413" s="1975"/>
      <c r="J413" s="1975"/>
      <c r="K413" s="1980"/>
      <c r="L413" s="1996"/>
      <c r="M413" s="1996"/>
      <c r="N413" s="1996"/>
      <c r="O413" s="1996"/>
      <c r="P413" s="1996"/>
      <c r="Q413" s="1996"/>
      <c r="R413" s="1996"/>
      <c r="S413" s="1996"/>
    </row>
    <row r="414" spans="2:19" x14ac:dyDescent="0.25">
      <c r="B414" s="1975" t="s">
        <v>35</v>
      </c>
      <c r="C414" s="1975"/>
      <c r="D414" s="1975"/>
      <c r="E414" s="1975"/>
      <c r="F414" s="1975"/>
      <c r="G414" s="1975"/>
      <c r="H414" s="1975"/>
      <c r="I414" s="1975"/>
      <c r="J414" s="1975"/>
      <c r="K414" s="1980"/>
      <c r="L414" s="1996"/>
      <c r="M414" s="1996"/>
      <c r="N414" s="1996"/>
      <c r="O414" s="1996"/>
      <c r="P414" s="1996"/>
      <c r="Q414" s="1996"/>
      <c r="R414" s="1996"/>
      <c r="S414" s="1996"/>
    </row>
    <row r="415" spans="2:19" x14ac:dyDescent="0.25">
      <c r="B415" s="1975">
        <v>0</v>
      </c>
      <c r="C415" s="1975"/>
      <c r="D415" s="1975"/>
      <c r="E415" s="1975"/>
      <c r="F415" s="1975"/>
      <c r="G415" s="1975"/>
      <c r="H415" s="1975"/>
      <c r="I415" s="1975"/>
      <c r="J415" s="1975"/>
      <c r="K415" s="1980"/>
      <c r="L415" s="1996"/>
      <c r="M415" s="1996"/>
      <c r="N415" s="1996"/>
      <c r="O415" s="1996"/>
      <c r="P415" s="1996"/>
      <c r="Q415" s="1996"/>
      <c r="R415" s="1996"/>
      <c r="S415" s="1996"/>
    </row>
    <row r="416" spans="2:19" x14ac:dyDescent="0.25">
      <c r="B416" s="1974">
        <v>0</v>
      </c>
      <c r="C416" s="1975"/>
      <c r="D416" s="1975"/>
      <c r="E416" s="1975"/>
      <c r="F416" s="1975"/>
      <c r="G416" s="1975"/>
      <c r="H416" s="1975"/>
      <c r="I416" s="1975"/>
      <c r="J416" s="1975"/>
      <c r="K416" s="1980"/>
      <c r="L416" s="1996"/>
      <c r="M416" s="1996"/>
      <c r="N416" s="1996"/>
      <c r="O416" s="1996"/>
      <c r="P416" s="1996"/>
      <c r="Q416" s="1996"/>
      <c r="R416" s="1996"/>
      <c r="S416" s="1996"/>
    </row>
    <row r="417" spans="2:28" x14ac:dyDescent="0.25">
      <c r="B417" s="1975" t="s">
        <v>2081</v>
      </c>
      <c r="C417" s="1975"/>
      <c r="D417" s="1975"/>
      <c r="E417" s="1975"/>
      <c r="F417" s="1975"/>
      <c r="G417" s="1975"/>
      <c r="H417" s="1975"/>
      <c r="I417" s="1975"/>
      <c r="J417" s="1975"/>
      <c r="K417" s="1980"/>
      <c r="L417" s="1996"/>
      <c r="M417" s="1996"/>
      <c r="N417" s="1996"/>
      <c r="O417" s="1996"/>
      <c r="P417" s="1996"/>
      <c r="Q417" s="1996"/>
      <c r="R417" s="1996"/>
      <c r="S417" s="1996"/>
      <c r="T417" s="926"/>
      <c r="U417" s="926"/>
      <c r="V417" s="926"/>
      <c r="W417" s="926"/>
      <c r="X417" s="926"/>
      <c r="Y417" s="1086"/>
      <c r="Z417" s="1086"/>
      <c r="AA417" s="1086"/>
      <c r="AB417" s="1086"/>
    </row>
    <row r="418" spans="2:28" x14ac:dyDescent="0.25">
      <c r="B418" s="1975" t="s">
        <v>2005</v>
      </c>
      <c r="C418" s="1975" t="s">
        <v>2041</v>
      </c>
      <c r="D418" s="1975" t="s">
        <v>2041</v>
      </c>
      <c r="E418" s="1975">
        <v>4.3890000000000002</v>
      </c>
      <c r="F418" s="1975">
        <v>0</v>
      </c>
      <c r="G418" s="1975">
        <v>10.241</v>
      </c>
      <c r="H418" s="1975">
        <v>0</v>
      </c>
      <c r="I418" s="1975">
        <v>1</v>
      </c>
      <c r="J418" s="1975">
        <v>0</v>
      </c>
      <c r="K418" s="1980" t="s">
        <v>2078</v>
      </c>
      <c r="L418" s="1996"/>
      <c r="M418" s="1996"/>
      <c r="N418" s="1996"/>
      <c r="O418" s="1996"/>
      <c r="P418" s="1996"/>
      <c r="Q418" s="1996"/>
      <c r="R418" s="1996"/>
      <c r="S418" s="1996"/>
    </row>
    <row r="419" spans="2:28" x14ac:dyDescent="0.25">
      <c r="B419" s="1975"/>
      <c r="C419" s="1975"/>
      <c r="D419" s="1975"/>
      <c r="E419" s="1975"/>
      <c r="F419" s="1975"/>
      <c r="G419" s="1975"/>
      <c r="H419" s="1975"/>
      <c r="I419" s="1975"/>
      <c r="J419" s="1975"/>
      <c r="K419" s="1980"/>
      <c r="L419" s="1996"/>
      <c r="M419" s="1996"/>
      <c r="N419" s="1996"/>
      <c r="O419" s="1996"/>
      <c r="P419" s="1996"/>
      <c r="Q419" s="1996"/>
      <c r="R419" s="1996"/>
      <c r="S419" s="1996"/>
    </row>
    <row r="420" spans="2:28" x14ac:dyDescent="0.25">
      <c r="B420" s="1974"/>
      <c r="C420" s="1975"/>
      <c r="D420" s="1975"/>
      <c r="E420" s="1975"/>
      <c r="F420" s="1975"/>
      <c r="G420" s="1975"/>
      <c r="H420" s="1975"/>
      <c r="I420" s="1975"/>
      <c r="J420" s="1975"/>
      <c r="K420" s="1980"/>
      <c r="L420" s="1996"/>
      <c r="M420" s="1996"/>
      <c r="N420" s="1996"/>
      <c r="O420" s="1996"/>
      <c r="P420" s="1996"/>
      <c r="Q420" s="1996"/>
      <c r="R420" s="1996"/>
      <c r="S420" s="1996"/>
    </row>
    <row r="421" spans="2:28" x14ac:dyDescent="0.25">
      <c r="B421" s="1978" t="s">
        <v>427</v>
      </c>
      <c r="C421" s="1975"/>
      <c r="D421" s="1975"/>
      <c r="E421" s="1975"/>
      <c r="F421" s="1975"/>
      <c r="G421" s="1975"/>
      <c r="H421" s="1975"/>
      <c r="I421" s="1975"/>
      <c r="J421" s="1975"/>
      <c r="K421" s="1980"/>
      <c r="L421" s="1996"/>
      <c r="M421" s="1996"/>
      <c r="N421" s="1996"/>
      <c r="O421" s="1996"/>
      <c r="P421" s="1996"/>
      <c r="Q421" s="1996"/>
      <c r="R421" s="1996"/>
      <c r="S421" s="1996"/>
    </row>
    <row r="422" spans="2:28" x14ac:dyDescent="0.25">
      <c r="B422" s="1979" t="s">
        <v>35</v>
      </c>
      <c r="C422" s="1975"/>
      <c r="D422" s="1975"/>
      <c r="E422" s="1975"/>
      <c r="F422" s="1975"/>
      <c r="G422" s="1975"/>
      <c r="H422" s="1975"/>
      <c r="I422" s="1975"/>
      <c r="J422" s="1975"/>
      <c r="K422" s="1980"/>
      <c r="L422" s="1996"/>
      <c r="M422" s="1996"/>
      <c r="N422" s="1996"/>
      <c r="O422" s="1996"/>
      <c r="P422" s="1996"/>
      <c r="Q422" s="1996"/>
      <c r="R422" s="1996"/>
      <c r="S422" s="1996"/>
    </row>
    <row r="423" spans="2:28" s="1087" customFormat="1" x14ac:dyDescent="0.25">
      <c r="B423" s="1975"/>
      <c r="C423" s="1975"/>
      <c r="D423" s="1975"/>
      <c r="E423" s="1975"/>
      <c r="F423" s="1975"/>
      <c r="G423" s="1975"/>
      <c r="H423" s="1975"/>
      <c r="I423" s="1975"/>
      <c r="J423" s="1975"/>
      <c r="K423" s="1980"/>
      <c r="L423" s="1996"/>
      <c r="M423" s="1996"/>
      <c r="N423" s="1996"/>
      <c r="O423" s="1996"/>
      <c r="P423" s="1996"/>
      <c r="Q423" s="1996"/>
      <c r="R423" s="1996"/>
      <c r="S423" s="1996"/>
    </row>
    <row r="424" spans="2:28" s="1087" customFormat="1" x14ac:dyDescent="0.25">
      <c r="B424" s="1975" t="s">
        <v>2081</v>
      </c>
      <c r="C424" s="1975"/>
      <c r="D424" s="1975"/>
      <c r="E424" s="1975"/>
      <c r="F424" s="1975"/>
      <c r="G424" s="1975"/>
      <c r="H424" s="1975"/>
      <c r="I424" s="1975"/>
      <c r="J424" s="1975"/>
      <c r="K424" s="1980"/>
      <c r="L424" s="1996"/>
      <c r="M424" s="1996"/>
      <c r="N424" s="1996"/>
      <c r="O424" s="1996"/>
      <c r="P424" s="1996"/>
      <c r="Q424" s="1996"/>
      <c r="R424" s="1996"/>
      <c r="S424" s="1996"/>
    </row>
    <row r="425" spans="2:28" s="1087" customFormat="1" x14ac:dyDescent="0.25">
      <c r="B425" s="1979" t="s">
        <v>2005</v>
      </c>
      <c r="C425" s="1975"/>
      <c r="D425" s="1975"/>
      <c r="E425" s="1975">
        <v>3.2490000000000001</v>
      </c>
      <c r="F425" s="1975">
        <v>0</v>
      </c>
      <c r="G425" s="1975">
        <v>7.5809999999999995</v>
      </c>
      <c r="H425" s="1975">
        <v>0</v>
      </c>
      <c r="I425" s="1975">
        <v>1</v>
      </c>
      <c r="J425" s="1975">
        <v>0</v>
      </c>
      <c r="K425" s="1980" t="s">
        <v>2078</v>
      </c>
      <c r="L425" s="1996"/>
      <c r="M425" s="1996"/>
      <c r="N425" s="1996"/>
      <c r="O425" s="1996"/>
      <c r="P425" s="1996"/>
      <c r="Q425" s="1996"/>
      <c r="R425" s="1996"/>
      <c r="S425" s="1996"/>
    </row>
    <row r="426" spans="2:28" s="1087" customFormat="1" x14ac:dyDescent="0.25">
      <c r="B426" s="1975">
        <v>0</v>
      </c>
      <c r="C426" s="1975">
        <v>0</v>
      </c>
      <c r="D426" s="1975">
        <v>0</v>
      </c>
      <c r="E426" s="1975">
        <v>0</v>
      </c>
      <c r="F426" s="1975">
        <v>0</v>
      </c>
      <c r="G426" s="1975">
        <v>0</v>
      </c>
      <c r="H426" s="1975">
        <v>0</v>
      </c>
      <c r="I426" s="1975">
        <v>0</v>
      </c>
      <c r="J426" s="1975">
        <v>0</v>
      </c>
      <c r="K426" s="1980">
        <v>0</v>
      </c>
      <c r="L426" s="1996"/>
      <c r="M426" s="1996"/>
      <c r="N426" s="1996"/>
      <c r="O426" s="1996"/>
      <c r="P426" s="1996"/>
      <c r="Q426" s="1996"/>
      <c r="R426" s="1996"/>
      <c r="S426" s="1996"/>
    </row>
    <row r="427" spans="2:28" s="1087" customFormat="1" x14ac:dyDescent="0.25">
      <c r="B427" s="1975" t="s">
        <v>428</v>
      </c>
      <c r="C427" s="1975"/>
      <c r="D427" s="1975"/>
      <c r="E427" s="1975"/>
      <c r="F427" s="1975"/>
      <c r="G427" s="1975"/>
      <c r="H427" s="1975"/>
      <c r="I427" s="1975"/>
      <c r="J427" s="1975"/>
      <c r="K427" s="1980"/>
      <c r="L427" s="1996"/>
      <c r="M427" s="1996"/>
      <c r="N427" s="1996"/>
      <c r="O427" s="1996"/>
      <c r="P427" s="1996"/>
      <c r="Q427" s="1996"/>
      <c r="R427" s="1996"/>
      <c r="S427" s="1996"/>
    </row>
    <row r="428" spans="2:28" s="1087" customFormat="1" x14ac:dyDescent="0.25">
      <c r="B428" s="1974" t="s">
        <v>35</v>
      </c>
      <c r="C428" s="1975"/>
      <c r="D428" s="1975"/>
      <c r="E428" s="1975"/>
      <c r="F428" s="1975"/>
      <c r="G428" s="1975"/>
      <c r="H428" s="1975"/>
      <c r="I428" s="1975"/>
      <c r="J428" s="1975"/>
      <c r="K428" s="1980"/>
      <c r="L428" s="1996"/>
      <c r="M428" s="1996"/>
      <c r="N428" s="1996"/>
      <c r="O428" s="1996"/>
      <c r="P428" s="1996"/>
      <c r="Q428" s="1996"/>
      <c r="R428" s="1996"/>
      <c r="S428" s="1996"/>
    </row>
    <row r="429" spans="2:28" s="1087" customFormat="1" x14ac:dyDescent="0.25">
      <c r="B429" s="1975">
        <v>0</v>
      </c>
      <c r="C429" s="1975"/>
      <c r="D429" s="1975"/>
      <c r="E429" s="1975"/>
      <c r="F429" s="1975"/>
      <c r="G429" s="1975"/>
      <c r="H429" s="1975"/>
      <c r="I429" s="1975"/>
      <c r="J429" s="1975"/>
      <c r="K429" s="1980"/>
      <c r="L429" s="1996"/>
      <c r="M429" s="1996"/>
      <c r="N429" s="1996"/>
      <c r="O429" s="1996"/>
      <c r="P429" s="1996"/>
      <c r="Q429" s="1996"/>
      <c r="R429" s="1996"/>
      <c r="S429" s="1996"/>
    </row>
    <row r="430" spans="2:28" s="1087" customFormat="1" x14ac:dyDescent="0.25">
      <c r="B430" s="1975" t="s">
        <v>2081</v>
      </c>
      <c r="C430" s="1975"/>
      <c r="D430" s="1975"/>
      <c r="E430" s="1975"/>
      <c r="F430" s="1975"/>
      <c r="G430" s="1975"/>
      <c r="H430" s="1975"/>
      <c r="I430" s="1975"/>
      <c r="J430" s="1975"/>
      <c r="K430" s="1980"/>
      <c r="L430" s="1996"/>
      <c r="M430" s="1996"/>
      <c r="N430" s="1996"/>
      <c r="O430" s="1996"/>
      <c r="P430" s="1996"/>
      <c r="Q430" s="1996"/>
      <c r="R430" s="1996"/>
      <c r="S430" s="1996"/>
    </row>
    <row r="431" spans="2:28" s="1087" customFormat="1" x14ac:dyDescent="0.25">
      <c r="B431" s="1997">
        <v>0</v>
      </c>
      <c r="C431" s="1975">
        <v>0</v>
      </c>
      <c r="D431" s="1975">
        <v>0</v>
      </c>
      <c r="E431" s="1975">
        <v>0</v>
      </c>
      <c r="F431" s="1975">
        <v>0</v>
      </c>
      <c r="G431" s="1975">
        <v>0</v>
      </c>
      <c r="H431" s="1975">
        <v>0</v>
      </c>
      <c r="I431" s="1975">
        <v>0</v>
      </c>
      <c r="J431" s="1975">
        <v>0</v>
      </c>
      <c r="K431" s="1980">
        <v>0</v>
      </c>
      <c r="L431" s="1996"/>
      <c r="M431" s="1996"/>
      <c r="N431" s="1996"/>
      <c r="O431" s="1996"/>
      <c r="P431" s="1996"/>
      <c r="Q431" s="1996"/>
      <c r="R431" s="1996"/>
      <c r="S431" s="1996"/>
    </row>
    <row r="432" spans="2:28" s="1087" customFormat="1" x14ac:dyDescent="0.25">
      <c r="B432" s="1978">
        <v>0</v>
      </c>
      <c r="C432" s="1975"/>
      <c r="D432" s="1975"/>
      <c r="E432" s="1975"/>
      <c r="F432" s="1975"/>
      <c r="G432" s="1975"/>
      <c r="H432" s="1975"/>
      <c r="I432" s="1975"/>
      <c r="J432" s="1975"/>
      <c r="K432" s="1980"/>
      <c r="L432" s="1996"/>
      <c r="M432" s="1996"/>
      <c r="N432" s="1996"/>
      <c r="O432" s="1996"/>
      <c r="P432" s="1996"/>
      <c r="Q432" s="1996"/>
      <c r="R432" s="1996"/>
      <c r="S432" s="1996"/>
    </row>
    <row r="433" spans="2:19" s="1087" customFormat="1" x14ac:dyDescent="0.25">
      <c r="B433" s="1978" t="s">
        <v>429</v>
      </c>
      <c r="C433" s="1975"/>
      <c r="D433" s="1975"/>
      <c r="E433" s="1975"/>
      <c r="F433" s="1975"/>
      <c r="G433" s="1975"/>
      <c r="H433" s="1975"/>
      <c r="I433" s="1975"/>
      <c r="J433" s="1975"/>
      <c r="K433" s="1980"/>
      <c r="L433" s="1996"/>
      <c r="M433" s="1996"/>
      <c r="N433" s="1996"/>
      <c r="O433" s="1996"/>
      <c r="P433" s="1996"/>
      <c r="Q433" s="1996"/>
      <c r="R433" s="1996"/>
      <c r="S433" s="1996"/>
    </row>
    <row r="434" spans="2:19" s="1087" customFormat="1" x14ac:dyDescent="0.25">
      <c r="B434" s="1979" t="s">
        <v>35</v>
      </c>
      <c r="C434" s="1975"/>
      <c r="D434" s="1975"/>
      <c r="E434" s="1975"/>
      <c r="F434" s="1975"/>
      <c r="G434" s="1975"/>
      <c r="H434" s="1975"/>
      <c r="I434" s="1975"/>
      <c r="J434" s="1975"/>
      <c r="K434" s="1980"/>
      <c r="L434" s="1996"/>
      <c r="M434" s="1996"/>
      <c r="N434" s="1996"/>
      <c r="O434" s="1996"/>
      <c r="P434" s="1996"/>
      <c r="Q434" s="1996"/>
      <c r="R434" s="1996"/>
      <c r="S434" s="1996"/>
    </row>
    <row r="435" spans="2:19" s="1087" customFormat="1" x14ac:dyDescent="0.25">
      <c r="B435" s="1975">
        <v>0</v>
      </c>
      <c r="C435" s="1975"/>
      <c r="D435" s="1975"/>
      <c r="E435" s="1975"/>
      <c r="F435" s="1975"/>
      <c r="G435" s="1975"/>
      <c r="H435" s="1975"/>
      <c r="I435" s="1975"/>
      <c r="J435" s="1975"/>
      <c r="K435" s="1980"/>
      <c r="L435" s="1996"/>
      <c r="M435" s="1996"/>
      <c r="N435" s="1996"/>
      <c r="O435" s="1996"/>
      <c r="P435" s="1996"/>
      <c r="Q435" s="1996"/>
      <c r="R435" s="1996"/>
      <c r="S435" s="1996"/>
    </row>
    <row r="436" spans="2:19" s="1087" customFormat="1" x14ac:dyDescent="0.25">
      <c r="B436" s="1975" t="s">
        <v>2081</v>
      </c>
      <c r="C436" s="1975"/>
      <c r="D436" s="1975"/>
      <c r="E436" s="1975"/>
      <c r="F436" s="1975"/>
      <c r="G436" s="1975"/>
      <c r="H436" s="1975"/>
      <c r="I436" s="1975"/>
      <c r="J436" s="1975"/>
      <c r="K436" s="1980"/>
      <c r="L436" s="1996"/>
      <c r="M436" s="1996"/>
      <c r="N436" s="1996"/>
      <c r="O436" s="1996"/>
      <c r="P436" s="1996"/>
      <c r="Q436" s="1996"/>
      <c r="R436" s="1996"/>
      <c r="S436" s="1996"/>
    </row>
    <row r="437" spans="2:19" s="1087" customFormat="1" x14ac:dyDescent="0.25">
      <c r="B437" s="1979">
        <v>0</v>
      </c>
      <c r="C437" s="1975">
        <v>0</v>
      </c>
      <c r="D437" s="1975">
        <v>0</v>
      </c>
      <c r="E437" s="1975">
        <v>0</v>
      </c>
      <c r="F437" s="1975">
        <v>0</v>
      </c>
      <c r="G437" s="1975">
        <v>0</v>
      </c>
      <c r="H437" s="1975">
        <v>0</v>
      </c>
      <c r="I437" s="1975">
        <v>0</v>
      </c>
      <c r="J437" s="1975">
        <v>0</v>
      </c>
      <c r="K437" s="1980">
        <v>0</v>
      </c>
      <c r="L437" s="1996"/>
      <c r="M437" s="1996"/>
      <c r="N437" s="1996"/>
      <c r="O437" s="1996"/>
      <c r="P437" s="1996"/>
      <c r="Q437" s="1996"/>
      <c r="R437" s="1996"/>
      <c r="S437" s="1996"/>
    </row>
    <row r="438" spans="2:19" s="1087" customFormat="1" x14ac:dyDescent="0.25">
      <c r="B438" s="1975">
        <v>0</v>
      </c>
      <c r="C438" s="1975"/>
      <c r="D438" s="1975"/>
      <c r="E438" s="1975"/>
      <c r="F438" s="1975"/>
      <c r="G438" s="1975"/>
      <c r="H438" s="1975"/>
      <c r="I438" s="1975"/>
      <c r="J438" s="1975"/>
      <c r="K438" s="1980"/>
      <c r="L438" s="1996"/>
      <c r="M438" s="1996"/>
      <c r="N438" s="1996"/>
      <c r="O438" s="1996"/>
      <c r="P438" s="1996"/>
      <c r="Q438" s="1996"/>
      <c r="R438" s="1996"/>
      <c r="S438" s="1996"/>
    </row>
    <row r="439" spans="2:19" s="1087" customFormat="1" x14ac:dyDescent="0.25">
      <c r="B439" s="1983" t="s">
        <v>5</v>
      </c>
      <c r="C439" s="1998"/>
      <c r="D439" s="1998"/>
      <c r="E439" s="1983">
        <f>SUM(E399:E438)</f>
        <v>14.379</v>
      </c>
      <c r="F439" s="1983"/>
      <c r="G439" s="1983">
        <f>SUM(G399:G438)</f>
        <v>33.551000000000002</v>
      </c>
      <c r="H439" s="1999"/>
      <c r="I439" s="1999"/>
      <c r="J439" s="1999"/>
      <c r="K439" s="1998"/>
      <c r="L439" s="1953"/>
      <c r="M439" s="1953"/>
      <c r="N439" s="1953"/>
      <c r="O439" s="1953"/>
      <c r="P439" s="1953"/>
      <c r="Q439" s="1953"/>
      <c r="R439" s="1953"/>
      <c r="S439" s="1953"/>
    </row>
    <row r="440" spans="2:19" s="1087" customFormat="1" x14ac:dyDescent="0.25">
      <c r="B440" s="1953"/>
      <c r="C440" s="1953"/>
      <c r="D440" s="1953"/>
      <c r="E440" s="1953"/>
      <c r="F440" s="1953"/>
      <c r="G440" s="1954"/>
      <c r="H440" s="1954"/>
      <c r="I440" s="1954"/>
      <c r="J440" s="1954"/>
      <c r="K440" s="1953"/>
      <c r="L440" s="1953"/>
      <c r="M440" s="1953"/>
      <c r="N440" s="1953"/>
      <c r="O440" s="1953"/>
      <c r="P440" s="1953"/>
      <c r="Q440" s="1953"/>
      <c r="R440" s="1953"/>
      <c r="S440" s="1953"/>
    </row>
    <row r="441" spans="2:19" s="1087" customFormat="1" hidden="1" x14ac:dyDescent="0.25">
      <c r="B441" s="2009" t="s">
        <v>756</v>
      </c>
      <c r="C441" s="2009"/>
      <c r="D441" s="2009"/>
      <c r="E441" s="2009"/>
      <c r="F441" s="2009"/>
      <c r="G441" s="2010"/>
      <c r="H441" s="2010"/>
      <c r="I441" s="2010"/>
      <c r="J441" s="1954"/>
      <c r="K441" s="1953"/>
      <c r="L441" s="1953"/>
      <c r="M441" s="1953"/>
      <c r="N441" s="1953"/>
      <c r="O441" s="1953"/>
      <c r="P441" s="1953"/>
      <c r="Q441" s="1953"/>
      <c r="R441" s="1953"/>
      <c r="S441" s="1953"/>
    </row>
    <row r="442" spans="2:19" s="1087" customFormat="1" ht="42" hidden="1" x14ac:dyDescent="0.25">
      <c r="B442" s="2009" t="s">
        <v>757</v>
      </c>
      <c r="C442" s="2009"/>
      <c r="D442" s="2009"/>
      <c r="E442" s="2009"/>
      <c r="F442" s="2009"/>
      <c r="G442" s="2010"/>
      <c r="H442" s="2010"/>
      <c r="I442" s="2010"/>
      <c r="J442" s="1954"/>
      <c r="K442" s="1953"/>
      <c r="L442" s="1953"/>
      <c r="M442" s="1953"/>
      <c r="N442" s="1953"/>
      <c r="O442" s="1953"/>
      <c r="P442" s="1953"/>
      <c r="Q442" s="1953"/>
      <c r="R442" s="1953"/>
      <c r="S442" s="1953"/>
    </row>
    <row r="443" spans="2:19" s="1087" customFormat="1" hidden="1" x14ac:dyDescent="0.25">
      <c r="B443" s="611"/>
      <c r="C443" s="611"/>
      <c r="D443" s="611"/>
      <c r="E443" s="611"/>
      <c r="F443" s="611"/>
      <c r="G443" s="1083"/>
      <c r="H443" s="1083"/>
      <c r="I443" s="1083"/>
      <c r="J443" s="1083"/>
      <c r="K443" s="611"/>
      <c r="L443" s="611"/>
      <c r="M443" s="611"/>
      <c r="N443" s="611"/>
      <c r="O443" s="611"/>
      <c r="P443" s="611"/>
      <c r="Q443" s="611"/>
      <c r="R443" s="611"/>
      <c r="S443" s="611"/>
    </row>
    <row r="444" spans="2:19" s="1087" customFormat="1" hidden="1" x14ac:dyDescent="0.25">
      <c r="B444" s="611"/>
      <c r="C444" s="611"/>
      <c r="D444" s="611"/>
      <c r="E444" s="611"/>
      <c r="F444" s="611"/>
      <c r="G444" s="1083"/>
      <c r="H444" s="1083"/>
      <c r="I444" s="1083"/>
      <c r="J444" s="1083"/>
      <c r="K444" s="611"/>
      <c r="L444" s="611"/>
      <c r="M444" s="611"/>
      <c r="N444" s="611"/>
      <c r="O444" s="611"/>
      <c r="P444" s="611"/>
      <c r="Q444" s="611"/>
      <c r="R444" s="611"/>
      <c r="S444" s="611"/>
    </row>
    <row r="445" spans="2:19" s="1087" customFormat="1" x14ac:dyDescent="0.25">
      <c r="B445" s="611"/>
      <c r="C445" s="611"/>
      <c r="D445" s="611"/>
      <c r="E445" s="611"/>
      <c r="F445" s="611"/>
      <c r="G445" s="1083"/>
      <c r="H445" s="1083"/>
      <c r="I445" s="1083"/>
      <c r="J445" s="1083"/>
      <c r="K445" s="611"/>
      <c r="L445" s="611"/>
      <c r="M445" s="611"/>
      <c r="N445" s="611"/>
      <c r="O445" s="611"/>
      <c r="P445" s="611"/>
      <c r="Q445" s="611"/>
      <c r="R445" s="611"/>
      <c r="S445" s="611"/>
    </row>
    <row r="446" spans="2:19" s="1087" customFormat="1" x14ac:dyDescent="0.25">
      <c r="B446" s="611"/>
      <c r="C446" s="611"/>
      <c r="D446" s="611"/>
      <c r="E446" s="611"/>
      <c r="F446" s="611"/>
      <c r="G446" s="1083"/>
      <c r="H446" s="1083"/>
      <c r="I446" s="1083"/>
      <c r="J446" s="1083"/>
      <c r="K446" s="611"/>
      <c r="L446" s="611"/>
      <c r="M446" s="611"/>
      <c r="N446" s="611"/>
      <c r="O446" s="611"/>
      <c r="P446" s="611"/>
      <c r="Q446" s="611"/>
      <c r="R446" s="611"/>
      <c r="S446" s="611"/>
    </row>
    <row r="447" spans="2:19" s="1087" customFormat="1" x14ac:dyDescent="0.25">
      <c r="B447" s="611"/>
      <c r="C447" s="611"/>
      <c r="D447" s="611"/>
      <c r="E447" s="611"/>
      <c r="F447" s="611"/>
      <c r="G447" s="1083"/>
      <c r="H447" s="1083"/>
      <c r="I447" s="1083"/>
      <c r="J447" s="1083"/>
      <c r="K447" s="611"/>
      <c r="L447" s="611"/>
      <c r="M447" s="611"/>
      <c r="N447" s="611"/>
      <c r="O447" s="611"/>
      <c r="P447" s="611"/>
      <c r="Q447" s="611"/>
      <c r="R447" s="611"/>
      <c r="S447" s="611"/>
    </row>
    <row r="448" spans="2:19" s="1087" customFormat="1" x14ac:dyDescent="0.25">
      <c r="B448" s="611"/>
      <c r="C448" s="611"/>
      <c r="D448" s="611"/>
      <c r="E448" s="611"/>
      <c r="F448" s="611"/>
      <c r="G448" s="1083"/>
      <c r="H448" s="1083"/>
      <c r="I448" s="1083"/>
      <c r="J448" s="1083"/>
      <c r="K448" s="611"/>
      <c r="L448" s="611"/>
      <c r="M448" s="611"/>
      <c r="N448" s="611"/>
      <c r="O448" s="611"/>
      <c r="P448" s="611"/>
      <c r="Q448" s="611"/>
      <c r="R448" s="611"/>
      <c r="S448" s="611"/>
    </row>
    <row r="449" spans="2:19" s="1087" customFormat="1" x14ac:dyDescent="0.25">
      <c r="B449" s="611"/>
      <c r="C449" s="611"/>
      <c r="D449" s="611"/>
      <c r="E449" s="611"/>
      <c r="F449" s="611"/>
      <c r="G449" s="1083"/>
      <c r="H449" s="1083"/>
      <c r="I449" s="1083"/>
      <c r="J449" s="1083"/>
      <c r="K449" s="611"/>
      <c r="L449" s="611"/>
      <c r="M449" s="611"/>
      <c r="N449" s="611"/>
      <c r="O449" s="611"/>
      <c r="P449" s="611"/>
      <c r="Q449" s="611"/>
      <c r="R449" s="611"/>
      <c r="S449" s="611"/>
    </row>
    <row r="450" spans="2:19" s="1087" customFormat="1" x14ac:dyDescent="0.25">
      <c r="B450" s="611"/>
      <c r="C450" s="611"/>
      <c r="D450" s="611"/>
      <c r="E450" s="611"/>
      <c r="F450" s="611"/>
      <c r="G450" s="1083"/>
      <c r="H450" s="1083"/>
      <c r="I450" s="1083"/>
      <c r="J450" s="1083"/>
      <c r="K450" s="611"/>
      <c r="L450" s="611"/>
      <c r="M450" s="611"/>
      <c r="N450" s="611"/>
      <c r="O450" s="611"/>
      <c r="P450" s="611"/>
      <c r="Q450" s="611"/>
      <c r="R450" s="611"/>
      <c r="S450" s="611"/>
    </row>
    <row r="451" spans="2:19" s="1087" customFormat="1" x14ac:dyDescent="0.25">
      <c r="B451" s="611"/>
      <c r="C451" s="611"/>
      <c r="D451" s="611"/>
      <c r="E451" s="611"/>
      <c r="F451" s="611"/>
      <c r="G451" s="1083"/>
      <c r="H451" s="1083"/>
      <c r="I451" s="1083"/>
      <c r="J451" s="1083"/>
      <c r="K451" s="611"/>
      <c r="L451" s="611"/>
      <c r="M451" s="611"/>
      <c r="N451" s="611"/>
      <c r="O451" s="611"/>
      <c r="P451" s="611"/>
      <c r="Q451" s="611"/>
      <c r="R451" s="611"/>
      <c r="S451" s="611"/>
    </row>
    <row r="452" spans="2:19" s="1087" customFormat="1" x14ac:dyDescent="0.25">
      <c r="B452" s="611"/>
      <c r="C452" s="611"/>
      <c r="D452" s="611"/>
      <c r="E452" s="611"/>
      <c r="F452" s="611"/>
      <c r="G452" s="1083"/>
      <c r="H452" s="1083"/>
      <c r="I452" s="1083"/>
      <c r="J452" s="1083"/>
      <c r="K452" s="611"/>
      <c r="L452" s="611"/>
      <c r="M452" s="611"/>
      <c r="N452" s="611"/>
      <c r="O452" s="611"/>
      <c r="P452" s="611"/>
      <c r="Q452" s="611"/>
      <c r="R452" s="611"/>
      <c r="S452" s="611"/>
    </row>
    <row r="453" spans="2:19" s="1087" customFormat="1" x14ac:dyDescent="0.25">
      <c r="B453" s="611"/>
      <c r="C453" s="611"/>
      <c r="D453" s="611"/>
      <c r="E453" s="611"/>
      <c r="F453" s="611"/>
      <c r="G453" s="1083"/>
      <c r="H453" s="1083"/>
      <c r="I453" s="1083"/>
      <c r="J453" s="1083"/>
      <c r="K453" s="611"/>
      <c r="L453" s="611"/>
      <c r="M453" s="611"/>
      <c r="N453" s="611"/>
      <c r="O453" s="611"/>
      <c r="P453" s="611"/>
      <c r="Q453" s="611"/>
      <c r="R453" s="611"/>
      <c r="S453" s="611"/>
    </row>
    <row r="454" spans="2:19" s="1087" customFormat="1" x14ac:dyDescent="0.25">
      <c r="B454" s="611"/>
      <c r="C454" s="611"/>
      <c r="D454" s="611"/>
      <c r="E454" s="611"/>
      <c r="F454" s="611"/>
      <c r="G454" s="1083"/>
      <c r="H454" s="1083"/>
      <c r="I454" s="1083"/>
      <c r="J454" s="1083"/>
      <c r="K454" s="611"/>
      <c r="L454" s="611"/>
      <c r="M454" s="611"/>
      <c r="N454" s="611"/>
      <c r="O454" s="611"/>
      <c r="P454" s="611"/>
      <c r="Q454" s="611"/>
      <c r="R454" s="611"/>
      <c r="S454" s="611"/>
    </row>
    <row r="455" spans="2:19" s="1087" customFormat="1" x14ac:dyDescent="0.25">
      <c r="B455" s="611"/>
      <c r="C455" s="611"/>
      <c r="D455" s="611"/>
      <c r="E455" s="611"/>
      <c r="F455" s="611"/>
      <c r="G455" s="1083"/>
      <c r="H455" s="1083"/>
      <c r="I455" s="1083"/>
      <c r="J455" s="1083"/>
      <c r="K455" s="611"/>
      <c r="L455" s="611"/>
      <c r="M455" s="611"/>
      <c r="N455" s="611"/>
      <c r="O455" s="611"/>
      <c r="P455" s="611"/>
      <c r="Q455" s="611"/>
      <c r="R455" s="611"/>
      <c r="S455" s="611"/>
    </row>
    <row r="456" spans="2:19" s="1087" customFormat="1" x14ac:dyDescent="0.25">
      <c r="B456" s="611"/>
      <c r="C456" s="611"/>
      <c r="D456" s="611"/>
      <c r="E456" s="611"/>
      <c r="F456" s="611"/>
      <c r="G456" s="1083"/>
      <c r="H456" s="1083"/>
      <c r="I456" s="1083"/>
      <c r="J456" s="1083"/>
      <c r="K456" s="611"/>
      <c r="L456" s="611"/>
      <c r="M456" s="611"/>
      <c r="N456" s="611"/>
      <c r="O456" s="611"/>
      <c r="P456" s="611"/>
      <c r="Q456" s="611"/>
      <c r="R456" s="611"/>
      <c r="S456" s="611"/>
    </row>
    <row r="457" spans="2:19" s="1087" customFormat="1" x14ac:dyDescent="0.25">
      <c r="B457" s="611"/>
      <c r="C457" s="611"/>
      <c r="D457" s="611"/>
      <c r="E457" s="611"/>
      <c r="F457" s="611"/>
      <c r="G457" s="1083"/>
      <c r="H457" s="1083"/>
      <c r="I457" s="1083"/>
      <c r="J457" s="1083"/>
      <c r="K457" s="611"/>
      <c r="L457" s="611"/>
      <c r="M457" s="611"/>
      <c r="N457" s="611"/>
      <c r="O457" s="611"/>
      <c r="P457" s="611"/>
      <c r="Q457" s="611"/>
      <c r="R457" s="611"/>
      <c r="S457" s="611"/>
    </row>
    <row r="458" spans="2:19" s="1087" customFormat="1" x14ac:dyDescent="0.25">
      <c r="B458" s="611"/>
      <c r="C458" s="611"/>
      <c r="D458" s="611"/>
      <c r="E458" s="611"/>
      <c r="F458" s="611"/>
      <c r="G458" s="1083"/>
      <c r="H458" s="1083"/>
      <c r="I458" s="1083"/>
      <c r="J458" s="1083"/>
      <c r="K458" s="611"/>
      <c r="L458" s="611"/>
      <c r="M458" s="611"/>
      <c r="N458" s="611"/>
      <c r="O458" s="611"/>
      <c r="P458" s="611"/>
      <c r="Q458" s="611"/>
      <c r="R458" s="611"/>
      <c r="S458" s="611"/>
    </row>
    <row r="459" spans="2:19" s="1087" customFormat="1" x14ac:dyDescent="0.25">
      <c r="B459" s="611"/>
      <c r="C459" s="611"/>
      <c r="D459" s="611"/>
      <c r="E459" s="611"/>
      <c r="F459" s="611"/>
      <c r="G459" s="1083"/>
      <c r="H459" s="1083"/>
      <c r="I459" s="1083"/>
      <c r="J459" s="1083"/>
      <c r="K459" s="611"/>
      <c r="L459" s="611"/>
      <c r="M459" s="611"/>
      <c r="N459" s="611"/>
      <c r="O459" s="611"/>
      <c r="P459" s="611"/>
      <c r="Q459" s="611"/>
      <c r="R459" s="611"/>
      <c r="S459" s="611"/>
    </row>
    <row r="460" spans="2:19" s="1087" customFormat="1" x14ac:dyDescent="0.25">
      <c r="B460" s="611"/>
      <c r="C460" s="611"/>
      <c r="D460" s="611"/>
      <c r="E460" s="611"/>
      <c r="F460" s="611"/>
      <c r="G460" s="1083"/>
      <c r="H460" s="1083"/>
      <c r="I460" s="1083"/>
      <c r="J460" s="1083"/>
      <c r="K460" s="611"/>
      <c r="L460" s="611"/>
      <c r="M460" s="611"/>
      <c r="N460" s="611"/>
      <c r="O460" s="611"/>
      <c r="P460" s="611"/>
      <c r="Q460" s="611"/>
      <c r="R460" s="611"/>
      <c r="S460" s="611"/>
    </row>
    <row r="461" spans="2:19" s="1087" customFormat="1" x14ac:dyDescent="0.25">
      <c r="B461" s="611"/>
      <c r="C461" s="611"/>
      <c r="D461" s="611"/>
      <c r="E461" s="611"/>
      <c r="F461" s="611"/>
      <c r="G461" s="1083"/>
      <c r="H461" s="1083"/>
      <c r="I461" s="1083"/>
      <c r="J461" s="1083"/>
      <c r="K461" s="611"/>
      <c r="L461" s="611"/>
      <c r="M461" s="611"/>
      <c r="N461" s="611"/>
      <c r="O461" s="611"/>
      <c r="P461" s="611"/>
      <c r="Q461" s="611"/>
      <c r="R461" s="611"/>
      <c r="S461" s="611"/>
    </row>
    <row r="462" spans="2:19" s="1087" customFormat="1" x14ac:dyDescent="0.25">
      <c r="B462" s="611"/>
      <c r="C462" s="611"/>
      <c r="D462" s="611"/>
      <c r="E462" s="611"/>
      <c r="F462" s="611"/>
      <c r="G462" s="1083"/>
      <c r="H462" s="1083"/>
      <c r="I462" s="1083"/>
      <c r="J462" s="1083"/>
      <c r="K462" s="611"/>
      <c r="L462" s="611"/>
      <c r="M462" s="611"/>
      <c r="N462" s="611"/>
      <c r="O462" s="611"/>
      <c r="P462" s="611"/>
      <c r="Q462" s="611"/>
      <c r="R462" s="611"/>
      <c r="S462" s="611"/>
    </row>
    <row r="463" spans="2:19" s="1087" customFormat="1" x14ac:dyDescent="0.25">
      <c r="B463" s="611"/>
      <c r="C463" s="611"/>
      <c r="D463" s="611"/>
      <c r="E463" s="611"/>
      <c r="F463" s="611"/>
      <c r="G463" s="1083"/>
      <c r="H463" s="1083"/>
      <c r="I463" s="1083"/>
      <c r="J463" s="1083"/>
      <c r="K463" s="611"/>
      <c r="L463" s="611"/>
      <c r="M463" s="611"/>
      <c r="N463" s="611"/>
      <c r="O463" s="611"/>
      <c r="P463" s="611"/>
      <c r="Q463" s="611"/>
      <c r="R463" s="611"/>
      <c r="S463" s="611"/>
    </row>
    <row r="464" spans="2:19" s="1087" customFormat="1" x14ac:dyDescent="0.25">
      <c r="B464" s="611"/>
      <c r="C464" s="611"/>
      <c r="D464" s="611"/>
      <c r="E464" s="611"/>
      <c r="F464" s="611"/>
      <c r="G464" s="1083"/>
      <c r="H464" s="1083"/>
      <c r="I464" s="1083"/>
      <c r="J464" s="1083"/>
      <c r="K464" s="611"/>
      <c r="L464" s="611"/>
      <c r="M464" s="611"/>
      <c r="N464" s="611"/>
      <c r="O464" s="611"/>
      <c r="P464" s="611"/>
      <c r="Q464" s="611"/>
      <c r="R464" s="611"/>
      <c r="S464" s="611"/>
    </row>
    <row r="465" spans="2:19" s="1087" customFormat="1" x14ac:dyDescent="0.25">
      <c r="B465" s="611"/>
      <c r="C465" s="611"/>
      <c r="D465" s="611"/>
      <c r="E465" s="611"/>
      <c r="F465" s="611"/>
      <c r="G465" s="1083"/>
      <c r="H465" s="1083"/>
      <c r="I465" s="1083"/>
      <c r="J465" s="1083"/>
      <c r="K465" s="611"/>
      <c r="L465" s="611"/>
      <c r="M465" s="611"/>
      <c r="N465" s="611"/>
      <c r="O465" s="611"/>
      <c r="P465" s="611"/>
      <c r="Q465" s="611"/>
      <c r="R465" s="611"/>
      <c r="S465" s="611"/>
    </row>
  </sheetData>
  <mergeCells count="137">
    <mergeCell ref="B393:B395"/>
    <mergeCell ref="C393:K393"/>
    <mergeCell ref="C394:C395"/>
    <mergeCell ref="D394:D395"/>
    <mergeCell ref="E394:E395"/>
    <mergeCell ref="F394:F395"/>
    <mergeCell ref="G394:K394"/>
    <mergeCell ref="M324:M325"/>
    <mergeCell ref="J10:L10"/>
    <mergeCell ref="M10:S10"/>
    <mergeCell ref="B248:B250"/>
    <mergeCell ref="C248:K248"/>
    <mergeCell ref="C249:C250"/>
    <mergeCell ref="D249:D250"/>
    <mergeCell ref="E249:E250"/>
    <mergeCell ref="F249:F250"/>
    <mergeCell ref="G249:K249"/>
    <mergeCell ref="G10:I10"/>
    <mergeCell ref="B10:B12"/>
    <mergeCell ref="C10:C12"/>
    <mergeCell ref="D10:D12"/>
    <mergeCell ref="E10:E12"/>
    <mergeCell ref="F10:F12"/>
    <mergeCell ref="G11:G12"/>
    <mergeCell ref="O324:S324"/>
    <mergeCell ref="K324:K325"/>
    <mergeCell ref="L324:L325"/>
    <mergeCell ref="M323:S323"/>
    <mergeCell ref="M88:S88"/>
    <mergeCell ref="M164:S164"/>
    <mergeCell ref="M89:M90"/>
    <mergeCell ref="N89:N90"/>
    <mergeCell ref="O89:S89"/>
    <mergeCell ref="M128:S128"/>
    <mergeCell ref="M129:M130"/>
    <mergeCell ref="N129:N130"/>
    <mergeCell ref="O129:S129"/>
    <mergeCell ref="M165:M166"/>
    <mergeCell ref="N165:N166"/>
    <mergeCell ref="O165:S165"/>
    <mergeCell ref="J203:L203"/>
    <mergeCell ref="M203:S203"/>
    <mergeCell ref="M204:M205"/>
    <mergeCell ref="N204:N205"/>
    <mergeCell ref="J204:J205"/>
    <mergeCell ref="K204:K205"/>
    <mergeCell ref="L204:L205"/>
    <mergeCell ref="J165:J166"/>
    <mergeCell ref="O11:S11"/>
    <mergeCell ref="H11:H12"/>
    <mergeCell ref="I11:I12"/>
    <mergeCell ref="J11:J12"/>
    <mergeCell ref="K11:K12"/>
    <mergeCell ref="L11:L12"/>
    <mergeCell ref="M48:S48"/>
    <mergeCell ref="M49:M50"/>
    <mergeCell ref="N49:N50"/>
    <mergeCell ref="O49:S49"/>
    <mergeCell ref="M11:M12"/>
    <mergeCell ref="N11:N12"/>
    <mergeCell ref="I49:I50"/>
    <mergeCell ref="J49:J50"/>
    <mergeCell ref="B323:B325"/>
    <mergeCell ref="C323:C325"/>
    <mergeCell ref="D323:D325"/>
    <mergeCell ref="E323:E325"/>
    <mergeCell ref="F323:F325"/>
    <mergeCell ref="G324:G325"/>
    <mergeCell ref="H324:H325"/>
    <mergeCell ref="I324:I325"/>
    <mergeCell ref="J324:J325"/>
    <mergeCell ref="J323:L323"/>
    <mergeCell ref="G323:I323"/>
    <mergeCell ref="K165:K166"/>
    <mergeCell ref="L165:L166"/>
    <mergeCell ref="G88:I88"/>
    <mergeCell ref="J88:L88"/>
    <mergeCell ref="N324:N325"/>
    <mergeCell ref="K89:K90"/>
    <mergeCell ref="L89:L90"/>
    <mergeCell ref="K49:K50"/>
    <mergeCell ref="L49:L50"/>
    <mergeCell ref="G165:G166"/>
    <mergeCell ref="H165:H166"/>
    <mergeCell ref="I165:I166"/>
    <mergeCell ref="G89:G90"/>
    <mergeCell ref="H89:H90"/>
    <mergeCell ref="I89:I90"/>
    <mergeCell ref="J89:J90"/>
    <mergeCell ref="J164:L164"/>
    <mergeCell ref="E164:E166"/>
    <mergeCell ref="F164:F166"/>
    <mergeCell ref="G164:I164"/>
    <mergeCell ref="G204:G205"/>
    <mergeCell ref="H204:H205"/>
    <mergeCell ref="G203:I203"/>
    <mergeCell ref="B164:B166"/>
    <mergeCell ref="C164:C166"/>
    <mergeCell ref="D164:D166"/>
    <mergeCell ref="I204:I205"/>
    <mergeCell ref="F48:F50"/>
    <mergeCell ref="G49:G50"/>
    <mergeCell ref="H49:H50"/>
    <mergeCell ref="B88:B90"/>
    <mergeCell ref="C88:C90"/>
    <mergeCell ref="D88:D90"/>
    <mergeCell ref="E88:E90"/>
    <mergeCell ref="F88:F90"/>
    <mergeCell ref="B128:B130"/>
    <mergeCell ref="C128:C130"/>
    <mergeCell ref="D128:D130"/>
    <mergeCell ref="E128:E130"/>
    <mergeCell ref="F128:F130"/>
    <mergeCell ref="O204:S204"/>
    <mergeCell ref="D34:D35"/>
    <mergeCell ref="B34:B35"/>
    <mergeCell ref="D115:D116"/>
    <mergeCell ref="B115:B116"/>
    <mergeCell ref="G128:I128"/>
    <mergeCell ref="J128:L128"/>
    <mergeCell ref="G129:G130"/>
    <mergeCell ref="H129:H130"/>
    <mergeCell ref="I129:I130"/>
    <mergeCell ref="J129:J130"/>
    <mergeCell ref="K129:K130"/>
    <mergeCell ref="L129:L130"/>
    <mergeCell ref="G48:I48"/>
    <mergeCell ref="J48:L48"/>
    <mergeCell ref="B48:B50"/>
    <mergeCell ref="C48:C50"/>
    <mergeCell ref="D48:D50"/>
    <mergeCell ref="E48:E50"/>
    <mergeCell ref="B203:B205"/>
    <mergeCell ref="C203:C205"/>
    <mergeCell ref="D203:D205"/>
    <mergeCell ref="E203:E205"/>
    <mergeCell ref="F203:F205"/>
  </mergeCells>
  <pageMargins left="0.47244094488188981" right="0.19685039370078741" top="0.39370078740157483" bottom="0.35433070866141736" header="0.23622047244094491" footer="0.23622047244094491"/>
  <pageSetup paperSize="9" scale="37" fitToHeight="4" orientation="landscape" r:id="rId1"/>
  <headerFooter alignWithMargins="0">
    <oddHeader>&amp;F</oddHeader>
  </headerFooter>
  <rowBreaks count="8" manualBreakCount="8">
    <brk id="46" min="1" max="18" man="1"/>
    <brk id="86" min="1" max="18" man="1"/>
    <brk id="126" min="1" max="18" man="1"/>
    <brk id="162" min="1" max="18" man="1"/>
    <brk id="201" min="1" max="18" man="1"/>
    <brk id="240" min="1" max="18" man="1"/>
    <brk id="316" min="1" max="18" man="1"/>
    <brk id="387" min="1"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3"/>
  <sheetViews>
    <sheetView showGridLines="0" view="pageBreakPreview" zoomScale="55" zoomScaleNormal="80" zoomScaleSheetLayoutView="70" workbookViewId="0">
      <pane xSplit="3" ySplit="12" topLeftCell="O17" activePane="bottomRight" state="frozen"/>
      <selection pane="topRight" activeCell="D1" sqref="D1"/>
      <selection pane="bottomLeft" activeCell="A13" sqref="A13"/>
      <selection pane="bottomRight" activeCell="C32" sqref="C32"/>
    </sheetView>
  </sheetViews>
  <sheetFormatPr defaultColWidth="9.1796875" defaultRowHeight="14" x14ac:dyDescent="0.3"/>
  <cols>
    <col min="1" max="1" width="8.26953125" style="1" customWidth="1"/>
    <col min="2" max="2" width="8.1796875" style="1" customWidth="1"/>
    <col min="3" max="3" width="29.08984375" style="1" customWidth="1"/>
    <col min="4" max="4" width="25.453125" style="1" hidden="1" customWidth="1"/>
    <col min="5" max="5" width="57.1796875" style="1" hidden="1" customWidth="1"/>
    <col min="6" max="6" width="19.1796875" style="1" hidden="1" customWidth="1"/>
    <col min="7" max="7" width="19.1796875" style="2011" hidden="1" customWidth="1"/>
    <col min="8" max="8" width="20.54296875" style="1" hidden="1" customWidth="1"/>
    <col min="9" max="9" width="19.1796875" style="2052" hidden="1" customWidth="1"/>
    <col min="10" max="12" width="19.1796875" style="916" hidden="1" customWidth="1"/>
    <col min="13" max="13" width="18.81640625" style="916" hidden="1" customWidth="1"/>
    <col min="14" max="14" width="15.54296875" style="1" hidden="1" customWidth="1"/>
    <col min="15" max="15" width="15.54296875" style="1" customWidth="1"/>
    <col min="16" max="22" width="14.453125" style="1" customWidth="1"/>
    <col min="23" max="25" width="14.453125" style="1" hidden="1" customWidth="1"/>
    <col min="26" max="26" width="17.1796875" style="1" hidden="1" customWidth="1"/>
    <col min="27" max="27" width="13.1796875" style="1" hidden="1" customWidth="1"/>
    <col min="28" max="28" width="14.81640625" style="1" hidden="1" customWidth="1"/>
    <col min="29" max="29" width="17.453125" style="1" customWidth="1"/>
    <col min="30" max="33" width="15.81640625" style="1" customWidth="1"/>
    <col min="34" max="34" width="14.453125" style="1" customWidth="1"/>
    <col min="35" max="36" width="16" style="1" customWidth="1"/>
    <col min="37" max="37" width="14" style="1" customWidth="1"/>
    <col min="38" max="40" width="12.81640625" style="1" customWidth="1"/>
    <col min="41" max="41" width="15.1796875" style="1" customWidth="1"/>
    <col min="42" max="42" width="12.54296875" style="1" customWidth="1"/>
    <col min="43" max="43" width="13.453125" style="1" customWidth="1"/>
    <col min="44" max="44" width="13.54296875" style="1" customWidth="1"/>
    <col min="45" max="47" width="9.1796875" style="1"/>
    <col min="48" max="48" width="11.1796875" style="1" customWidth="1"/>
    <col min="49" max="16384" width="9.1796875" style="1"/>
  </cols>
  <sheetData>
    <row r="1" spans="2:44" x14ac:dyDescent="0.3">
      <c r="V1" s="1" t="s">
        <v>2008</v>
      </c>
    </row>
    <row r="2" spans="2:44" x14ac:dyDescent="0.3">
      <c r="C2" s="215"/>
      <c r="D2" s="215"/>
      <c r="E2" s="215"/>
      <c r="F2" s="215"/>
      <c r="G2" s="1955"/>
      <c r="H2" s="215"/>
      <c r="I2" s="1958"/>
      <c r="J2" s="911"/>
      <c r="K2" s="911"/>
      <c r="L2" s="911"/>
      <c r="M2" s="911"/>
      <c r="N2" s="215"/>
      <c r="O2" s="215"/>
      <c r="P2" s="215"/>
      <c r="Q2" s="215"/>
      <c r="R2" s="150"/>
      <c r="S2" s="150"/>
      <c r="T2" s="150"/>
      <c r="U2" s="150"/>
      <c r="V2" s="150"/>
    </row>
    <row r="3" spans="2:44" x14ac:dyDescent="0.3">
      <c r="C3" s="168"/>
      <c r="D3" s="168"/>
      <c r="E3" s="168"/>
      <c r="F3" s="168"/>
      <c r="G3" s="1959"/>
      <c r="H3" s="168"/>
      <c r="I3" s="1962"/>
      <c r="J3" s="912"/>
      <c r="K3" s="912"/>
      <c r="L3" s="912"/>
      <c r="M3" s="1525" t="s">
        <v>1027</v>
      </c>
      <c r="N3" s="168"/>
      <c r="O3" s="168"/>
      <c r="P3" s="168"/>
      <c r="Q3" s="168"/>
      <c r="R3" s="138"/>
      <c r="S3" s="138"/>
      <c r="T3" s="138"/>
      <c r="U3" s="138"/>
      <c r="V3" s="138"/>
      <c r="W3" s="254"/>
      <c r="X3" s="254"/>
      <c r="Y3" s="254"/>
    </row>
    <row r="4" spans="2:44" x14ac:dyDescent="0.3">
      <c r="C4" s="216"/>
      <c r="D4" s="216"/>
      <c r="E4" s="216"/>
      <c r="F4" s="216"/>
      <c r="G4" s="1963"/>
      <c r="H4" s="216"/>
      <c r="I4" s="1966"/>
      <c r="J4" s="913"/>
      <c r="K4" s="913"/>
      <c r="L4" s="913"/>
      <c r="M4" s="1526" t="s">
        <v>848</v>
      </c>
      <c r="N4" s="216"/>
      <c r="O4" s="216"/>
      <c r="P4" s="216"/>
      <c r="Q4" s="216"/>
      <c r="R4" s="252"/>
      <c r="S4" s="252"/>
      <c r="T4" s="252"/>
      <c r="U4" s="252"/>
      <c r="V4" s="252"/>
      <c r="W4" s="254"/>
      <c r="X4" s="254"/>
      <c r="Y4" s="254"/>
    </row>
    <row r="5" spans="2:44" x14ac:dyDescent="0.3">
      <c r="C5" s="252"/>
      <c r="D5" s="252"/>
      <c r="E5" s="252"/>
      <c r="F5" s="252"/>
      <c r="G5" s="2016"/>
      <c r="H5" s="252"/>
      <c r="I5" s="2015"/>
      <c r="J5" s="914"/>
      <c r="K5" s="914"/>
      <c r="L5" s="914"/>
      <c r="M5" s="1527" t="s">
        <v>631</v>
      </c>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2"/>
      <c r="AM5" s="252"/>
      <c r="AN5" s="252"/>
      <c r="AO5" s="7"/>
      <c r="AP5" s="7"/>
      <c r="AQ5" s="7"/>
      <c r="AR5" s="7"/>
    </row>
    <row r="6" spans="2:44" x14ac:dyDescent="0.3">
      <c r="C6" s="283" t="s">
        <v>282</v>
      </c>
      <c r="D6" s="10"/>
      <c r="E6" s="10"/>
      <c r="F6" s="10"/>
      <c r="G6" s="2017"/>
      <c r="H6" s="10"/>
      <c r="I6" s="2012"/>
      <c r="J6" s="915"/>
      <c r="K6" s="915"/>
      <c r="L6" s="915"/>
      <c r="M6" s="914"/>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row>
    <row r="7" spans="2:44" x14ac:dyDescent="0.3">
      <c r="C7" s="10"/>
      <c r="D7" s="10"/>
      <c r="E7" s="10"/>
      <c r="F7" s="10"/>
      <c r="G7" s="2017"/>
      <c r="H7" s="10"/>
      <c r="I7" s="2012"/>
      <c r="J7" s="915"/>
      <c r="K7" s="915"/>
      <c r="L7" s="915"/>
      <c r="M7" s="914"/>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row>
    <row r="8" spans="2:44" ht="15" customHeight="1" x14ac:dyDescent="0.3">
      <c r="C8" s="121" t="s">
        <v>0</v>
      </c>
      <c r="D8" s="121"/>
      <c r="E8" s="121"/>
      <c r="F8" s="121"/>
      <c r="G8" s="2018"/>
      <c r="H8" s="121"/>
      <c r="I8" s="2015"/>
      <c r="J8" s="914"/>
      <c r="K8" s="914"/>
      <c r="L8" s="914"/>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row>
    <row r="9" spans="2:44" x14ac:dyDescent="0.3">
      <c r="C9" s="10"/>
      <c r="D9" s="10"/>
      <c r="E9" s="10"/>
      <c r="F9" s="10"/>
      <c r="G9" s="2017"/>
      <c r="H9" s="10"/>
      <c r="I9" s="2012"/>
      <c r="J9" s="915"/>
      <c r="K9" s="915"/>
      <c r="L9" s="915"/>
      <c r="M9" s="915"/>
      <c r="N9" s="7"/>
      <c r="O9" s="7"/>
      <c r="P9" s="7"/>
      <c r="Q9" s="7"/>
      <c r="R9" s="7"/>
      <c r="S9" s="7"/>
      <c r="T9" s="6"/>
      <c r="W9" s="7"/>
      <c r="X9" s="7"/>
      <c r="Y9" s="7"/>
      <c r="Z9" s="7"/>
      <c r="AA9" s="7"/>
      <c r="AB9" s="6"/>
      <c r="AC9" s="6"/>
      <c r="AD9" s="7"/>
      <c r="AF9" s="7"/>
      <c r="AG9" s="7"/>
      <c r="AI9" s="255" t="s">
        <v>16</v>
      </c>
      <c r="AL9" s="6"/>
      <c r="AM9" s="6"/>
      <c r="AN9" s="6"/>
      <c r="AO9" s="7"/>
      <c r="AP9" s="7"/>
      <c r="AQ9" s="7"/>
    </row>
    <row r="10" spans="2:44" x14ac:dyDescent="0.3">
      <c r="B10" s="2208" t="s">
        <v>187</v>
      </c>
      <c r="C10" s="2208" t="s">
        <v>26</v>
      </c>
      <c r="D10" s="2208" t="s">
        <v>1</v>
      </c>
      <c r="E10" s="2208" t="s">
        <v>617</v>
      </c>
      <c r="F10" s="2208" t="s">
        <v>618</v>
      </c>
      <c r="G10" s="2300" t="s">
        <v>623</v>
      </c>
      <c r="H10" s="2208" t="s">
        <v>29</v>
      </c>
      <c r="I10" s="2300" t="s">
        <v>758</v>
      </c>
      <c r="J10" s="2319" t="s">
        <v>624</v>
      </c>
      <c r="K10" s="2319" t="s">
        <v>625</v>
      </c>
      <c r="L10" s="2319" t="s">
        <v>626</v>
      </c>
      <c r="M10" s="2319" t="s">
        <v>627</v>
      </c>
      <c r="N10" s="2208" t="s">
        <v>27</v>
      </c>
      <c r="O10" s="2313" t="s">
        <v>32</v>
      </c>
      <c r="P10" s="2314"/>
      <c r="Q10" s="2314"/>
      <c r="R10" s="2314"/>
      <c r="S10" s="2314"/>
      <c r="T10" s="2314"/>
      <c r="U10" s="2315"/>
      <c r="V10" s="2316" t="s">
        <v>30</v>
      </c>
      <c r="W10" s="2317"/>
      <c r="X10" s="2317"/>
      <c r="Y10" s="2317"/>
      <c r="Z10" s="2317"/>
      <c r="AA10" s="2317"/>
      <c r="AB10" s="2318"/>
      <c r="AC10" s="2316" t="s">
        <v>28</v>
      </c>
      <c r="AD10" s="2317"/>
      <c r="AE10" s="2317"/>
      <c r="AF10" s="2317"/>
      <c r="AG10" s="2317"/>
      <c r="AH10" s="2317"/>
      <c r="AI10" s="2318"/>
      <c r="AJ10" s="2308" t="s">
        <v>628</v>
      </c>
      <c r="AK10" s="2308"/>
    </row>
    <row r="11" spans="2:44" x14ac:dyDescent="0.3">
      <c r="B11" s="2209"/>
      <c r="C11" s="2209"/>
      <c r="D11" s="2209"/>
      <c r="E11" s="2209"/>
      <c r="F11" s="2209"/>
      <c r="G11" s="2302"/>
      <c r="H11" s="2209"/>
      <c r="I11" s="2302"/>
      <c r="J11" s="2320"/>
      <c r="K11" s="2320"/>
      <c r="L11" s="2320"/>
      <c r="M11" s="2320"/>
      <c r="N11" s="2209"/>
      <c r="O11" s="2309" t="s">
        <v>851</v>
      </c>
      <c r="P11" s="2053" t="s">
        <v>12</v>
      </c>
      <c r="Q11" s="1951" t="s">
        <v>12</v>
      </c>
      <c r="R11" s="1951" t="s">
        <v>12</v>
      </c>
      <c r="S11" s="1951" t="s">
        <v>22</v>
      </c>
      <c r="T11" s="2322" t="s">
        <v>841</v>
      </c>
      <c r="U11" s="2323"/>
      <c r="V11" s="2309" t="s">
        <v>852</v>
      </c>
      <c r="W11" s="1951" t="s">
        <v>12</v>
      </c>
      <c r="X11" s="1951" t="s">
        <v>12</v>
      </c>
      <c r="Y11" s="1951" t="s">
        <v>12</v>
      </c>
      <c r="Z11" s="1951" t="s">
        <v>22</v>
      </c>
      <c r="AA11" s="2322" t="s">
        <v>841</v>
      </c>
      <c r="AB11" s="2323"/>
      <c r="AC11" s="2309" t="s">
        <v>853</v>
      </c>
      <c r="AD11" s="2053" t="s">
        <v>12</v>
      </c>
      <c r="AE11" s="2053" t="s">
        <v>12</v>
      </c>
      <c r="AF11" s="2053" t="s">
        <v>12</v>
      </c>
      <c r="AG11" s="2053" t="s">
        <v>22</v>
      </c>
      <c r="AH11" s="2324" t="s">
        <v>841</v>
      </c>
      <c r="AI11" s="2325"/>
      <c r="AJ11" s="2326" t="s">
        <v>793</v>
      </c>
      <c r="AK11" s="2311" t="s">
        <v>794</v>
      </c>
    </row>
    <row r="12" spans="2:44" ht="32.4" customHeight="1" x14ac:dyDescent="0.3">
      <c r="B12" s="2210"/>
      <c r="C12" s="2210"/>
      <c r="D12" s="2210"/>
      <c r="E12" s="2210"/>
      <c r="F12" s="2210"/>
      <c r="G12" s="2301"/>
      <c r="H12" s="2210"/>
      <c r="I12" s="2301"/>
      <c r="J12" s="2321"/>
      <c r="K12" s="2321"/>
      <c r="L12" s="2321"/>
      <c r="M12" s="2321"/>
      <c r="N12" s="2210"/>
      <c r="O12" s="2310"/>
      <c r="P12" s="318" t="s">
        <v>179</v>
      </c>
      <c r="Q12" s="1946" t="s">
        <v>186</v>
      </c>
      <c r="R12" s="1946" t="s">
        <v>426</v>
      </c>
      <c r="S12" s="1946" t="s">
        <v>427</v>
      </c>
      <c r="T12" s="1946" t="s">
        <v>428</v>
      </c>
      <c r="U12" s="1946" t="s">
        <v>429</v>
      </c>
      <c r="V12" s="2310"/>
      <c r="W12" s="1946" t="s">
        <v>179</v>
      </c>
      <c r="X12" s="1946" t="s">
        <v>186</v>
      </c>
      <c r="Y12" s="1946" t="s">
        <v>426</v>
      </c>
      <c r="Z12" s="1946" t="s">
        <v>427</v>
      </c>
      <c r="AA12" s="1946" t="s">
        <v>428</v>
      </c>
      <c r="AB12" s="1946" t="s">
        <v>429</v>
      </c>
      <c r="AC12" s="2310"/>
      <c r="AD12" s="318" t="s">
        <v>179</v>
      </c>
      <c r="AE12" s="318" t="s">
        <v>186</v>
      </c>
      <c r="AF12" s="318" t="s">
        <v>426</v>
      </c>
      <c r="AG12" s="318" t="s">
        <v>427</v>
      </c>
      <c r="AH12" s="318" t="s">
        <v>428</v>
      </c>
      <c r="AI12" s="318" t="s">
        <v>429</v>
      </c>
      <c r="AJ12" s="2327"/>
      <c r="AK12" s="2312"/>
    </row>
    <row r="13" spans="2:44" s="2" customFormat="1" x14ac:dyDescent="0.3">
      <c r="B13" s="4"/>
      <c r="C13" s="324" t="s">
        <v>179</v>
      </c>
      <c r="D13" s="3"/>
      <c r="E13" s="3"/>
      <c r="F13" s="3"/>
      <c r="G13" s="2021"/>
      <c r="H13" s="3"/>
      <c r="I13" s="1808"/>
      <c r="J13" s="917"/>
      <c r="K13" s="917"/>
      <c r="L13" s="917"/>
      <c r="M13" s="917"/>
      <c r="N13" s="3"/>
      <c r="O13" s="3"/>
      <c r="P13" s="3"/>
      <c r="Q13" s="3"/>
      <c r="R13" s="3"/>
      <c r="S13" s="3"/>
      <c r="T13" s="3"/>
      <c r="U13" s="3"/>
      <c r="V13" s="3"/>
      <c r="W13" s="3"/>
      <c r="X13" s="3"/>
      <c r="Y13" s="3"/>
      <c r="Z13" s="3"/>
      <c r="AA13" s="3"/>
      <c r="AB13" s="3"/>
      <c r="AC13" s="3"/>
      <c r="AD13" s="3"/>
      <c r="AE13" s="3"/>
      <c r="AF13" s="3"/>
      <c r="AG13" s="3"/>
      <c r="AH13" s="3"/>
      <c r="AI13" s="3"/>
      <c r="AJ13" s="3"/>
      <c r="AK13" s="3"/>
    </row>
    <row r="14" spans="2:44" s="2" customFormat="1" x14ac:dyDescent="0.3">
      <c r="B14" s="4"/>
      <c r="C14" s="326" t="s">
        <v>33</v>
      </c>
      <c r="D14" s="3"/>
      <c r="E14" s="3"/>
      <c r="F14" s="3"/>
      <c r="G14" s="2021"/>
      <c r="H14" s="3"/>
      <c r="I14" s="1808"/>
      <c r="J14" s="917"/>
      <c r="K14" s="917"/>
      <c r="L14" s="917"/>
      <c r="M14" s="917"/>
      <c r="N14" s="3"/>
      <c r="O14" s="3"/>
      <c r="P14" s="3"/>
      <c r="Q14" s="3"/>
      <c r="R14" s="3"/>
      <c r="S14" s="3"/>
      <c r="T14" s="3"/>
      <c r="U14" s="3"/>
      <c r="V14" s="3"/>
      <c r="W14" s="3"/>
      <c r="X14" s="3"/>
      <c r="Y14" s="3"/>
      <c r="Z14" s="3"/>
      <c r="AA14" s="3"/>
      <c r="AB14" s="3"/>
      <c r="AC14" s="3"/>
      <c r="AD14" s="3"/>
      <c r="AE14" s="3"/>
      <c r="AF14" s="3"/>
      <c r="AG14" s="3"/>
      <c r="AH14" s="3"/>
      <c r="AI14" s="3"/>
      <c r="AJ14" s="3"/>
      <c r="AK14" s="3"/>
    </row>
    <row r="15" spans="2:44" s="2" customFormat="1" x14ac:dyDescent="0.3">
      <c r="B15" s="4"/>
      <c r="C15" s="327" t="s">
        <v>35</v>
      </c>
      <c r="D15" s="3"/>
      <c r="E15" s="3"/>
      <c r="F15" s="3"/>
      <c r="G15" s="2021"/>
      <c r="H15" s="3"/>
      <c r="I15" s="1808"/>
      <c r="J15" s="917"/>
      <c r="K15" s="917"/>
      <c r="L15" s="917"/>
      <c r="M15" s="917"/>
      <c r="N15" s="3"/>
      <c r="O15" s="3"/>
      <c r="P15" s="3"/>
      <c r="Q15" s="3"/>
      <c r="R15" s="3"/>
      <c r="S15" s="3"/>
      <c r="T15" s="3"/>
      <c r="U15" s="3"/>
      <c r="V15" s="3"/>
      <c r="W15" s="3"/>
      <c r="X15" s="3"/>
      <c r="Y15" s="3"/>
      <c r="Z15" s="3"/>
      <c r="AA15" s="3"/>
      <c r="AB15" s="3"/>
      <c r="AC15" s="3"/>
      <c r="AD15" s="3"/>
      <c r="AE15" s="3"/>
      <c r="AF15" s="3"/>
      <c r="AG15" s="3"/>
      <c r="AH15" s="3"/>
      <c r="AI15" s="3"/>
      <c r="AJ15" s="3"/>
      <c r="AK15" s="3"/>
    </row>
    <row r="16" spans="2:44" s="2" customFormat="1" x14ac:dyDescent="0.3">
      <c r="B16" s="1356"/>
      <c r="C16" s="2328" t="s">
        <v>1468</v>
      </c>
      <c r="D16" s="2329"/>
      <c r="E16" s="2329"/>
      <c r="F16" s="2329"/>
      <c r="G16" s="2329"/>
      <c r="H16" s="2329"/>
      <c r="I16" s="2054"/>
      <c r="J16" s="918"/>
      <c r="K16" s="918"/>
      <c r="L16" s="918"/>
      <c r="M16" s="918"/>
      <c r="N16" s="906"/>
      <c r="O16" s="905"/>
      <c r="P16" s="904"/>
      <c r="Q16" s="1079"/>
      <c r="R16" s="904"/>
      <c r="S16" s="904"/>
      <c r="T16" s="1079"/>
      <c r="U16" s="904"/>
      <c r="V16" s="907"/>
      <c r="W16" s="907"/>
      <c r="X16" s="907"/>
      <c r="Y16" s="907"/>
      <c r="Z16" s="907"/>
      <c r="AA16" s="907"/>
      <c r="AB16" s="907"/>
      <c r="AC16" s="904"/>
      <c r="AD16" s="1079"/>
      <c r="AE16" s="1079"/>
      <c r="AF16" s="1079"/>
      <c r="AG16" s="1079"/>
      <c r="AH16" s="1079"/>
      <c r="AI16" s="1079"/>
      <c r="AJ16" s="908"/>
      <c r="AK16" s="909"/>
    </row>
    <row r="17" spans="2:37" s="2" customFormat="1" x14ac:dyDescent="0.3">
      <c r="B17" s="1357"/>
      <c r="C17" s="1358" t="s">
        <v>2030</v>
      </c>
      <c r="D17" s="1359" t="s">
        <v>2031</v>
      </c>
      <c r="E17" s="1359" t="s">
        <v>2104</v>
      </c>
      <c r="F17" s="1360" t="s">
        <v>2033</v>
      </c>
      <c r="G17" s="1808">
        <v>40</v>
      </c>
      <c r="H17" s="1360" t="s">
        <v>2105</v>
      </c>
      <c r="I17" s="2055">
        <v>0</v>
      </c>
      <c r="J17" s="918">
        <v>41000</v>
      </c>
      <c r="K17" s="918">
        <v>41730</v>
      </c>
      <c r="L17" s="918">
        <v>43190</v>
      </c>
      <c r="M17" s="918">
        <v>43921</v>
      </c>
      <c r="N17" s="2056">
        <v>0</v>
      </c>
      <c r="O17" s="2036">
        <f>F4.3!$G$17</f>
        <v>4.0199999999999996</v>
      </c>
      <c r="P17" s="2057">
        <f>F4.3!$J$17</f>
        <v>0.05</v>
      </c>
      <c r="Q17" s="1808"/>
      <c r="R17" s="2045"/>
      <c r="S17" s="2057"/>
      <c r="T17" s="2021"/>
      <c r="U17" s="2058"/>
      <c r="V17" s="2059">
        <v>0.10049999999999999</v>
      </c>
      <c r="W17" s="2059">
        <v>1.25E-3</v>
      </c>
      <c r="X17" s="2059">
        <v>0</v>
      </c>
      <c r="Y17" s="2059">
        <v>0</v>
      </c>
      <c r="Z17" s="2059">
        <v>0</v>
      </c>
      <c r="AA17" s="2059">
        <v>0</v>
      </c>
      <c r="AB17" s="2059">
        <v>0</v>
      </c>
      <c r="AC17" s="2057">
        <f>F4.3!$H$17</f>
        <v>4.0199999999999996</v>
      </c>
      <c r="AD17" s="1808">
        <f>F4.3!$N$17</f>
        <v>0.05</v>
      </c>
      <c r="AE17" s="1808"/>
      <c r="AF17" s="1808"/>
      <c r="AG17" s="2036"/>
      <c r="AH17" s="1808"/>
      <c r="AI17" s="1808"/>
      <c r="AJ17" s="1950"/>
      <c r="AK17" s="909"/>
    </row>
    <row r="18" spans="2:37" s="2" customFormat="1" x14ac:dyDescent="0.3">
      <c r="B18" s="1361">
        <v>1</v>
      </c>
      <c r="C18" s="1362" t="s">
        <v>1477</v>
      </c>
      <c r="D18" s="1363" t="s">
        <v>2031</v>
      </c>
      <c r="E18" s="1949" t="s">
        <v>1478</v>
      </c>
      <c r="F18" s="1364" t="s">
        <v>1479</v>
      </c>
      <c r="G18" s="2060">
        <v>82.23</v>
      </c>
      <c r="H18" s="1365" t="s">
        <v>2105</v>
      </c>
      <c r="I18" s="2054">
        <v>0</v>
      </c>
      <c r="J18" s="918">
        <v>42095</v>
      </c>
      <c r="K18" s="918">
        <v>42095</v>
      </c>
      <c r="L18" s="918">
        <v>43555</v>
      </c>
      <c r="M18" s="918" t="s">
        <v>2036</v>
      </c>
      <c r="N18" s="2061">
        <v>0</v>
      </c>
      <c r="O18" s="2036">
        <f>F4.3!$G$18</f>
        <v>11.84</v>
      </c>
      <c r="P18" s="2036">
        <f>F4.3!$J$18</f>
        <v>3.02</v>
      </c>
      <c r="Q18" s="2036">
        <f>F4.3!$J56</f>
        <v>1</v>
      </c>
      <c r="R18" s="2036">
        <f>F4.3!$J99</f>
        <v>0.93</v>
      </c>
      <c r="S18" s="2036">
        <f>F4.3!$J138</f>
        <v>5.8</v>
      </c>
      <c r="T18" s="2036">
        <f>F4.3!$J173</f>
        <v>5.9</v>
      </c>
      <c r="U18" s="2036">
        <f>F4.3!$J212</f>
        <v>6.42</v>
      </c>
      <c r="V18" s="2062">
        <v>0.14398637966678826</v>
      </c>
      <c r="W18" s="2062">
        <v>3.6726255624467956E-2</v>
      </c>
      <c r="X18" s="2062">
        <v>1.2161011796181441E-2</v>
      </c>
      <c r="Y18" s="2062">
        <v>1.1309740970448741E-2</v>
      </c>
      <c r="Z18" s="2062">
        <v>7.0533868417852363E-2</v>
      </c>
      <c r="AA18" s="2062">
        <v>7.1749969597470514E-2</v>
      </c>
      <c r="AB18" s="2062">
        <v>7.8073695731484857E-2</v>
      </c>
      <c r="AC18" s="2036">
        <f>F4.3!$H$18</f>
        <v>8.56</v>
      </c>
      <c r="AD18" s="1808">
        <f>F4.3!$N$18</f>
        <v>0</v>
      </c>
      <c r="AE18" s="1808">
        <f>F4.3!$N56</f>
        <v>0</v>
      </c>
      <c r="AF18" s="2036"/>
      <c r="AG18" s="2036">
        <f>F4.3!$N138</f>
        <v>14.03</v>
      </c>
      <c r="AH18" s="2036">
        <f>F4.3!$N173</f>
        <v>5.9</v>
      </c>
      <c r="AI18" s="2036">
        <f>F4.3!$N212</f>
        <v>6.42</v>
      </c>
      <c r="AJ18" s="2063">
        <v>0</v>
      </c>
      <c r="AK18" s="1819">
        <v>0</v>
      </c>
    </row>
    <row r="19" spans="2:37" s="2" customFormat="1" ht="15.5" x14ac:dyDescent="0.3">
      <c r="B19" s="1361">
        <v>2</v>
      </c>
      <c r="C19" s="1366" t="s">
        <v>2061</v>
      </c>
      <c r="D19" s="1367" t="s">
        <v>2031</v>
      </c>
      <c r="E19" s="1368" t="s">
        <v>2106</v>
      </c>
      <c r="F19" s="1369" t="s">
        <v>2063</v>
      </c>
      <c r="G19" s="2058">
        <v>27.4</v>
      </c>
      <c r="H19" s="1370" t="s">
        <v>2105</v>
      </c>
      <c r="I19" s="2054">
        <v>0</v>
      </c>
      <c r="J19" s="918">
        <v>42095</v>
      </c>
      <c r="K19" s="918">
        <v>42095</v>
      </c>
      <c r="L19" s="918">
        <v>43555</v>
      </c>
      <c r="M19" s="918" t="s">
        <v>2036</v>
      </c>
      <c r="N19" s="2061">
        <v>0</v>
      </c>
      <c r="O19" s="2036"/>
      <c r="P19" s="2036"/>
      <c r="Q19" s="2036">
        <f>F4.3!$J57</f>
        <v>0</v>
      </c>
      <c r="R19" s="2036">
        <f>F4.3!$J100</f>
        <v>0</v>
      </c>
      <c r="S19" s="2036">
        <f>F4.3!$J139</f>
        <v>5.71</v>
      </c>
      <c r="T19" s="2036">
        <f>F4.3!$J174</f>
        <v>13.43</v>
      </c>
      <c r="U19" s="2036">
        <f>F4.3!$J213</f>
        <v>8.26</v>
      </c>
      <c r="V19" s="2062">
        <v>0</v>
      </c>
      <c r="W19" s="2062">
        <v>0</v>
      </c>
      <c r="X19" s="2062">
        <v>0</v>
      </c>
      <c r="Y19" s="2062">
        <v>0</v>
      </c>
      <c r="Z19" s="2062">
        <v>0.20839416058394161</v>
      </c>
      <c r="AA19" s="2062">
        <v>0.49014598540145987</v>
      </c>
      <c r="AB19" s="2062">
        <v>0.30145985401459857</v>
      </c>
      <c r="AC19" s="2036"/>
      <c r="AD19" s="2036"/>
      <c r="AE19" s="1808">
        <f>F4.3!$N57</f>
        <v>0</v>
      </c>
      <c r="AF19" s="2036">
        <f>F4.3!$N100</f>
        <v>0</v>
      </c>
      <c r="AG19" s="2036">
        <f>F4.3!$N139</f>
        <v>5.71</v>
      </c>
      <c r="AH19" s="2036">
        <f>F4.3!$N174</f>
        <v>13.43</v>
      </c>
      <c r="AI19" s="2036">
        <f>F4.3!$N213</f>
        <v>8.26</v>
      </c>
      <c r="AJ19" s="2063">
        <v>0</v>
      </c>
      <c r="AK19" s="1819">
        <v>0</v>
      </c>
    </row>
    <row r="20" spans="2:37" s="2" customFormat="1" x14ac:dyDescent="0.3">
      <c r="B20" s="1361"/>
      <c r="C20" s="327" t="s">
        <v>2037</v>
      </c>
      <c r="D20" s="325"/>
      <c r="E20" s="325"/>
      <c r="F20" s="325"/>
      <c r="G20" s="2021"/>
      <c r="H20" s="925"/>
      <c r="I20" s="1808"/>
      <c r="J20" s="919"/>
      <c r="K20" s="919"/>
      <c r="L20" s="919"/>
      <c r="M20" s="919"/>
      <c r="N20" s="2051"/>
      <c r="O20" s="2021"/>
      <c r="P20" s="2021"/>
      <c r="Q20" s="2021"/>
      <c r="R20" s="2021"/>
      <c r="S20" s="2064"/>
      <c r="T20" s="2021"/>
      <c r="U20" s="2033"/>
      <c r="V20" s="2065"/>
      <c r="W20" s="2065"/>
      <c r="X20" s="2065"/>
      <c r="Y20" s="2065"/>
      <c r="Z20" s="2065"/>
      <c r="AA20" s="2065"/>
      <c r="AB20" s="2065"/>
      <c r="AC20" s="2021"/>
      <c r="AD20" s="2021"/>
      <c r="AE20" s="2021"/>
      <c r="AF20" s="2021"/>
      <c r="AG20" s="2021"/>
      <c r="AH20" s="2021"/>
      <c r="AI20" s="2021"/>
      <c r="AJ20" s="2021"/>
      <c r="AK20" s="2021"/>
    </row>
    <row r="21" spans="2:37" s="2" customFormat="1" x14ac:dyDescent="0.3">
      <c r="B21" s="1361">
        <v>3</v>
      </c>
      <c r="C21" s="325" t="s">
        <v>1480</v>
      </c>
      <c r="D21" s="325" t="s">
        <v>2038</v>
      </c>
      <c r="E21" s="325" t="s">
        <v>2107</v>
      </c>
      <c r="F21" s="1371" t="s">
        <v>1482</v>
      </c>
      <c r="G21" s="2021">
        <v>36.630000000000003</v>
      </c>
      <c r="H21" s="925" t="s">
        <v>2105</v>
      </c>
      <c r="I21" s="1808">
        <v>0</v>
      </c>
      <c r="J21" s="919">
        <v>41730</v>
      </c>
      <c r="K21" s="919">
        <v>42095</v>
      </c>
      <c r="L21" s="919">
        <v>42094</v>
      </c>
      <c r="M21" s="919" t="s">
        <v>2036</v>
      </c>
      <c r="N21" s="2051">
        <v>0</v>
      </c>
      <c r="O21" s="2021">
        <f>F4.3!G21</f>
        <v>5.94</v>
      </c>
      <c r="P21" s="2021">
        <f>F4.3!J21</f>
        <v>4.3099999999999996</v>
      </c>
      <c r="Q21" s="2036">
        <f>F4.3!$J60</f>
        <v>1</v>
      </c>
      <c r="R21" s="2036">
        <f>F4.3!$J103</f>
        <v>0.21</v>
      </c>
      <c r="S21" s="2036">
        <f>F4.3!$J142</f>
        <v>2.5</v>
      </c>
      <c r="T21" s="2036">
        <f>F4.3!$J177</f>
        <v>5</v>
      </c>
      <c r="U21" s="2036">
        <f>F4.3!$J216</f>
        <v>0</v>
      </c>
      <c r="V21" s="2062">
        <v>0.16216216216216217</v>
      </c>
      <c r="W21" s="2062">
        <v>0.11766311766311764</v>
      </c>
      <c r="X21" s="2062">
        <v>2.7300027300027299E-2</v>
      </c>
      <c r="Y21" s="2062">
        <v>5.7330057330057327E-3</v>
      </c>
      <c r="Z21" s="2062">
        <v>8.1900081900081897E-2</v>
      </c>
      <c r="AA21" s="2062">
        <v>0.13650013650013648</v>
      </c>
      <c r="AB21" s="2062">
        <v>0</v>
      </c>
      <c r="AC21" s="2021">
        <f>F4.3!H21</f>
        <v>5.9399999999999995</v>
      </c>
      <c r="AD21" s="2021">
        <f>F4.3!N21</f>
        <v>4.3099999999999996</v>
      </c>
      <c r="AE21" s="1808">
        <f>F4.3!$N60</f>
        <v>1</v>
      </c>
      <c r="AF21" s="2036">
        <f>F4.3!$N103</f>
        <v>0.21</v>
      </c>
      <c r="AG21" s="2036">
        <f>F4.3!$N142</f>
        <v>2.5</v>
      </c>
      <c r="AH21" s="2036">
        <f>F4.3!$N177</f>
        <v>5</v>
      </c>
      <c r="AI21" s="2036">
        <f>F4.3!$N216</f>
        <v>0</v>
      </c>
      <c r="AJ21" s="2021">
        <v>0</v>
      </c>
      <c r="AK21" s="2021">
        <v>0</v>
      </c>
    </row>
    <row r="22" spans="2:37" s="2" customFormat="1" ht="15.5" x14ac:dyDescent="0.3">
      <c r="B22" s="1361">
        <v>4</v>
      </c>
      <c r="C22" s="325" t="s">
        <v>1483</v>
      </c>
      <c r="D22" s="325" t="s">
        <v>2038</v>
      </c>
      <c r="E22" s="325" t="s">
        <v>2108</v>
      </c>
      <c r="F22" s="1369" t="s">
        <v>1485</v>
      </c>
      <c r="G22" s="2021">
        <v>64.09</v>
      </c>
      <c r="H22" s="925" t="s">
        <v>2105</v>
      </c>
      <c r="I22" s="1808">
        <v>0</v>
      </c>
      <c r="J22" s="919">
        <v>42461</v>
      </c>
      <c r="K22" s="919">
        <v>42461</v>
      </c>
      <c r="L22" s="919">
        <v>43921</v>
      </c>
      <c r="M22" s="919" t="s">
        <v>2036</v>
      </c>
      <c r="N22" s="2051">
        <v>0</v>
      </c>
      <c r="O22" s="2021">
        <f>F4.3!G22</f>
        <v>15.73</v>
      </c>
      <c r="P22" s="2021">
        <f>F4.3!J22</f>
        <v>0.65</v>
      </c>
      <c r="Q22" s="2036">
        <f>F4.3!$J61</f>
        <v>1.2</v>
      </c>
      <c r="R22" s="2036">
        <f>F4.3!$J104</f>
        <v>5.2</v>
      </c>
      <c r="S22" s="2036">
        <f>F4.3!$J143</f>
        <v>3</v>
      </c>
      <c r="T22" s="2036">
        <f>F4.3!$J178</f>
        <v>7.5</v>
      </c>
      <c r="U22" s="2036">
        <f>F4.3!$J217</f>
        <v>0</v>
      </c>
      <c r="V22" s="2062">
        <v>0.24543610547667341</v>
      </c>
      <c r="W22" s="2062">
        <v>1.0141987829614604E-2</v>
      </c>
      <c r="X22" s="2062">
        <v>1.8723669839288498E-2</v>
      </c>
      <c r="Y22" s="2062">
        <v>8.1135902636916835E-2</v>
      </c>
      <c r="Z22" s="2062">
        <v>5.4610703697924791E-2</v>
      </c>
      <c r="AA22" s="2062">
        <v>0.11702293649555312</v>
      </c>
      <c r="AB22" s="2062">
        <v>0</v>
      </c>
      <c r="AC22" s="2021">
        <f>F4.3!H22</f>
        <v>15.73</v>
      </c>
      <c r="AD22" s="2021">
        <f>F4.3!N22</f>
        <v>0.65</v>
      </c>
      <c r="AE22" s="1808">
        <f>F4.3!$N61</f>
        <v>1.2</v>
      </c>
      <c r="AF22" s="2036">
        <f>F4.3!$N104</f>
        <v>5.2</v>
      </c>
      <c r="AG22" s="2036">
        <f>F4.3!$N143</f>
        <v>3</v>
      </c>
      <c r="AH22" s="2036">
        <f>F4.3!$N178</f>
        <v>7.5</v>
      </c>
      <c r="AI22" s="2036">
        <f>F4.3!$N217</f>
        <v>0</v>
      </c>
      <c r="AJ22" s="2021">
        <v>0</v>
      </c>
      <c r="AK22" s="2021">
        <v>0</v>
      </c>
    </row>
    <row r="23" spans="2:37" s="2" customFormat="1" x14ac:dyDescent="0.3">
      <c r="B23" s="1361">
        <v>5</v>
      </c>
      <c r="C23" s="325" t="s">
        <v>1486</v>
      </c>
      <c r="D23" s="325" t="s">
        <v>2038</v>
      </c>
      <c r="E23" s="325" t="s">
        <v>2108</v>
      </c>
      <c r="F23" s="1371" t="s">
        <v>1485</v>
      </c>
      <c r="G23" s="2021">
        <v>58.86</v>
      </c>
      <c r="H23" s="925" t="s">
        <v>2105</v>
      </c>
      <c r="I23" s="1808">
        <v>0</v>
      </c>
      <c r="J23" s="919">
        <v>42461</v>
      </c>
      <c r="K23" s="919">
        <v>42461</v>
      </c>
      <c r="L23" s="919">
        <v>43921</v>
      </c>
      <c r="M23" s="919" t="s">
        <v>2036</v>
      </c>
      <c r="N23" s="2051">
        <v>0</v>
      </c>
      <c r="O23" s="2021">
        <f>F4.3!G23</f>
        <v>2.5499999999999998</v>
      </c>
      <c r="P23" s="2021">
        <f>F4.3!J23</f>
        <v>0.37</v>
      </c>
      <c r="Q23" s="2036">
        <f>F4.3!$J62</f>
        <v>1.87</v>
      </c>
      <c r="R23" s="2036">
        <f>F4.3!$J105</f>
        <v>0.97</v>
      </c>
      <c r="S23" s="2036">
        <f>F4.3!$J144</f>
        <v>3.5</v>
      </c>
      <c r="T23" s="2036">
        <f>F4.3!$J179</f>
        <v>8.25</v>
      </c>
      <c r="U23" s="2036">
        <f>F4.3!$J218</f>
        <v>9.5</v>
      </c>
      <c r="V23" s="2062">
        <v>4.3323139653414881E-2</v>
      </c>
      <c r="W23" s="2062">
        <v>6.2861026163778455E-3</v>
      </c>
      <c r="X23" s="2062">
        <v>3.1770302412504246E-2</v>
      </c>
      <c r="Y23" s="2062">
        <v>1.6479782534828406E-2</v>
      </c>
      <c r="Z23" s="2062">
        <v>4.2473666326877338E-2</v>
      </c>
      <c r="AA23" s="2062">
        <v>0.14016309887869521</v>
      </c>
      <c r="AB23" s="2062">
        <v>0.16139993204213388</v>
      </c>
      <c r="AC23" s="2021">
        <f>F4.3!H23</f>
        <v>2.5499999999999998</v>
      </c>
      <c r="AD23" s="2021">
        <f>F4.3!N23</f>
        <v>0.37</v>
      </c>
      <c r="AE23" s="1808">
        <f>F4.3!$N62</f>
        <v>1.87</v>
      </c>
      <c r="AF23" s="2036">
        <f>F4.3!$N105</f>
        <v>0.97</v>
      </c>
      <c r="AG23" s="2036">
        <f>F4.3!$N144</f>
        <v>3.5</v>
      </c>
      <c r="AH23" s="2036">
        <f>F4.3!$N179</f>
        <v>8.25</v>
      </c>
      <c r="AI23" s="2036">
        <f>F4.3!$N218</f>
        <v>9.5</v>
      </c>
      <c r="AJ23" s="2021">
        <v>0</v>
      </c>
      <c r="AK23" s="2021">
        <v>0</v>
      </c>
    </row>
    <row r="24" spans="2:37" s="2" customFormat="1" ht="15.5" x14ac:dyDescent="0.3">
      <c r="B24" s="1361">
        <v>6</v>
      </c>
      <c r="C24" s="325" t="s">
        <v>1487</v>
      </c>
      <c r="D24" s="325" t="s">
        <v>2038</v>
      </c>
      <c r="E24" s="325" t="s">
        <v>2109</v>
      </c>
      <c r="F24" s="1369" t="s">
        <v>1489</v>
      </c>
      <c r="G24" s="2021">
        <v>15.58</v>
      </c>
      <c r="H24" s="925" t="s">
        <v>2105</v>
      </c>
      <c r="I24" s="1808">
        <v>0</v>
      </c>
      <c r="J24" s="919">
        <v>42826</v>
      </c>
      <c r="K24" s="919">
        <v>42826</v>
      </c>
      <c r="L24" s="919">
        <v>43921</v>
      </c>
      <c r="M24" s="919">
        <v>43921</v>
      </c>
      <c r="N24" s="2051">
        <v>0</v>
      </c>
      <c r="O24" s="2021">
        <f>F4.3!G24</f>
        <v>14.5</v>
      </c>
      <c r="P24" s="2021">
        <f>F4.3!J24</f>
        <v>2.79</v>
      </c>
      <c r="Q24" s="2036">
        <f>F4.3!$J63</f>
        <v>1.83</v>
      </c>
      <c r="R24" s="2036">
        <f>F4.3!$J106</f>
        <v>0.73</v>
      </c>
      <c r="S24" s="2057">
        <v>0</v>
      </c>
      <c r="T24" s="2021"/>
      <c r="U24" s="2033"/>
      <c r="V24" s="2062">
        <v>0.93068035943517324</v>
      </c>
      <c r="W24" s="2062">
        <v>0.17907573812580233</v>
      </c>
      <c r="X24" s="2062">
        <v>0.11745827984595636</v>
      </c>
      <c r="Y24" s="2062">
        <v>4.685494223363286E-2</v>
      </c>
      <c r="Z24" s="2062">
        <v>0</v>
      </c>
      <c r="AA24" s="2062">
        <v>0</v>
      </c>
      <c r="AB24" s="2062">
        <v>0</v>
      </c>
      <c r="AC24" s="2021">
        <f>F4.3!H24</f>
        <v>14.5</v>
      </c>
      <c r="AD24" s="2021">
        <f>F4.3!N24</f>
        <v>2.79</v>
      </c>
      <c r="AE24" s="1808">
        <f>F4.3!$N63</f>
        <v>1.83</v>
      </c>
      <c r="AF24" s="2036">
        <f>F4.3!$N106</f>
        <v>0.73</v>
      </c>
      <c r="AG24" s="2057">
        <v>0</v>
      </c>
      <c r="AH24" s="2021"/>
      <c r="AI24" s="2021"/>
      <c r="AJ24" s="2021">
        <v>0</v>
      </c>
      <c r="AK24" s="2021">
        <v>0</v>
      </c>
    </row>
    <row r="25" spans="2:37" s="2" customFormat="1" x14ac:dyDescent="0.3">
      <c r="B25" s="1361">
        <v>7</v>
      </c>
      <c r="C25" s="325" t="s">
        <v>1490</v>
      </c>
      <c r="D25" s="325" t="s">
        <v>2038</v>
      </c>
      <c r="E25" s="325" t="s">
        <v>2110</v>
      </c>
      <c r="F25" s="1371" t="s">
        <v>1492</v>
      </c>
      <c r="G25" s="2021">
        <v>40.6</v>
      </c>
      <c r="H25" s="925" t="s">
        <v>2105</v>
      </c>
      <c r="I25" s="1808">
        <v>0</v>
      </c>
      <c r="J25" s="919">
        <v>42826</v>
      </c>
      <c r="K25" s="919">
        <v>42826</v>
      </c>
      <c r="L25" s="919">
        <v>43921</v>
      </c>
      <c r="M25" s="919">
        <v>43921</v>
      </c>
      <c r="N25" s="2051">
        <v>0</v>
      </c>
      <c r="O25" s="2021">
        <f>F4.3!G25</f>
        <v>0</v>
      </c>
      <c r="P25" s="2021">
        <f>F4.3!J25</f>
        <v>6.58</v>
      </c>
      <c r="Q25" s="2036">
        <f>F4.3!$J64</f>
        <v>10.15</v>
      </c>
      <c r="R25" s="2036">
        <f>F4.3!$J107</f>
        <v>7.09</v>
      </c>
      <c r="S25" s="2036">
        <f>F4.3!$J145</f>
        <v>2.5</v>
      </c>
      <c r="T25" s="2036">
        <f>F4.3!$J180</f>
        <v>7.66</v>
      </c>
      <c r="U25" s="2036">
        <f>F4.3!$J219</f>
        <v>6.62</v>
      </c>
      <c r="V25" s="2062">
        <v>0</v>
      </c>
      <c r="W25" s="2062">
        <v>0.16206896551724137</v>
      </c>
      <c r="X25" s="2062">
        <v>0.25</v>
      </c>
      <c r="Y25" s="2062">
        <v>0.17463054187192117</v>
      </c>
      <c r="Z25" s="2062">
        <v>0</v>
      </c>
      <c r="AA25" s="2062">
        <v>0.18866995073891626</v>
      </c>
      <c r="AB25" s="2062">
        <v>0.16305418719211823</v>
      </c>
      <c r="AC25" s="2021">
        <f>F4.3!H25</f>
        <v>0</v>
      </c>
      <c r="AD25" s="2021">
        <f>F4.3!N25</f>
        <v>6.58</v>
      </c>
      <c r="AE25" s="1808">
        <f>F4.3!$N64</f>
        <v>10.15</v>
      </c>
      <c r="AF25" s="2036">
        <f>F4.3!$N107</f>
        <v>7.09</v>
      </c>
      <c r="AG25" s="2036">
        <f>F4.3!$N145</f>
        <v>2.5</v>
      </c>
      <c r="AH25" s="2036">
        <f>F4.3!$N180</f>
        <v>7.66</v>
      </c>
      <c r="AI25" s="2036">
        <f>F4.3!$N219</f>
        <v>6.62</v>
      </c>
      <c r="AJ25" s="2021">
        <v>0</v>
      </c>
      <c r="AK25" s="2021">
        <v>0</v>
      </c>
    </row>
    <row r="26" spans="2:37" s="2" customFormat="1" ht="15.5" x14ac:dyDescent="0.3">
      <c r="B26" s="1361"/>
      <c r="C26" s="325"/>
      <c r="D26" s="325"/>
      <c r="E26" s="325"/>
      <c r="F26" s="1369"/>
      <c r="G26" s="2021"/>
      <c r="H26" s="925"/>
      <c r="I26" s="1808"/>
      <c r="J26" s="919"/>
      <c r="K26" s="919"/>
      <c r="L26" s="919"/>
      <c r="M26" s="919"/>
      <c r="N26" s="2051"/>
      <c r="O26" s="2021">
        <f>F4.3!G26</f>
        <v>0</v>
      </c>
      <c r="P26" s="2021">
        <f>F4.3!J26</f>
        <v>0</v>
      </c>
      <c r="Q26" s="2021"/>
      <c r="R26" s="2021"/>
      <c r="S26" s="2064"/>
      <c r="T26" s="2021"/>
      <c r="U26" s="2033"/>
      <c r="V26" s="2065"/>
      <c r="W26" s="2065"/>
      <c r="X26" s="2065"/>
      <c r="Y26" s="2065"/>
      <c r="Z26" s="2065"/>
      <c r="AA26" s="2065"/>
      <c r="AB26" s="2065"/>
      <c r="AC26" s="2021">
        <f>F4.3!H26</f>
        <v>0</v>
      </c>
      <c r="AD26" s="2021">
        <f>F4.3!N26</f>
        <v>0</v>
      </c>
      <c r="AE26" s="2021"/>
      <c r="AF26" s="2021"/>
      <c r="AG26" s="2021"/>
      <c r="AH26" s="2021"/>
      <c r="AI26" s="2021"/>
      <c r="AJ26" s="2021"/>
      <c r="AK26" s="2021"/>
    </row>
    <row r="27" spans="2:37" s="2" customFormat="1" x14ac:dyDescent="0.3">
      <c r="B27" s="1356"/>
      <c r="C27" s="2330" t="s">
        <v>2045</v>
      </c>
      <c r="D27" s="2331"/>
      <c r="E27" s="2331"/>
      <c r="F27" s="2332"/>
      <c r="G27" s="2066"/>
      <c r="H27" s="1356"/>
      <c r="I27" s="2061"/>
      <c r="J27" s="920"/>
      <c r="K27" s="920"/>
      <c r="L27" s="920"/>
      <c r="M27" s="920"/>
      <c r="N27" s="2067"/>
      <c r="O27" s="2036">
        <f>F4.3!G27</f>
        <v>0</v>
      </c>
      <c r="P27" s="2068">
        <f>F4.3!J27</f>
        <v>0</v>
      </c>
      <c r="Q27" s="2068"/>
      <c r="R27" s="2068"/>
      <c r="S27" s="2069"/>
      <c r="T27" s="2021"/>
      <c r="U27" s="2070"/>
      <c r="V27" s="2065"/>
      <c r="W27" s="2065"/>
      <c r="X27" s="2065"/>
      <c r="Y27" s="2065"/>
      <c r="Z27" s="2065"/>
      <c r="AA27" s="2065"/>
      <c r="AB27" s="2065"/>
      <c r="AC27" s="2068">
        <f>F4.3!H27</f>
        <v>0</v>
      </c>
      <c r="AD27" s="2068">
        <f>F4.3!N27</f>
        <v>0</v>
      </c>
      <c r="AE27" s="2068"/>
      <c r="AF27" s="2068"/>
      <c r="AG27" s="2068"/>
      <c r="AH27" s="2068"/>
      <c r="AI27" s="2068"/>
      <c r="AJ27" s="2071"/>
      <c r="AK27" s="1857"/>
    </row>
    <row r="28" spans="2:37" s="2" customFormat="1" x14ac:dyDescent="0.3">
      <c r="B28" s="1361">
        <v>8</v>
      </c>
      <c r="C28" s="1372" t="s">
        <v>1494</v>
      </c>
      <c r="D28" s="1373" t="s">
        <v>2046</v>
      </c>
      <c r="E28" s="1374" t="s">
        <v>2111</v>
      </c>
      <c r="F28" s="1371" t="s">
        <v>1485</v>
      </c>
      <c r="G28" s="2036">
        <v>134.85</v>
      </c>
      <c r="H28" s="1370" t="s">
        <v>2105</v>
      </c>
      <c r="I28" s="2054">
        <v>0</v>
      </c>
      <c r="J28" s="918">
        <v>42461</v>
      </c>
      <c r="K28" s="918">
        <v>42461</v>
      </c>
      <c r="L28" s="918">
        <v>43921</v>
      </c>
      <c r="M28" s="918">
        <v>43921</v>
      </c>
      <c r="N28" s="2061">
        <v>0</v>
      </c>
      <c r="O28" s="2036">
        <f>F4.3!G28</f>
        <v>61.88000000000001</v>
      </c>
      <c r="P28" s="2036">
        <f>F4.3!J28</f>
        <v>18.38</v>
      </c>
      <c r="Q28" s="2036">
        <f>F4.3!$J67</f>
        <v>0</v>
      </c>
      <c r="R28" s="2036"/>
      <c r="T28" s="2021"/>
      <c r="U28" s="2058"/>
      <c r="V28" s="2062">
        <v>0.4588802373007046</v>
      </c>
      <c r="W28" s="2062">
        <v>0.13629959213941417</v>
      </c>
      <c r="X28" s="2062">
        <v>0</v>
      </c>
      <c r="Y28" s="2062">
        <v>0</v>
      </c>
      <c r="Z28" s="2062">
        <v>0.18539117538005193</v>
      </c>
      <c r="AA28" s="2062">
        <v>0</v>
      </c>
      <c r="AB28" s="2062">
        <v>0</v>
      </c>
      <c r="AC28" s="2036">
        <f>F4.3!H28</f>
        <v>61.88000000000001</v>
      </c>
      <c r="AD28" s="2036">
        <f>F4.3!N28</f>
        <v>18.38</v>
      </c>
      <c r="AE28" s="1808">
        <f>F4.3!$N67</f>
        <v>0</v>
      </c>
      <c r="AF28" s="2036"/>
      <c r="AH28" s="2036"/>
      <c r="AI28" s="2036"/>
      <c r="AJ28" s="2071">
        <v>0</v>
      </c>
      <c r="AK28" s="1857">
        <v>0</v>
      </c>
    </row>
    <row r="29" spans="2:37" s="2" customFormat="1" ht="15.5" x14ac:dyDescent="0.3">
      <c r="B29" s="1361">
        <v>9</v>
      </c>
      <c r="C29" s="1372" t="s">
        <v>2064</v>
      </c>
      <c r="D29" s="1373" t="s">
        <v>2046</v>
      </c>
      <c r="E29" s="1374" t="s">
        <v>2112</v>
      </c>
      <c r="F29" s="1369" t="s">
        <v>1492</v>
      </c>
      <c r="G29" s="2036">
        <v>147.65</v>
      </c>
      <c r="H29" s="1370" t="s">
        <v>2105</v>
      </c>
      <c r="I29" s="2054">
        <v>0</v>
      </c>
      <c r="J29" s="918">
        <v>42461</v>
      </c>
      <c r="K29" s="918">
        <v>42461</v>
      </c>
      <c r="L29" s="918">
        <v>43921</v>
      </c>
      <c r="M29" s="918">
        <v>43921</v>
      </c>
      <c r="N29" s="2061">
        <v>0</v>
      </c>
      <c r="O29" s="2036"/>
      <c r="P29" s="2036"/>
      <c r="Q29" s="2036">
        <f>F4.3!$J68</f>
        <v>18.260000000000002</v>
      </c>
      <c r="R29" s="2036">
        <f>F4.3!$J110</f>
        <v>20.95</v>
      </c>
      <c r="S29" s="2036">
        <f>F4.3!$J148</f>
        <v>25</v>
      </c>
      <c r="T29" s="2036">
        <f>F4.3!$J183</f>
        <v>26.25</v>
      </c>
      <c r="U29" s="2036">
        <f>F4.3!$J222</f>
        <v>26.17</v>
      </c>
      <c r="V29" s="2062">
        <v>0</v>
      </c>
      <c r="W29" s="2062">
        <v>0</v>
      </c>
      <c r="X29" s="2062">
        <v>0.12367084321029462</v>
      </c>
      <c r="Y29" s="2062">
        <v>0.14188960379275312</v>
      </c>
      <c r="Z29" s="2062">
        <v>0</v>
      </c>
      <c r="AA29" s="2062">
        <v>0.17778530308161192</v>
      </c>
      <c r="AB29" s="2062">
        <v>0.17724348120555367</v>
      </c>
      <c r="AC29" s="2036"/>
      <c r="AD29" s="2036"/>
      <c r="AE29" s="1808">
        <f>F4.3!$N68</f>
        <v>18.260000000000002</v>
      </c>
      <c r="AF29" s="2036">
        <f>F4.3!$N110</f>
        <v>20.95</v>
      </c>
      <c r="AG29" s="2036">
        <f>F4.3!$N148</f>
        <v>25</v>
      </c>
      <c r="AH29" s="2036">
        <f>F4.3!$N183</f>
        <v>26.25</v>
      </c>
      <c r="AI29" s="2036">
        <f>F4.3!$N222</f>
        <v>26.17</v>
      </c>
      <c r="AJ29" s="2071">
        <v>0</v>
      </c>
      <c r="AK29" s="1857">
        <v>0</v>
      </c>
    </row>
    <row r="30" spans="2:37" s="2" customFormat="1" x14ac:dyDescent="0.3">
      <c r="B30" s="2333" t="s">
        <v>2049</v>
      </c>
      <c r="C30" s="2334"/>
      <c r="D30" s="2334"/>
      <c r="E30" s="2334"/>
      <c r="F30" s="2334"/>
      <c r="G30" s="2335"/>
      <c r="H30" s="1356"/>
      <c r="I30" s="2054"/>
      <c r="J30" s="918"/>
      <c r="K30" s="918"/>
      <c r="L30" s="918"/>
      <c r="M30" s="918"/>
      <c r="N30" s="2067"/>
      <c r="O30" s="2036"/>
      <c r="P30" s="2068"/>
      <c r="Q30" s="2068"/>
      <c r="R30" s="2068"/>
      <c r="S30" s="2057"/>
      <c r="T30" s="2021"/>
      <c r="U30" s="2070"/>
      <c r="V30" s="2065"/>
      <c r="W30" s="2065"/>
      <c r="X30" s="2065"/>
      <c r="Y30" s="2065"/>
      <c r="Z30" s="2065"/>
      <c r="AA30" s="2065"/>
      <c r="AB30" s="2065"/>
      <c r="AC30" s="2068"/>
      <c r="AD30" s="2068"/>
      <c r="AE30" s="2068"/>
      <c r="AF30" s="2068"/>
      <c r="AG30" s="2036"/>
      <c r="AH30" s="2068"/>
      <c r="AI30" s="2068"/>
      <c r="AJ30" s="2071"/>
      <c r="AK30" s="1857"/>
    </row>
    <row r="31" spans="2:37" s="2" customFormat="1" ht="26" x14ac:dyDescent="0.3">
      <c r="B31" s="1361">
        <v>10</v>
      </c>
      <c r="C31" s="1372" t="s">
        <v>1497</v>
      </c>
      <c r="D31" s="1375" t="s">
        <v>2049</v>
      </c>
      <c r="E31" s="1376" t="s">
        <v>2113</v>
      </c>
      <c r="F31" s="1371" t="s">
        <v>1499</v>
      </c>
      <c r="G31" s="2036">
        <v>152.25</v>
      </c>
      <c r="H31" s="1370" t="s">
        <v>2105</v>
      </c>
      <c r="I31" s="2054">
        <v>0</v>
      </c>
      <c r="J31" s="918">
        <v>42461</v>
      </c>
      <c r="K31" s="918">
        <v>42461</v>
      </c>
      <c r="L31" s="918">
        <v>43921</v>
      </c>
      <c r="M31" s="918">
        <v>43555</v>
      </c>
      <c r="N31" s="2061">
        <v>0</v>
      </c>
      <c r="O31" s="2036">
        <f>F4.3!G30</f>
        <v>139.43</v>
      </c>
      <c r="P31" s="2036">
        <f>F4.3!J30</f>
        <v>54.13</v>
      </c>
      <c r="Q31" s="2036">
        <f>F4.3!$J70</f>
        <v>0</v>
      </c>
      <c r="R31" s="2036"/>
      <c r="S31" s="2072">
        <v>0</v>
      </c>
      <c r="T31" s="2021"/>
      <c r="U31" s="2058"/>
      <c r="V31" s="2062">
        <v>0.9157963875205255</v>
      </c>
      <c r="W31" s="2062">
        <v>0.35553366174055828</v>
      </c>
      <c r="X31" s="2062">
        <v>0</v>
      </c>
      <c r="Y31" s="2062">
        <v>0</v>
      </c>
      <c r="Z31" s="2062">
        <v>0.32630541871921181</v>
      </c>
      <c r="AA31" s="2062">
        <v>0</v>
      </c>
      <c r="AB31" s="2062">
        <v>0</v>
      </c>
      <c r="AC31" s="2036">
        <f>F4.3!H30</f>
        <v>139.43</v>
      </c>
      <c r="AD31" s="2036">
        <f>F4.3!N30</f>
        <v>54.13</v>
      </c>
      <c r="AE31" s="1808">
        <f>F4.3!$N70</f>
        <v>0</v>
      </c>
      <c r="AF31" s="2036"/>
      <c r="AG31" s="2072">
        <v>0</v>
      </c>
      <c r="AH31" s="2036"/>
      <c r="AI31" s="2036"/>
      <c r="AJ31" s="2063">
        <v>0</v>
      </c>
      <c r="AK31" s="1819">
        <v>0</v>
      </c>
    </row>
    <row r="32" spans="2:37" s="2" customFormat="1" ht="26" x14ac:dyDescent="0.3">
      <c r="B32" s="1361">
        <v>11</v>
      </c>
      <c r="C32" s="1372" t="s">
        <v>2066</v>
      </c>
      <c r="D32" s="1375" t="s">
        <v>2049</v>
      </c>
      <c r="E32" s="1376" t="s">
        <v>2114</v>
      </c>
      <c r="F32" s="1369" t="s">
        <v>2068</v>
      </c>
      <c r="G32" s="2036">
        <v>246.2</v>
      </c>
      <c r="H32" s="1370" t="s">
        <v>2105</v>
      </c>
      <c r="I32" s="2054">
        <v>0</v>
      </c>
      <c r="J32" s="918">
        <v>42461</v>
      </c>
      <c r="K32" s="918">
        <v>42461</v>
      </c>
      <c r="L32" s="918">
        <v>43921</v>
      </c>
      <c r="M32" s="918">
        <v>43555</v>
      </c>
      <c r="N32" s="2061">
        <v>0</v>
      </c>
      <c r="O32" s="2036">
        <v>0</v>
      </c>
      <c r="P32" s="2036"/>
      <c r="Q32" s="2036">
        <f>F4.3!$J71</f>
        <v>57.37</v>
      </c>
      <c r="R32" s="2036">
        <f>F4.3!$J112</f>
        <v>44.15</v>
      </c>
      <c r="S32" s="2036">
        <f>F4.3!$J150</f>
        <v>49.68</v>
      </c>
      <c r="T32" s="2036">
        <f>F4.3!$J185</f>
        <v>48</v>
      </c>
      <c r="U32" s="2036">
        <f>F4.3!$J224</f>
        <v>47</v>
      </c>
      <c r="V32" s="2062">
        <v>0</v>
      </c>
      <c r="W32" s="2062">
        <v>0</v>
      </c>
      <c r="X32" s="2062">
        <v>0.23302193338748983</v>
      </c>
      <c r="Y32" s="2062">
        <v>0.17932575142160845</v>
      </c>
      <c r="Z32" s="2062">
        <v>0</v>
      </c>
      <c r="AA32" s="2062">
        <v>0.19496344435418361</v>
      </c>
      <c r="AB32" s="2062">
        <v>0.19090170593013811</v>
      </c>
      <c r="AC32" s="2036"/>
      <c r="AD32" s="2036"/>
      <c r="AE32" s="1808">
        <f>F4.3!$N71</f>
        <v>57.37</v>
      </c>
      <c r="AF32" s="2036">
        <f>F4.3!$N112</f>
        <v>44.15</v>
      </c>
      <c r="AG32" s="2036">
        <f>F4.3!$N150</f>
        <v>49.68</v>
      </c>
      <c r="AH32" s="2036">
        <f>F4.3!$N185</f>
        <v>48</v>
      </c>
      <c r="AI32" s="2036">
        <f>F4.3!$N224</f>
        <v>47</v>
      </c>
      <c r="AJ32" s="2063">
        <v>0</v>
      </c>
      <c r="AK32" s="1819">
        <v>0</v>
      </c>
    </row>
    <row r="33" spans="2:37" s="2" customFormat="1" x14ac:dyDescent="0.3">
      <c r="B33" s="1356">
        <v>0</v>
      </c>
      <c r="C33" s="2330" t="s">
        <v>2050</v>
      </c>
      <c r="D33" s="2334"/>
      <c r="E33" s="2334"/>
      <c r="F33" s="2334"/>
      <c r="G33" s="2335"/>
      <c r="H33" s="1356"/>
      <c r="I33" s="2061"/>
      <c r="J33" s="920"/>
      <c r="K33" s="920"/>
      <c r="L33" s="920"/>
      <c r="M33" s="920"/>
      <c r="N33" s="2067"/>
      <c r="O33" s="2036"/>
      <c r="P33" s="2068"/>
      <c r="Q33" s="2036">
        <f>F4.3!$J72</f>
        <v>0</v>
      </c>
      <c r="R33" s="2068"/>
      <c r="S33" s="2069"/>
      <c r="T33" s="2021"/>
      <c r="U33" s="2070"/>
      <c r="V33" s="2065"/>
      <c r="W33" s="2065"/>
      <c r="X33" s="2065"/>
      <c r="Y33" s="2065"/>
      <c r="Z33" s="2065"/>
      <c r="AA33" s="2065"/>
      <c r="AB33" s="2065"/>
      <c r="AC33" s="2068"/>
      <c r="AD33" s="2068"/>
      <c r="AE33" s="1808">
        <f>F4.3!$N72</f>
        <v>0</v>
      </c>
      <c r="AF33" s="2068"/>
      <c r="AG33" s="2068"/>
      <c r="AH33" s="2068"/>
      <c r="AI33" s="2068"/>
      <c r="AJ33" s="2071"/>
      <c r="AK33" s="1857"/>
    </row>
    <row r="34" spans="2:37" s="2" customFormat="1" x14ac:dyDescent="0.3">
      <c r="B34" s="1361">
        <v>12</v>
      </c>
      <c r="C34" s="1372" t="s">
        <v>1501</v>
      </c>
      <c r="D34" s="1363" t="s">
        <v>2051</v>
      </c>
      <c r="E34" s="1376" t="s">
        <v>2115</v>
      </c>
      <c r="F34" s="1371" t="s">
        <v>2053</v>
      </c>
      <c r="G34" s="2036">
        <v>13.12</v>
      </c>
      <c r="H34" s="1370" t="s">
        <v>2105</v>
      </c>
      <c r="I34" s="2061">
        <v>0</v>
      </c>
      <c r="J34" s="918">
        <v>42826</v>
      </c>
      <c r="K34" s="921" t="s">
        <v>2041</v>
      </c>
      <c r="L34" s="918">
        <v>44286</v>
      </c>
      <c r="M34" s="918" t="s">
        <v>2036</v>
      </c>
      <c r="N34" s="2073">
        <v>0</v>
      </c>
      <c r="O34" s="2036">
        <f>F4.3!$G$33</f>
        <v>0</v>
      </c>
      <c r="P34" s="2057">
        <f>F4.3!$J$33</f>
        <v>0</v>
      </c>
      <c r="Q34" s="2036">
        <f>F4.3!$J73</f>
        <v>0</v>
      </c>
      <c r="R34" s="2036">
        <f>F4.3!$J114</f>
        <v>0</v>
      </c>
      <c r="S34" s="2036">
        <f>F4.3!$J152</f>
        <v>0</v>
      </c>
      <c r="T34" s="2036">
        <f>F4.3!$J187</f>
        <v>0</v>
      </c>
      <c r="U34" s="2036">
        <f>F4.3!$J226</f>
        <v>0</v>
      </c>
      <c r="V34" s="2062">
        <v>0</v>
      </c>
      <c r="W34" s="2062">
        <v>0</v>
      </c>
      <c r="X34" s="2062">
        <v>0</v>
      </c>
      <c r="Y34" s="2062">
        <v>0</v>
      </c>
      <c r="Z34" s="2062">
        <v>3.8109756097560975E-2</v>
      </c>
      <c r="AA34" s="2062">
        <v>0</v>
      </c>
      <c r="AB34" s="2062">
        <v>0</v>
      </c>
      <c r="AC34" s="2057">
        <f>F4.3!$H$33</f>
        <v>0</v>
      </c>
      <c r="AD34" s="1808">
        <f>F4.3!$N$33</f>
        <v>0</v>
      </c>
      <c r="AE34" s="1808">
        <f>F4.3!$N73</f>
        <v>0</v>
      </c>
      <c r="AF34" s="2036">
        <f>F4.3!$N114</f>
        <v>0</v>
      </c>
      <c r="AG34" s="2036">
        <f>F4.3!$N152</f>
        <v>0</v>
      </c>
      <c r="AH34" s="2036">
        <f>F4.3!$N187</f>
        <v>0</v>
      </c>
      <c r="AI34" s="2036">
        <f>F4.3!$N226</f>
        <v>0</v>
      </c>
      <c r="AJ34" s="2074">
        <v>0</v>
      </c>
      <c r="AK34" s="2075">
        <v>0</v>
      </c>
    </row>
    <row r="35" spans="2:37" s="2" customFormat="1" ht="15.5" x14ac:dyDescent="0.3">
      <c r="B35" s="1361">
        <v>13</v>
      </c>
      <c r="C35" s="1372" t="s">
        <v>1504</v>
      </c>
      <c r="D35" s="1375" t="s">
        <v>2069</v>
      </c>
      <c r="E35" s="1376" t="s">
        <v>2116</v>
      </c>
      <c r="F35" s="1369" t="s">
        <v>2070</v>
      </c>
      <c r="G35" s="2036">
        <v>9.2200000000000006</v>
      </c>
      <c r="H35" s="1370" t="s">
        <v>2105</v>
      </c>
      <c r="I35" s="2061">
        <v>0</v>
      </c>
      <c r="J35" s="918">
        <v>42826</v>
      </c>
      <c r="K35" s="918">
        <v>43191</v>
      </c>
      <c r="L35" s="918">
        <v>43555</v>
      </c>
      <c r="M35" s="918" t="s">
        <v>2036</v>
      </c>
      <c r="N35" s="2061">
        <v>0</v>
      </c>
      <c r="O35" s="2036">
        <f>F4.3!$G$34</f>
        <v>0.06</v>
      </c>
      <c r="P35" s="2057">
        <f>F4.3!$J$34</f>
        <v>0.39</v>
      </c>
      <c r="Q35" s="2036">
        <f>F4.3!$J74</f>
        <v>0</v>
      </c>
      <c r="R35" s="2036">
        <f>F4.3!$J115</f>
        <v>0</v>
      </c>
      <c r="S35" s="2036">
        <f>F4.3!$J153</f>
        <v>0.5</v>
      </c>
      <c r="T35" s="2036">
        <f>F4.3!$J188</f>
        <v>3.5</v>
      </c>
      <c r="U35" s="2036">
        <f>F4.3!$J227</f>
        <v>4.7699999999999996</v>
      </c>
      <c r="V35" s="2062">
        <v>6.5075921908893698E-3</v>
      </c>
      <c r="W35" s="2062">
        <v>4.2299349240780909E-2</v>
      </c>
      <c r="X35" s="2062">
        <v>0</v>
      </c>
      <c r="Y35" s="2062">
        <v>0</v>
      </c>
      <c r="Z35" s="2062">
        <v>0</v>
      </c>
      <c r="AA35" s="2062">
        <v>0.37960954446854661</v>
      </c>
      <c r="AB35" s="2062">
        <v>0.5173535791757049</v>
      </c>
      <c r="AC35" s="2057">
        <f>F4.3!$H$34</f>
        <v>0.06</v>
      </c>
      <c r="AD35" s="1808">
        <f>F4.3!$N$34</f>
        <v>0.39</v>
      </c>
      <c r="AE35" s="1808">
        <f>F4.3!$N74</f>
        <v>0</v>
      </c>
      <c r="AF35" s="2036">
        <f>F4.3!$N115</f>
        <v>0</v>
      </c>
      <c r="AG35" s="2036">
        <f>F4.3!$N153</f>
        <v>0.5</v>
      </c>
      <c r="AH35" s="2036">
        <f>F4.3!$N188</f>
        <v>3.5</v>
      </c>
      <c r="AI35" s="2036">
        <f>F4.3!$N227</f>
        <v>4.7699999999999996</v>
      </c>
      <c r="AJ35" s="2063">
        <v>0</v>
      </c>
      <c r="AK35" s="1819">
        <v>0</v>
      </c>
    </row>
    <row r="36" spans="2:37" s="2" customFormat="1" x14ac:dyDescent="0.3">
      <c r="B36" s="1356"/>
      <c r="C36" s="1377"/>
      <c r="D36" s="1378"/>
      <c r="E36" s="1379"/>
      <c r="F36" s="1380"/>
      <c r="G36" s="2058"/>
      <c r="H36" s="1381"/>
      <c r="I36" s="2061"/>
      <c r="J36" s="920"/>
      <c r="K36" s="920"/>
      <c r="L36" s="920"/>
      <c r="M36" s="920"/>
      <c r="N36" s="2061"/>
      <c r="O36" s="2036"/>
      <c r="P36" s="2036"/>
      <c r="Q36" s="2036">
        <f>F4.3!$J75</f>
        <v>0</v>
      </c>
      <c r="R36" s="2036"/>
      <c r="S36" s="2057"/>
      <c r="T36" s="2021"/>
      <c r="U36" s="2058"/>
      <c r="V36" s="2065"/>
      <c r="W36" s="2065"/>
      <c r="X36" s="2065"/>
      <c r="Y36" s="2065"/>
      <c r="Z36" s="2065"/>
      <c r="AA36" s="2065"/>
      <c r="AB36" s="2065"/>
      <c r="AC36" s="2036"/>
      <c r="AD36" s="2036"/>
      <c r="AE36" s="1808">
        <f>F4.3!$N75</f>
        <v>0</v>
      </c>
      <c r="AF36" s="2036"/>
      <c r="AG36" s="2036"/>
      <c r="AH36" s="2036"/>
      <c r="AI36" s="2036"/>
      <c r="AJ36" s="2071"/>
      <c r="AK36" s="1857"/>
    </row>
    <row r="37" spans="2:37" s="2" customFormat="1" x14ac:dyDescent="0.3">
      <c r="B37" s="1356"/>
      <c r="C37" s="2330" t="s">
        <v>2071</v>
      </c>
      <c r="D37" s="2334"/>
      <c r="E37" s="2334"/>
      <c r="F37" s="2334"/>
      <c r="G37" s="2336"/>
      <c r="H37" s="1356"/>
      <c r="I37" s="2061"/>
      <c r="J37" s="920"/>
      <c r="K37" s="920"/>
      <c r="L37" s="920"/>
      <c r="M37" s="920"/>
      <c r="N37" s="2067"/>
      <c r="O37" s="2036"/>
      <c r="P37" s="2068"/>
      <c r="Q37" s="2068"/>
      <c r="R37" s="2068"/>
      <c r="S37" s="2069"/>
      <c r="T37" s="2021"/>
      <c r="U37" s="2070"/>
      <c r="V37" s="2065"/>
      <c r="W37" s="2065"/>
      <c r="X37" s="2065"/>
      <c r="Y37" s="2065"/>
      <c r="Z37" s="2065"/>
      <c r="AA37" s="2065"/>
      <c r="AB37" s="2065"/>
      <c r="AC37" s="2068"/>
      <c r="AD37" s="2068"/>
      <c r="AE37" s="2068"/>
      <c r="AF37" s="2068"/>
      <c r="AG37" s="2068"/>
      <c r="AH37" s="2068"/>
      <c r="AI37" s="2068"/>
      <c r="AJ37" s="2071"/>
      <c r="AK37" s="1857"/>
    </row>
    <row r="38" spans="2:37" s="2" customFormat="1" ht="28" x14ac:dyDescent="0.3">
      <c r="B38" s="2343">
        <v>14</v>
      </c>
      <c r="C38" s="2345" t="s">
        <v>2095</v>
      </c>
      <c r="D38" s="1382" t="s">
        <v>2117</v>
      </c>
      <c r="E38" s="2347" t="s">
        <v>2118</v>
      </c>
      <c r="F38" s="1371" t="s">
        <v>1509</v>
      </c>
      <c r="G38" s="2001">
        <v>92.4</v>
      </c>
      <c r="H38" s="1383" t="s">
        <v>2119</v>
      </c>
      <c r="I38" s="2076">
        <v>0.6</v>
      </c>
      <c r="J38" s="918">
        <v>43191</v>
      </c>
      <c r="K38" s="918">
        <v>43191</v>
      </c>
      <c r="L38" s="918">
        <v>43921</v>
      </c>
      <c r="M38" s="918" t="s">
        <v>2036</v>
      </c>
      <c r="N38" s="2056">
        <v>0</v>
      </c>
      <c r="O38" s="2036">
        <f>F4.3!$G$35</f>
        <v>32.659999999999997</v>
      </c>
      <c r="P38" s="2057">
        <f>F4.3!$J$35</f>
        <v>48.76</v>
      </c>
      <c r="Q38" s="2036">
        <f>F4.3!$J77</f>
        <v>6.79</v>
      </c>
      <c r="R38" s="2036">
        <f>F4.3!$J118</f>
        <v>0</v>
      </c>
      <c r="S38" s="2077"/>
      <c r="T38" s="2021"/>
      <c r="U38" s="2078"/>
      <c r="V38" s="2062">
        <v>0.35346320346320342</v>
      </c>
      <c r="W38" s="2062" t="s">
        <v>2008</v>
      </c>
      <c r="X38" s="2062">
        <v>7.3484848484848486E-2</v>
      </c>
      <c r="Y38" s="2062">
        <v>0</v>
      </c>
      <c r="Z38" s="2062">
        <v>0</v>
      </c>
      <c r="AA38" s="2062">
        <v>0</v>
      </c>
      <c r="AB38" s="2062">
        <v>0</v>
      </c>
      <c r="AC38" s="2057">
        <f>F4.3!$H$35</f>
        <v>20.100000000000001</v>
      </c>
      <c r="AD38" s="1808">
        <f>F4.3!$N$35</f>
        <v>61.32</v>
      </c>
      <c r="AE38" s="1808">
        <f>F4.3!$N77</f>
        <v>6.79</v>
      </c>
      <c r="AF38" s="2036">
        <f>F4.3!$N118</f>
        <v>0</v>
      </c>
      <c r="AG38" s="2079"/>
      <c r="AH38" s="2079"/>
      <c r="AI38" s="2079"/>
      <c r="AJ38" s="2080">
        <v>0</v>
      </c>
      <c r="AK38" s="1819">
        <v>0</v>
      </c>
    </row>
    <row r="39" spans="2:37" s="2" customFormat="1" ht="15.5" x14ac:dyDescent="0.3">
      <c r="B39" s="2344"/>
      <c r="C39" s="2346"/>
      <c r="D39" s="1384" t="s">
        <v>2075</v>
      </c>
      <c r="E39" s="2348"/>
      <c r="F39" s="1369"/>
      <c r="G39" s="1981">
        <v>25.69</v>
      </c>
      <c r="H39" s="1385">
        <v>0</v>
      </c>
      <c r="I39" s="2054">
        <v>0</v>
      </c>
      <c r="J39" s="918">
        <v>43191</v>
      </c>
      <c r="K39" s="918">
        <v>43191</v>
      </c>
      <c r="L39" s="918">
        <v>43921</v>
      </c>
      <c r="M39" s="918" t="s">
        <v>2036</v>
      </c>
      <c r="N39" s="2056">
        <v>0</v>
      </c>
      <c r="O39" s="2036">
        <f>F4.3!$G$36</f>
        <v>4.17</v>
      </c>
      <c r="P39" s="2057">
        <f>F4.3!$J$36</f>
        <v>6.1</v>
      </c>
      <c r="Q39" s="2036">
        <f>F4.3!$J78</f>
        <v>3.87</v>
      </c>
      <c r="R39" s="2036">
        <f>F4.3!$J119</f>
        <v>0</v>
      </c>
      <c r="S39" s="2058"/>
      <c r="T39" s="2058"/>
      <c r="U39" s="2078"/>
      <c r="V39" s="2062">
        <v>0.16231996885947839</v>
      </c>
      <c r="W39" s="2062" t="s">
        <v>2008</v>
      </c>
      <c r="X39" s="2062">
        <v>0.15064227325807708</v>
      </c>
      <c r="Y39" s="2062">
        <v>0</v>
      </c>
      <c r="Z39" s="2062">
        <v>0</v>
      </c>
      <c r="AA39" s="2062">
        <v>0</v>
      </c>
      <c r="AB39" s="2062">
        <v>0</v>
      </c>
      <c r="AC39" s="2057">
        <f>F4.3!$H$36</f>
        <v>4.17</v>
      </c>
      <c r="AD39" s="1808">
        <f>F4.3!$N$36</f>
        <v>6.1</v>
      </c>
      <c r="AE39" s="1808">
        <f>F4.3!$N78</f>
        <v>3.87</v>
      </c>
      <c r="AF39" s="2036">
        <f>F4.3!$N119</f>
        <v>0</v>
      </c>
      <c r="AG39" s="2079"/>
      <c r="AH39" s="2079"/>
      <c r="AI39" s="2079"/>
      <c r="AJ39" s="2080">
        <v>0</v>
      </c>
      <c r="AK39" s="1819">
        <v>0</v>
      </c>
    </row>
    <row r="40" spans="2:37" s="2" customFormat="1" x14ac:dyDescent="0.3">
      <c r="B40" s="1356"/>
      <c r="C40" s="1386"/>
      <c r="D40" s="1387"/>
      <c r="E40" s="1388"/>
      <c r="F40" s="1389"/>
      <c r="G40" s="2081"/>
      <c r="H40" s="1356"/>
      <c r="I40" s="2061"/>
      <c r="J40" s="920"/>
      <c r="K40" s="920"/>
      <c r="L40" s="920"/>
      <c r="M40" s="920"/>
      <c r="N40" s="2067"/>
      <c r="O40" s="2068"/>
      <c r="P40" s="2068"/>
      <c r="Q40" s="2068"/>
      <c r="R40" s="2068"/>
      <c r="S40" s="2069"/>
      <c r="T40" s="2021"/>
      <c r="U40" s="2070"/>
      <c r="V40" s="2065"/>
      <c r="W40" s="2065"/>
      <c r="X40" s="2065"/>
      <c r="Y40" s="2065"/>
      <c r="Z40" s="2065"/>
      <c r="AA40" s="2065"/>
      <c r="AB40" s="2065"/>
      <c r="AC40" s="2068"/>
      <c r="AD40" s="2068"/>
      <c r="AE40" s="2068"/>
      <c r="AF40" s="2068"/>
      <c r="AG40" s="2068"/>
      <c r="AH40" s="2068"/>
      <c r="AI40" s="2068"/>
      <c r="AJ40" s="2071"/>
      <c r="AK40" s="1857"/>
    </row>
    <row r="41" spans="2:37" s="2" customFormat="1" x14ac:dyDescent="0.3">
      <c r="B41" s="1356"/>
      <c r="C41" s="1390"/>
      <c r="D41" s="1391"/>
      <c r="E41" s="1391"/>
      <c r="F41" s="1392"/>
      <c r="G41" s="2082" t="s">
        <v>2120</v>
      </c>
      <c r="H41" s="1392"/>
      <c r="I41" s="2061"/>
      <c r="J41" s="920"/>
      <c r="K41" s="920"/>
      <c r="L41" s="920"/>
      <c r="M41" s="920"/>
      <c r="N41" s="2061"/>
      <c r="O41" s="2066"/>
      <c r="P41" s="2066"/>
      <c r="Q41" s="2066"/>
      <c r="R41" s="2068"/>
      <c r="S41" s="2069"/>
      <c r="T41" s="2021"/>
      <c r="U41" s="2070"/>
      <c r="V41" s="2065"/>
      <c r="W41" s="2065"/>
      <c r="X41" s="2065"/>
      <c r="Y41" s="2065"/>
      <c r="Z41" s="2065"/>
      <c r="AA41" s="2065"/>
      <c r="AB41" s="2065"/>
      <c r="AC41" s="2068"/>
      <c r="AD41" s="2068"/>
      <c r="AE41" s="2068"/>
      <c r="AF41" s="2068"/>
      <c r="AG41" s="2068"/>
      <c r="AH41" s="2068"/>
      <c r="AI41" s="2068"/>
      <c r="AJ41" s="2071"/>
      <c r="AK41" s="1857"/>
    </row>
    <row r="42" spans="2:37" s="2" customFormat="1" x14ac:dyDescent="0.3">
      <c r="B42" s="1361">
        <v>15</v>
      </c>
      <c r="C42" s="1372" t="s">
        <v>1470</v>
      </c>
      <c r="D42" s="1375" t="s">
        <v>2038</v>
      </c>
      <c r="E42" s="1393" t="s">
        <v>2041</v>
      </c>
      <c r="F42" s="1394" t="s">
        <v>2121</v>
      </c>
      <c r="G42" s="2036">
        <v>56.07</v>
      </c>
      <c r="H42" s="1370" t="s">
        <v>2105</v>
      </c>
      <c r="I42" s="2054">
        <v>0</v>
      </c>
      <c r="J42" s="918"/>
      <c r="K42" s="918"/>
      <c r="L42" s="918"/>
      <c r="M42" s="918" t="s">
        <v>2036</v>
      </c>
      <c r="N42" s="2061">
        <v>0</v>
      </c>
      <c r="O42" s="2036">
        <f>F4.3!$G$39</f>
        <v>0</v>
      </c>
      <c r="P42" s="2057">
        <f>F4.3!$J$39</f>
        <v>8.84</v>
      </c>
      <c r="Q42" s="2036">
        <f>F4.3!$J81</f>
        <v>11.84</v>
      </c>
      <c r="R42" s="2036">
        <f>F4.3!$J121</f>
        <v>5.56</v>
      </c>
      <c r="S42" s="2057">
        <f>F4.3!J156</f>
        <v>5.5</v>
      </c>
      <c r="T42" s="2083"/>
      <c r="U42" s="2058"/>
      <c r="V42" s="2062">
        <v>0</v>
      </c>
      <c r="W42" s="2062">
        <v>0.15766006777242733</v>
      </c>
      <c r="X42" s="2062">
        <v>0.21116461565899769</v>
      </c>
      <c r="Y42" s="2062">
        <v>9.9161762083110394E-2</v>
      </c>
      <c r="Z42" s="2062">
        <v>0</v>
      </c>
      <c r="AA42" s="2062">
        <v>0.22293561619404315</v>
      </c>
      <c r="AB42" s="2062">
        <v>0.21366149456037098</v>
      </c>
      <c r="AC42" s="2057">
        <f>F4.3!$H$39</f>
        <v>0</v>
      </c>
      <c r="AD42" s="1808">
        <f>F4.3!$N$39</f>
        <v>8.84</v>
      </c>
      <c r="AE42" s="1808">
        <f>F4.3!$N81</f>
        <v>11.84</v>
      </c>
      <c r="AF42" s="2036">
        <f>F4.3!$N121</f>
        <v>5.56</v>
      </c>
      <c r="AG42" s="2036">
        <f>F4.3!K156</f>
        <v>5.5</v>
      </c>
      <c r="AH42" s="2036"/>
      <c r="AI42" s="2036"/>
      <c r="AJ42" s="2063">
        <v>0</v>
      </c>
      <c r="AK42" s="1819">
        <v>0</v>
      </c>
    </row>
    <row r="43" spans="2:37" s="2" customFormat="1" x14ac:dyDescent="0.3">
      <c r="B43" s="1361"/>
      <c r="C43" s="1372"/>
      <c r="D43" s="1375"/>
      <c r="E43" s="1393"/>
      <c r="F43" s="1394"/>
      <c r="G43" s="2036"/>
      <c r="H43" s="1370"/>
      <c r="I43" s="2054"/>
      <c r="J43" s="918"/>
      <c r="K43" s="918"/>
      <c r="L43" s="918"/>
      <c r="M43" s="918"/>
      <c r="N43" s="2061"/>
      <c r="O43" s="2036"/>
      <c r="P43" s="2036"/>
      <c r="Q43" s="2036"/>
      <c r="R43" s="2083"/>
      <c r="S43" s="2036"/>
      <c r="U43" s="2036"/>
      <c r="V43" s="2062"/>
      <c r="W43" s="2062"/>
      <c r="X43" s="2062"/>
      <c r="Y43" s="2062"/>
      <c r="Z43" s="2062"/>
      <c r="AA43" s="2062"/>
      <c r="AB43" s="2062"/>
      <c r="AC43" s="2036"/>
      <c r="AD43" s="2036"/>
      <c r="AE43" s="2036"/>
      <c r="AF43" s="2083"/>
      <c r="AG43" s="2036"/>
      <c r="AH43" s="2036"/>
      <c r="AI43" s="2036"/>
      <c r="AJ43" s="2063"/>
      <c r="AK43" s="1819"/>
    </row>
    <row r="44" spans="2:37" s="2" customFormat="1" x14ac:dyDescent="0.3">
      <c r="B44" s="1361"/>
      <c r="C44" s="1515" t="s">
        <v>2122</v>
      </c>
      <c r="D44" s="2084">
        <v>0</v>
      </c>
      <c r="E44" s="2085">
        <v>0</v>
      </c>
      <c r="F44" s="2086">
        <v>0</v>
      </c>
      <c r="G44" s="2036">
        <v>0</v>
      </c>
      <c r="H44" s="1370">
        <v>0</v>
      </c>
      <c r="I44" s="2054">
        <v>0</v>
      </c>
      <c r="J44" s="918"/>
      <c r="K44" s="918"/>
      <c r="L44" s="918"/>
      <c r="M44" s="918"/>
      <c r="N44" s="2061">
        <v>0</v>
      </c>
      <c r="O44" s="2036">
        <v>0</v>
      </c>
      <c r="P44" s="2036"/>
      <c r="Q44" s="2036"/>
      <c r="R44" s="2083"/>
      <c r="S44" s="2036"/>
      <c r="T44" s="2036"/>
      <c r="U44" s="2036"/>
      <c r="V44" s="2062">
        <v>0</v>
      </c>
      <c r="W44" s="2062">
        <v>0</v>
      </c>
      <c r="X44" s="2062">
        <v>0</v>
      </c>
      <c r="Y44" s="2062">
        <v>0</v>
      </c>
      <c r="Z44" s="2062">
        <v>0</v>
      </c>
      <c r="AA44" s="2062">
        <v>0</v>
      </c>
      <c r="AB44" s="2062">
        <v>0</v>
      </c>
      <c r="AC44" s="2036"/>
      <c r="AD44" s="2036"/>
      <c r="AE44" s="2036"/>
      <c r="AF44" s="2083"/>
      <c r="AG44" s="2036"/>
      <c r="AH44" s="2036"/>
      <c r="AI44" s="2036"/>
      <c r="AJ44" s="2063">
        <v>0</v>
      </c>
      <c r="AK44" s="1819">
        <v>0</v>
      </c>
    </row>
    <row r="45" spans="2:37" s="2" customFormat="1" x14ac:dyDescent="0.3">
      <c r="B45" s="1361"/>
      <c r="C45" s="1372" t="s">
        <v>1697</v>
      </c>
      <c r="D45" s="2084">
        <v>0</v>
      </c>
      <c r="E45" s="2085">
        <v>0</v>
      </c>
      <c r="F45" s="2086">
        <v>0</v>
      </c>
      <c r="G45" s="2036">
        <v>143.72</v>
      </c>
      <c r="H45" s="1370" t="s">
        <v>2105</v>
      </c>
      <c r="I45" s="2087">
        <v>0.6</v>
      </c>
      <c r="J45" s="918"/>
      <c r="K45" s="918"/>
      <c r="L45" s="918"/>
      <c r="M45" s="918"/>
      <c r="N45" s="2061">
        <v>0</v>
      </c>
      <c r="O45" s="2036">
        <v>0</v>
      </c>
      <c r="P45" s="2036"/>
      <c r="Q45" s="2036"/>
      <c r="R45" s="2083"/>
      <c r="S45" s="2036"/>
      <c r="T45" s="2036">
        <f>F4.3!J194</f>
        <v>82.011999999999986</v>
      </c>
      <c r="U45" s="2036">
        <f>F4.3!J233</f>
        <v>123.01799999999999</v>
      </c>
      <c r="V45" s="2062">
        <v>0</v>
      </c>
      <c r="W45" s="2062">
        <v>0</v>
      </c>
      <c r="X45" s="2062">
        <v>0</v>
      </c>
      <c r="Y45" s="2062">
        <v>0</v>
      </c>
      <c r="Z45" s="2062">
        <v>0</v>
      </c>
      <c r="AA45" s="2062">
        <v>0.57063735040356234</v>
      </c>
      <c r="AB45" s="2062">
        <v>0.85595602560534367</v>
      </c>
      <c r="AC45" s="2036"/>
      <c r="AD45" s="2036"/>
      <c r="AE45" s="2036"/>
      <c r="AF45" s="2083"/>
      <c r="AG45" s="2036"/>
      <c r="AH45" s="2036">
        <f>F4.3!N194</f>
        <v>82.011999999999986</v>
      </c>
      <c r="AI45" s="2036">
        <f>F4.3!N233</f>
        <v>123.01799999999999</v>
      </c>
      <c r="AJ45" s="2063">
        <v>0</v>
      </c>
      <c r="AK45" s="1819">
        <v>0</v>
      </c>
    </row>
    <row r="46" spans="2:37" s="2" customFormat="1" x14ac:dyDescent="0.3">
      <c r="B46" s="1361"/>
      <c r="C46" s="1372" t="s">
        <v>1698</v>
      </c>
      <c r="D46" s="2084">
        <v>0</v>
      </c>
      <c r="E46" s="2085">
        <v>0</v>
      </c>
      <c r="F46" s="2086">
        <v>0</v>
      </c>
      <c r="G46" s="2036">
        <v>116.03</v>
      </c>
      <c r="H46" s="1370" t="s">
        <v>2105</v>
      </c>
      <c r="I46" s="2087">
        <v>0.6</v>
      </c>
      <c r="J46" s="918"/>
      <c r="K46" s="918"/>
      <c r="L46" s="918"/>
      <c r="M46" s="918"/>
      <c r="N46" s="2061">
        <v>0</v>
      </c>
      <c r="O46" s="2036">
        <v>0</v>
      </c>
      <c r="P46" s="2036"/>
      <c r="Q46" s="2036"/>
      <c r="R46" s="2083"/>
      <c r="S46" s="2036"/>
      <c r="T46" s="2036">
        <f>F4.3!J195</f>
        <v>495.01650000000001</v>
      </c>
      <c r="U46" s="2036">
        <f>F4.3!J234</f>
        <v>461.32569999999998</v>
      </c>
      <c r="V46" s="2062">
        <v>0</v>
      </c>
      <c r="W46" s="2062">
        <v>0</v>
      </c>
      <c r="X46" s="2062">
        <v>0</v>
      </c>
      <c r="Y46" s="2062">
        <v>0</v>
      </c>
      <c r="Z46" s="2062">
        <v>0</v>
      </c>
      <c r="AA46" s="2062">
        <v>4.2662802723433595</v>
      </c>
      <c r="AB46" s="2062">
        <v>3.9759174351460826</v>
      </c>
      <c r="AC46" s="2036"/>
      <c r="AD46" s="2036"/>
      <c r="AE46" s="2036"/>
      <c r="AF46" s="2083"/>
      <c r="AG46" s="2036"/>
      <c r="AH46" s="2036">
        <f>F4.3!N195</f>
        <v>495.01650000000001</v>
      </c>
      <c r="AI46" s="2036">
        <f>F4.3!N234</f>
        <v>461.32569999999998</v>
      </c>
      <c r="AJ46" s="2063">
        <v>0</v>
      </c>
      <c r="AK46" s="1819">
        <v>0</v>
      </c>
    </row>
    <row r="47" spans="2:37" s="2" customFormat="1" x14ac:dyDescent="0.3">
      <c r="B47" s="1361"/>
      <c r="C47" s="1372" t="s">
        <v>1953</v>
      </c>
      <c r="D47" s="2084">
        <v>0</v>
      </c>
      <c r="E47" s="2085">
        <v>0</v>
      </c>
      <c r="F47" s="2086">
        <v>0</v>
      </c>
      <c r="G47" s="2036">
        <v>50.23</v>
      </c>
      <c r="H47" s="1370" t="s">
        <v>2105</v>
      </c>
      <c r="I47" s="2087">
        <v>0.6</v>
      </c>
      <c r="J47" s="918"/>
      <c r="K47" s="918"/>
      <c r="L47" s="918"/>
      <c r="M47" s="918"/>
      <c r="N47" s="2061">
        <v>0</v>
      </c>
      <c r="O47" s="2036">
        <v>0</v>
      </c>
      <c r="P47" s="2036"/>
      <c r="Q47" s="2036"/>
      <c r="R47" s="2083"/>
      <c r="S47" s="2036"/>
      <c r="T47" s="2036"/>
      <c r="U47" s="2036">
        <f>F4.3!J235</f>
        <v>176.38</v>
      </c>
      <c r="V47" s="2062">
        <v>0</v>
      </c>
      <c r="W47" s="2062">
        <v>0</v>
      </c>
      <c r="X47" s="2062">
        <v>0</v>
      </c>
      <c r="Y47" s="2062">
        <v>0</v>
      </c>
      <c r="Z47" s="2062">
        <v>0</v>
      </c>
      <c r="AA47" s="2062">
        <v>0</v>
      </c>
      <c r="AB47" s="2062">
        <v>0</v>
      </c>
      <c r="AC47" s="2036"/>
      <c r="AD47" s="2036"/>
      <c r="AE47" s="2036"/>
      <c r="AF47" s="2083"/>
      <c r="AG47" s="2036"/>
      <c r="AH47" s="2036"/>
      <c r="AI47" s="2036">
        <f>F4.3!N235</f>
        <v>176.38</v>
      </c>
      <c r="AJ47" s="2063">
        <v>0</v>
      </c>
      <c r="AK47" s="1819">
        <v>0</v>
      </c>
    </row>
    <row r="48" spans="2:37" s="2" customFormat="1" x14ac:dyDescent="0.3">
      <c r="B48" s="1361"/>
      <c r="C48" s="1372">
        <v>0</v>
      </c>
      <c r="D48" s="2084">
        <v>0</v>
      </c>
      <c r="E48" s="2085">
        <v>0</v>
      </c>
      <c r="F48" s="2086">
        <v>0</v>
      </c>
      <c r="G48" s="2036">
        <v>201.36</v>
      </c>
      <c r="H48" s="1370" t="s">
        <v>2105</v>
      </c>
      <c r="I48" s="2087">
        <v>0.6</v>
      </c>
      <c r="J48" s="918"/>
      <c r="K48" s="918"/>
      <c r="L48" s="918"/>
      <c r="M48" s="918"/>
      <c r="N48" s="2061">
        <v>0</v>
      </c>
      <c r="O48" s="2036">
        <v>0</v>
      </c>
      <c r="P48" s="2036"/>
      <c r="Q48" s="2036"/>
      <c r="R48" s="2083"/>
      <c r="S48" s="2036"/>
      <c r="T48" s="2036"/>
      <c r="U48" s="2036"/>
      <c r="V48" s="2062">
        <v>0</v>
      </c>
      <c r="W48" s="2062">
        <v>0</v>
      </c>
      <c r="X48" s="2062">
        <v>0</v>
      </c>
      <c r="Y48" s="2062">
        <v>0</v>
      </c>
      <c r="Z48" s="2062">
        <v>0</v>
      </c>
      <c r="AA48" s="2062">
        <v>0</v>
      </c>
      <c r="AB48" s="2062">
        <v>0</v>
      </c>
      <c r="AC48" s="2036"/>
      <c r="AD48" s="2036"/>
      <c r="AE48" s="2036"/>
      <c r="AF48" s="2083"/>
      <c r="AG48" s="2036"/>
      <c r="AH48" s="2036"/>
      <c r="AI48" s="2036"/>
      <c r="AJ48" s="2063">
        <v>0</v>
      </c>
      <c r="AK48" s="1819">
        <v>0</v>
      </c>
    </row>
    <row r="49" spans="1:44" s="2" customFormat="1" x14ac:dyDescent="0.3">
      <c r="B49" s="1361"/>
      <c r="C49" s="1372">
        <v>0</v>
      </c>
      <c r="D49" s="2084">
        <v>0</v>
      </c>
      <c r="E49" s="2085">
        <v>0</v>
      </c>
      <c r="F49" s="2086">
        <v>0</v>
      </c>
      <c r="G49" s="2036">
        <v>313.02999999999997</v>
      </c>
      <c r="H49" s="1370" t="s">
        <v>2105</v>
      </c>
      <c r="I49" s="2087">
        <v>0.6</v>
      </c>
      <c r="J49" s="918"/>
      <c r="K49" s="918"/>
      <c r="L49" s="918"/>
      <c r="M49" s="918"/>
      <c r="N49" s="2061">
        <v>0</v>
      </c>
      <c r="O49" s="2036">
        <v>0</v>
      </c>
      <c r="P49" s="2036"/>
      <c r="Q49" s="2036"/>
      <c r="R49" s="2083"/>
      <c r="S49" s="2036"/>
      <c r="T49" s="2036"/>
      <c r="U49" s="2036"/>
      <c r="V49" s="2062">
        <v>0</v>
      </c>
      <c r="W49" s="2062">
        <v>0</v>
      </c>
      <c r="X49" s="2062">
        <v>0</v>
      </c>
      <c r="Y49" s="2062">
        <v>0</v>
      </c>
      <c r="Z49" s="2062">
        <v>0</v>
      </c>
      <c r="AA49" s="2062">
        <v>0</v>
      </c>
      <c r="AB49" s="2062">
        <v>0</v>
      </c>
      <c r="AC49" s="2036"/>
      <c r="AD49" s="2036"/>
      <c r="AE49" s="2036"/>
      <c r="AF49" s="2083"/>
      <c r="AG49" s="2036"/>
      <c r="AH49" s="2036"/>
      <c r="AI49" s="2036"/>
      <c r="AJ49" s="2063">
        <v>0</v>
      </c>
      <c r="AK49" s="1819">
        <v>0</v>
      </c>
    </row>
    <row r="50" spans="1:44" s="2" customFormat="1" x14ac:dyDescent="0.3">
      <c r="B50" s="1361"/>
      <c r="C50" s="1372"/>
      <c r="D50" s="1375"/>
      <c r="E50" s="1393"/>
      <c r="F50" s="1394"/>
      <c r="G50" s="2036"/>
      <c r="H50" s="1370"/>
      <c r="I50" s="2054"/>
      <c r="J50" s="918"/>
      <c r="K50" s="918"/>
      <c r="L50" s="918"/>
      <c r="M50" s="918"/>
      <c r="N50" s="2061"/>
      <c r="O50" s="2036"/>
      <c r="P50" s="2036"/>
      <c r="Q50" s="2036"/>
      <c r="R50" s="2083"/>
      <c r="S50" s="2036"/>
      <c r="T50" s="2036"/>
      <c r="U50" s="2036"/>
      <c r="V50" s="2062"/>
      <c r="W50" s="2062"/>
      <c r="X50" s="2062"/>
      <c r="Y50" s="2062"/>
      <c r="Z50" s="2062"/>
      <c r="AA50" s="2062"/>
      <c r="AB50" s="2062"/>
      <c r="AC50" s="2036"/>
      <c r="AD50" s="2036"/>
      <c r="AE50" s="2036"/>
      <c r="AF50" s="2083"/>
      <c r="AG50" s="2036"/>
      <c r="AH50" s="2036"/>
      <c r="AI50" s="2036"/>
      <c r="AJ50" s="2063"/>
      <c r="AK50" s="1819"/>
    </row>
    <row r="51" spans="1:44" s="2" customFormat="1" x14ac:dyDescent="0.3">
      <c r="B51" s="1361"/>
      <c r="C51" s="1372"/>
      <c r="D51" s="1375"/>
      <c r="E51" s="1393"/>
      <c r="F51" s="1394"/>
      <c r="G51" s="2036"/>
      <c r="H51" s="1370"/>
      <c r="I51" s="2054"/>
      <c r="J51" s="918"/>
      <c r="K51" s="918"/>
      <c r="L51" s="918"/>
      <c r="M51" s="918"/>
      <c r="N51" s="2061"/>
      <c r="O51" s="2036"/>
      <c r="P51" s="2036"/>
      <c r="Q51" s="2036"/>
      <c r="R51" s="2083"/>
      <c r="S51" s="2036"/>
      <c r="T51" s="2036"/>
      <c r="U51" s="2036"/>
      <c r="V51" s="2062"/>
      <c r="W51" s="2062"/>
      <c r="X51" s="2062"/>
      <c r="Y51" s="2062"/>
      <c r="Z51" s="2062"/>
      <c r="AA51" s="2062"/>
      <c r="AB51" s="2062"/>
      <c r="AC51" s="2036"/>
      <c r="AD51" s="2036"/>
      <c r="AE51" s="2036"/>
      <c r="AF51" s="2083"/>
      <c r="AG51" s="2036"/>
      <c r="AH51" s="2036"/>
      <c r="AI51" s="2036"/>
      <c r="AJ51" s="2063"/>
      <c r="AK51" s="1819"/>
    </row>
    <row r="52" spans="1:44" s="2" customFormat="1" x14ac:dyDescent="0.3">
      <c r="B52" s="1356"/>
      <c r="C52" s="1395" t="s">
        <v>34</v>
      </c>
      <c r="D52" s="1391"/>
      <c r="E52" s="1391"/>
      <c r="F52" s="1392"/>
      <c r="G52" s="2066"/>
      <c r="H52" s="1356"/>
      <c r="I52" s="2061"/>
      <c r="J52" s="920"/>
      <c r="K52" s="920"/>
      <c r="L52" s="920"/>
      <c r="M52" s="920"/>
      <c r="N52" s="2067"/>
      <c r="O52" s="2068"/>
      <c r="P52" s="2068"/>
      <c r="Q52" s="2068"/>
      <c r="R52" s="2068"/>
      <c r="S52" s="2068"/>
      <c r="T52" s="2068"/>
      <c r="U52" s="2068"/>
      <c r="V52" s="2065"/>
      <c r="W52" s="2065"/>
      <c r="X52" s="2065"/>
      <c r="Y52" s="2065"/>
      <c r="Z52" s="2065"/>
      <c r="AA52" s="2065"/>
      <c r="AB52" s="2065"/>
      <c r="AC52" s="2036"/>
      <c r="AD52" s="2036"/>
      <c r="AE52" s="2036"/>
      <c r="AF52" s="2036"/>
      <c r="AG52" s="2036"/>
      <c r="AH52" s="2036"/>
      <c r="AI52" s="2036"/>
      <c r="AJ52" s="2071"/>
      <c r="AK52" s="1857"/>
    </row>
    <row r="53" spans="1:44" s="2" customFormat="1" x14ac:dyDescent="0.3">
      <c r="B53" s="904">
        <v>16</v>
      </c>
      <c r="C53" s="2337" t="s">
        <v>1471</v>
      </c>
      <c r="D53" s="2349"/>
      <c r="E53" s="2350"/>
      <c r="F53" s="910" t="s">
        <v>2041</v>
      </c>
      <c r="G53" s="2054"/>
      <c r="H53" s="904"/>
      <c r="I53" s="2054">
        <v>0</v>
      </c>
      <c r="J53" s="918"/>
      <c r="K53" s="918"/>
      <c r="L53" s="918"/>
      <c r="M53" s="918"/>
      <c r="N53" s="2067">
        <v>0</v>
      </c>
      <c r="O53" s="2036">
        <f>F4.3!$G41</f>
        <v>0</v>
      </c>
      <c r="P53" s="2057">
        <f>F4.3!$J41</f>
        <v>3.36</v>
      </c>
      <c r="Q53" s="2036">
        <f>F4.3!$J84</f>
        <v>1.22</v>
      </c>
      <c r="R53" s="2036">
        <f>F4.3!$J123</f>
        <v>7.43</v>
      </c>
      <c r="S53" s="2036">
        <f>F4.3!$J159</f>
        <v>8.5</v>
      </c>
      <c r="T53" s="2036">
        <f>F4.3!$J198</f>
        <v>9.5</v>
      </c>
      <c r="U53" s="2036">
        <f>F4.3!$J237</f>
        <v>10</v>
      </c>
      <c r="V53" s="2062">
        <v>0</v>
      </c>
      <c r="W53" s="2062">
        <v>0</v>
      </c>
      <c r="X53" s="2062">
        <v>0</v>
      </c>
      <c r="Y53" s="2062">
        <v>0</v>
      </c>
      <c r="Z53" s="2062">
        <v>0</v>
      </c>
      <c r="AA53" s="2062">
        <v>0</v>
      </c>
      <c r="AB53" s="2062">
        <v>0</v>
      </c>
      <c r="AC53" s="2057">
        <f>F4.3!$H41</f>
        <v>0</v>
      </c>
      <c r="AD53" s="1808">
        <f>F4.3!$N41</f>
        <v>3.36</v>
      </c>
      <c r="AE53" s="1808">
        <f>F4.3!$N84</f>
        <v>1.22</v>
      </c>
      <c r="AF53" s="2036">
        <f>F4.3!$N123</f>
        <v>6.76</v>
      </c>
      <c r="AG53" s="2036">
        <f>F4.3!$N159</f>
        <v>9.17</v>
      </c>
      <c r="AH53" s="2036">
        <f>F4.3!$N198</f>
        <v>9.5</v>
      </c>
      <c r="AI53" s="2036">
        <f>F4.3!$N237</f>
        <v>10</v>
      </c>
      <c r="AJ53" s="2071">
        <v>0</v>
      </c>
      <c r="AK53" s="1857">
        <v>0</v>
      </c>
      <c r="AL53" s="1755">
        <f>SUM(P53:U53)-SUM(AD53:AI53)</f>
        <v>0</v>
      </c>
    </row>
    <row r="54" spans="1:44" s="2" customFormat="1" x14ac:dyDescent="0.3">
      <c r="B54" s="904">
        <v>17</v>
      </c>
      <c r="C54" s="2337" t="s">
        <v>2003</v>
      </c>
      <c r="D54" s="2338"/>
      <c r="E54" s="2339"/>
      <c r="F54" s="910" t="s">
        <v>2041</v>
      </c>
      <c r="G54" s="2054"/>
      <c r="H54" s="904"/>
      <c r="I54" s="2054">
        <v>0</v>
      </c>
      <c r="J54" s="918"/>
      <c r="K54" s="918"/>
      <c r="L54" s="918"/>
      <c r="M54" s="918"/>
      <c r="N54" s="2067">
        <v>0</v>
      </c>
      <c r="O54" s="2036">
        <f>F4.3!$G42</f>
        <v>0</v>
      </c>
      <c r="P54" s="2057">
        <f>F4.3!$J42</f>
        <v>0.09</v>
      </c>
      <c r="Q54" s="2036">
        <f>F4.3!$J85</f>
        <v>0.39</v>
      </c>
      <c r="R54" s="2036">
        <f>F4.3!$J127</f>
        <v>0.48</v>
      </c>
      <c r="S54" s="2068"/>
      <c r="T54" s="2068"/>
      <c r="U54" s="2068"/>
      <c r="V54" s="2062">
        <v>0</v>
      </c>
      <c r="W54" s="2062">
        <v>0</v>
      </c>
      <c r="X54" s="2062">
        <v>0</v>
      </c>
      <c r="Y54" s="2062">
        <v>0</v>
      </c>
      <c r="Z54" s="2062">
        <v>0</v>
      </c>
      <c r="AA54" s="2062">
        <v>0</v>
      </c>
      <c r="AB54" s="2062">
        <v>0</v>
      </c>
      <c r="AC54" s="2057">
        <f>F4.3!$H42</f>
        <v>0</v>
      </c>
      <c r="AD54" s="1808">
        <f>F4.3!$N42</f>
        <v>0.09</v>
      </c>
      <c r="AE54" s="1808">
        <f>F4.3!$N85</f>
        <v>0.39</v>
      </c>
      <c r="AF54" s="2036">
        <f>F4.3!$N127</f>
        <v>0.48</v>
      </c>
      <c r="AG54" s="2036"/>
      <c r="AH54" s="2036"/>
      <c r="AI54" s="2036"/>
      <c r="AJ54" s="2071">
        <v>0</v>
      </c>
      <c r="AK54" s="1857">
        <v>0</v>
      </c>
      <c r="AL54" s="1755">
        <f t="shared" ref="AL54:AL56" si="0">SUM(P54:U54)-SUM(AD54:AI54)</f>
        <v>0</v>
      </c>
    </row>
    <row r="55" spans="1:44" s="2" customFormat="1" x14ac:dyDescent="0.3">
      <c r="B55" s="904">
        <v>18</v>
      </c>
      <c r="C55" s="2337" t="s">
        <v>1473</v>
      </c>
      <c r="D55" s="2338"/>
      <c r="E55" s="2339"/>
      <c r="F55" s="910" t="s">
        <v>2041</v>
      </c>
      <c r="G55" s="2054"/>
      <c r="H55" s="904"/>
      <c r="I55" s="2087">
        <v>1</v>
      </c>
      <c r="J55" s="918"/>
      <c r="K55" s="918"/>
      <c r="L55" s="918"/>
      <c r="M55" s="918"/>
      <c r="N55" s="2067">
        <v>0</v>
      </c>
      <c r="O55" s="2036">
        <f>F4.3!$G43</f>
        <v>0</v>
      </c>
      <c r="P55" s="2057">
        <f>F4.3!$J43</f>
        <v>56.06</v>
      </c>
      <c r="Q55" s="2036">
        <f>F4.3!$J86</f>
        <v>6.46</v>
      </c>
      <c r="R55" s="2036">
        <f>F4.3!$J124</f>
        <v>10.46</v>
      </c>
      <c r="S55" s="2036">
        <f>F4.3!$J160</f>
        <v>7.5</v>
      </c>
      <c r="T55" s="2036">
        <f>F4.3!$J199</f>
        <v>7.5</v>
      </c>
      <c r="U55" s="2036">
        <f>F4.3!$J238</f>
        <v>7.5</v>
      </c>
      <c r="V55" s="2062">
        <v>0</v>
      </c>
      <c r="W55" s="2062">
        <v>0</v>
      </c>
      <c r="X55" s="2062">
        <v>0</v>
      </c>
      <c r="Y55" s="2062">
        <v>0</v>
      </c>
      <c r="Z55" s="2062">
        <v>0</v>
      </c>
      <c r="AA55" s="2062">
        <v>0</v>
      </c>
      <c r="AB55" s="2062">
        <v>0</v>
      </c>
      <c r="AC55" s="2057">
        <f>F4.3!$H43</f>
        <v>0</v>
      </c>
      <c r="AD55" s="1808">
        <f>F4.3!$N43</f>
        <v>56.06</v>
      </c>
      <c r="AE55" s="1808">
        <f>F4.3!$N86</f>
        <v>6.46</v>
      </c>
      <c r="AF55" s="2036">
        <f>F4.3!$N124</f>
        <v>10.46</v>
      </c>
      <c r="AG55" s="2036">
        <f>F4.3!$N160</f>
        <v>7.5</v>
      </c>
      <c r="AH55" s="2036">
        <f>F4.3!$N199</f>
        <v>7.5</v>
      </c>
      <c r="AI55" s="2036">
        <f>F4.3!$N238</f>
        <v>7.5</v>
      </c>
      <c r="AJ55" s="2071">
        <v>0</v>
      </c>
      <c r="AK55" s="1857">
        <v>0</v>
      </c>
      <c r="AL55" s="1755">
        <f t="shared" si="0"/>
        <v>0</v>
      </c>
    </row>
    <row r="56" spans="1:44" s="2" customFormat="1" ht="14.5" thickBot="1" x14ac:dyDescent="0.35">
      <c r="B56" s="905">
        <v>19</v>
      </c>
      <c r="C56" s="2340" t="s">
        <v>1474</v>
      </c>
      <c r="D56" s="2341"/>
      <c r="E56" s="2342"/>
      <c r="F56" s="910" t="s">
        <v>2041</v>
      </c>
      <c r="G56" s="2054"/>
      <c r="H56" s="905"/>
      <c r="I56" s="2054">
        <v>0</v>
      </c>
      <c r="J56" s="918"/>
      <c r="K56" s="918"/>
      <c r="L56" s="918"/>
      <c r="M56" s="918"/>
      <c r="N56" s="2056">
        <v>0</v>
      </c>
      <c r="O56" s="2036">
        <f>F4.3!$G44+F4.3!$G45</f>
        <v>0</v>
      </c>
      <c r="P56" s="2057">
        <f>F4.3!$J44+F4.3!$J45</f>
        <v>2.1100000000000003</v>
      </c>
      <c r="Q56" s="2036">
        <f>F4.3!$J87+F4.3!$J88</f>
        <v>2.0999999999999996</v>
      </c>
      <c r="R56" s="2036">
        <f>F4.3!$J125+F4.3!$J126</f>
        <v>5.79</v>
      </c>
      <c r="S56" s="2036">
        <f>F4.3!$J161+F4.3!$J162</f>
        <v>4</v>
      </c>
      <c r="T56" s="2036">
        <f>F4.3!$J200+F4.3!$J201</f>
        <v>4</v>
      </c>
      <c r="U56" s="2036">
        <f>F4.3!$J239+F4.3!$J240</f>
        <v>3.5</v>
      </c>
      <c r="V56" s="2062">
        <v>0</v>
      </c>
      <c r="W56" s="2062">
        <v>0</v>
      </c>
      <c r="X56" s="2062">
        <v>0</v>
      </c>
      <c r="Y56" s="2062">
        <v>0</v>
      </c>
      <c r="Z56" s="2062">
        <v>0</v>
      </c>
      <c r="AA56" s="2062">
        <v>0</v>
      </c>
      <c r="AB56" s="2062">
        <v>0</v>
      </c>
      <c r="AC56" s="2036">
        <f>F4.3!$H44+F4.3!$H45</f>
        <v>0</v>
      </c>
      <c r="AD56" s="2057">
        <f>F4.3!$N44+F4.3!$N45</f>
        <v>2.1100000000000003</v>
      </c>
      <c r="AE56" s="2036">
        <f>F4.3!$N87+F4.3!$N88</f>
        <v>2.0999999999999996</v>
      </c>
      <c r="AF56" s="2036">
        <f>F4.3!$N125+F4.3!$N126</f>
        <v>5.79</v>
      </c>
      <c r="AG56" s="2036">
        <f>F4.3!$N161+F4.3!$N162</f>
        <v>4</v>
      </c>
      <c r="AH56" s="2036">
        <f>F4.3!$N200+F4.3!$N201</f>
        <v>4</v>
      </c>
      <c r="AI56" s="2036">
        <f>F4.3!$N239+F4.3!$N240</f>
        <v>3.5</v>
      </c>
      <c r="AJ56" s="2063">
        <v>0</v>
      </c>
      <c r="AK56" s="1819">
        <v>0</v>
      </c>
      <c r="AL56" s="1755">
        <f t="shared" si="0"/>
        <v>0</v>
      </c>
    </row>
    <row r="57" spans="1:44" s="152" customFormat="1" x14ac:dyDescent="0.3">
      <c r="A57" s="2"/>
      <c r="B57" s="151"/>
      <c r="C57" s="151" t="s">
        <v>5</v>
      </c>
      <c r="D57" s="151"/>
      <c r="E57" s="151"/>
      <c r="F57" s="151"/>
      <c r="G57" s="2024"/>
      <c r="H57" s="151"/>
      <c r="I57" s="2088"/>
      <c r="J57" s="922"/>
      <c r="K57" s="922"/>
      <c r="L57" s="922"/>
      <c r="M57" s="922"/>
      <c r="N57" s="2024"/>
      <c r="O57" s="768">
        <f t="shared" ref="O57:S57" si="1">SUM(O17:O56)</f>
        <v>292.78000000000003</v>
      </c>
      <c r="P57" s="768">
        <f t="shared" si="1"/>
        <v>215.99000000000004</v>
      </c>
      <c r="Q57" s="768">
        <f t="shared" si="1"/>
        <v>125.35000000000001</v>
      </c>
      <c r="R57" s="768">
        <f t="shared" si="1"/>
        <v>109.95</v>
      </c>
      <c r="S57" s="768">
        <f t="shared" si="1"/>
        <v>123.69</v>
      </c>
      <c r="T57" s="768">
        <f>SUM(T45:T56)</f>
        <v>598.02850000000001</v>
      </c>
      <c r="U57" s="768">
        <f>SUM(U45:U56)</f>
        <v>781.72370000000001</v>
      </c>
      <c r="V57" s="768"/>
      <c r="W57" s="151"/>
      <c r="X57" s="151"/>
      <c r="Y57" s="151"/>
      <c r="Z57" s="151"/>
      <c r="AA57" s="151"/>
      <c r="AB57" s="151"/>
      <c r="AC57" s="768">
        <f t="shared" ref="AC57:AF57" si="2">SUM(AC17:AC56)</f>
        <v>276.94000000000005</v>
      </c>
      <c r="AD57" s="768">
        <f t="shared" si="2"/>
        <v>225.53000000000003</v>
      </c>
      <c r="AE57" s="768">
        <f t="shared" si="2"/>
        <v>124.35000000000001</v>
      </c>
      <c r="AF57" s="768">
        <f t="shared" si="2"/>
        <v>108.35000000000001</v>
      </c>
      <c r="AG57" s="768">
        <f>SUM(AG17:AG56)</f>
        <v>132.58999999999997</v>
      </c>
      <c r="AH57" s="768">
        <f>SUM(AH45:AH56)</f>
        <v>598.02850000000001</v>
      </c>
      <c r="AI57" s="768">
        <f>SUM(AI45:AI56)</f>
        <v>781.72370000000001</v>
      </c>
      <c r="AJ57" s="151"/>
      <c r="AK57" s="151"/>
      <c r="AL57" s="1755"/>
    </row>
    <row r="58" spans="1:44" customFormat="1" x14ac:dyDescent="0.3">
      <c r="A58" s="2"/>
      <c r="G58" s="1753"/>
      <c r="I58" s="2089"/>
      <c r="J58" s="923"/>
      <c r="K58" s="923"/>
      <c r="L58" s="923"/>
      <c r="M58" s="923"/>
    </row>
    <row r="59" spans="1:44" s="2" customFormat="1" x14ac:dyDescent="0.3">
      <c r="B59" s="13"/>
      <c r="C59" s="767"/>
      <c r="D59" s="13"/>
      <c r="E59" s="13"/>
      <c r="F59" s="13"/>
      <c r="G59" s="2044"/>
      <c r="H59" s="13"/>
      <c r="I59" s="2045"/>
      <c r="J59" s="924"/>
      <c r="K59" s="924"/>
      <c r="L59" s="924"/>
      <c r="M59" s="924"/>
      <c r="N59" s="13"/>
      <c r="O59" s="13"/>
      <c r="P59" s="13"/>
      <c r="Q59" s="13"/>
      <c r="R59" s="13"/>
      <c r="S59" s="13"/>
      <c r="T59" s="13"/>
      <c r="U59" s="13"/>
      <c r="V59" s="13"/>
      <c r="W59" s="13"/>
      <c r="X59" s="13"/>
      <c r="Y59" s="13"/>
      <c r="Z59" s="13"/>
      <c r="AA59" s="13"/>
      <c r="AB59" s="13"/>
      <c r="AC59" s="13"/>
      <c r="AD59" s="13"/>
      <c r="AE59" s="13"/>
      <c r="AF59" s="13"/>
      <c r="AG59" s="13"/>
      <c r="AH59" s="13"/>
      <c r="AI59" s="13"/>
      <c r="AJ59" s="13"/>
      <c r="AK59" s="13"/>
    </row>
    <row r="62" spans="1:44" x14ac:dyDescent="0.3">
      <c r="C62" s="283" t="s">
        <v>283</v>
      </c>
      <c r="D62" s="10"/>
      <c r="E62" s="10"/>
      <c r="F62" s="10"/>
      <c r="G62" s="2017"/>
      <c r="H62" s="10"/>
      <c r="I62" s="2012"/>
      <c r="J62" s="915"/>
      <c r="K62" s="915"/>
      <c r="L62" s="915"/>
      <c r="M62" s="914"/>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row>
    <row r="63" spans="1:44" x14ac:dyDescent="0.3">
      <c r="C63" s="10"/>
      <c r="D63" s="10"/>
      <c r="E63" s="10"/>
      <c r="F63" s="10"/>
      <c r="G63" s="2017"/>
      <c r="H63" s="10"/>
      <c r="I63" s="2012"/>
      <c r="J63" s="915"/>
      <c r="K63" s="915"/>
      <c r="L63" s="915"/>
      <c r="M63" s="914"/>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row>
    <row r="64" spans="1:44" x14ac:dyDescent="0.3">
      <c r="C64" s="121" t="s">
        <v>0</v>
      </c>
      <c r="D64" s="121"/>
      <c r="E64" s="121"/>
      <c r="F64" s="121"/>
      <c r="G64" s="2018"/>
      <c r="H64" s="121"/>
      <c r="I64" s="2015"/>
      <c r="J64" s="914"/>
      <c r="K64" s="914"/>
      <c r="L64" s="914"/>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row>
    <row r="65" spans="2:43" x14ac:dyDescent="0.3">
      <c r="C65" s="10"/>
      <c r="D65" s="10"/>
      <c r="E65" s="10"/>
      <c r="F65" s="10"/>
      <c r="G65" s="2017"/>
      <c r="H65" s="10"/>
      <c r="I65" s="2012"/>
      <c r="J65" s="915"/>
      <c r="K65" s="915"/>
      <c r="L65" s="915"/>
      <c r="M65" s="915"/>
      <c r="N65" s="7"/>
      <c r="O65" s="7"/>
      <c r="P65" s="7"/>
      <c r="Q65" s="7"/>
      <c r="R65" s="7"/>
      <c r="S65" s="7"/>
      <c r="T65" s="6" t="s">
        <v>16</v>
      </c>
      <c r="W65" s="7"/>
      <c r="X65" s="7"/>
      <c r="Y65" s="7"/>
      <c r="Z65" s="7"/>
      <c r="AA65" s="7"/>
      <c r="AB65" s="6"/>
      <c r="AC65" s="6"/>
      <c r="AD65" s="7"/>
      <c r="AF65" s="7"/>
      <c r="AG65" s="7"/>
      <c r="AI65" s="255"/>
      <c r="AJ65" s="255"/>
      <c r="AK65" s="255" t="s">
        <v>16</v>
      </c>
      <c r="AL65" s="6"/>
      <c r="AM65" s="6"/>
      <c r="AN65" s="6"/>
      <c r="AO65" s="7"/>
      <c r="AP65" s="7"/>
      <c r="AQ65" s="7"/>
    </row>
    <row r="66" spans="2:43" x14ac:dyDescent="0.3">
      <c r="B66" s="2208" t="s">
        <v>187</v>
      </c>
      <c r="C66" s="2208" t="s">
        <v>26</v>
      </c>
      <c r="D66" s="2208" t="s">
        <v>1</v>
      </c>
      <c r="E66" s="2208" t="s">
        <v>617</v>
      </c>
      <c r="F66" s="2208" t="s">
        <v>618</v>
      </c>
      <c r="G66" s="2300" t="s">
        <v>623</v>
      </c>
      <c r="H66" s="2208" t="s">
        <v>29</v>
      </c>
      <c r="I66" s="2300" t="s">
        <v>758</v>
      </c>
      <c r="J66" s="2319" t="s">
        <v>624</v>
      </c>
      <c r="K66" s="2319" t="s">
        <v>625</v>
      </c>
      <c r="L66" s="2319" t="s">
        <v>626</v>
      </c>
      <c r="M66" s="2319" t="s">
        <v>627</v>
      </c>
      <c r="N66" s="2208" t="s">
        <v>27</v>
      </c>
      <c r="O66" s="2313" t="s">
        <v>32</v>
      </c>
      <c r="P66" s="2314"/>
      <c r="Q66" s="2314"/>
      <c r="R66" s="2314"/>
      <c r="S66" s="2314"/>
      <c r="T66" s="2314"/>
      <c r="U66" s="2315"/>
      <c r="V66" s="2316" t="s">
        <v>30</v>
      </c>
      <c r="W66" s="2317"/>
      <c r="X66" s="2317"/>
      <c r="Y66" s="2317"/>
      <c r="Z66" s="2317"/>
      <c r="AA66" s="2317"/>
      <c r="AB66" s="2318"/>
      <c r="AC66" s="2316" t="s">
        <v>28</v>
      </c>
      <c r="AD66" s="2317"/>
      <c r="AE66" s="2317"/>
      <c r="AF66" s="2317"/>
      <c r="AG66" s="2317"/>
      <c r="AH66" s="2317"/>
      <c r="AI66" s="2318"/>
      <c r="AJ66" s="2308" t="s">
        <v>628</v>
      </c>
      <c r="AK66" s="2308"/>
    </row>
    <row r="67" spans="2:43" x14ac:dyDescent="0.3">
      <c r="B67" s="2209"/>
      <c r="C67" s="2209"/>
      <c r="D67" s="2209"/>
      <c r="E67" s="2209"/>
      <c r="F67" s="2209"/>
      <c r="G67" s="2302"/>
      <c r="H67" s="2209"/>
      <c r="I67" s="2302"/>
      <c r="J67" s="2320"/>
      <c r="K67" s="2320"/>
      <c r="L67" s="2320"/>
      <c r="M67" s="2320"/>
      <c r="N67" s="2209"/>
      <c r="O67" s="2309" t="s">
        <v>851</v>
      </c>
      <c r="P67" s="1951" t="s">
        <v>12</v>
      </c>
      <c r="Q67" s="1951" t="s">
        <v>12</v>
      </c>
      <c r="R67" s="1951" t="s">
        <v>12</v>
      </c>
      <c r="S67" s="1951" t="s">
        <v>22</v>
      </c>
      <c r="T67" s="2322" t="s">
        <v>841</v>
      </c>
      <c r="U67" s="2323"/>
      <c r="V67" s="2309" t="s">
        <v>852</v>
      </c>
      <c r="W67" s="1951" t="s">
        <v>12</v>
      </c>
      <c r="X67" s="1951" t="s">
        <v>12</v>
      </c>
      <c r="Y67" s="1951" t="s">
        <v>12</v>
      </c>
      <c r="Z67" s="1951" t="s">
        <v>22</v>
      </c>
      <c r="AA67" s="2322" t="s">
        <v>841</v>
      </c>
      <c r="AB67" s="2323"/>
      <c r="AC67" s="2309" t="s">
        <v>853</v>
      </c>
      <c r="AD67" s="1951" t="s">
        <v>12</v>
      </c>
      <c r="AE67" s="1951" t="s">
        <v>12</v>
      </c>
      <c r="AF67" s="1951" t="s">
        <v>12</v>
      </c>
      <c r="AG67" s="1951" t="s">
        <v>22</v>
      </c>
      <c r="AH67" s="2322" t="s">
        <v>841</v>
      </c>
      <c r="AI67" s="2323"/>
      <c r="AJ67" s="2309" t="s">
        <v>793</v>
      </c>
      <c r="AK67" s="2311" t="s">
        <v>794</v>
      </c>
    </row>
    <row r="68" spans="2:43" x14ac:dyDescent="0.3">
      <c r="B68" s="2210"/>
      <c r="C68" s="2210"/>
      <c r="D68" s="2210"/>
      <c r="E68" s="2210"/>
      <c r="F68" s="2210"/>
      <c r="G68" s="2301"/>
      <c r="H68" s="2210"/>
      <c r="I68" s="2301"/>
      <c r="J68" s="2321"/>
      <c r="K68" s="2321"/>
      <c r="L68" s="2321"/>
      <c r="M68" s="2321"/>
      <c r="N68" s="2210"/>
      <c r="O68" s="2310"/>
      <c r="P68" s="1946" t="s">
        <v>179</v>
      </c>
      <c r="Q68" s="1946" t="s">
        <v>186</v>
      </c>
      <c r="R68" s="1946" t="s">
        <v>426</v>
      </c>
      <c r="S68" s="1946" t="s">
        <v>427</v>
      </c>
      <c r="T68" s="1946" t="s">
        <v>428</v>
      </c>
      <c r="U68" s="1946" t="s">
        <v>429</v>
      </c>
      <c r="V68" s="2310"/>
      <c r="W68" s="1946" t="s">
        <v>179</v>
      </c>
      <c r="X68" s="1946" t="s">
        <v>186</v>
      </c>
      <c r="Y68" s="1946" t="s">
        <v>426</v>
      </c>
      <c r="Z68" s="1946" t="s">
        <v>427</v>
      </c>
      <c r="AA68" s="1946" t="s">
        <v>428</v>
      </c>
      <c r="AB68" s="1946" t="s">
        <v>429</v>
      </c>
      <c r="AC68" s="2310"/>
      <c r="AD68" s="1946" t="s">
        <v>179</v>
      </c>
      <c r="AE68" s="1946" t="s">
        <v>186</v>
      </c>
      <c r="AF68" s="1946" t="s">
        <v>426</v>
      </c>
      <c r="AG68" s="1946" t="s">
        <v>427</v>
      </c>
      <c r="AH68" s="1946" t="s">
        <v>428</v>
      </c>
      <c r="AI68" s="1946" t="s">
        <v>429</v>
      </c>
      <c r="AJ68" s="2310"/>
      <c r="AK68" s="2312"/>
    </row>
    <row r="69" spans="2:43" s="2" customFormat="1" x14ac:dyDescent="0.3">
      <c r="B69" s="905"/>
      <c r="C69" s="324" t="s">
        <v>179</v>
      </c>
      <c r="D69" s="3"/>
      <c r="E69" s="3"/>
      <c r="F69" s="3"/>
      <c r="G69" s="2021"/>
      <c r="H69" s="3"/>
      <c r="I69" s="1808"/>
      <c r="J69" s="917"/>
      <c r="K69" s="917"/>
      <c r="L69" s="917"/>
      <c r="M69" s="917"/>
      <c r="N69" s="3"/>
      <c r="O69" s="3"/>
      <c r="P69" s="3"/>
      <c r="Q69" s="3"/>
      <c r="R69" s="3"/>
      <c r="S69" s="3"/>
      <c r="T69" s="3"/>
      <c r="U69" s="3"/>
      <c r="V69" s="3"/>
      <c r="W69" s="3"/>
      <c r="X69" s="3"/>
      <c r="Y69" s="3"/>
      <c r="Z69" s="3"/>
      <c r="AA69" s="3"/>
      <c r="AB69" s="3"/>
      <c r="AC69" s="3"/>
      <c r="AD69" s="3"/>
      <c r="AE69" s="3"/>
      <c r="AF69" s="3"/>
      <c r="AG69" s="3"/>
      <c r="AH69" s="3"/>
      <c r="AI69" s="3"/>
      <c r="AJ69" s="3"/>
      <c r="AK69" s="3"/>
    </row>
    <row r="70" spans="2:43" s="2" customFormat="1" x14ac:dyDescent="0.3">
      <c r="B70" s="905"/>
      <c r="C70" s="324" t="s">
        <v>33</v>
      </c>
      <c r="D70" s="3"/>
      <c r="E70" s="3"/>
      <c r="F70" s="3"/>
      <c r="G70" s="2021"/>
      <c r="H70" s="3"/>
      <c r="I70" s="1808"/>
      <c r="J70" s="917"/>
      <c r="K70" s="917"/>
      <c r="L70" s="917"/>
      <c r="M70" s="917"/>
      <c r="N70" s="3"/>
      <c r="O70" s="3"/>
      <c r="P70" s="3"/>
      <c r="Q70" s="3"/>
      <c r="R70" s="3"/>
      <c r="S70" s="3"/>
      <c r="T70" s="3"/>
      <c r="U70" s="3"/>
      <c r="V70" s="3"/>
      <c r="W70" s="3"/>
      <c r="X70" s="3"/>
      <c r="Y70" s="3"/>
      <c r="Z70" s="3"/>
      <c r="AA70" s="3"/>
      <c r="AB70" s="3"/>
      <c r="AC70" s="3"/>
      <c r="AD70" s="3"/>
      <c r="AE70" s="3"/>
      <c r="AF70" s="3"/>
      <c r="AG70" s="3"/>
      <c r="AH70" s="3"/>
      <c r="AI70" s="3"/>
      <c r="AJ70" s="3"/>
      <c r="AK70" s="3"/>
    </row>
    <row r="71" spans="2:43" s="2" customFormat="1" x14ac:dyDescent="0.3">
      <c r="B71" s="905"/>
      <c r="C71" s="324" t="s">
        <v>35</v>
      </c>
      <c r="D71" s="3"/>
      <c r="E71" s="3"/>
      <c r="F71" s="3"/>
      <c r="G71" s="2021"/>
      <c r="H71" s="3"/>
      <c r="I71" s="1808"/>
      <c r="J71" s="917"/>
      <c r="K71" s="917"/>
      <c r="L71" s="917"/>
      <c r="M71" s="917"/>
      <c r="N71" s="3"/>
      <c r="O71" s="3"/>
      <c r="P71" s="3"/>
      <c r="Q71" s="3"/>
      <c r="R71" s="3"/>
      <c r="S71" s="2090"/>
      <c r="T71" s="3"/>
      <c r="U71" s="3"/>
      <c r="V71" s="2090"/>
      <c r="W71" s="2090"/>
      <c r="X71" s="2090"/>
      <c r="Y71" s="2090"/>
      <c r="Z71" s="2090"/>
      <c r="AA71" s="2090"/>
      <c r="AB71" s="2090"/>
      <c r="AC71" s="3"/>
      <c r="AD71" s="3"/>
      <c r="AE71" s="3"/>
      <c r="AF71" s="3"/>
      <c r="AG71" s="3"/>
      <c r="AH71" s="3"/>
      <c r="AI71" s="3"/>
      <c r="AJ71" s="3"/>
      <c r="AK71" s="3"/>
    </row>
    <row r="72" spans="2:43" s="2" customFormat="1" x14ac:dyDescent="0.3">
      <c r="B72" s="905">
        <v>1</v>
      </c>
      <c r="C72" s="325" t="s">
        <v>2004</v>
      </c>
      <c r="D72" s="3" t="s">
        <v>2084</v>
      </c>
      <c r="E72" s="3" t="s">
        <v>2091</v>
      </c>
      <c r="F72" s="927" t="s">
        <v>2086</v>
      </c>
      <c r="G72" s="2021">
        <v>30.19</v>
      </c>
      <c r="H72" s="2035" t="s">
        <v>2105</v>
      </c>
      <c r="I72" s="1808">
        <v>0</v>
      </c>
      <c r="J72" s="917">
        <v>42461</v>
      </c>
      <c r="K72" s="917">
        <v>42461</v>
      </c>
      <c r="L72" s="917">
        <v>43190</v>
      </c>
      <c r="M72" s="917">
        <v>43555</v>
      </c>
      <c r="N72" s="2021">
        <v>0</v>
      </c>
      <c r="O72" s="2036">
        <f>F4.3!$G254</f>
        <v>6.79</v>
      </c>
      <c r="P72" s="2036">
        <f>F4.3!$J254</f>
        <v>10.52</v>
      </c>
      <c r="Q72" s="2036">
        <f>F4.3!$J260</f>
        <v>11.95</v>
      </c>
      <c r="R72" s="2036">
        <f>F4.3!$J267</f>
        <v>0</v>
      </c>
      <c r="S72" s="2036">
        <f>F4.3!$J273</f>
        <v>0</v>
      </c>
      <c r="T72" s="2036">
        <f>F4.3!$J279</f>
        <v>0</v>
      </c>
      <c r="U72" s="2036"/>
      <c r="V72" s="2090">
        <v>0.2249089102351772</v>
      </c>
      <c r="W72" s="2090">
        <v>0.34845975488572373</v>
      </c>
      <c r="X72" s="2090">
        <v>0.39582643259357397</v>
      </c>
      <c r="Y72" s="2090">
        <v>0</v>
      </c>
      <c r="Z72" s="2090">
        <v>0</v>
      </c>
      <c r="AA72" s="2090">
        <v>0</v>
      </c>
      <c r="AB72" s="2090">
        <v>0</v>
      </c>
      <c r="AC72" s="2036">
        <f>F4.3!$H254</f>
        <v>6.79</v>
      </c>
      <c r="AD72" s="2036">
        <f>F4.3!$N254</f>
        <v>10.52</v>
      </c>
      <c r="AE72" s="2036">
        <f>F4.3!$N260</f>
        <v>11.95</v>
      </c>
      <c r="AF72" s="2036">
        <f>F4.3!$N267</f>
        <v>0</v>
      </c>
      <c r="AG72" s="2036">
        <f>F4.3!$N273</f>
        <v>0</v>
      </c>
      <c r="AH72" s="2036">
        <f>F4.3!$N279</f>
        <v>0</v>
      </c>
      <c r="AI72" s="2036"/>
      <c r="AJ72" s="2021">
        <v>0</v>
      </c>
      <c r="AK72" s="2021">
        <v>0</v>
      </c>
    </row>
    <row r="73" spans="2:43" s="2" customFormat="1" x14ac:dyDescent="0.3">
      <c r="B73" s="905">
        <v>2</v>
      </c>
      <c r="C73" s="325" t="s">
        <v>2072</v>
      </c>
      <c r="D73" s="3"/>
      <c r="E73" s="3" t="s">
        <v>2123</v>
      </c>
      <c r="F73" s="927" t="s">
        <v>2097</v>
      </c>
      <c r="G73" s="2021">
        <v>12.94</v>
      </c>
      <c r="H73" s="2035" t="s">
        <v>2105</v>
      </c>
      <c r="I73" s="1808">
        <v>7.7639999999999993</v>
      </c>
      <c r="J73" s="917">
        <v>43191</v>
      </c>
      <c r="K73" s="917">
        <v>43191</v>
      </c>
      <c r="L73" s="917">
        <v>43921</v>
      </c>
      <c r="M73" s="917" t="s">
        <v>2036</v>
      </c>
      <c r="N73" s="2021">
        <v>0</v>
      </c>
      <c r="O73" s="2036">
        <f>F4.3!$G255</f>
        <v>5.49</v>
      </c>
      <c r="P73" s="2036">
        <f>F4.3!$J255</f>
        <v>7.41</v>
      </c>
      <c r="Q73" s="2036">
        <f>F4.3!$J261</f>
        <v>0</v>
      </c>
      <c r="R73" s="2021">
        <v>0</v>
      </c>
      <c r="S73" s="2021">
        <v>0</v>
      </c>
      <c r="T73" s="2021">
        <v>0</v>
      </c>
      <c r="U73" s="2021">
        <v>0</v>
      </c>
      <c r="V73" s="2090">
        <v>0.42426584234930453</v>
      </c>
      <c r="W73" s="2090">
        <v>0.57264296754250388</v>
      </c>
      <c r="X73" s="2090">
        <v>0</v>
      </c>
      <c r="Y73" s="2090">
        <v>0</v>
      </c>
      <c r="Z73" s="2090">
        <v>0</v>
      </c>
      <c r="AA73" s="2090">
        <v>0</v>
      </c>
      <c r="AB73" s="2090">
        <v>0</v>
      </c>
      <c r="AC73" s="2036">
        <f>F4.3!$H255</f>
        <v>5.49</v>
      </c>
      <c r="AD73" s="2036">
        <f>F4.3!$N255</f>
        <v>7.41</v>
      </c>
      <c r="AE73" s="2036">
        <f>F4.3!$N261</f>
        <v>0</v>
      </c>
      <c r="AF73" s="2021">
        <v>0</v>
      </c>
      <c r="AG73" s="2021">
        <v>0</v>
      </c>
      <c r="AH73" s="2021">
        <v>0</v>
      </c>
      <c r="AI73" s="2021">
        <v>0</v>
      </c>
      <c r="AJ73" s="2021">
        <v>0</v>
      </c>
      <c r="AK73" s="2021">
        <v>0</v>
      </c>
    </row>
    <row r="74" spans="2:43" s="2" customFormat="1" x14ac:dyDescent="0.3">
      <c r="B74" s="1513"/>
      <c r="C74" s="324" t="s">
        <v>2081</v>
      </c>
      <c r="D74" s="3"/>
      <c r="E74" s="3"/>
      <c r="F74" s="927"/>
      <c r="G74" s="2021" t="s">
        <v>2124</v>
      </c>
      <c r="H74" s="2035"/>
      <c r="I74" s="1808"/>
      <c r="J74" s="917"/>
      <c r="K74" s="917"/>
      <c r="L74" s="917"/>
      <c r="M74" s="917"/>
      <c r="N74" s="2021"/>
      <c r="O74" s="2021"/>
      <c r="P74" s="2021"/>
      <c r="Q74" s="2021"/>
      <c r="R74" s="2021"/>
      <c r="S74" s="2021"/>
      <c r="T74" s="2021"/>
      <c r="U74" s="2021"/>
      <c r="V74" s="2090"/>
      <c r="W74" s="2090"/>
      <c r="X74" s="2090"/>
      <c r="Y74" s="2090"/>
      <c r="Z74" s="2090"/>
      <c r="AA74" s="2090"/>
      <c r="AB74" s="2090"/>
      <c r="AC74" s="2021"/>
      <c r="AD74" s="2021"/>
      <c r="AE74" s="2021"/>
      <c r="AF74" s="2021"/>
      <c r="AG74" s="2021"/>
      <c r="AH74" s="2021"/>
      <c r="AI74" s="2021"/>
      <c r="AJ74" s="2021"/>
      <c r="AK74" s="2021"/>
    </row>
    <row r="75" spans="2:43" s="2" customFormat="1" x14ac:dyDescent="0.3">
      <c r="B75" s="1514">
        <v>4</v>
      </c>
      <c r="C75" s="327" t="s">
        <v>2125</v>
      </c>
      <c r="D75" s="3" t="s">
        <v>2084</v>
      </c>
      <c r="E75" s="2021" t="s">
        <v>2041</v>
      </c>
      <c r="F75" s="2035" t="s">
        <v>2041</v>
      </c>
      <c r="G75" s="2021">
        <v>25.46</v>
      </c>
      <c r="H75" s="2035" t="s">
        <v>2105</v>
      </c>
      <c r="I75" s="1808">
        <v>0</v>
      </c>
      <c r="J75" s="917"/>
      <c r="K75" s="917">
        <v>43191</v>
      </c>
      <c r="L75" s="917">
        <v>0</v>
      </c>
      <c r="M75" s="917" t="s">
        <v>2036</v>
      </c>
      <c r="N75" s="2021">
        <v>0</v>
      </c>
      <c r="O75" s="2021">
        <v>0</v>
      </c>
      <c r="P75" s="2021">
        <v>0</v>
      </c>
      <c r="Q75" s="2021">
        <v>0</v>
      </c>
      <c r="R75" s="2021">
        <f>F4.3!J270</f>
        <v>14.63</v>
      </c>
      <c r="S75" s="2021">
        <f>F4.3!J276</f>
        <v>10.84</v>
      </c>
      <c r="T75" s="2021">
        <v>0</v>
      </c>
      <c r="U75" s="2021">
        <v>0</v>
      </c>
      <c r="V75" s="2090">
        <f>O75/$G$75</f>
        <v>0</v>
      </c>
      <c r="W75" s="2090">
        <f t="shared" ref="W75:AB77" si="3">P75/$G$75</f>
        <v>0</v>
      </c>
      <c r="X75" s="2090">
        <f t="shared" si="3"/>
        <v>0</v>
      </c>
      <c r="Y75" s="2090">
        <f t="shared" si="3"/>
        <v>0.57462686567164178</v>
      </c>
      <c r="Z75" s="2090">
        <f t="shared" si="3"/>
        <v>0.42576590730557734</v>
      </c>
      <c r="AA75" s="2090">
        <f t="shared" si="3"/>
        <v>0</v>
      </c>
      <c r="AB75" s="2090">
        <f t="shared" si="3"/>
        <v>0</v>
      </c>
      <c r="AC75" s="2021">
        <v>0</v>
      </c>
      <c r="AD75" s="2021">
        <v>0</v>
      </c>
      <c r="AE75" s="2021">
        <v>0</v>
      </c>
      <c r="AF75" s="2021">
        <f>F4.3!N270</f>
        <v>14.63</v>
      </c>
      <c r="AG75" s="2021">
        <f>F4.3!N276</f>
        <v>10.84</v>
      </c>
      <c r="AH75" s="2021">
        <v>0</v>
      </c>
      <c r="AI75" s="2021">
        <v>0</v>
      </c>
      <c r="AJ75" s="2021">
        <v>0</v>
      </c>
      <c r="AK75" s="2021">
        <v>0</v>
      </c>
    </row>
    <row r="76" spans="2:43" s="2" customFormat="1" x14ac:dyDescent="0.3">
      <c r="B76" s="1514">
        <v>5</v>
      </c>
      <c r="C76" s="325" t="s">
        <v>2101</v>
      </c>
      <c r="D76" s="2021">
        <v>0</v>
      </c>
      <c r="E76" s="2021">
        <v>0</v>
      </c>
      <c r="F76" s="2035">
        <v>0</v>
      </c>
      <c r="G76" s="2021">
        <v>75.98</v>
      </c>
      <c r="H76" s="2035" t="s">
        <v>2105</v>
      </c>
      <c r="I76" s="1808">
        <v>0.6</v>
      </c>
      <c r="J76" s="917"/>
      <c r="K76" s="917"/>
      <c r="L76" s="917"/>
      <c r="M76" s="917"/>
      <c r="N76" s="2021">
        <v>0</v>
      </c>
      <c r="O76" s="2021">
        <v>0</v>
      </c>
      <c r="P76" s="2021">
        <v>0</v>
      </c>
      <c r="Q76" s="2021">
        <v>0</v>
      </c>
      <c r="R76" s="2021">
        <v>0</v>
      </c>
      <c r="S76" s="2021">
        <v>0</v>
      </c>
      <c r="T76" s="2036">
        <f>F4.3!$J282</f>
        <v>289.00094999999999</v>
      </c>
      <c r="U76" s="2036">
        <f>F4.3!$J287</f>
        <v>0</v>
      </c>
      <c r="V76" s="2090">
        <f>O76/$G$75</f>
        <v>0</v>
      </c>
      <c r="W76" s="2090">
        <f t="shared" si="3"/>
        <v>0</v>
      </c>
      <c r="X76" s="2090">
        <f t="shared" si="3"/>
        <v>0</v>
      </c>
      <c r="Y76" s="2090">
        <f t="shared" si="3"/>
        <v>0</v>
      </c>
      <c r="Z76" s="2090">
        <f t="shared" si="3"/>
        <v>0</v>
      </c>
      <c r="AA76" s="2090">
        <f t="shared" si="3"/>
        <v>11.351176355066771</v>
      </c>
      <c r="AB76" s="2090">
        <f t="shared" si="3"/>
        <v>0</v>
      </c>
      <c r="AC76" s="2021">
        <v>0</v>
      </c>
      <c r="AD76" s="2021">
        <v>0</v>
      </c>
      <c r="AE76" s="2021">
        <v>0</v>
      </c>
      <c r="AF76" s="2021">
        <v>0</v>
      </c>
      <c r="AG76" s="2021">
        <v>0</v>
      </c>
      <c r="AH76" s="2036">
        <f>F4.3!$N282</f>
        <v>289.00094999999999</v>
      </c>
      <c r="AI76" s="2036">
        <f>F4.3!$N287</f>
        <v>0</v>
      </c>
      <c r="AJ76" s="2021">
        <v>0</v>
      </c>
      <c r="AK76" s="2021">
        <v>0</v>
      </c>
    </row>
    <row r="77" spans="2:43" s="2" customFormat="1" x14ac:dyDescent="0.3">
      <c r="B77" s="1514">
        <v>6</v>
      </c>
      <c r="C77" s="325" t="s">
        <v>2103</v>
      </c>
      <c r="D77" s="2021">
        <v>0</v>
      </c>
      <c r="E77" s="2021">
        <v>0</v>
      </c>
      <c r="F77" s="2035">
        <v>0</v>
      </c>
      <c r="G77" s="2021">
        <v>72.53</v>
      </c>
      <c r="H77" s="2035" t="s">
        <v>2105</v>
      </c>
      <c r="I77" s="1808">
        <v>0.6</v>
      </c>
      <c r="J77" s="917"/>
      <c r="K77" s="917"/>
      <c r="L77" s="917"/>
      <c r="M77" s="917"/>
      <c r="N77" s="2021">
        <v>0</v>
      </c>
      <c r="O77" s="2021">
        <v>0</v>
      </c>
      <c r="P77" s="2021">
        <v>0</v>
      </c>
      <c r="Q77" s="2021">
        <v>0</v>
      </c>
      <c r="R77" s="2021">
        <v>0</v>
      </c>
      <c r="S77" s="2021">
        <v>0</v>
      </c>
      <c r="T77" s="2036">
        <f>F4.3!$J283</f>
        <v>73.617949999999993</v>
      </c>
      <c r="U77" s="2036">
        <f>F4.3!$J288</f>
        <v>46.334749999999993</v>
      </c>
      <c r="V77" s="2090">
        <f>O77/$G$75</f>
        <v>0</v>
      </c>
      <c r="W77" s="2090">
        <f t="shared" si="3"/>
        <v>0</v>
      </c>
      <c r="X77" s="2090">
        <f t="shared" si="3"/>
        <v>0</v>
      </c>
      <c r="Y77" s="2090">
        <f t="shared" si="3"/>
        <v>0</v>
      </c>
      <c r="Z77" s="2090">
        <f t="shared" si="3"/>
        <v>0</v>
      </c>
      <c r="AA77" s="2090">
        <f t="shared" si="3"/>
        <v>2.8915141398271795</v>
      </c>
      <c r="AB77" s="2090">
        <f t="shared" si="3"/>
        <v>1.819903770620581</v>
      </c>
      <c r="AC77" s="2021">
        <v>0</v>
      </c>
      <c r="AD77" s="2021">
        <v>0</v>
      </c>
      <c r="AE77" s="2021">
        <v>0</v>
      </c>
      <c r="AF77" s="2021">
        <v>0</v>
      </c>
      <c r="AG77" s="2021">
        <v>0</v>
      </c>
      <c r="AH77" s="2036">
        <f>F4.3!$N283</f>
        <v>73.617949999999993</v>
      </c>
      <c r="AI77" s="2036">
        <f>F4.3!$N288</f>
        <v>46.334749999999993</v>
      </c>
      <c r="AJ77" s="2021">
        <v>0</v>
      </c>
      <c r="AK77" s="2021">
        <v>0</v>
      </c>
    </row>
    <row r="78" spans="2:43" s="2" customFormat="1" x14ac:dyDescent="0.3">
      <c r="B78" s="1514"/>
      <c r="C78" s="327"/>
      <c r="D78" s="3"/>
      <c r="E78" s="2021"/>
      <c r="F78" s="2035"/>
      <c r="G78" s="2021"/>
      <c r="H78" s="2035"/>
      <c r="I78" s="1808"/>
      <c r="J78" s="917"/>
      <c r="K78" s="917"/>
      <c r="L78" s="917"/>
      <c r="M78" s="917"/>
      <c r="N78" s="2021"/>
      <c r="O78" s="2021"/>
      <c r="P78" s="2021"/>
      <c r="Q78" s="2021"/>
      <c r="R78" s="2021"/>
      <c r="S78" s="2021"/>
      <c r="T78" s="2021"/>
      <c r="U78" s="2021"/>
      <c r="V78" s="2090"/>
      <c r="W78" s="2090"/>
      <c r="X78" s="2090"/>
      <c r="Y78" s="2090"/>
      <c r="Z78" s="2090"/>
      <c r="AA78" s="2090"/>
      <c r="AB78" s="2090"/>
      <c r="AC78" s="2021"/>
      <c r="AD78" s="2021"/>
      <c r="AE78" s="2021"/>
      <c r="AF78" s="2021"/>
      <c r="AG78" s="2021"/>
      <c r="AH78" s="2021"/>
      <c r="AI78" s="2021"/>
      <c r="AJ78" s="2021"/>
      <c r="AK78" s="2021"/>
    </row>
    <row r="79" spans="2:43" s="2" customFormat="1" x14ac:dyDescent="0.3">
      <c r="B79" s="4"/>
      <c r="C79" s="325"/>
      <c r="D79" s="325"/>
      <c r="E79" s="325"/>
      <c r="F79" s="325"/>
      <c r="G79" s="2021"/>
      <c r="H79" s="325"/>
      <c r="I79" s="1808"/>
      <c r="J79" s="919"/>
      <c r="K79" s="919"/>
      <c r="L79" s="919"/>
      <c r="M79" s="919"/>
      <c r="N79" s="2021"/>
      <c r="O79" s="2021"/>
      <c r="P79" s="2021"/>
      <c r="Q79" s="2021"/>
      <c r="R79" s="2021"/>
      <c r="S79" s="2021"/>
      <c r="T79" s="2021"/>
      <c r="U79" s="2021"/>
      <c r="V79" s="770"/>
      <c r="W79" s="770"/>
      <c r="X79" s="770"/>
      <c r="Y79" s="770"/>
      <c r="Z79" s="770"/>
      <c r="AA79" s="770"/>
      <c r="AB79" s="770"/>
      <c r="AC79" s="2021"/>
      <c r="AD79" s="2021"/>
      <c r="AE79" s="2021"/>
      <c r="AF79" s="2021"/>
      <c r="AG79" s="2021"/>
      <c r="AH79" s="2021"/>
      <c r="AI79" s="2021"/>
      <c r="AJ79" s="3"/>
      <c r="AK79" s="3"/>
    </row>
    <row r="80" spans="2:43" s="152" customFormat="1" x14ac:dyDescent="0.3">
      <c r="B80" s="151"/>
      <c r="C80" s="151" t="s">
        <v>5</v>
      </c>
      <c r="D80" s="151"/>
      <c r="E80" s="151"/>
      <c r="F80" s="151"/>
      <c r="G80" s="2024">
        <f>SUM(G72:G79)</f>
        <v>217.1</v>
      </c>
      <c r="H80" s="151"/>
      <c r="I80" s="2088"/>
      <c r="J80" s="922"/>
      <c r="K80" s="922"/>
      <c r="L80" s="922"/>
      <c r="M80" s="922"/>
      <c r="N80" s="958">
        <f t="shared" ref="N80:S80" si="4">SUM(N72:N79)</f>
        <v>0</v>
      </c>
      <c r="O80" s="958">
        <f t="shared" si="4"/>
        <v>12.280000000000001</v>
      </c>
      <c r="P80" s="958">
        <f t="shared" si="4"/>
        <v>17.93</v>
      </c>
      <c r="Q80" s="958">
        <f t="shared" si="4"/>
        <v>11.95</v>
      </c>
      <c r="R80" s="958">
        <f t="shared" si="4"/>
        <v>14.63</v>
      </c>
      <c r="S80" s="958">
        <f t="shared" si="4"/>
        <v>10.84</v>
      </c>
      <c r="T80" s="2024">
        <f>SUM(T70:T79)</f>
        <v>362.6189</v>
      </c>
      <c r="U80" s="2024">
        <f>SUM(U70:U79)</f>
        <v>46.334749999999993</v>
      </c>
      <c r="V80" s="2091"/>
      <c r="W80" s="2091"/>
      <c r="X80" s="2091"/>
      <c r="Y80" s="2091"/>
      <c r="Z80" s="2091"/>
      <c r="AA80" s="2091"/>
      <c r="AB80" s="2091"/>
      <c r="AC80" s="2024">
        <f t="shared" ref="AC80:AH80" si="5">SUM(AC70:AC79)</f>
        <v>12.280000000000001</v>
      </c>
      <c r="AD80" s="2024">
        <f t="shared" si="5"/>
        <v>17.93</v>
      </c>
      <c r="AE80" s="2024">
        <f t="shared" si="5"/>
        <v>11.95</v>
      </c>
      <c r="AF80" s="2024">
        <f t="shared" si="5"/>
        <v>14.63</v>
      </c>
      <c r="AG80" s="2024">
        <f t="shared" si="5"/>
        <v>10.84</v>
      </c>
      <c r="AH80" s="2024">
        <f t="shared" si="5"/>
        <v>362.6189</v>
      </c>
      <c r="AI80" s="958">
        <f>SUM(AI72:AI79)</f>
        <v>46.334749999999993</v>
      </c>
      <c r="AJ80" s="151"/>
      <c r="AK80" s="151"/>
    </row>
    <row r="82" spans="2:9" hidden="1" x14ac:dyDescent="0.3">
      <c r="B82" s="293" t="s">
        <v>756</v>
      </c>
      <c r="C82" s="293"/>
      <c r="D82" s="293"/>
      <c r="E82" s="293"/>
      <c r="F82" s="293"/>
      <c r="G82" s="2092"/>
      <c r="H82" s="293"/>
      <c r="I82" s="2093"/>
    </row>
    <row r="83" spans="2:9" hidden="1" x14ac:dyDescent="0.3">
      <c r="B83" s="293" t="s">
        <v>757</v>
      </c>
      <c r="C83" s="293"/>
      <c r="D83" s="293"/>
      <c r="E83" s="293"/>
      <c r="F83" s="293"/>
      <c r="G83" s="2092"/>
      <c r="H83" s="293"/>
      <c r="I83" s="2093"/>
    </row>
  </sheetData>
  <mergeCells count="62">
    <mergeCell ref="C54:E54"/>
    <mergeCell ref="C55:E55"/>
    <mergeCell ref="C56:E56"/>
    <mergeCell ref="B38:B39"/>
    <mergeCell ref="C38:C39"/>
    <mergeCell ref="E38:E39"/>
    <mergeCell ref="C53:E53"/>
    <mergeCell ref="C16:H16"/>
    <mergeCell ref="C27:F27"/>
    <mergeCell ref="B30:G30"/>
    <mergeCell ref="C33:G33"/>
    <mergeCell ref="C37:G37"/>
    <mergeCell ref="AJ10:AK10"/>
    <mergeCell ref="AJ11:AJ12"/>
    <mergeCell ref="AK11:AK12"/>
    <mergeCell ref="N10:N12"/>
    <mergeCell ref="G10:G12"/>
    <mergeCell ref="H10:H12"/>
    <mergeCell ref="J10:J12"/>
    <mergeCell ref="K10:K12"/>
    <mergeCell ref="L10:L12"/>
    <mergeCell ref="M10:M12"/>
    <mergeCell ref="I10:I12"/>
    <mergeCell ref="O10:U10"/>
    <mergeCell ref="V10:AB10"/>
    <mergeCell ref="AC10:AI10"/>
    <mergeCell ref="O11:O12"/>
    <mergeCell ref="V11:V12"/>
    <mergeCell ref="B10:B12"/>
    <mergeCell ref="C10:C12"/>
    <mergeCell ref="D10:D12"/>
    <mergeCell ref="E10:E12"/>
    <mergeCell ref="F10:F12"/>
    <mergeCell ref="AC11:AC12"/>
    <mergeCell ref="T11:U11"/>
    <mergeCell ref="AA11:AB11"/>
    <mergeCell ref="AH11:AI11"/>
    <mergeCell ref="N66:N68"/>
    <mergeCell ref="B66:B68"/>
    <mergeCell ref="C66:C68"/>
    <mergeCell ref="D66:D68"/>
    <mergeCell ref="E66:E68"/>
    <mergeCell ref="F66:F68"/>
    <mergeCell ref="G66:G68"/>
    <mergeCell ref="H66:H68"/>
    <mergeCell ref="J66:J68"/>
    <mergeCell ref="K66:K68"/>
    <mergeCell ref="L66:L68"/>
    <mergeCell ref="M66:M68"/>
    <mergeCell ref="I66:I68"/>
    <mergeCell ref="T67:U67"/>
    <mergeCell ref="AA67:AB67"/>
    <mergeCell ref="AH67:AI67"/>
    <mergeCell ref="AJ66:AK66"/>
    <mergeCell ref="AJ67:AJ68"/>
    <mergeCell ref="AK67:AK68"/>
    <mergeCell ref="O66:U66"/>
    <mergeCell ref="V66:AB66"/>
    <mergeCell ref="AC66:AI66"/>
    <mergeCell ref="O67:O68"/>
    <mergeCell ref="V67:V68"/>
    <mergeCell ref="AC67:AC68"/>
  </mergeCells>
  <printOptions verticalCentered="1"/>
  <pageMargins left="0" right="0" top="0.23622047244094491" bottom="0.23622047244094491" header="0.23622047244094491" footer="0.23622047244094491"/>
  <pageSetup paperSize="9" scale="20" fitToHeight="2" orientation="landscape" r:id="rId1"/>
  <headerFooter alignWithMargins="0">
    <oddHeader>&amp;F</oddHeader>
  </headerFooter>
  <rowBreaks count="1" manualBreakCount="1">
    <brk id="5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3"/>
  <sheetViews>
    <sheetView showGridLines="0" view="pageBreakPreview" topLeftCell="D288" zoomScale="67" zoomScaleNormal="80" workbookViewId="0">
      <selection activeCell="F46" sqref="F46"/>
    </sheetView>
  </sheetViews>
  <sheetFormatPr defaultColWidth="9.1796875" defaultRowHeight="14" x14ac:dyDescent="0.3"/>
  <cols>
    <col min="1" max="1" width="7.08984375" style="1" bestFit="1" customWidth="1"/>
    <col min="2" max="2" width="8.1796875" style="1948" customWidth="1"/>
    <col min="3" max="3" width="55.90625" style="1" bestFit="1" customWidth="1"/>
    <col min="4" max="4" width="45" style="1" bestFit="1" customWidth="1"/>
    <col min="5" max="5" width="17.81640625" style="1948" customWidth="1"/>
    <col min="6" max="6" width="17.81640625" style="2011" customWidth="1"/>
    <col min="7" max="7" width="23" style="2011" customWidth="1"/>
    <col min="8" max="8" width="16.81640625" style="2011" customWidth="1"/>
    <col min="9" max="10" width="15.54296875" style="2011" customWidth="1"/>
    <col min="11" max="11" width="15.1796875" style="2011" customWidth="1"/>
    <col min="12" max="12" width="14.453125" style="2011" customWidth="1"/>
    <col min="13" max="13" width="14.81640625" style="2011" customWidth="1"/>
    <col min="14" max="14" width="16.81640625" style="2011" customWidth="1"/>
    <col min="15" max="15" width="13.1796875" style="2011" customWidth="1"/>
    <col min="16" max="16" width="14.81640625" style="1" customWidth="1"/>
    <col min="17" max="17" width="12.81640625" style="1" customWidth="1"/>
    <col min="18" max="18" width="14.453125" style="1" customWidth="1"/>
    <col min="19" max="19" width="16" style="1" customWidth="1"/>
    <col min="20" max="20" width="12.81640625" style="1" customWidth="1"/>
    <col min="21" max="21" width="14" style="1" customWidth="1"/>
    <col min="22" max="24" width="12.81640625" style="1" customWidth="1"/>
    <col min="25" max="25" width="15.1796875" style="1" customWidth="1"/>
    <col min="26" max="26" width="12.54296875" style="1" customWidth="1"/>
    <col min="27" max="27" width="13.453125" style="1" customWidth="1"/>
    <col min="28" max="28" width="13.54296875" style="1" customWidth="1"/>
    <col min="29" max="31" width="9.1796875" style="1"/>
    <col min="32" max="32" width="11.1796875" style="1" customWidth="1"/>
    <col min="33" max="16384" width="9.1796875" style="1"/>
  </cols>
  <sheetData>
    <row r="1" spans="2:28" ht="15.75" customHeight="1" x14ac:dyDescent="0.3"/>
    <row r="2" spans="2:28" ht="15" customHeight="1" x14ac:dyDescent="0.3">
      <c r="C2" s="215"/>
      <c r="D2" s="215"/>
      <c r="E2" s="934"/>
      <c r="F2" s="1955"/>
      <c r="G2" s="1955"/>
      <c r="H2" s="2012" t="s">
        <v>1027</v>
      </c>
      <c r="I2" s="1955"/>
      <c r="J2" s="1955"/>
      <c r="K2" s="1955"/>
      <c r="L2" s="1955"/>
      <c r="M2" s="2012"/>
      <c r="N2" s="2012"/>
      <c r="O2" s="2012"/>
    </row>
    <row r="3" spans="2:28" ht="15" customHeight="1" x14ac:dyDescent="0.3">
      <c r="C3" s="168"/>
      <c r="D3" s="168"/>
      <c r="E3" s="935"/>
      <c r="F3" s="1959"/>
      <c r="G3" s="1959"/>
      <c r="H3" s="2013" t="s">
        <v>848</v>
      </c>
      <c r="I3" s="1959"/>
      <c r="J3" s="1959"/>
      <c r="K3" s="1959"/>
      <c r="L3" s="1959"/>
      <c r="M3" s="2014"/>
      <c r="N3" s="2014"/>
      <c r="O3" s="2014"/>
    </row>
    <row r="4" spans="2:28" ht="15" customHeight="1" x14ac:dyDescent="0.3">
      <c r="C4" s="216"/>
      <c r="D4" s="216"/>
      <c r="E4" s="936"/>
      <c r="F4" s="1963"/>
      <c r="G4" s="1963"/>
      <c r="H4" s="2015" t="s">
        <v>560</v>
      </c>
      <c r="I4" s="1963"/>
      <c r="J4" s="1963"/>
      <c r="K4" s="1963"/>
      <c r="L4" s="1963"/>
      <c r="M4" s="2016"/>
      <c r="N4" s="2016"/>
      <c r="O4" s="2016"/>
    </row>
    <row r="5" spans="2:28" x14ac:dyDescent="0.3">
      <c r="C5" s="10"/>
      <c r="D5" s="10"/>
      <c r="F5" s="2017"/>
      <c r="G5" s="2017"/>
      <c r="H5" s="2018"/>
      <c r="I5" s="2019"/>
      <c r="J5" s="2019"/>
      <c r="K5" s="2019"/>
      <c r="L5" s="2019"/>
      <c r="M5" s="2019"/>
      <c r="N5" s="2019"/>
      <c r="O5" s="2019"/>
      <c r="P5" s="7"/>
      <c r="Q5" s="7"/>
      <c r="R5" s="7"/>
      <c r="S5" s="7"/>
      <c r="T5" s="7"/>
      <c r="U5" s="7"/>
      <c r="V5" s="7"/>
      <c r="W5" s="7"/>
      <c r="X5" s="7"/>
      <c r="Y5" s="7"/>
      <c r="Z5" s="7"/>
      <c r="AA5" s="7"/>
      <c r="AB5" s="7"/>
    </row>
    <row r="6" spans="2:28" x14ac:dyDescent="0.3">
      <c r="C6" s="283" t="s">
        <v>282</v>
      </c>
      <c r="D6" s="10"/>
      <c r="F6" s="2017"/>
      <c r="G6" s="2017"/>
      <c r="H6" s="2018"/>
      <c r="I6" s="2019"/>
      <c r="J6" s="2019"/>
      <c r="K6" s="2019"/>
      <c r="L6" s="2019"/>
      <c r="M6" s="2019"/>
      <c r="N6" s="2019"/>
      <c r="O6" s="2019"/>
      <c r="P6" s="7"/>
      <c r="Q6" s="7"/>
      <c r="R6" s="7"/>
      <c r="S6" s="7"/>
      <c r="T6" s="7"/>
      <c r="U6" s="7"/>
      <c r="V6" s="7"/>
      <c r="W6" s="7"/>
      <c r="X6" s="7"/>
      <c r="Y6" s="7"/>
      <c r="Z6" s="7"/>
      <c r="AA6" s="7"/>
      <c r="AB6" s="7"/>
    </row>
    <row r="7" spans="2:28" x14ac:dyDescent="0.3">
      <c r="C7" s="283"/>
      <c r="D7" s="10"/>
      <c r="F7" s="2017"/>
      <c r="G7" s="2017"/>
      <c r="H7" s="2018"/>
      <c r="I7" s="2019"/>
      <c r="J7" s="2019"/>
      <c r="K7" s="2019"/>
      <c r="L7" s="2019"/>
      <c r="M7" s="2019"/>
      <c r="N7" s="2019"/>
      <c r="O7" s="2019"/>
      <c r="P7" s="7"/>
      <c r="Q7" s="7"/>
      <c r="R7" s="7"/>
      <c r="S7" s="7"/>
      <c r="T7" s="7"/>
      <c r="U7" s="7"/>
      <c r="V7" s="7"/>
      <c r="W7" s="7"/>
      <c r="X7" s="7"/>
      <c r="Y7" s="7"/>
      <c r="Z7" s="7"/>
      <c r="AA7" s="7"/>
      <c r="AB7" s="7"/>
    </row>
    <row r="8" spans="2:28" ht="15.75" customHeight="1" x14ac:dyDescent="0.3">
      <c r="C8" s="121" t="s">
        <v>0</v>
      </c>
      <c r="D8" s="121"/>
      <c r="E8" s="122"/>
      <c r="F8" s="2018"/>
      <c r="G8" s="2018"/>
      <c r="I8" s="2019"/>
      <c r="J8" s="2019"/>
      <c r="K8" s="2019"/>
      <c r="L8" s="2019"/>
      <c r="M8" s="2019"/>
      <c r="N8" s="2019"/>
      <c r="O8" s="2019"/>
      <c r="P8" s="7"/>
      <c r="Q8" s="7"/>
      <c r="R8" s="7"/>
      <c r="S8" s="7"/>
      <c r="T8" s="7"/>
      <c r="U8" s="7"/>
      <c r="V8" s="7"/>
      <c r="W8" s="7"/>
      <c r="X8" s="7"/>
      <c r="Y8" s="7"/>
      <c r="Z8" s="7"/>
      <c r="AA8" s="7"/>
      <c r="AB8" s="7"/>
    </row>
    <row r="9" spans="2:28" x14ac:dyDescent="0.3">
      <c r="C9" s="10"/>
      <c r="D9" s="10"/>
      <c r="F9" s="2017"/>
      <c r="G9" s="2017"/>
      <c r="H9" s="2017"/>
      <c r="I9" s="2019"/>
      <c r="J9" s="2019"/>
      <c r="K9" s="2019"/>
      <c r="L9" s="2019"/>
      <c r="M9" s="2019"/>
      <c r="O9" s="2020" t="s">
        <v>16</v>
      </c>
      <c r="P9" s="7"/>
      <c r="Q9" s="7"/>
      <c r="T9" s="6"/>
      <c r="U9" s="6"/>
      <c r="V9" s="6"/>
      <c r="W9" s="6"/>
      <c r="X9" s="6"/>
      <c r="Y9" s="7"/>
      <c r="Z9" s="7"/>
      <c r="AA9" s="7"/>
    </row>
    <row r="10" spans="2:28" x14ac:dyDescent="0.3">
      <c r="B10" s="2351" t="s">
        <v>187</v>
      </c>
      <c r="C10" s="2351" t="s">
        <v>26</v>
      </c>
      <c r="D10" s="2351" t="s">
        <v>617</v>
      </c>
      <c r="E10" s="2351" t="s">
        <v>618</v>
      </c>
      <c r="F10" s="2306" t="s">
        <v>551</v>
      </c>
      <c r="G10" s="2306" t="s">
        <v>629</v>
      </c>
      <c r="H10" s="2306" t="s">
        <v>630</v>
      </c>
      <c r="I10" s="2306" t="s">
        <v>552</v>
      </c>
      <c r="J10" s="2306" t="s">
        <v>553</v>
      </c>
      <c r="K10" s="2306" t="s">
        <v>554</v>
      </c>
      <c r="L10" s="2306"/>
      <c r="M10" s="2306"/>
      <c r="N10" s="2306"/>
      <c r="O10" s="2306" t="s">
        <v>555</v>
      </c>
    </row>
    <row r="11" spans="2:28" x14ac:dyDescent="0.3">
      <c r="B11" s="2351"/>
      <c r="C11" s="2351"/>
      <c r="D11" s="2351"/>
      <c r="E11" s="2351"/>
      <c r="F11" s="2306"/>
      <c r="G11" s="2306"/>
      <c r="H11" s="2306"/>
      <c r="I11" s="2306"/>
      <c r="J11" s="2306"/>
      <c r="K11" s="2306"/>
      <c r="L11" s="2306"/>
      <c r="M11" s="2306"/>
      <c r="N11" s="2306"/>
      <c r="O11" s="2306"/>
    </row>
    <row r="12" spans="2:28" ht="28" x14ac:dyDescent="0.3">
      <c r="B12" s="2351"/>
      <c r="C12" s="2351"/>
      <c r="D12" s="2351"/>
      <c r="E12" s="2351"/>
      <c r="F12" s="2306"/>
      <c r="G12" s="2306"/>
      <c r="H12" s="2306"/>
      <c r="I12" s="2306"/>
      <c r="J12" s="2306"/>
      <c r="K12" s="2008" t="s">
        <v>556</v>
      </c>
      <c r="L12" s="2008" t="s">
        <v>557</v>
      </c>
      <c r="M12" s="2008" t="s">
        <v>558</v>
      </c>
      <c r="N12" s="2008" t="s">
        <v>559</v>
      </c>
      <c r="O12" s="2306"/>
    </row>
    <row r="13" spans="2:28" s="2" customFormat="1" x14ac:dyDescent="0.3">
      <c r="B13" s="930"/>
      <c r="C13" s="324" t="s">
        <v>179</v>
      </c>
      <c r="D13" s="4"/>
      <c r="E13" s="933"/>
      <c r="F13" s="2021"/>
      <c r="G13" s="2021"/>
      <c r="H13" s="2021"/>
      <c r="I13" s="2021"/>
      <c r="J13" s="2021"/>
      <c r="K13" s="2021"/>
      <c r="L13" s="2021"/>
      <c r="M13" s="2021"/>
      <c r="N13" s="2021"/>
      <c r="O13" s="2021"/>
    </row>
    <row r="14" spans="2:28" s="2" customFormat="1" x14ac:dyDescent="0.3">
      <c r="B14" s="930"/>
      <c r="C14" s="326" t="s">
        <v>33</v>
      </c>
      <c r="D14" s="64"/>
      <c r="E14" s="933"/>
      <c r="F14" s="2021"/>
      <c r="G14" s="2021"/>
      <c r="H14" s="2021"/>
      <c r="I14" s="2021"/>
      <c r="J14" s="2021"/>
      <c r="K14" s="2021"/>
      <c r="L14" s="2021"/>
      <c r="M14" s="2021"/>
      <c r="N14" s="2021"/>
      <c r="O14" s="2021"/>
    </row>
    <row r="15" spans="2:28" s="2" customFormat="1" x14ac:dyDescent="0.3">
      <c r="B15" s="930"/>
      <c r="C15" s="327" t="s">
        <v>35</v>
      </c>
      <c r="D15" s="65"/>
      <c r="E15" s="933"/>
      <c r="F15" s="2021"/>
      <c r="G15" s="2021"/>
      <c r="H15" s="2021"/>
      <c r="I15" s="2021"/>
      <c r="J15" s="2021"/>
      <c r="K15" s="2021"/>
      <c r="L15" s="2021"/>
      <c r="M15" s="2021"/>
      <c r="N15" s="2021"/>
      <c r="O15" s="2021"/>
    </row>
    <row r="16" spans="2:28" s="2" customFormat="1" x14ac:dyDescent="0.3">
      <c r="B16" s="930"/>
      <c r="C16" s="325" t="s">
        <v>1476</v>
      </c>
      <c r="D16" s="65"/>
      <c r="E16" s="933"/>
      <c r="F16" s="2021"/>
      <c r="G16" s="2021"/>
      <c r="H16" s="2021"/>
      <c r="I16" s="2021"/>
      <c r="J16" s="2021"/>
      <c r="K16" s="2021"/>
      <c r="L16" s="2021"/>
      <c r="M16" s="2021"/>
      <c r="N16" s="2021"/>
      <c r="O16" s="2021"/>
    </row>
    <row r="17" spans="2:15" s="2" customFormat="1" ht="15.5" x14ac:dyDescent="0.3">
      <c r="B17" s="930"/>
      <c r="C17" s="1080" t="s">
        <v>2030</v>
      </c>
      <c r="D17" s="1081" t="s">
        <v>2126</v>
      </c>
      <c r="E17" s="1082" t="s">
        <v>2033</v>
      </c>
      <c r="F17" s="2021">
        <v>40</v>
      </c>
      <c r="G17" s="2021">
        <v>4.0199999999999996</v>
      </c>
      <c r="H17" s="2021">
        <v>4.0199999999999996</v>
      </c>
      <c r="I17" s="2021">
        <v>0</v>
      </c>
      <c r="J17" s="2021">
        <v>0.05</v>
      </c>
      <c r="K17" s="2021">
        <v>0.05</v>
      </c>
      <c r="L17" s="2021">
        <v>0</v>
      </c>
      <c r="M17" s="2021">
        <v>0</v>
      </c>
      <c r="N17" s="2022">
        <f>K17+L17+M17</f>
        <v>0.05</v>
      </c>
      <c r="O17" s="2021">
        <f>I17+J17-N17</f>
        <v>0</v>
      </c>
    </row>
    <row r="18" spans="2:15" s="2" customFormat="1" ht="15.5" x14ac:dyDescent="0.3">
      <c r="B18" s="930">
        <v>1</v>
      </c>
      <c r="C18" s="325" t="s">
        <v>1477</v>
      </c>
      <c r="D18" s="325" t="s">
        <v>1478</v>
      </c>
      <c r="E18" s="932" t="s">
        <v>1479</v>
      </c>
      <c r="F18" s="2021">
        <v>82.23</v>
      </c>
      <c r="G18" s="2021">
        <v>11.84</v>
      </c>
      <c r="H18" s="2021">
        <v>8.56</v>
      </c>
      <c r="I18" s="2021">
        <v>3.2799999999999994</v>
      </c>
      <c r="J18" s="2021">
        <v>3.02</v>
      </c>
      <c r="K18" s="2021">
        <v>0</v>
      </c>
      <c r="L18" s="2021">
        <v>0</v>
      </c>
      <c r="M18" s="2021">
        <v>0</v>
      </c>
      <c r="N18" s="2022">
        <f>K18+L18+M18</f>
        <v>0</v>
      </c>
      <c r="O18" s="2021">
        <f>I18+J18-N18</f>
        <v>6.2999999999999989</v>
      </c>
    </row>
    <row r="19" spans="2:15" s="2" customFormat="1" ht="15.5" x14ac:dyDescent="0.3">
      <c r="B19" s="930"/>
      <c r="C19" s="325"/>
      <c r="D19" s="325"/>
      <c r="E19" s="932"/>
      <c r="F19" s="2021"/>
      <c r="G19" s="2021"/>
      <c r="H19" s="2021"/>
      <c r="I19" s="2021"/>
      <c r="J19" s="2021">
        <v>0</v>
      </c>
      <c r="K19" s="2021">
        <v>0</v>
      </c>
      <c r="L19" s="2021">
        <v>0</v>
      </c>
      <c r="M19" s="2021">
        <v>0</v>
      </c>
      <c r="N19" s="2022">
        <f t="shared" ref="N19:N45" si="0">K19+L19+M19</f>
        <v>0</v>
      </c>
      <c r="O19" s="2021">
        <f t="shared" ref="O19:O45" si="1">I19+J19-N19</f>
        <v>0</v>
      </c>
    </row>
    <row r="20" spans="2:15" s="2" customFormat="1" ht="15.5" x14ac:dyDescent="0.3">
      <c r="B20" s="930"/>
      <c r="C20" s="324" t="s">
        <v>1380</v>
      </c>
      <c r="D20" s="2021">
        <v>0</v>
      </c>
      <c r="E20" s="1808">
        <v>0</v>
      </c>
      <c r="F20" s="2021">
        <v>0</v>
      </c>
      <c r="G20" s="2021">
        <v>0</v>
      </c>
      <c r="H20" s="2021">
        <v>0</v>
      </c>
      <c r="I20" s="2021"/>
      <c r="J20" s="2021">
        <v>0</v>
      </c>
      <c r="K20" s="2021">
        <v>0</v>
      </c>
      <c r="L20" s="2021">
        <v>0</v>
      </c>
      <c r="M20" s="2021">
        <v>0</v>
      </c>
      <c r="N20" s="2022">
        <f t="shared" si="0"/>
        <v>0</v>
      </c>
      <c r="O20" s="2021">
        <f t="shared" si="1"/>
        <v>0</v>
      </c>
    </row>
    <row r="21" spans="2:15" s="2" customFormat="1" ht="15.5" x14ac:dyDescent="0.3">
      <c r="B21" s="930">
        <v>2</v>
      </c>
      <c r="C21" s="325" t="s">
        <v>1480</v>
      </c>
      <c r="D21" s="325" t="s">
        <v>1481</v>
      </c>
      <c r="E21" s="932" t="s">
        <v>1482</v>
      </c>
      <c r="F21" s="2021">
        <v>36.630000000000003</v>
      </c>
      <c r="G21" s="2021">
        <v>5.94</v>
      </c>
      <c r="H21" s="2021">
        <v>5.9399999999999995</v>
      </c>
      <c r="I21" s="2021">
        <v>0</v>
      </c>
      <c r="J21" s="2021">
        <v>4.3099999999999996</v>
      </c>
      <c r="K21" s="2021">
        <v>4.3099999999999996</v>
      </c>
      <c r="L21" s="2021">
        <v>0</v>
      </c>
      <c r="M21" s="2021">
        <v>0</v>
      </c>
      <c r="N21" s="2022">
        <f t="shared" si="0"/>
        <v>4.3099999999999996</v>
      </c>
      <c r="O21" s="2021">
        <f t="shared" si="1"/>
        <v>0</v>
      </c>
    </row>
    <row r="22" spans="2:15" s="2" customFormat="1" ht="15.5" x14ac:dyDescent="0.3">
      <c r="B22" s="930">
        <f>B21+1</f>
        <v>3</v>
      </c>
      <c r="C22" s="325" t="s">
        <v>1483</v>
      </c>
      <c r="D22" s="325" t="s">
        <v>1484</v>
      </c>
      <c r="E22" s="932" t="s">
        <v>1485</v>
      </c>
      <c r="F22" s="2021">
        <v>64.09</v>
      </c>
      <c r="G22" s="2021">
        <v>15.73</v>
      </c>
      <c r="H22" s="2021">
        <v>15.73</v>
      </c>
      <c r="I22" s="2021">
        <v>0</v>
      </c>
      <c r="J22" s="2021">
        <v>0.65</v>
      </c>
      <c r="K22" s="2021">
        <v>0.65</v>
      </c>
      <c r="L22" s="2021">
        <v>0</v>
      </c>
      <c r="M22" s="2021">
        <v>0</v>
      </c>
      <c r="N22" s="2022">
        <f t="shared" si="0"/>
        <v>0.65</v>
      </c>
      <c r="O22" s="2021">
        <f t="shared" si="1"/>
        <v>0</v>
      </c>
    </row>
    <row r="23" spans="2:15" s="2" customFormat="1" ht="15.5" x14ac:dyDescent="0.3">
      <c r="B23" s="930">
        <f>B22+1</f>
        <v>4</v>
      </c>
      <c r="C23" s="325" t="s">
        <v>1486</v>
      </c>
      <c r="D23" s="325" t="s">
        <v>1484</v>
      </c>
      <c r="E23" s="932" t="s">
        <v>1485</v>
      </c>
      <c r="F23" s="2021">
        <v>58.86</v>
      </c>
      <c r="G23" s="2021">
        <v>2.5499999999999998</v>
      </c>
      <c r="H23" s="2021">
        <v>2.5499999999999998</v>
      </c>
      <c r="I23" s="2021">
        <v>0</v>
      </c>
      <c r="J23" s="2021">
        <v>0.37</v>
      </c>
      <c r="K23" s="2021">
        <v>0.37</v>
      </c>
      <c r="L23" s="2021">
        <v>0</v>
      </c>
      <c r="M23" s="2021">
        <v>0</v>
      </c>
      <c r="N23" s="2022">
        <f t="shared" si="0"/>
        <v>0.37</v>
      </c>
      <c r="O23" s="2021">
        <f t="shared" si="1"/>
        <v>0</v>
      </c>
    </row>
    <row r="24" spans="2:15" s="2" customFormat="1" ht="15.5" x14ac:dyDescent="0.3">
      <c r="B24" s="930">
        <f>B23+1</f>
        <v>5</v>
      </c>
      <c r="C24" s="325" t="s">
        <v>1487</v>
      </c>
      <c r="D24" s="325" t="s">
        <v>1488</v>
      </c>
      <c r="E24" s="932" t="s">
        <v>1489</v>
      </c>
      <c r="F24" s="2021">
        <v>15.58</v>
      </c>
      <c r="G24" s="2021">
        <v>14.5</v>
      </c>
      <c r="H24" s="2021">
        <v>14.5</v>
      </c>
      <c r="I24" s="2021">
        <v>0</v>
      </c>
      <c r="J24" s="2021">
        <v>2.79</v>
      </c>
      <c r="K24" s="2021">
        <v>2.79</v>
      </c>
      <c r="L24" s="2021">
        <v>0</v>
      </c>
      <c r="M24" s="2021">
        <v>0</v>
      </c>
      <c r="N24" s="2022">
        <f t="shared" si="0"/>
        <v>2.79</v>
      </c>
      <c r="O24" s="2021">
        <f t="shared" si="1"/>
        <v>0</v>
      </c>
    </row>
    <row r="25" spans="2:15" s="2" customFormat="1" ht="15.5" x14ac:dyDescent="0.3">
      <c r="B25" s="930">
        <f>B24+1</f>
        <v>6</v>
      </c>
      <c r="C25" s="325" t="s">
        <v>1490</v>
      </c>
      <c r="D25" s="325" t="s">
        <v>1491</v>
      </c>
      <c r="E25" s="932" t="s">
        <v>1492</v>
      </c>
      <c r="F25" s="2021">
        <v>40.6</v>
      </c>
      <c r="G25" s="2021">
        <v>0</v>
      </c>
      <c r="H25" s="2021">
        <v>0</v>
      </c>
      <c r="I25" s="2021">
        <v>0</v>
      </c>
      <c r="J25" s="2021">
        <v>6.58</v>
      </c>
      <c r="K25" s="2021">
        <v>6.58</v>
      </c>
      <c r="L25" s="2021">
        <v>0</v>
      </c>
      <c r="M25" s="2021">
        <v>0</v>
      </c>
      <c r="N25" s="2022">
        <f t="shared" si="0"/>
        <v>6.58</v>
      </c>
      <c r="O25" s="2021">
        <f t="shared" si="1"/>
        <v>0</v>
      </c>
    </row>
    <row r="26" spans="2:15" s="2" customFormat="1" ht="15.5" x14ac:dyDescent="0.3">
      <c r="B26" s="930"/>
      <c r="C26" s="325"/>
      <c r="D26" s="325"/>
      <c r="E26" s="932"/>
      <c r="F26" s="2021"/>
      <c r="G26" s="2021"/>
      <c r="H26" s="2021"/>
      <c r="I26" s="2021"/>
      <c r="J26" s="2021"/>
      <c r="K26" s="2021"/>
      <c r="L26" s="2021">
        <v>0</v>
      </c>
      <c r="M26" s="2021">
        <v>0</v>
      </c>
      <c r="N26" s="2022">
        <f t="shared" si="0"/>
        <v>0</v>
      </c>
      <c r="O26" s="2021">
        <f t="shared" si="1"/>
        <v>0</v>
      </c>
    </row>
    <row r="27" spans="2:15" s="2" customFormat="1" ht="15.5" x14ac:dyDescent="0.3">
      <c r="B27" s="930"/>
      <c r="C27" s="324" t="s">
        <v>1493</v>
      </c>
      <c r="D27" s="2021">
        <v>0</v>
      </c>
      <c r="E27" s="1808">
        <v>0</v>
      </c>
      <c r="F27" s="2021"/>
      <c r="G27" s="2021"/>
      <c r="H27" s="2021"/>
      <c r="I27" s="2021"/>
      <c r="J27" s="2021"/>
      <c r="K27" s="2021"/>
      <c r="L27" s="2021">
        <v>0</v>
      </c>
      <c r="M27" s="2021">
        <v>0</v>
      </c>
      <c r="N27" s="2022">
        <f t="shared" si="0"/>
        <v>0</v>
      </c>
      <c r="O27" s="2021">
        <f t="shared" si="1"/>
        <v>0</v>
      </c>
    </row>
    <row r="28" spans="2:15" s="2" customFormat="1" ht="15.5" x14ac:dyDescent="0.3">
      <c r="B28" s="930">
        <f>B25+1</f>
        <v>7</v>
      </c>
      <c r="C28" s="325" t="s">
        <v>1494</v>
      </c>
      <c r="D28" s="325" t="s">
        <v>1495</v>
      </c>
      <c r="E28" s="932" t="s">
        <v>1485</v>
      </c>
      <c r="F28" s="2021">
        <v>134.85</v>
      </c>
      <c r="G28" s="2021">
        <v>61.88000000000001</v>
      </c>
      <c r="H28" s="2021">
        <v>61.88000000000001</v>
      </c>
      <c r="I28" s="2021">
        <v>0</v>
      </c>
      <c r="J28" s="2021">
        <v>18.38</v>
      </c>
      <c r="K28" s="2021">
        <v>18.38</v>
      </c>
      <c r="L28" s="2021">
        <v>0</v>
      </c>
      <c r="M28" s="2021">
        <v>0</v>
      </c>
      <c r="N28" s="2022">
        <f t="shared" si="0"/>
        <v>18.38</v>
      </c>
      <c r="O28" s="2021">
        <f t="shared" si="1"/>
        <v>0</v>
      </c>
    </row>
    <row r="29" spans="2:15" s="2" customFormat="1" ht="15.5" x14ac:dyDescent="0.3">
      <c r="B29" s="930"/>
      <c r="C29" s="324" t="s">
        <v>1496</v>
      </c>
      <c r="D29" s="325"/>
      <c r="E29" s="932">
        <v>0</v>
      </c>
      <c r="F29" s="2021"/>
      <c r="G29" s="2021"/>
      <c r="H29" s="2021"/>
      <c r="I29" s="2021">
        <v>0</v>
      </c>
      <c r="J29" s="2021"/>
      <c r="K29" s="2021"/>
      <c r="L29" s="2021">
        <v>0</v>
      </c>
      <c r="M29" s="2021">
        <v>0</v>
      </c>
      <c r="N29" s="2022">
        <f t="shared" si="0"/>
        <v>0</v>
      </c>
      <c r="O29" s="2021">
        <f t="shared" si="1"/>
        <v>0</v>
      </c>
    </row>
    <row r="30" spans="2:15" s="2" customFormat="1" ht="15.5" x14ac:dyDescent="0.3">
      <c r="B30" s="930">
        <f>B28+1</f>
        <v>8</v>
      </c>
      <c r="C30" s="325" t="s">
        <v>1497</v>
      </c>
      <c r="D30" s="325" t="s">
        <v>1498</v>
      </c>
      <c r="E30" s="932" t="s">
        <v>1499</v>
      </c>
      <c r="F30" s="2021">
        <v>152.25</v>
      </c>
      <c r="G30" s="2021">
        <v>139.43</v>
      </c>
      <c r="H30" s="2021">
        <v>139.43</v>
      </c>
      <c r="I30" s="2021">
        <v>0</v>
      </c>
      <c r="J30" s="2021">
        <v>54.13</v>
      </c>
      <c r="K30" s="2021">
        <v>54.13</v>
      </c>
      <c r="L30" s="2021">
        <v>0</v>
      </c>
      <c r="M30" s="2021">
        <v>0</v>
      </c>
      <c r="N30" s="2022">
        <f t="shared" si="0"/>
        <v>54.13</v>
      </c>
      <c r="O30" s="2021">
        <f t="shared" si="1"/>
        <v>0</v>
      </c>
    </row>
    <row r="31" spans="2:15" s="2" customFormat="1" ht="15.5" x14ac:dyDescent="0.3">
      <c r="B31" s="930"/>
      <c r="C31" s="325"/>
      <c r="D31" s="325"/>
      <c r="E31" s="932"/>
      <c r="F31" s="2021"/>
      <c r="G31" s="2021"/>
      <c r="H31" s="2021"/>
      <c r="I31" s="2021"/>
      <c r="J31" s="2021"/>
      <c r="K31" s="2021"/>
      <c r="L31" s="2021">
        <v>0</v>
      </c>
      <c r="M31" s="2021">
        <v>0</v>
      </c>
      <c r="N31" s="2022">
        <f t="shared" si="0"/>
        <v>0</v>
      </c>
      <c r="O31" s="2021">
        <f t="shared" si="1"/>
        <v>0</v>
      </c>
    </row>
    <row r="32" spans="2:15" s="2" customFormat="1" ht="15.5" x14ac:dyDescent="0.3">
      <c r="B32" s="930"/>
      <c r="C32" s="324" t="s">
        <v>1500</v>
      </c>
      <c r="D32" s="325"/>
      <c r="E32" s="932"/>
      <c r="F32" s="2021"/>
      <c r="G32" s="2021"/>
      <c r="H32" s="2021"/>
      <c r="I32" s="2021"/>
      <c r="J32" s="2021"/>
      <c r="K32" s="2021"/>
      <c r="L32" s="2021">
        <v>0</v>
      </c>
      <c r="M32" s="2021">
        <v>0</v>
      </c>
      <c r="N32" s="2022">
        <f t="shared" si="0"/>
        <v>0</v>
      </c>
      <c r="O32" s="2021">
        <f t="shared" si="1"/>
        <v>0</v>
      </c>
    </row>
    <row r="33" spans="2:15" s="2" customFormat="1" ht="15.5" x14ac:dyDescent="0.3">
      <c r="B33" s="930">
        <f>B30+1</f>
        <v>9</v>
      </c>
      <c r="C33" s="325" t="s">
        <v>1501</v>
      </c>
      <c r="D33" s="325" t="s">
        <v>1502</v>
      </c>
      <c r="E33" s="932" t="s">
        <v>1503</v>
      </c>
      <c r="F33" s="2021">
        <v>13.12</v>
      </c>
      <c r="G33" s="2021">
        <v>0</v>
      </c>
      <c r="H33" s="2021">
        <v>0</v>
      </c>
      <c r="I33" s="2021">
        <v>0</v>
      </c>
      <c r="J33" s="2021">
        <v>0</v>
      </c>
      <c r="K33" s="2021">
        <v>0</v>
      </c>
      <c r="L33" s="2021">
        <v>0</v>
      </c>
      <c r="M33" s="2021">
        <v>0</v>
      </c>
      <c r="N33" s="2022">
        <f t="shared" si="0"/>
        <v>0</v>
      </c>
      <c r="O33" s="2021">
        <f t="shared" si="1"/>
        <v>0</v>
      </c>
    </row>
    <row r="34" spans="2:15" s="2" customFormat="1" ht="15.5" x14ac:dyDescent="0.3">
      <c r="B34" s="930">
        <f>B33+1</f>
        <v>10</v>
      </c>
      <c r="C34" s="325" t="s">
        <v>1504</v>
      </c>
      <c r="D34" s="325" t="s">
        <v>1505</v>
      </c>
      <c r="E34" s="932" t="s">
        <v>1506</v>
      </c>
      <c r="F34" s="2021">
        <v>9.2200000000000006</v>
      </c>
      <c r="G34" s="2021">
        <v>0.06</v>
      </c>
      <c r="H34" s="2021">
        <v>0.06</v>
      </c>
      <c r="I34" s="2021">
        <v>0</v>
      </c>
      <c r="J34" s="2021">
        <v>0.39</v>
      </c>
      <c r="K34" s="2021">
        <v>0.39</v>
      </c>
      <c r="L34" s="2021">
        <v>0</v>
      </c>
      <c r="M34" s="2021">
        <v>0</v>
      </c>
      <c r="N34" s="2022">
        <f t="shared" si="0"/>
        <v>0.39</v>
      </c>
      <c r="O34" s="2021">
        <f t="shared" si="1"/>
        <v>0</v>
      </c>
    </row>
    <row r="35" spans="2:15" s="2" customFormat="1" ht="15.5" x14ac:dyDescent="0.3">
      <c r="B35" s="930">
        <f>B34+1</f>
        <v>11</v>
      </c>
      <c r="C35" s="325" t="s">
        <v>1507</v>
      </c>
      <c r="D35" s="325" t="s">
        <v>1508</v>
      </c>
      <c r="E35" s="932" t="s">
        <v>1509</v>
      </c>
      <c r="F35" s="2021">
        <v>92.4</v>
      </c>
      <c r="G35" s="2021">
        <v>32.659999999999997</v>
      </c>
      <c r="H35" s="2021">
        <v>20.100000000000001</v>
      </c>
      <c r="I35" s="2021">
        <v>12.559999999999995</v>
      </c>
      <c r="J35" s="2021">
        <v>48.76</v>
      </c>
      <c r="K35" s="2021">
        <v>61.32</v>
      </c>
      <c r="L35" s="2021">
        <v>0</v>
      </c>
      <c r="M35" s="2021">
        <v>0</v>
      </c>
      <c r="N35" s="2022">
        <f t="shared" si="0"/>
        <v>61.32</v>
      </c>
      <c r="O35" s="2021">
        <f t="shared" si="1"/>
        <v>0</v>
      </c>
    </row>
    <row r="36" spans="2:15" s="2" customFormat="1" ht="15.5" x14ac:dyDescent="0.3">
      <c r="B36" s="930"/>
      <c r="C36" s="2021">
        <v>0</v>
      </c>
      <c r="D36" s="325" t="s">
        <v>1510</v>
      </c>
      <c r="E36" s="932" t="s">
        <v>1509</v>
      </c>
      <c r="F36" s="2021">
        <v>25.69</v>
      </c>
      <c r="G36" s="2021">
        <v>4.17</v>
      </c>
      <c r="H36" s="2021">
        <v>4.17</v>
      </c>
      <c r="I36" s="2021">
        <v>0</v>
      </c>
      <c r="J36" s="2021">
        <v>6.1</v>
      </c>
      <c r="K36" s="2021">
        <v>6.1</v>
      </c>
      <c r="L36" s="2021">
        <v>0</v>
      </c>
      <c r="M36" s="2021">
        <v>0</v>
      </c>
      <c r="N36" s="2022">
        <f t="shared" si="0"/>
        <v>6.1</v>
      </c>
      <c r="O36" s="2021">
        <f t="shared" si="1"/>
        <v>0</v>
      </c>
    </row>
    <row r="37" spans="2:15" s="2" customFormat="1" ht="15.5" x14ac:dyDescent="0.3">
      <c r="B37" s="930"/>
      <c r="C37" s="325"/>
      <c r="D37" s="325"/>
      <c r="E37" s="932"/>
      <c r="F37" s="2021"/>
      <c r="G37" s="2021"/>
      <c r="H37" s="2021"/>
      <c r="I37" s="2021"/>
      <c r="J37" s="2021"/>
      <c r="K37" s="2021"/>
      <c r="L37" s="2021">
        <v>0</v>
      </c>
      <c r="M37" s="2021">
        <v>0</v>
      </c>
      <c r="N37" s="2022">
        <f t="shared" si="0"/>
        <v>0</v>
      </c>
      <c r="O37" s="2021">
        <f t="shared" si="1"/>
        <v>0</v>
      </c>
    </row>
    <row r="38" spans="2:15" s="2" customFormat="1" ht="15.5" x14ac:dyDescent="0.3">
      <c r="B38" s="930"/>
      <c r="C38" s="324"/>
      <c r="D38" s="325"/>
      <c r="E38" s="932"/>
      <c r="F38" s="2021"/>
      <c r="G38" s="2021"/>
      <c r="H38" s="2021"/>
      <c r="I38" s="2021"/>
      <c r="J38" s="2021"/>
      <c r="K38" s="2021"/>
      <c r="L38" s="2021">
        <v>0</v>
      </c>
      <c r="M38" s="2021">
        <v>0</v>
      </c>
      <c r="N38" s="2022">
        <f t="shared" si="0"/>
        <v>0</v>
      </c>
      <c r="O38" s="2021">
        <f t="shared" si="1"/>
        <v>0</v>
      </c>
    </row>
    <row r="39" spans="2:15" s="2" customFormat="1" ht="15.5" x14ac:dyDescent="0.3">
      <c r="B39" s="931">
        <f>B35+1</f>
        <v>12</v>
      </c>
      <c r="C39" s="327" t="s">
        <v>1470</v>
      </c>
      <c r="D39" s="325" t="s">
        <v>2007</v>
      </c>
      <c r="E39" s="932" t="s">
        <v>2121</v>
      </c>
      <c r="F39" s="2021">
        <v>56.07</v>
      </c>
      <c r="G39" s="2021">
        <v>0</v>
      </c>
      <c r="H39" s="2021">
        <v>0</v>
      </c>
      <c r="I39" s="2021">
        <v>0</v>
      </c>
      <c r="J39" s="2021">
        <v>8.84</v>
      </c>
      <c r="K39" s="2021">
        <v>8.84</v>
      </c>
      <c r="L39" s="2021">
        <v>0</v>
      </c>
      <c r="M39" s="2021">
        <v>0</v>
      </c>
      <c r="N39" s="2022">
        <f t="shared" si="0"/>
        <v>8.84</v>
      </c>
      <c r="O39" s="2021">
        <f t="shared" si="1"/>
        <v>0</v>
      </c>
    </row>
    <row r="40" spans="2:15" s="2" customFormat="1" ht="15.5" x14ac:dyDescent="0.3">
      <c r="B40" s="930"/>
      <c r="C40" s="324" t="s">
        <v>34</v>
      </c>
      <c r="D40" s="325"/>
      <c r="E40" s="932"/>
      <c r="F40" s="3"/>
      <c r="G40" s="3"/>
      <c r="H40" s="3"/>
      <c r="I40" s="3"/>
      <c r="J40" s="2021"/>
      <c r="K40" s="2021"/>
      <c r="L40" s="2021">
        <v>0</v>
      </c>
      <c r="M40" s="2021">
        <v>0</v>
      </c>
      <c r="N40" s="2022">
        <f t="shared" si="0"/>
        <v>0</v>
      </c>
      <c r="O40" s="2021">
        <f t="shared" si="1"/>
        <v>0</v>
      </c>
    </row>
    <row r="41" spans="2:15" s="2" customFormat="1" ht="15.5" x14ac:dyDescent="0.3">
      <c r="B41" s="930">
        <f>B39+1</f>
        <v>13</v>
      </c>
      <c r="C41" s="327" t="s">
        <v>1471</v>
      </c>
      <c r="D41" s="325"/>
      <c r="E41" s="932"/>
      <c r="F41" s="2021"/>
      <c r="G41" s="2021">
        <v>0</v>
      </c>
      <c r="H41" s="2021">
        <v>0</v>
      </c>
      <c r="I41" s="2021">
        <v>0</v>
      </c>
      <c r="J41" s="2021">
        <v>3.36</v>
      </c>
      <c r="K41" s="2021">
        <v>3.36</v>
      </c>
      <c r="L41" s="2021">
        <v>0</v>
      </c>
      <c r="M41" s="2021">
        <v>0</v>
      </c>
      <c r="N41" s="2022">
        <f t="shared" si="0"/>
        <v>3.36</v>
      </c>
      <c r="O41" s="2021">
        <f>I41+J41-N41</f>
        <v>0</v>
      </c>
    </row>
    <row r="42" spans="2:15" s="2" customFormat="1" ht="15.5" x14ac:dyDescent="0.3">
      <c r="B42" s="930">
        <f>B41+1</f>
        <v>14</v>
      </c>
      <c r="C42" s="325" t="s">
        <v>1472</v>
      </c>
      <c r="D42" s="325"/>
      <c r="E42" s="932"/>
      <c r="F42" s="2021"/>
      <c r="G42" s="2021">
        <v>0</v>
      </c>
      <c r="H42" s="2021">
        <v>0</v>
      </c>
      <c r="I42" s="2021">
        <v>0</v>
      </c>
      <c r="J42" s="2021">
        <v>0.09</v>
      </c>
      <c r="K42" s="2021">
        <v>0.09</v>
      </c>
      <c r="L42" s="2021">
        <v>0</v>
      </c>
      <c r="M42" s="2021">
        <v>0</v>
      </c>
      <c r="N42" s="2022">
        <f t="shared" si="0"/>
        <v>0.09</v>
      </c>
      <c r="O42" s="2021">
        <f t="shared" si="1"/>
        <v>0</v>
      </c>
    </row>
    <row r="43" spans="2:15" s="2" customFormat="1" ht="15.5" x14ac:dyDescent="0.3">
      <c r="B43" s="930">
        <f>B42+1</f>
        <v>15</v>
      </c>
      <c r="C43" s="324" t="s">
        <v>1473</v>
      </c>
      <c r="D43" s="325"/>
      <c r="E43" s="932"/>
      <c r="F43" s="2021"/>
      <c r="G43" s="2021">
        <v>0</v>
      </c>
      <c r="H43" s="2021">
        <v>0</v>
      </c>
      <c r="I43" s="2021">
        <v>0</v>
      </c>
      <c r="J43" s="2021">
        <v>56.06</v>
      </c>
      <c r="K43" s="2021">
        <v>56.06</v>
      </c>
      <c r="L43" s="2021">
        <v>0</v>
      </c>
      <c r="M43" s="2021">
        <v>0</v>
      </c>
      <c r="N43" s="2022">
        <f t="shared" si="0"/>
        <v>56.06</v>
      </c>
      <c r="O43" s="2021">
        <f t="shared" si="1"/>
        <v>0</v>
      </c>
    </row>
    <row r="44" spans="2:15" s="2" customFormat="1" ht="15.5" x14ac:dyDescent="0.3">
      <c r="B44" s="930">
        <f>B43+1</f>
        <v>16</v>
      </c>
      <c r="C44" s="325" t="s">
        <v>1474</v>
      </c>
      <c r="D44" s="325"/>
      <c r="E44" s="932"/>
      <c r="F44" s="2021"/>
      <c r="G44" s="2021">
        <v>0</v>
      </c>
      <c r="H44" s="2021">
        <v>0</v>
      </c>
      <c r="I44" s="2021">
        <v>0</v>
      </c>
      <c r="J44" s="2021">
        <v>1.85</v>
      </c>
      <c r="K44" s="2021">
        <v>1.85</v>
      </c>
      <c r="L44" s="2021">
        <v>0</v>
      </c>
      <c r="M44" s="2021">
        <v>0</v>
      </c>
      <c r="N44" s="2022">
        <f t="shared" si="0"/>
        <v>1.85</v>
      </c>
      <c r="O44" s="2021">
        <f t="shared" si="1"/>
        <v>0</v>
      </c>
    </row>
    <row r="45" spans="2:15" s="2" customFormat="1" ht="15.5" x14ac:dyDescent="0.3">
      <c r="B45" s="930">
        <f>B44+1</f>
        <v>17</v>
      </c>
      <c r="C45" s="325" t="s">
        <v>1475</v>
      </c>
      <c r="D45" s="325"/>
      <c r="E45" s="932"/>
      <c r="F45" s="2021"/>
      <c r="G45" s="2021">
        <v>0</v>
      </c>
      <c r="H45" s="2021">
        <v>0</v>
      </c>
      <c r="I45" s="2021">
        <v>0</v>
      </c>
      <c r="J45" s="2021">
        <v>0.26</v>
      </c>
      <c r="K45" s="2021">
        <v>0.26</v>
      </c>
      <c r="L45" s="2021">
        <v>0</v>
      </c>
      <c r="M45" s="2021">
        <v>0</v>
      </c>
      <c r="N45" s="2022">
        <f t="shared" si="0"/>
        <v>0.26</v>
      </c>
      <c r="O45" s="2021">
        <f t="shared" si="1"/>
        <v>0</v>
      </c>
    </row>
    <row r="46" spans="2:15" s="2" customFormat="1" x14ac:dyDescent="0.3">
      <c r="B46" s="2023"/>
      <c r="C46" s="2024" t="s">
        <v>145</v>
      </c>
      <c r="D46" s="2024"/>
      <c r="E46" s="2024"/>
      <c r="F46" s="2024">
        <f t="shared" ref="F46:K46" si="2">SUM(F17:F45)</f>
        <v>821.59000000000015</v>
      </c>
      <c r="G46" s="2024">
        <f t="shared" si="2"/>
        <v>292.78000000000003</v>
      </c>
      <c r="H46" s="2024">
        <f t="shared" si="2"/>
        <v>276.94000000000005</v>
      </c>
      <c r="I46" s="2024">
        <f t="shared" si="2"/>
        <v>15.839999999999995</v>
      </c>
      <c r="J46" s="2024">
        <f t="shared" si="2"/>
        <v>215.99</v>
      </c>
      <c r="K46" s="2024">
        <f t="shared" si="2"/>
        <v>225.53</v>
      </c>
      <c r="L46" s="2024">
        <f>SUM(L18:L45)</f>
        <v>0</v>
      </c>
      <c r="M46" s="2024">
        <f>SUM(M18:M45)</f>
        <v>0</v>
      </c>
      <c r="N46" s="2024">
        <f>SUM(N17:N45)</f>
        <v>225.53</v>
      </c>
      <c r="O46" s="2024">
        <f>SUM(O17:O45)</f>
        <v>6.2999999999999989</v>
      </c>
    </row>
    <row r="47" spans="2:15" s="2" customFormat="1" x14ac:dyDescent="0.3">
      <c r="B47" s="930"/>
      <c r="C47" s="325" t="s">
        <v>1469</v>
      </c>
      <c r="D47" s="325"/>
      <c r="E47" s="932"/>
      <c r="F47" s="2021"/>
      <c r="G47" s="2021"/>
      <c r="H47" s="2021"/>
      <c r="I47" s="2021"/>
      <c r="J47" s="2021"/>
      <c r="K47" s="2021"/>
      <c r="L47" s="2021"/>
      <c r="M47" s="2021"/>
      <c r="N47" s="2021"/>
      <c r="O47" s="2021"/>
    </row>
    <row r="48" spans="2:15" s="2" customFormat="1" x14ac:dyDescent="0.3">
      <c r="B48" s="930"/>
      <c r="C48" s="325"/>
      <c r="D48" s="325"/>
      <c r="E48" s="932"/>
      <c r="F48" s="2021"/>
      <c r="G48" s="2021"/>
      <c r="H48" s="2021"/>
      <c r="I48" s="2021"/>
      <c r="J48" s="2021"/>
      <c r="K48" s="2021"/>
      <c r="L48" s="2021"/>
      <c r="M48" s="2021"/>
      <c r="N48" s="2021"/>
      <c r="O48" s="2021"/>
    </row>
    <row r="49" spans="2:15" s="2" customFormat="1" x14ac:dyDescent="0.3">
      <c r="B49" s="2351" t="s">
        <v>187</v>
      </c>
      <c r="C49" s="2351" t="s">
        <v>26</v>
      </c>
      <c r="D49" s="2351" t="s">
        <v>617</v>
      </c>
      <c r="E49" s="2352" t="s">
        <v>618</v>
      </c>
      <c r="F49" s="2306" t="s">
        <v>551</v>
      </c>
      <c r="G49" s="2306" t="s">
        <v>629</v>
      </c>
      <c r="H49" s="2306" t="s">
        <v>630</v>
      </c>
      <c r="I49" s="2306" t="s">
        <v>552</v>
      </c>
      <c r="J49" s="2306" t="s">
        <v>553</v>
      </c>
      <c r="K49" s="2306" t="s">
        <v>554</v>
      </c>
      <c r="L49" s="2306"/>
      <c r="M49" s="2306"/>
      <c r="N49" s="2306"/>
      <c r="O49" s="2306" t="s">
        <v>555</v>
      </c>
    </row>
    <row r="50" spans="2:15" s="2" customFormat="1" ht="14" customHeight="1" x14ac:dyDescent="0.3">
      <c r="B50" s="2351"/>
      <c r="C50" s="2351"/>
      <c r="D50" s="2351"/>
      <c r="E50" s="2352"/>
      <c r="F50" s="2306"/>
      <c r="G50" s="2306"/>
      <c r="H50" s="2306"/>
      <c r="I50" s="2306"/>
      <c r="J50" s="2306"/>
      <c r="K50" s="2306"/>
      <c r="L50" s="2306"/>
      <c r="M50" s="2306"/>
      <c r="N50" s="2306"/>
      <c r="O50" s="2306"/>
    </row>
    <row r="51" spans="2:15" s="2" customFormat="1" ht="28" x14ac:dyDescent="0.3">
      <c r="B51" s="2351"/>
      <c r="C51" s="2351"/>
      <c r="D51" s="2351"/>
      <c r="E51" s="2352"/>
      <c r="F51" s="2306"/>
      <c r="G51" s="2306"/>
      <c r="H51" s="2306"/>
      <c r="I51" s="2306"/>
      <c r="J51" s="2306"/>
      <c r="K51" s="2008" t="s">
        <v>556</v>
      </c>
      <c r="L51" s="2008" t="s">
        <v>557</v>
      </c>
      <c r="M51" s="2008" t="s">
        <v>558</v>
      </c>
      <c r="N51" s="2008" t="s">
        <v>559</v>
      </c>
      <c r="O51" s="2306"/>
    </row>
    <row r="52" spans="2:15" s="2" customFormat="1" x14ac:dyDescent="0.3">
      <c r="B52" s="162"/>
      <c r="C52" s="940" t="s">
        <v>186</v>
      </c>
      <c r="D52" s="162"/>
      <c r="E52" s="380"/>
      <c r="F52" s="2025"/>
      <c r="G52" s="2025"/>
      <c r="H52" s="2025"/>
      <c r="I52" s="2025"/>
      <c r="J52" s="2025"/>
      <c r="K52" s="2025"/>
      <c r="L52" s="2025"/>
      <c r="M52" s="2025"/>
      <c r="N52" s="2025"/>
      <c r="O52" s="2025"/>
    </row>
    <row r="53" spans="2:15" s="2" customFormat="1" x14ac:dyDescent="0.3">
      <c r="B53" s="162"/>
      <c r="C53" s="940" t="s">
        <v>33</v>
      </c>
      <c r="D53" s="162"/>
      <c r="E53" s="380"/>
      <c r="F53" s="2025"/>
      <c r="G53" s="2025"/>
      <c r="H53" s="2025"/>
      <c r="I53" s="2025"/>
      <c r="J53" s="2025"/>
      <c r="K53" s="2025"/>
      <c r="L53" s="2025"/>
      <c r="M53" s="2025"/>
      <c r="N53" s="2025"/>
      <c r="O53" s="2025"/>
    </row>
    <row r="54" spans="2:15" s="2" customFormat="1" x14ac:dyDescent="0.3">
      <c r="B54" s="930"/>
      <c r="C54" s="324" t="s">
        <v>35</v>
      </c>
      <c r="D54" s="4"/>
      <c r="E54" s="933"/>
      <c r="F54" s="2021"/>
      <c r="G54" s="2021"/>
      <c r="H54" s="2021"/>
      <c r="I54" s="2021"/>
      <c r="J54" s="2021"/>
      <c r="K54" s="2021"/>
      <c r="L54" s="2021"/>
      <c r="M54" s="2021"/>
      <c r="N54" s="2021"/>
      <c r="O54" s="2021"/>
    </row>
    <row r="55" spans="2:15" s="2" customFormat="1" x14ac:dyDescent="0.3">
      <c r="B55" s="930"/>
      <c r="C55" s="326" t="s">
        <v>1476</v>
      </c>
      <c r="D55" s="64"/>
      <c r="E55" s="933"/>
      <c r="F55" s="2021"/>
      <c r="G55" s="2021"/>
      <c r="H55" s="2021"/>
      <c r="I55" s="2021"/>
      <c r="J55" s="2021"/>
      <c r="K55" s="2021"/>
      <c r="L55" s="2021"/>
      <c r="M55" s="2021"/>
      <c r="N55" s="2021"/>
      <c r="O55" s="2021"/>
    </row>
    <row r="56" spans="2:15" s="2" customFormat="1" ht="15.5" x14ac:dyDescent="0.3">
      <c r="B56" s="930">
        <v>1</v>
      </c>
      <c r="C56" s="327" t="s">
        <v>1477</v>
      </c>
      <c r="D56" s="65" t="s">
        <v>1478</v>
      </c>
      <c r="E56" s="933" t="s">
        <v>1479</v>
      </c>
      <c r="F56" s="2021">
        <v>82.23</v>
      </c>
      <c r="G56" s="2021">
        <v>14.86</v>
      </c>
      <c r="H56" s="2021">
        <v>8.56</v>
      </c>
      <c r="I56" s="2021">
        <v>6.2999999999999989</v>
      </c>
      <c r="J56" s="2021">
        <v>1</v>
      </c>
      <c r="K56" s="2021">
        <v>0</v>
      </c>
      <c r="L56" s="2021">
        <v>0</v>
      </c>
      <c r="M56" s="2021">
        <v>0</v>
      </c>
      <c r="N56" s="2022">
        <f t="shared" ref="N56:N88" si="3">K56+L56+M56</f>
        <v>0</v>
      </c>
      <c r="O56" s="2021">
        <f t="shared" ref="O56:O88" si="4">I56+J56-N56</f>
        <v>7.2999999999999989</v>
      </c>
    </row>
    <row r="57" spans="2:15" s="2" customFormat="1" ht="15.5" x14ac:dyDescent="0.3">
      <c r="B57" s="930">
        <v>2</v>
      </c>
      <c r="C57" s="325" t="s">
        <v>2061</v>
      </c>
      <c r="D57" s="65" t="s">
        <v>2062</v>
      </c>
      <c r="E57" s="933" t="s">
        <v>2063</v>
      </c>
      <c r="F57" s="2021">
        <v>27.4</v>
      </c>
      <c r="G57" s="2021">
        <v>0</v>
      </c>
      <c r="H57" s="2021">
        <v>0</v>
      </c>
      <c r="I57" s="2021">
        <v>0</v>
      </c>
      <c r="J57" s="2021">
        <v>0</v>
      </c>
      <c r="K57" s="2021">
        <v>0</v>
      </c>
      <c r="L57" s="2021">
        <v>0</v>
      </c>
      <c r="M57" s="2021">
        <v>0</v>
      </c>
      <c r="N57" s="2022">
        <f t="shared" si="3"/>
        <v>0</v>
      </c>
      <c r="O57" s="2021">
        <f t="shared" si="4"/>
        <v>0</v>
      </c>
    </row>
    <row r="58" spans="2:15" s="2" customFormat="1" ht="15.5" x14ac:dyDescent="0.3">
      <c r="B58" s="930"/>
      <c r="C58" s="325"/>
      <c r="D58" s="325"/>
      <c r="E58" s="932"/>
      <c r="F58" s="2021"/>
      <c r="G58" s="2021"/>
      <c r="H58" s="2021"/>
      <c r="I58" s="2021"/>
      <c r="J58" s="2021"/>
      <c r="K58" s="2021"/>
      <c r="L58" s="2021">
        <v>0</v>
      </c>
      <c r="M58" s="2021">
        <v>0</v>
      </c>
      <c r="N58" s="2022">
        <f t="shared" si="3"/>
        <v>0</v>
      </c>
      <c r="O58" s="2021">
        <f t="shared" si="4"/>
        <v>0</v>
      </c>
    </row>
    <row r="59" spans="2:15" s="2" customFormat="1" ht="15.5" x14ac:dyDescent="0.3">
      <c r="B59" s="930"/>
      <c r="C59" s="324" t="s">
        <v>1380</v>
      </c>
      <c r="D59" s="325"/>
      <c r="E59" s="932"/>
      <c r="F59" s="2021"/>
      <c r="G59" s="2021"/>
      <c r="H59" s="2021"/>
      <c r="I59" s="2021"/>
      <c r="J59" s="2021"/>
      <c r="K59" s="2021"/>
      <c r="L59" s="2021">
        <v>0</v>
      </c>
      <c r="M59" s="2021">
        <v>0</v>
      </c>
      <c r="N59" s="2022">
        <f t="shared" si="3"/>
        <v>0</v>
      </c>
      <c r="O59" s="2021">
        <f t="shared" si="4"/>
        <v>0</v>
      </c>
    </row>
    <row r="60" spans="2:15" s="2" customFormat="1" ht="15.5" x14ac:dyDescent="0.3">
      <c r="B60" s="930">
        <v>3</v>
      </c>
      <c r="C60" s="325" t="s">
        <v>1480</v>
      </c>
      <c r="D60" s="325" t="s">
        <v>2039</v>
      </c>
      <c r="E60" s="932" t="s">
        <v>1482</v>
      </c>
      <c r="F60" s="2021">
        <v>36.630000000000003</v>
      </c>
      <c r="G60" s="2021">
        <v>10.25</v>
      </c>
      <c r="H60" s="2021">
        <v>10.25</v>
      </c>
      <c r="I60" s="2021">
        <v>0</v>
      </c>
      <c r="J60" s="2021">
        <v>1</v>
      </c>
      <c r="K60" s="2021">
        <v>1</v>
      </c>
      <c r="L60" s="2021">
        <v>0</v>
      </c>
      <c r="M60" s="2021">
        <v>0</v>
      </c>
      <c r="N60" s="2022">
        <f t="shared" si="3"/>
        <v>1</v>
      </c>
      <c r="O60" s="2021">
        <f t="shared" si="4"/>
        <v>0</v>
      </c>
    </row>
    <row r="61" spans="2:15" s="2" customFormat="1" ht="15.5" x14ac:dyDescent="0.3">
      <c r="B61" s="930">
        <v>4</v>
      </c>
      <c r="C61" s="325" t="s">
        <v>1483</v>
      </c>
      <c r="D61" s="325" t="s">
        <v>2127</v>
      </c>
      <c r="E61" s="932" t="s">
        <v>1485</v>
      </c>
      <c r="F61" s="2021">
        <v>64.09</v>
      </c>
      <c r="G61" s="2021">
        <v>16.38</v>
      </c>
      <c r="H61" s="2021">
        <v>16.38</v>
      </c>
      <c r="I61" s="2021">
        <v>0</v>
      </c>
      <c r="J61" s="2021">
        <v>1.2</v>
      </c>
      <c r="K61" s="2021">
        <v>1.2</v>
      </c>
      <c r="L61" s="2021">
        <v>0</v>
      </c>
      <c r="M61" s="2021">
        <v>0</v>
      </c>
      <c r="N61" s="2022">
        <f t="shared" si="3"/>
        <v>1.2</v>
      </c>
      <c r="O61" s="2021">
        <f t="shared" si="4"/>
        <v>0</v>
      </c>
    </row>
    <row r="62" spans="2:15" s="2" customFormat="1" ht="15.5" x14ac:dyDescent="0.3">
      <c r="B62" s="930">
        <v>5</v>
      </c>
      <c r="C62" s="325" t="s">
        <v>1486</v>
      </c>
      <c r="D62" s="325" t="s">
        <v>2127</v>
      </c>
      <c r="E62" s="932" t="s">
        <v>1485</v>
      </c>
      <c r="F62" s="2021">
        <v>58.86</v>
      </c>
      <c r="G62" s="2021">
        <v>2.92</v>
      </c>
      <c r="H62" s="2021">
        <v>2.92</v>
      </c>
      <c r="I62" s="2021">
        <v>0</v>
      </c>
      <c r="J62" s="2021">
        <v>1.87</v>
      </c>
      <c r="K62" s="2021">
        <v>1.87</v>
      </c>
      <c r="L62" s="2021">
        <v>0</v>
      </c>
      <c r="M62" s="2021">
        <v>0</v>
      </c>
      <c r="N62" s="2022">
        <f t="shared" si="3"/>
        <v>1.87</v>
      </c>
      <c r="O62" s="2021">
        <f t="shared" si="4"/>
        <v>0</v>
      </c>
    </row>
    <row r="63" spans="2:15" s="2" customFormat="1" ht="15.5" x14ac:dyDescent="0.3">
      <c r="B63" s="930">
        <v>6</v>
      </c>
      <c r="C63" s="325" t="s">
        <v>1487</v>
      </c>
      <c r="D63" s="325" t="s">
        <v>2128</v>
      </c>
      <c r="E63" s="932" t="s">
        <v>1489</v>
      </c>
      <c r="F63" s="2021">
        <v>15.58</v>
      </c>
      <c r="G63" s="2021">
        <v>17.29</v>
      </c>
      <c r="H63" s="2021">
        <v>17.29</v>
      </c>
      <c r="I63" s="2021">
        <v>0</v>
      </c>
      <c r="J63" s="2021">
        <v>1.83</v>
      </c>
      <c r="K63" s="2021">
        <v>1.83</v>
      </c>
      <c r="L63" s="2021">
        <v>0</v>
      </c>
      <c r="M63" s="2021">
        <v>0</v>
      </c>
      <c r="N63" s="2022">
        <f t="shared" si="3"/>
        <v>1.83</v>
      </c>
      <c r="O63" s="2021">
        <f t="shared" si="4"/>
        <v>0</v>
      </c>
    </row>
    <row r="64" spans="2:15" s="2" customFormat="1" ht="15.5" x14ac:dyDescent="0.3">
      <c r="B64" s="930">
        <v>7</v>
      </c>
      <c r="C64" s="325" t="s">
        <v>1490</v>
      </c>
      <c r="D64" s="325" t="s">
        <v>1491</v>
      </c>
      <c r="E64" s="932" t="s">
        <v>1492</v>
      </c>
      <c r="F64" s="2021">
        <v>40.6</v>
      </c>
      <c r="G64" s="2021">
        <v>6.58</v>
      </c>
      <c r="H64" s="2021">
        <v>6.58</v>
      </c>
      <c r="I64" s="2021">
        <v>0</v>
      </c>
      <c r="J64" s="2021">
        <v>10.15</v>
      </c>
      <c r="K64" s="2021">
        <v>10.15</v>
      </c>
      <c r="L64" s="2021">
        <v>0</v>
      </c>
      <c r="M64" s="2021">
        <v>0</v>
      </c>
      <c r="N64" s="2022">
        <f t="shared" si="3"/>
        <v>10.15</v>
      </c>
      <c r="O64" s="2021">
        <f t="shared" si="4"/>
        <v>0</v>
      </c>
    </row>
    <row r="65" spans="2:15" s="2" customFormat="1" ht="15.5" x14ac:dyDescent="0.3">
      <c r="B65" s="930"/>
      <c r="C65" s="325"/>
      <c r="D65" s="325"/>
      <c r="E65" s="932"/>
      <c r="F65" s="2021"/>
      <c r="G65" s="2021"/>
      <c r="H65" s="2021"/>
      <c r="I65" s="2021"/>
      <c r="J65" s="2021"/>
      <c r="K65" s="2021"/>
      <c r="L65" s="2021">
        <v>0</v>
      </c>
      <c r="M65" s="2021">
        <v>0</v>
      </c>
      <c r="N65" s="2022">
        <f t="shared" si="3"/>
        <v>0</v>
      </c>
      <c r="O65" s="2021">
        <f t="shared" si="4"/>
        <v>0</v>
      </c>
    </row>
    <row r="66" spans="2:15" s="2" customFormat="1" ht="15.5" x14ac:dyDescent="0.3">
      <c r="B66" s="930"/>
      <c r="C66" s="324" t="s">
        <v>1493</v>
      </c>
      <c r="D66" s="325"/>
      <c r="E66" s="932"/>
      <c r="F66" s="2021"/>
      <c r="G66" s="2021"/>
      <c r="H66" s="2021"/>
      <c r="I66" s="2021"/>
      <c r="J66" s="2021"/>
      <c r="K66" s="2021"/>
      <c r="L66" s="2021">
        <v>0</v>
      </c>
      <c r="M66" s="2021">
        <v>0</v>
      </c>
      <c r="N66" s="2022">
        <f t="shared" si="3"/>
        <v>0</v>
      </c>
      <c r="O66" s="2021">
        <f t="shared" si="4"/>
        <v>0</v>
      </c>
    </row>
    <row r="67" spans="2:15" s="2" customFormat="1" ht="15.5" x14ac:dyDescent="0.3">
      <c r="B67" s="930">
        <v>8</v>
      </c>
      <c r="C67" s="325" t="s">
        <v>1494</v>
      </c>
      <c r="D67" s="325" t="s">
        <v>2047</v>
      </c>
      <c r="E67" s="932" t="s">
        <v>1485</v>
      </c>
      <c r="F67" s="2021">
        <v>134.85</v>
      </c>
      <c r="G67" s="2021">
        <v>80.260000000000005</v>
      </c>
      <c r="H67" s="2021">
        <v>80.260000000000005</v>
      </c>
      <c r="I67" s="2021">
        <v>0</v>
      </c>
      <c r="J67" s="2021">
        <v>0</v>
      </c>
      <c r="K67" s="2021">
        <v>0</v>
      </c>
      <c r="L67" s="2021">
        <v>0</v>
      </c>
      <c r="M67" s="2021">
        <v>0</v>
      </c>
      <c r="N67" s="2022">
        <f t="shared" si="3"/>
        <v>0</v>
      </c>
      <c r="O67" s="2021">
        <f t="shared" si="4"/>
        <v>0</v>
      </c>
    </row>
    <row r="68" spans="2:15" s="2" customFormat="1" ht="15.5" x14ac:dyDescent="0.3">
      <c r="B68" s="930">
        <v>9</v>
      </c>
      <c r="C68" s="325" t="s">
        <v>2064</v>
      </c>
      <c r="D68" s="325" t="s">
        <v>2065</v>
      </c>
      <c r="E68" s="932" t="s">
        <v>1492</v>
      </c>
      <c r="F68" s="2021">
        <v>147.65</v>
      </c>
      <c r="G68" s="2021">
        <v>0</v>
      </c>
      <c r="H68" s="2021">
        <v>0</v>
      </c>
      <c r="I68" s="2021">
        <v>0</v>
      </c>
      <c r="J68" s="2021">
        <v>18.260000000000002</v>
      </c>
      <c r="K68" s="2021">
        <v>18.260000000000002</v>
      </c>
      <c r="L68" s="2021">
        <v>0</v>
      </c>
      <c r="M68" s="2021">
        <v>0</v>
      </c>
      <c r="N68" s="2022">
        <f t="shared" si="3"/>
        <v>18.260000000000002</v>
      </c>
      <c r="O68" s="2021">
        <f t="shared" si="4"/>
        <v>0</v>
      </c>
    </row>
    <row r="69" spans="2:15" s="2" customFormat="1" ht="15.5" x14ac:dyDescent="0.3">
      <c r="B69" s="930"/>
      <c r="C69" s="324" t="s">
        <v>1496</v>
      </c>
      <c r="D69" s="325"/>
      <c r="E69" s="932"/>
      <c r="F69" s="2021"/>
      <c r="G69" s="2021"/>
      <c r="H69" s="2021"/>
      <c r="I69" s="2021"/>
      <c r="J69" s="2021"/>
      <c r="K69" s="2021"/>
      <c r="L69" s="2021">
        <v>0</v>
      </c>
      <c r="M69" s="2021">
        <v>0</v>
      </c>
      <c r="N69" s="2022">
        <f t="shared" si="3"/>
        <v>0</v>
      </c>
      <c r="O69" s="2021">
        <f t="shared" si="4"/>
        <v>0</v>
      </c>
    </row>
    <row r="70" spans="2:15" s="2" customFormat="1" ht="15.5" x14ac:dyDescent="0.3">
      <c r="B70" s="930">
        <v>10</v>
      </c>
      <c r="C70" s="325" t="s">
        <v>1497</v>
      </c>
      <c r="D70" s="325" t="s">
        <v>2129</v>
      </c>
      <c r="E70" s="932" t="s">
        <v>1499</v>
      </c>
      <c r="F70" s="2021">
        <v>152.25</v>
      </c>
      <c r="G70" s="2021">
        <v>193.56</v>
      </c>
      <c r="H70" s="2021">
        <v>193.56</v>
      </c>
      <c r="I70" s="2021">
        <v>0</v>
      </c>
      <c r="J70" s="2021">
        <v>0</v>
      </c>
      <c r="K70" s="2021">
        <v>0</v>
      </c>
      <c r="L70" s="2021">
        <v>0</v>
      </c>
      <c r="M70" s="2021">
        <v>0</v>
      </c>
      <c r="N70" s="2022">
        <f t="shared" si="3"/>
        <v>0</v>
      </c>
      <c r="O70" s="2021">
        <f t="shared" si="4"/>
        <v>0</v>
      </c>
    </row>
    <row r="71" spans="2:15" s="2" customFormat="1" ht="15.5" x14ac:dyDescent="0.3">
      <c r="B71" s="930">
        <v>11</v>
      </c>
      <c r="C71" s="325" t="s">
        <v>2066</v>
      </c>
      <c r="D71" s="325" t="s">
        <v>2067</v>
      </c>
      <c r="E71" s="932" t="s">
        <v>2068</v>
      </c>
      <c r="F71" s="2021">
        <v>246.2</v>
      </c>
      <c r="G71" s="2021">
        <v>0</v>
      </c>
      <c r="H71" s="2021">
        <v>0</v>
      </c>
      <c r="I71" s="2021">
        <v>0</v>
      </c>
      <c r="J71" s="2021">
        <v>57.37</v>
      </c>
      <c r="K71" s="2021">
        <v>57.37</v>
      </c>
      <c r="L71" s="2021">
        <v>0</v>
      </c>
      <c r="M71" s="2021">
        <v>0</v>
      </c>
      <c r="N71" s="2022">
        <f t="shared" si="3"/>
        <v>57.37</v>
      </c>
      <c r="O71" s="2021">
        <f t="shared" si="4"/>
        <v>0</v>
      </c>
    </row>
    <row r="72" spans="2:15" s="2" customFormat="1" ht="15.5" x14ac:dyDescent="0.3">
      <c r="B72" s="930"/>
      <c r="C72" s="324" t="s">
        <v>2130</v>
      </c>
      <c r="D72" s="325"/>
      <c r="E72" s="932"/>
      <c r="F72" s="2021"/>
      <c r="G72" s="2021"/>
      <c r="H72" s="2021"/>
      <c r="I72" s="2021"/>
      <c r="J72" s="2021"/>
      <c r="K72" s="2021"/>
      <c r="L72" s="2021">
        <v>0</v>
      </c>
      <c r="M72" s="2021">
        <v>0</v>
      </c>
      <c r="N72" s="2022">
        <f t="shared" si="3"/>
        <v>0</v>
      </c>
      <c r="O72" s="2021">
        <f t="shared" si="4"/>
        <v>0</v>
      </c>
    </row>
    <row r="73" spans="2:15" s="2" customFormat="1" ht="15.5" x14ac:dyDescent="0.3">
      <c r="B73" s="930">
        <v>12</v>
      </c>
      <c r="C73" s="325" t="s">
        <v>1501</v>
      </c>
      <c r="D73" s="325" t="s">
        <v>1502</v>
      </c>
      <c r="E73" s="932" t="s">
        <v>1503</v>
      </c>
      <c r="F73" s="2021">
        <v>13.12</v>
      </c>
      <c r="G73" s="2021">
        <v>0</v>
      </c>
      <c r="H73" s="2021">
        <v>0</v>
      </c>
      <c r="I73" s="2021">
        <v>0</v>
      </c>
      <c r="J73" s="2021">
        <v>0</v>
      </c>
      <c r="K73" s="2021">
        <v>0</v>
      </c>
      <c r="L73" s="2021">
        <v>0</v>
      </c>
      <c r="M73" s="2021">
        <v>0</v>
      </c>
      <c r="N73" s="2022">
        <f t="shared" si="3"/>
        <v>0</v>
      </c>
      <c r="O73" s="2021">
        <f t="shared" si="4"/>
        <v>0</v>
      </c>
    </row>
    <row r="74" spans="2:15" s="2" customFormat="1" ht="15.5" x14ac:dyDescent="0.3">
      <c r="B74" s="930">
        <v>13</v>
      </c>
      <c r="C74" s="324" t="s">
        <v>1504</v>
      </c>
      <c r="D74" s="325" t="s">
        <v>2131</v>
      </c>
      <c r="E74" s="932" t="s">
        <v>2070</v>
      </c>
      <c r="F74" s="2021">
        <v>9.2200000000000006</v>
      </c>
      <c r="G74" s="2021">
        <v>0.45</v>
      </c>
      <c r="H74" s="2021">
        <v>0.45</v>
      </c>
      <c r="I74" s="2021">
        <v>0</v>
      </c>
      <c r="J74" s="2021">
        <v>0</v>
      </c>
      <c r="K74" s="2021">
        <v>0</v>
      </c>
      <c r="L74" s="2021">
        <v>0</v>
      </c>
      <c r="M74" s="2021">
        <v>0</v>
      </c>
      <c r="N74" s="2022">
        <f t="shared" si="3"/>
        <v>0</v>
      </c>
      <c r="O74" s="2021">
        <f t="shared" si="4"/>
        <v>0</v>
      </c>
    </row>
    <row r="75" spans="2:15" s="2" customFormat="1" ht="15.5" x14ac:dyDescent="0.3">
      <c r="B75" s="930"/>
      <c r="C75" s="325"/>
      <c r="D75" s="325"/>
      <c r="E75" s="932"/>
      <c r="F75" s="2021"/>
      <c r="G75" s="2021"/>
      <c r="H75" s="2021"/>
      <c r="I75" s="2021"/>
      <c r="J75" s="2021"/>
      <c r="K75" s="2021"/>
      <c r="L75" s="2021">
        <v>0</v>
      </c>
      <c r="M75" s="2021">
        <v>0</v>
      </c>
      <c r="N75" s="2022">
        <f t="shared" si="3"/>
        <v>0</v>
      </c>
      <c r="O75" s="2021">
        <f t="shared" si="4"/>
        <v>0</v>
      </c>
    </row>
    <row r="76" spans="2:15" s="2" customFormat="1" ht="15.5" x14ac:dyDescent="0.3">
      <c r="B76" s="930"/>
      <c r="C76" s="324" t="s">
        <v>2082</v>
      </c>
      <c r="D76" s="325"/>
      <c r="E76" s="932"/>
      <c r="F76" s="2021"/>
      <c r="G76" s="2021"/>
      <c r="H76" s="2021"/>
      <c r="I76" s="2021"/>
      <c r="J76" s="2021"/>
      <c r="K76" s="2021"/>
      <c r="L76" s="2021">
        <v>0</v>
      </c>
      <c r="M76" s="2021">
        <v>0</v>
      </c>
      <c r="N76" s="2022">
        <f t="shared" si="3"/>
        <v>0</v>
      </c>
      <c r="O76" s="2021">
        <f t="shared" si="4"/>
        <v>0</v>
      </c>
    </row>
    <row r="77" spans="2:15" s="2" customFormat="1" ht="15.5" x14ac:dyDescent="0.3">
      <c r="B77" s="930">
        <v>14</v>
      </c>
      <c r="C77" s="325" t="s">
        <v>2132</v>
      </c>
      <c r="D77" s="325" t="s">
        <v>2133</v>
      </c>
      <c r="E77" s="932" t="s">
        <v>1509</v>
      </c>
      <c r="F77" s="2021">
        <v>92.4</v>
      </c>
      <c r="G77" s="2021">
        <v>81.42</v>
      </c>
      <c r="H77" s="2021">
        <v>81.42</v>
      </c>
      <c r="I77" s="2021">
        <v>0</v>
      </c>
      <c r="J77" s="2021">
        <v>6.79</v>
      </c>
      <c r="K77" s="2021">
        <v>6.79</v>
      </c>
      <c r="L77" s="2021">
        <v>0</v>
      </c>
      <c r="M77" s="2021">
        <v>0</v>
      </c>
      <c r="N77" s="2022">
        <f t="shared" si="3"/>
        <v>6.79</v>
      </c>
      <c r="O77" s="2021">
        <f t="shared" si="4"/>
        <v>0</v>
      </c>
    </row>
    <row r="78" spans="2:15" s="2" customFormat="1" ht="15.5" x14ac:dyDescent="0.3">
      <c r="B78" s="930">
        <v>15</v>
      </c>
      <c r="C78" s="325" t="s">
        <v>2134</v>
      </c>
      <c r="D78" s="325"/>
      <c r="E78" s="932"/>
      <c r="F78" s="2021">
        <v>25.69</v>
      </c>
      <c r="G78" s="2021">
        <v>10.27</v>
      </c>
      <c r="H78" s="2021">
        <v>10.27</v>
      </c>
      <c r="I78" s="2021">
        <v>0</v>
      </c>
      <c r="J78" s="2021">
        <v>3.87</v>
      </c>
      <c r="K78" s="2021">
        <v>3.87</v>
      </c>
      <c r="L78" s="2021">
        <v>0</v>
      </c>
      <c r="M78" s="2021">
        <v>0</v>
      </c>
      <c r="N78" s="2022">
        <f t="shared" si="3"/>
        <v>3.87</v>
      </c>
      <c r="O78" s="2021">
        <f t="shared" si="4"/>
        <v>0</v>
      </c>
    </row>
    <row r="79" spans="2:15" s="2" customFormat="1" ht="15.5" x14ac:dyDescent="0.3">
      <c r="B79" s="930"/>
      <c r="C79" s="325"/>
      <c r="D79" s="325"/>
      <c r="E79" s="932"/>
      <c r="F79" s="2021"/>
      <c r="G79" s="2021"/>
      <c r="H79" s="2021"/>
      <c r="I79" s="2021"/>
      <c r="J79" s="2021"/>
      <c r="K79" s="2021"/>
      <c r="L79" s="2021">
        <v>0</v>
      </c>
      <c r="M79" s="2021">
        <v>0</v>
      </c>
      <c r="N79" s="2022">
        <f t="shared" si="3"/>
        <v>0</v>
      </c>
      <c r="O79" s="2021">
        <f t="shared" si="4"/>
        <v>0</v>
      </c>
    </row>
    <row r="80" spans="2:15" s="2" customFormat="1" ht="15.5" x14ac:dyDescent="0.3">
      <c r="B80" s="930"/>
      <c r="C80" s="4"/>
      <c r="D80" s="325"/>
      <c r="E80" s="932"/>
      <c r="F80" s="2026"/>
      <c r="G80" s="2026"/>
      <c r="H80" s="2026"/>
      <c r="I80" s="2026"/>
      <c r="J80" s="2026"/>
      <c r="K80" s="2026"/>
      <c r="L80" s="2026">
        <v>0</v>
      </c>
      <c r="M80" s="2026">
        <v>0</v>
      </c>
      <c r="N80" s="2022">
        <f t="shared" si="3"/>
        <v>0</v>
      </c>
      <c r="O80" s="2021">
        <f t="shared" si="4"/>
        <v>0</v>
      </c>
    </row>
    <row r="81" spans="2:15" s="2" customFormat="1" ht="15.5" x14ac:dyDescent="0.3">
      <c r="B81" s="1947">
        <v>16</v>
      </c>
      <c r="C81" s="11" t="s">
        <v>1470</v>
      </c>
      <c r="D81" s="11" t="s">
        <v>2007</v>
      </c>
      <c r="E81" s="1947" t="s">
        <v>2121</v>
      </c>
      <c r="F81" s="1857">
        <v>56.07</v>
      </c>
      <c r="G81" s="1857">
        <v>8.84</v>
      </c>
      <c r="H81" s="1857">
        <v>8.84</v>
      </c>
      <c r="I81" s="2021">
        <v>0</v>
      </c>
      <c r="J81" s="1857">
        <v>11.84</v>
      </c>
      <c r="K81" s="1857">
        <v>11.84</v>
      </c>
      <c r="L81" s="1857">
        <v>0</v>
      </c>
      <c r="M81" s="1857">
        <v>0</v>
      </c>
      <c r="N81" s="2022">
        <f t="shared" si="3"/>
        <v>11.84</v>
      </c>
      <c r="O81" s="2021">
        <f t="shared" si="4"/>
        <v>0</v>
      </c>
    </row>
    <row r="82" spans="2:15" s="2" customFormat="1" ht="15.5" x14ac:dyDescent="0.3">
      <c r="B82" s="1947"/>
      <c r="C82" s="11"/>
      <c r="D82" s="11"/>
      <c r="E82" s="1947"/>
      <c r="F82" s="1857"/>
      <c r="G82" s="1857"/>
      <c r="H82" s="1857"/>
      <c r="I82" s="2021"/>
      <c r="J82" s="1857"/>
      <c r="K82" s="1857"/>
      <c r="L82" s="1857">
        <v>0</v>
      </c>
      <c r="M82" s="1857">
        <v>0</v>
      </c>
      <c r="N82" s="2022">
        <f t="shared" si="3"/>
        <v>0</v>
      </c>
      <c r="O82" s="2021">
        <f t="shared" si="4"/>
        <v>0</v>
      </c>
    </row>
    <row r="83" spans="2:15" s="2" customFormat="1" ht="15.5" x14ac:dyDescent="0.3">
      <c r="B83" s="380"/>
      <c r="C83" s="929" t="s">
        <v>34</v>
      </c>
      <c r="D83" s="1975"/>
      <c r="E83" s="2001"/>
      <c r="F83" s="1975"/>
      <c r="G83" s="1975"/>
      <c r="H83" s="1975"/>
      <c r="I83" s="2021"/>
      <c r="J83" s="1974"/>
      <c r="K83" s="1974"/>
      <c r="L83" s="1974">
        <v>0</v>
      </c>
      <c r="M83" s="1974">
        <v>0</v>
      </c>
      <c r="N83" s="2022">
        <f t="shared" si="3"/>
        <v>0</v>
      </c>
      <c r="O83" s="2021">
        <f t="shared" si="4"/>
        <v>0</v>
      </c>
    </row>
    <row r="84" spans="2:15" s="2" customFormat="1" ht="15.5" x14ac:dyDescent="0.3">
      <c r="B84" s="162">
        <v>17</v>
      </c>
      <c r="C84" s="753" t="s">
        <v>2135</v>
      </c>
      <c r="D84" s="1975"/>
      <c r="E84" s="2001"/>
      <c r="F84" s="1975"/>
      <c r="G84" s="1975">
        <v>3.36</v>
      </c>
      <c r="H84" s="1975">
        <v>3.36</v>
      </c>
      <c r="I84" s="2021">
        <v>0</v>
      </c>
      <c r="J84" s="1974">
        <v>1.22</v>
      </c>
      <c r="K84" s="2025">
        <v>1.22</v>
      </c>
      <c r="L84" s="2025">
        <v>0</v>
      </c>
      <c r="M84" s="2025">
        <v>0</v>
      </c>
      <c r="N84" s="2022">
        <f t="shared" si="3"/>
        <v>1.22</v>
      </c>
      <c r="O84" s="2021">
        <f t="shared" si="4"/>
        <v>0</v>
      </c>
    </row>
    <row r="85" spans="2:15" s="2" customFormat="1" ht="15.5" x14ac:dyDescent="0.3">
      <c r="B85" s="930">
        <v>18</v>
      </c>
      <c r="C85" s="324" t="s">
        <v>2136</v>
      </c>
      <c r="D85" s="2026"/>
      <c r="E85" s="1808"/>
      <c r="F85" s="2021"/>
      <c r="G85" s="2021">
        <v>0.09</v>
      </c>
      <c r="H85" s="2021">
        <v>0.09</v>
      </c>
      <c r="I85" s="2021">
        <v>0</v>
      </c>
      <c r="J85" s="2021">
        <v>0.39</v>
      </c>
      <c r="K85" s="2021">
        <v>0.39</v>
      </c>
      <c r="L85" s="2021">
        <v>0</v>
      </c>
      <c r="M85" s="2021">
        <v>0</v>
      </c>
      <c r="N85" s="2022">
        <f t="shared" si="3"/>
        <v>0.39</v>
      </c>
      <c r="O85" s="2021">
        <f t="shared" si="4"/>
        <v>0</v>
      </c>
    </row>
    <row r="86" spans="2:15" s="2" customFormat="1" ht="15.5" x14ac:dyDescent="0.3">
      <c r="B86" s="930">
        <v>19</v>
      </c>
      <c r="C86" s="326" t="s">
        <v>1473</v>
      </c>
      <c r="D86" s="2027"/>
      <c r="E86" s="1808"/>
      <c r="F86" s="2021"/>
      <c r="G86" s="2021">
        <v>56.06</v>
      </c>
      <c r="H86" s="2021">
        <v>56.06</v>
      </c>
      <c r="I86" s="2021">
        <v>0</v>
      </c>
      <c r="J86" s="2021">
        <v>6.46</v>
      </c>
      <c r="K86" s="2021">
        <v>6.46</v>
      </c>
      <c r="L86" s="2021">
        <v>0</v>
      </c>
      <c r="M86" s="2021">
        <v>0</v>
      </c>
      <c r="N86" s="2022">
        <f t="shared" si="3"/>
        <v>6.46</v>
      </c>
      <c r="O86" s="2021">
        <f t="shared" si="4"/>
        <v>0</v>
      </c>
    </row>
    <row r="87" spans="2:15" s="2" customFormat="1" ht="15.5" x14ac:dyDescent="0.3">
      <c r="B87" s="930">
        <v>20</v>
      </c>
      <c r="C87" s="327" t="s">
        <v>1474</v>
      </c>
      <c r="D87" s="2028"/>
      <c r="E87" s="1808"/>
      <c r="F87" s="2021"/>
      <c r="G87" s="2021">
        <v>1.85</v>
      </c>
      <c r="H87" s="2021">
        <v>1.85</v>
      </c>
      <c r="I87" s="2021">
        <v>0</v>
      </c>
      <c r="J87" s="2021">
        <v>1.63</v>
      </c>
      <c r="K87" s="2021">
        <v>1.63</v>
      </c>
      <c r="L87" s="2021">
        <v>0</v>
      </c>
      <c r="M87" s="2021">
        <v>0</v>
      </c>
      <c r="N87" s="2022">
        <f t="shared" si="3"/>
        <v>1.63</v>
      </c>
      <c r="O87" s="2021">
        <f t="shared" si="4"/>
        <v>0</v>
      </c>
    </row>
    <row r="88" spans="2:15" s="2" customFormat="1" ht="15.5" x14ac:dyDescent="0.3">
      <c r="B88" s="930">
        <v>21</v>
      </c>
      <c r="C88" s="325" t="s">
        <v>1475</v>
      </c>
      <c r="D88" s="2028"/>
      <c r="E88" s="1808"/>
      <c r="F88" s="2021"/>
      <c r="G88" s="2021">
        <v>0.26</v>
      </c>
      <c r="H88" s="2021">
        <v>0.26</v>
      </c>
      <c r="I88" s="2021">
        <v>0</v>
      </c>
      <c r="J88" s="2021">
        <v>0.47</v>
      </c>
      <c r="K88" s="2021">
        <v>0.47</v>
      </c>
      <c r="L88" s="2021">
        <v>0</v>
      </c>
      <c r="M88" s="2021">
        <v>0</v>
      </c>
      <c r="N88" s="2022">
        <f t="shared" si="3"/>
        <v>0.47</v>
      </c>
      <c r="O88" s="2021">
        <f t="shared" si="4"/>
        <v>0</v>
      </c>
    </row>
    <row r="89" spans="2:15" s="2" customFormat="1" x14ac:dyDescent="0.3">
      <c r="B89" s="2023"/>
      <c r="C89" s="2024" t="s">
        <v>145</v>
      </c>
      <c r="D89" s="2024"/>
      <c r="E89" s="2024"/>
      <c r="F89" s="2024">
        <f t="shared" ref="F89:O89" si="5">SUM(F56:F88)</f>
        <v>1202.8399999999999</v>
      </c>
      <c r="G89" s="2024">
        <f t="shared" si="5"/>
        <v>504.7</v>
      </c>
      <c r="H89" s="2024">
        <f t="shared" si="5"/>
        <v>498.4</v>
      </c>
      <c r="I89" s="2024">
        <f t="shared" si="5"/>
        <v>6.2999999999999989</v>
      </c>
      <c r="J89" s="2024">
        <f t="shared" si="5"/>
        <v>125.35000000000001</v>
      </c>
      <c r="K89" s="2024">
        <f t="shared" si="5"/>
        <v>124.35000000000001</v>
      </c>
      <c r="L89" s="2024">
        <f t="shared" si="5"/>
        <v>0</v>
      </c>
      <c r="M89" s="2024">
        <f t="shared" si="5"/>
        <v>0</v>
      </c>
      <c r="N89" s="2024">
        <f t="shared" si="5"/>
        <v>124.35000000000001</v>
      </c>
      <c r="O89" s="2024">
        <f t="shared" si="5"/>
        <v>7.2999999999999989</v>
      </c>
    </row>
    <row r="90" spans="2:15" s="2" customFormat="1" x14ac:dyDescent="0.3">
      <c r="B90" s="930"/>
      <c r="C90" s="325" t="s">
        <v>1469</v>
      </c>
      <c r="D90" s="325"/>
      <c r="E90" s="932"/>
      <c r="F90" s="2021"/>
      <c r="G90" s="2021"/>
      <c r="H90" s="2021"/>
      <c r="I90" s="2021"/>
      <c r="J90" s="2021"/>
      <c r="K90" s="2021"/>
      <c r="L90" s="2021"/>
      <c r="M90" s="2021"/>
      <c r="N90" s="2021"/>
      <c r="O90" s="2021"/>
    </row>
    <row r="91" spans="2:15" s="2" customFormat="1" x14ac:dyDescent="0.3">
      <c r="B91" s="930"/>
      <c r="C91" s="325"/>
      <c r="D91" s="325"/>
      <c r="E91" s="932"/>
      <c r="F91" s="2021"/>
      <c r="G91" s="2021"/>
      <c r="H91" s="2021"/>
      <c r="I91" s="2021"/>
      <c r="J91" s="2021"/>
      <c r="K91" s="2021"/>
      <c r="L91" s="2021"/>
      <c r="M91" s="2021"/>
      <c r="N91" s="2021"/>
      <c r="O91" s="2021"/>
    </row>
    <row r="92" spans="2:15" s="2" customFormat="1" x14ac:dyDescent="0.3">
      <c r="B92" s="2351" t="s">
        <v>187</v>
      </c>
      <c r="C92" s="2351" t="s">
        <v>26</v>
      </c>
      <c r="D92" s="2351" t="s">
        <v>617</v>
      </c>
      <c r="E92" s="2352" t="s">
        <v>618</v>
      </c>
      <c r="F92" s="2306" t="s">
        <v>551</v>
      </c>
      <c r="G92" s="2306" t="s">
        <v>629</v>
      </c>
      <c r="H92" s="2306" t="s">
        <v>630</v>
      </c>
      <c r="I92" s="2306" t="s">
        <v>552</v>
      </c>
      <c r="J92" s="2306" t="s">
        <v>553</v>
      </c>
      <c r="K92" s="2306" t="s">
        <v>554</v>
      </c>
      <c r="L92" s="2306"/>
      <c r="M92" s="2306"/>
      <c r="N92" s="2306"/>
      <c r="O92" s="2306" t="s">
        <v>555</v>
      </c>
    </row>
    <row r="93" spans="2:15" s="2" customFormat="1" x14ac:dyDescent="0.3">
      <c r="B93" s="2351"/>
      <c r="C93" s="2351"/>
      <c r="D93" s="2351"/>
      <c r="E93" s="2352"/>
      <c r="F93" s="2306"/>
      <c r="G93" s="2306"/>
      <c r="H93" s="2306"/>
      <c r="I93" s="2306"/>
      <c r="J93" s="2306"/>
      <c r="K93" s="2306"/>
      <c r="L93" s="2306"/>
      <c r="M93" s="2306"/>
      <c r="N93" s="2306"/>
      <c r="O93" s="2306"/>
    </row>
    <row r="94" spans="2:15" s="2" customFormat="1" ht="28" x14ac:dyDescent="0.3">
      <c r="B94" s="2351"/>
      <c r="C94" s="2351"/>
      <c r="D94" s="2351"/>
      <c r="E94" s="2352"/>
      <c r="F94" s="2306"/>
      <c r="G94" s="2306"/>
      <c r="H94" s="2306"/>
      <c r="I94" s="2306"/>
      <c r="J94" s="2306"/>
      <c r="K94" s="2008" t="s">
        <v>556</v>
      </c>
      <c r="L94" s="2008" t="s">
        <v>557</v>
      </c>
      <c r="M94" s="2008" t="s">
        <v>558</v>
      </c>
      <c r="N94" s="2008" t="s">
        <v>559</v>
      </c>
      <c r="O94" s="2306"/>
    </row>
    <row r="95" spans="2:15" s="2" customFormat="1" x14ac:dyDescent="0.3">
      <c r="B95" s="162"/>
      <c r="C95" s="940" t="s">
        <v>426</v>
      </c>
      <c r="D95" s="162"/>
      <c r="E95" s="380"/>
      <c r="F95" s="2025"/>
      <c r="G95" s="2025"/>
      <c r="H95" s="2025"/>
      <c r="I95" s="2025"/>
      <c r="J95" s="2025"/>
      <c r="K95" s="2025"/>
      <c r="L95" s="2025"/>
      <c r="M95" s="2025"/>
      <c r="N95" s="2025"/>
      <c r="O95" s="2025"/>
    </row>
    <row r="96" spans="2:15" s="2" customFormat="1" x14ac:dyDescent="0.3">
      <c r="B96" s="162"/>
      <c r="C96" s="940" t="s">
        <v>33</v>
      </c>
      <c r="D96" s="162"/>
      <c r="E96" s="380"/>
      <c r="F96" s="2025"/>
      <c r="G96" s="2025"/>
      <c r="H96" s="2025"/>
      <c r="I96" s="2025"/>
      <c r="J96" s="2025"/>
      <c r="K96" s="2025"/>
      <c r="L96" s="2025"/>
      <c r="M96" s="2025"/>
      <c r="N96" s="2025"/>
      <c r="O96" s="2025"/>
    </row>
    <row r="97" spans="2:15" s="2" customFormat="1" x14ac:dyDescent="0.3">
      <c r="B97" s="930"/>
      <c r="C97" s="324" t="s">
        <v>35</v>
      </c>
      <c r="D97" s="325"/>
      <c r="E97" s="932"/>
      <c r="F97" s="2021"/>
      <c r="G97" s="2021"/>
      <c r="H97" s="2021"/>
      <c r="I97" s="2021"/>
      <c r="J97" s="2021"/>
      <c r="K97" s="2021"/>
      <c r="L97" s="2021"/>
      <c r="M97" s="2021"/>
      <c r="N97" s="2021"/>
      <c r="O97" s="2021"/>
    </row>
    <row r="98" spans="2:15" s="2" customFormat="1" x14ac:dyDescent="0.3">
      <c r="B98" s="930"/>
      <c r="C98" s="324" t="s">
        <v>1476</v>
      </c>
      <c r="D98" s="325"/>
      <c r="E98" s="932"/>
      <c r="F98" s="2021"/>
      <c r="G98" s="2021"/>
      <c r="H98" s="2021"/>
      <c r="I98" s="2021"/>
      <c r="J98" s="2021"/>
      <c r="K98" s="2021"/>
      <c r="L98" s="2021"/>
      <c r="M98" s="2021"/>
      <c r="N98" s="2021"/>
      <c r="O98" s="2021"/>
    </row>
    <row r="99" spans="2:15" s="2" customFormat="1" ht="15.5" x14ac:dyDescent="0.3">
      <c r="B99" s="930">
        <v>1</v>
      </c>
      <c r="C99" s="325" t="s">
        <v>1477</v>
      </c>
      <c r="D99" s="325" t="s">
        <v>1478</v>
      </c>
      <c r="E99" s="932" t="s">
        <v>1479</v>
      </c>
      <c r="F99" s="2021">
        <v>82.23</v>
      </c>
      <c r="G99" s="2021">
        <v>15.86</v>
      </c>
      <c r="H99" s="2021">
        <v>8.56</v>
      </c>
      <c r="I99" s="2021">
        <v>7.2999999999999989</v>
      </c>
      <c r="J99" s="2021">
        <v>0.93</v>
      </c>
      <c r="K99" s="2021">
        <v>0.93</v>
      </c>
      <c r="L99" s="2021">
        <v>0</v>
      </c>
      <c r="M99" s="2021">
        <v>0</v>
      </c>
      <c r="N99" s="2022">
        <f t="shared" ref="N99:N121" si="6">K99+L99+M99</f>
        <v>0.93</v>
      </c>
      <c r="O99" s="2021">
        <f t="shared" ref="O99:O121" si="7">I99+J99-N99</f>
        <v>7.2999999999999989</v>
      </c>
    </row>
    <row r="100" spans="2:15" s="2" customFormat="1" ht="15.5" x14ac:dyDescent="0.3">
      <c r="B100" s="930">
        <v>2</v>
      </c>
      <c r="C100" s="325" t="s">
        <v>2061</v>
      </c>
      <c r="D100" s="325" t="s">
        <v>2062</v>
      </c>
      <c r="E100" s="932" t="s">
        <v>2063</v>
      </c>
      <c r="F100" s="2021">
        <v>27.4</v>
      </c>
      <c r="G100" s="2021">
        <v>0</v>
      </c>
      <c r="H100" s="2021">
        <v>0</v>
      </c>
      <c r="I100" s="2021">
        <v>0</v>
      </c>
      <c r="J100" s="2021">
        <v>0</v>
      </c>
      <c r="K100" s="2021">
        <v>0</v>
      </c>
      <c r="L100" s="2021">
        <v>0</v>
      </c>
      <c r="M100" s="2021">
        <v>0</v>
      </c>
      <c r="N100" s="2022">
        <f t="shared" si="6"/>
        <v>0</v>
      </c>
      <c r="O100" s="2021">
        <f t="shared" si="7"/>
        <v>0</v>
      </c>
    </row>
    <row r="101" spans="2:15" s="2" customFormat="1" ht="15.5" x14ac:dyDescent="0.3">
      <c r="B101" s="930"/>
      <c r="C101" s="325"/>
      <c r="D101" s="325"/>
      <c r="E101" s="932"/>
      <c r="F101" s="2021"/>
      <c r="G101" s="2021"/>
      <c r="H101" s="2021"/>
      <c r="I101" s="2021"/>
      <c r="J101" s="2021"/>
      <c r="K101" s="2021"/>
      <c r="L101" s="2021">
        <v>0</v>
      </c>
      <c r="M101" s="2021">
        <v>0</v>
      </c>
      <c r="N101" s="2022">
        <f t="shared" si="6"/>
        <v>0</v>
      </c>
      <c r="O101" s="2021">
        <f t="shared" si="7"/>
        <v>0</v>
      </c>
    </row>
    <row r="102" spans="2:15" s="2" customFormat="1" ht="15.5" x14ac:dyDescent="0.3">
      <c r="B102" s="930"/>
      <c r="C102" s="324" t="s">
        <v>1380</v>
      </c>
      <c r="D102" s="325"/>
      <c r="E102" s="932"/>
      <c r="F102" s="2021"/>
      <c r="G102" s="2021"/>
      <c r="H102" s="2021"/>
      <c r="I102" s="2021"/>
      <c r="J102" s="2021"/>
      <c r="K102" s="2021"/>
      <c r="L102" s="2021">
        <v>0</v>
      </c>
      <c r="M102" s="2021">
        <v>0</v>
      </c>
      <c r="N102" s="2022">
        <f t="shared" si="6"/>
        <v>0</v>
      </c>
      <c r="O102" s="2021">
        <f t="shared" si="7"/>
        <v>0</v>
      </c>
    </row>
    <row r="103" spans="2:15" s="2" customFormat="1" ht="15.5" x14ac:dyDescent="0.3">
      <c r="B103" s="930">
        <v>3</v>
      </c>
      <c r="C103" s="325" t="s">
        <v>1480</v>
      </c>
      <c r="D103" s="325" t="s">
        <v>2039</v>
      </c>
      <c r="E103" s="932" t="s">
        <v>1482</v>
      </c>
      <c r="F103" s="2021">
        <v>36.630000000000003</v>
      </c>
      <c r="G103" s="2021">
        <v>11.25</v>
      </c>
      <c r="H103" s="2021">
        <v>11.25</v>
      </c>
      <c r="I103" s="2021">
        <v>0</v>
      </c>
      <c r="J103" s="2021">
        <v>0.21</v>
      </c>
      <c r="K103" s="2021">
        <v>0.21</v>
      </c>
      <c r="L103" s="2021">
        <v>0</v>
      </c>
      <c r="M103" s="2021">
        <v>0</v>
      </c>
      <c r="N103" s="2022">
        <f t="shared" si="6"/>
        <v>0.21</v>
      </c>
      <c r="O103" s="2021">
        <f t="shared" si="7"/>
        <v>0</v>
      </c>
    </row>
    <row r="104" spans="2:15" s="2" customFormat="1" ht="15.5" x14ac:dyDescent="0.3">
      <c r="B104" s="930">
        <v>4</v>
      </c>
      <c r="C104" s="325" t="s">
        <v>1483</v>
      </c>
      <c r="D104" s="325" t="s">
        <v>2127</v>
      </c>
      <c r="E104" s="932" t="s">
        <v>1485</v>
      </c>
      <c r="F104" s="2021">
        <v>64.09</v>
      </c>
      <c r="G104" s="2021">
        <v>17.579999999999998</v>
      </c>
      <c r="H104" s="2021">
        <v>17.579999999999998</v>
      </c>
      <c r="I104" s="2021">
        <v>0</v>
      </c>
      <c r="J104" s="2021">
        <v>5.2</v>
      </c>
      <c r="K104" s="2021">
        <v>5.2</v>
      </c>
      <c r="L104" s="2021">
        <v>0</v>
      </c>
      <c r="M104" s="2021">
        <v>0</v>
      </c>
      <c r="N104" s="2022">
        <f t="shared" si="6"/>
        <v>5.2</v>
      </c>
      <c r="O104" s="2021">
        <f t="shared" si="7"/>
        <v>0</v>
      </c>
    </row>
    <row r="105" spans="2:15" s="2" customFormat="1" ht="15.5" x14ac:dyDescent="0.3">
      <c r="B105" s="930">
        <v>5</v>
      </c>
      <c r="C105" s="325" t="s">
        <v>1486</v>
      </c>
      <c r="D105" s="325" t="s">
        <v>2127</v>
      </c>
      <c r="E105" s="932" t="s">
        <v>1485</v>
      </c>
      <c r="F105" s="2021">
        <v>58.86</v>
      </c>
      <c r="G105" s="2021">
        <v>4.79</v>
      </c>
      <c r="H105" s="2021">
        <v>4.79</v>
      </c>
      <c r="I105" s="2021">
        <v>0</v>
      </c>
      <c r="J105" s="2021">
        <v>0.97</v>
      </c>
      <c r="K105" s="2021">
        <v>0.97</v>
      </c>
      <c r="L105" s="2021">
        <v>0</v>
      </c>
      <c r="M105" s="2021">
        <v>0</v>
      </c>
      <c r="N105" s="2022">
        <f t="shared" si="6"/>
        <v>0.97</v>
      </c>
      <c r="O105" s="2021">
        <f t="shared" si="7"/>
        <v>0</v>
      </c>
    </row>
    <row r="106" spans="2:15" s="2" customFormat="1" ht="15.5" x14ac:dyDescent="0.3">
      <c r="B106" s="930">
        <v>6</v>
      </c>
      <c r="C106" s="325" t="s">
        <v>1487</v>
      </c>
      <c r="D106" s="325" t="s">
        <v>2128</v>
      </c>
      <c r="E106" s="932" t="s">
        <v>1489</v>
      </c>
      <c r="F106" s="2021">
        <v>15.58</v>
      </c>
      <c r="G106" s="2021">
        <v>19.12</v>
      </c>
      <c r="H106" s="2021">
        <v>19.12</v>
      </c>
      <c r="I106" s="2021">
        <v>0</v>
      </c>
      <c r="J106" s="2021">
        <v>0.73</v>
      </c>
      <c r="K106" s="2021">
        <v>0.73</v>
      </c>
      <c r="L106" s="2021">
        <v>0</v>
      </c>
      <c r="M106" s="2021">
        <v>0</v>
      </c>
      <c r="N106" s="2022">
        <f t="shared" si="6"/>
        <v>0.73</v>
      </c>
      <c r="O106" s="2021">
        <f t="shared" si="7"/>
        <v>0</v>
      </c>
    </row>
    <row r="107" spans="2:15" s="2" customFormat="1" ht="15.5" x14ac:dyDescent="0.3">
      <c r="B107" s="930">
        <v>7</v>
      </c>
      <c r="C107" s="325" t="s">
        <v>1490</v>
      </c>
      <c r="D107" s="325" t="s">
        <v>1491</v>
      </c>
      <c r="E107" s="932" t="s">
        <v>1492</v>
      </c>
      <c r="F107" s="2021">
        <v>40.6</v>
      </c>
      <c r="G107" s="2021">
        <v>16.73</v>
      </c>
      <c r="H107" s="2021">
        <v>16.73</v>
      </c>
      <c r="I107" s="2021">
        <v>0</v>
      </c>
      <c r="J107" s="2021">
        <v>7.09</v>
      </c>
      <c r="K107" s="2021">
        <v>7.09</v>
      </c>
      <c r="L107" s="2021">
        <v>0</v>
      </c>
      <c r="M107" s="2021">
        <v>0</v>
      </c>
      <c r="N107" s="2022">
        <f t="shared" si="6"/>
        <v>7.09</v>
      </c>
      <c r="O107" s="2021">
        <f t="shared" si="7"/>
        <v>0</v>
      </c>
    </row>
    <row r="108" spans="2:15" s="2" customFormat="1" ht="15.5" x14ac:dyDescent="0.3">
      <c r="B108" s="930"/>
      <c r="C108" s="325"/>
      <c r="D108" s="325"/>
      <c r="E108" s="932"/>
      <c r="F108" s="2021"/>
      <c r="G108" s="2021"/>
      <c r="H108" s="2021"/>
      <c r="I108" s="2021"/>
      <c r="J108" s="2021"/>
      <c r="K108" s="2021"/>
      <c r="L108" s="2021">
        <v>0</v>
      </c>
      <c r="M108" s="2021">
        <v>0</v>
      </c>
      <c r="N108" s="2022">
        <f t="shared" si="6"/>
        <v>0</v>
      </c>
      <c r="O108" s="2021">
        <f t="shared" si="7"/>
        <v>0</v>
      </c>
    </row>
    <row r="109" spans="2:15" s="2" customFormat="1" ht="15.5" x14ac:dyDescent="0.3">
      <c r="B109" s="930"/>
      <c r="C109" s="324" t="s">
        <v>1493</v>
      </c>
      <c r="D109" s="325"/>
      <c r="E109" s="932"/>
      <c r="F109" s="2021"/>
      <c r="G109" s="2021"/>
      <c r="H109" s="2021"/>
      <c r="I109" s="2021"/>
      <c r="J109" s="2021"/>
      <c r="K109" s="2021"/>
      <c r="L109" s="2021">
        <v>0</v>
      </c>
      <c r="M109" s="2021">
        <v>0</v>
      </c>
      <c r="N109" s="2022">
        <f t="shared" si="6"/>
        <v>0</v>
      </c>
      <c r="O109" s="2021">
        <f t="shared" si="7"/>
        <v>0</v>
      </c>
    </row>
    <row r="110" spans="2:15" s="2" customFormat="1" ht="15.5" x14ac:dyDescent="0.3">
      <c r="B110" s="930">
        <v>8</v>
      </c>
      <c r="C110" s="327" t="s">
        <v>2064</v>
      </c>
      <c r="D110" s="325" t="s">
        <v>2065</v>
      </c>
      <c r="E110" s="932" t="s">
        <v>1492</v>
      </c>
      <c r="F110" s="2021">
        <v>147.65</v>
      </c>
      <c r="G110" s="2021">
        <v>18.260000000000002</v>
      </c>
      <c r="H110" s="2021">
        <v>18.260000000000002</v>
      </c>
      <c r="I110" s="2021">
        <v>0</v>
      </c>
      <c r="J110" s="2021">
        <v>20.95</v>
      </c>
      <c r="K110" s="2021">
        <v>20.95</v>
      </c>
      <c r="L110" s="2021">
        <v>0</v>
      </c>
      <c r="M110" s="2021">
        <v>0</v>
      </c>
      <c r="N110" s="2022">
        <f t="shared" si="6"/>
        <v>20.95</v>
      </c>
      <c r="O110" s="2021">
        <f t="shared" si="7"/>
        <v>0</v>
      </c>
    </row>
    <row r="111" spans="2:15" s="2" customFormat="1" ht="15.5" x14ac:dyDescent="0.3">
      <c r="B111" s="930"/>
      <c r="C111" s="324" t="s">
        <v>1496</v>
      </c>
      <c r="D111" s="325"/>
      <c r="E111" s="932"/>
      <c r="F111" s="2021"/>
      <c r="G111" s="2021"/>
      <c r="H111" s="2021"/>
      <c r="I111" s="2021"/>
      <c r="J111" s="2021"/>
      <c r="K111" s="2021"/>
      <c r="L111" s="2021">
        <v>0</v>
      </c>
      <c r="M111" s="2021">
        <v>0</v>
      </c>
      <c r="N111" s="2022">
        <f t="shared" si="6"/>
        <v>0</v>
      </c>
      <c r="O111" s="2021">
        <f t="shared" si="7"/>
        <v>0</v>
      </c>
    </row>
    <row r="112" spans="2:15" s="2" customFormat="1" ht="15.5" x14ac:dyDescent="0.3">
      <c r="B112" s="930">
        <v>9</v>
      </c>
      <c r="C112" s="327" t="s">
        <v>2066</v>
      </c>
      <c r="D112" s="325" t="s">
        <v>2067</v>
      </c>
      <c r="E112" s="932" t="s">
        <v>2068</v>
      </c>
      <c r="F112" s="2021">
        <v>246.2</v>
      </c>
      <c r="G112" s="2021">
        <v>57.37</v>
      </c>
      <c r="H112" s="2021">
        <v>57.37</v>
      </c>
      <c r="I112" s="2021">
        <v>0</v>
      </c>
      <c r="J112" s="2021">
        <v>44.15</v>
      </c>
      <c r="K112" s="2021">
        <v>44.15</v>
      </c>
      <c r="L112" s="2021">
        <v>0</v>
      </c>
      <c r="M112" s="2021">
        <v>0</v>
      </c>
      <c r="N112" s="2022">
        <f t="shared" si="6"/>
        <v>44.15</v>
      </c>
      <c r="O112" s="2021">
        <f t="shared" si="7"/>
        <v>0</v>
      </c>
    </row>
    <row r="113" spans="2:15" s="2" customFormat="1" ht="15.5" x14ac:dyDescent="0.3">
      <c r="B113" s="930"/>
      <c r="C113" s="324" t="s">
        <v>2130</v>
      </c>
      <c r="D113" s="325"/>
      <c r="E113" s="932"/>
      <c r="F113" s="2021"/>
      <c r="G113" s="2021"/>
      <c r="H113" s="2021"/>
      <c r="I113" s="2021"/>
      <c r="J113" s="2021"/>
      <c r="K113" s="2021"/>
      <c r="L113" s="2021">
        <v>0</v>
      </c>
      <c r="M113" s="2021">
        <v>0</v>
      </c>
      <c r="N113" s="2022">
        <f t="shared" si="6"/>
        <v>0</v>
      </c>
      <c r="O113" s="2021">
        <f t="shared" si="7"/>
        <v>0</v>
      </c>
    </row>
    <row r="114" spans="2:15" s="2" customFormat="1" ht="15.5" x14ac:dyDescent="0.3">
      <c r="B114" s="930">
        <v>10</v>
      </c>
      <c r="C114" s="325" t="s">
        <v>2137</v>
      </c>
      <c r="D114" s="325" t="s">
        <v>1502</v>
      </c>
      <c r="E114" s="932" t="s">
        <v>2053</v>
      </c>
      <c r="F114" s="2021">
        <v>13.12</v>
      </c>
      <c r="G114" s="2021">
        <v>0</v>
      </c>
      <c r="H114" s="2021">
        <v>0</v>
      </c>
      <c r="I114" s="2021">
        <v>0</v>
      </c>
      <c r="J114" s="2021">
        <v>0</v>
      </c>
      <c r="K114" s="2021">
        <v>0</v>
      </c>
      <c r="L114" s="2021">
        <v>0</v>
      </c>
      <c r="M114" s="2021">
        <v>0</v>
      </c>
      <c r="N114" s="2022">
        <f t="shared" si="6"/>
        <v>0</v>
      </c>
      <c r="O114" s="2021">
        <f t="shared" si="7"/>
        <v>0</v>
      </c>
    </row>
    <row r="115" spans="2:15" s="2" customFormat="1" ht="15.5" x14ac:dyDescent="0.3">
      <c r="B115" s="930">
        <v>11</v>
      </c>
      <c r="C115" s="325" t="s">
        <v>1504</v>
      </c>
      <c r="D115" s="325" t="s">
        <v>2131</v>
      </c>
      <c r="E115" s="932" t="s">
        <v>2070</v>
      </c>
      <c r="F115" s="2021">
        <v>9.2200000000000006</v>
      </c>
      <c r="G115" s="2021">
        <v>0.45</v>
      </c>
      <c r="H115" s="2021">
        <v>0.45</v>
      </c>
      <c r="I115" s="2021">
        <v>0</v>
      </c>
      <c r="J115" s="2021">
        <v>0</v>
      </c>
      <c r="K115" s="2021">
        <v>0</v>
      </c>
      <c r="L115" s="2021">
        <v>0</v>
      </c>
      <c r="M115" s="2021">
        <v>0</v>
      </c>
      <c r="N115" s="2022">
        <f t="shared" si="6"/>
        <v>0</v>
      </c>
      <c r="O115" s="2021">
        <f t="shared" si="7"/>
        <v>0</v>
      </c>
    </row>
    <row r="116" spans="2:15" s="2" customFormat="1" ht="15.5" x14ac:dyDescent="0.3">
      <c r="B116" s="930"/>
      <c r="C116" s="325"/>
      <c r="D116" s="325"/>
      <c r="E116" s="932"/>
      <c r="F116" s="2021"/>
      <c r="G116" s="2021"/>
      <c r="H116" s="2021"/>
      <c r="I116" s="2021"/>
      <c r="J116" s="2021"/>
      <c r="K116" s="2021"/>
      <c r="L116" s="2021">
        <v>0</v>
      </c>
      <c r="M116" s="2021">
        <v>0</v>
      </c>
      <c r="N116" s="2022">
        <f t="shared" si="6"/>
        <v>0</v>
      </c>
      <c r="O116" s="2021">
        <f t="shared" si="7"/>
        <v>0</v>
      </c>
    </row>
    <row r="117" spans="2:15" s="2" customFormat="1" ht="15.5" x14ac:dyDescent="0.3">
      <c r="B117" s="930"/>
      <c r="C117" s="324" t="s">
        <v>2082</v>
      </c>
      <c r="D117" s="325"/>
      <c r="E117" s="932"/>
      <c r="F117" s="2021"/>
      <c r="G117" s="2021"/>
      <c r="H117" s="2021"/>
      <c r="I117" s="2021"/>
      <c r="J117" s="2021"/>
      <c r="K117" s="2021"/>
      <c r="L117" s="2021">
        <v>0</v>
      </c>
      <c r="M117" s="2021">
        <v>0</v>
      </c>
      <c r="N117" s="2022">
        <f t="shared" si="6"/>
        <v>0</v>
      </c>
      <c r="O117" s="2021">
        <f t="shared" si="7"/>
        <v>0</v>
      </c>
    </row>
    <row r="118" spans="2:15" s="2" customFormat="1" ht="15.5" x14ac:dyDescent="0.3">
      <c r="B118" s="930">
        <v>12</v>
      </c>
      <c r="C118" s="325" t="s">
        <v>2132</v>
      </c>
      <c r="D118" s="325" t="s">
        <v>2133</v>
      </c>
      <c r="E118" s="932" t="s">
        <v>1509</v>
      </c>
      <c r="F118" s="2021">
        <v>92.4</v>
      </c>
      <c r="G118" s="2021">
        <v>88.210000000000008</v>
      </c>
      <c r="H118" s="2021">
        <v>88.210000000000008</v>
      </c>
      <c r="I118" s="2021">
        <v>0</v>
      </c>
      <c r="J118" s="2021">
        <v>0</v>
      </c>
      <c r="K118" s="2021">
        <v>0</v>
      </c>
      <c r="L118" s="2021">
        <v>0</v>
      </c>
      <c r="M118" s="2021">
        <v>0</v>
      </c>
      <c r="N118" s="2022">
        <f t="shared" si="6"/>
        <v>0</v>
      </c>
      <c r="O118" s="2021">
        <f t="shared" si="7"/>
        <v>0</v>
      </c>
    </row>
    <row r="119" spans="2:15" s="2" customFormat="1" ht="15.5" x14ac:dyDescent="0.3">
      <c r="B119" s="930">
        <v>13</v>
      </c>
      <c r="C119" s="325" t="s">
        <v>2138</v>
      </c>
      <c r="D119" s="325"/>
      <c r="E119" s="932"/>
      <c r="F119" s="2021">
        <v>25.69</v>
      </c>
      <c r="G119" s="2021">
        <v>14.12</v>
      </c>
      <c r="H119" s="2021">
        <v>14.12</v>
      </c>
      <c r="I119" s="2021">
        <v>0</v>
      </c>
      <c r="J119" s="2021">
        <v>0</v>
      </c>
      <c r="K119" s="2021">
        <v>0</v>
      </c>
      <c r="L119" s="2021">
        <v>0</v>
      </c>
      <c r="M119" s="2021">
        <v>0</v>
      </c>
      <c r="N119" s="2022">
        <f t="shared" si="6"/>
        <v>0</v>
      </c>
      <c r="O119" s="2021">
        <f t="shared" si="7"/>
        <v>0</v>
      </c>
    </row>
    <row r="120" spans="2:15" s="2" customFormat="1" ht="15.5" x14ac:dyDescent="0.3">
      <c r="B120" s="930"/>
      <c r="C120" s="4"/>
      <c r="D120" s="325"/>
      <c r="E120" s="932"/>
      <c r="F120" s="2021"/>
      <c r="G120" s="2021"/>
      <c r="H120" s="2021"/>
      <c r="I120" s="2021"/>
      <c r="J120" s="2021"/>
      <c r="K120" s="2021"/>
      <c r="L120" s="2021">
        <v>0</v>
      </c>
      <c r="M120" s="2021">
        <v>0</v>
      </c>
      <c r="N120" s="2022">
        <f t="shared" si="6"/>
        <v>0</v>
      </c>
      <c r="O120" s="2021">
        <f t="shared" si="7"/>
        <v>0</v>
      </c>
    </row>
    <row r="121" spans="2:15" s="2" customFormat="1" ht="15.5" x14ac:dyDescent="0.3">
      <c r="B121" s="933">
        <v>14</v>
      </c>
      <c r="C121" s="3" t="s">
        <v>1470</v>
      </c>
      <c r="D121" s="3"/>
      <c r="E121" s="1808" t="s">
        <v>2121</v>
      </c>
      <c r="F121" s="2021">
        <v>56.07</v>
      </c>
      <c r="G121" s="2021">
        <v>20.68</v>
      </c>
      <c r="H121" s="2021">
        <v>20.68</v>
      </c>
      <c r="I121" s="2021">
        <v>0</v>
      </c>
      <c r="J121" s="2021">
        <v>5.56</v>
      </c>
      <c r="K121" s="2021">
        <v>5.56</v>
      </c>
      <c r="L121" s="2021">
        <v>0</v>
      </c>
      <c r="M121" s="2021">
        <v>0</v>
      </c>
      <c r="N121" s="2022">
        <f t="shared" si="6"/>
        <v>5.56</v>
      </c>
      <c r="O121" s="2021">
        <f t="shared" si="7"/>
        <v>0</v>
      </c>
    </row>
    <row r="122" spans="2:15" s="2" customFormat="1" ht="15.5" x14ac:dyDescent="0.3">
      <c r="B122" s="933"/>
      <c r="C122" s="929" t="s">
        <v>34</v>
      </c>
      <c r="D122" s="929"/>
      <c r="E122" s="753"/>
      <c r="F122" s="2021">
        <v>0</v>
      </c>
      <c r="G122" s="2021">
        <v>0</v>
      </c>
      <c r="H122" s="2021">
        <v>0</v>
      </c>
      <c r="I122" s="2021">
        <f>G122-H122</f>
        <v>0</v>
      </c>
      <c r="J122" s="1974">
        <v>0</v>
      </c>
      <c r="K122" s="1974">
        <v>0</v>
      </c>
      <c r="L122" s="1974">
        <v>0</v>
      </c>
      <c r="M122" s="1974">
        <v>0</v>
      </c>
      <c r="N122" s="2022">
        <f>K122+L122+M122</f>
        <v>0</v>
      </c>
      <c r="O122" s="2021">
        <f>I122+J122-N122</f>
        <v>0</v>
      </c>
    </row>
    <row r="123" spans="2:15" s="2" customFormat="1" ht="14" customHeight="1" x14ac:dyDescent="0.3">
      <c r="B123" s="933">
        <v>15</v>
      </c>
      <c r="C123" s="929" t="s">
        <v>1471</v>
      </c>
      <c r="D123" s="929"/>
      <c r="E123" s="753"/>
      <c r="F123" s="2021">
        <v>0</v>
      </c>
      <c r="G123" s="1975">
        <v>4.58</v>
      </c>
      <c r="H123" s="1975">
        <v>4.58</v>
      </c>
      <c r="I123" s="2021">
        <v>0</v>
      </c>
      <c r="J123" s="2021">
        <v>7.43</v>
      </c>
      <c r="K123" s="1974">
        <v>6.76</v>
      </c>
      <c r="L123" s="1974">
        <v>0</v>
      </c>
      <c r="M123" s="1974">
        <v>0</v>
      </c>
      <c r="N123" s="2022">
        <f>K123+L123+M123</f>
        <v>6.76</v>
      </c>
      <c r="O123" s="2021">
        <f>I123+J123-N123</f>
        <v>0.66999999999999993</v>
      </c>
    </row>
    <row r="124" spans="2:15" s="2" customFormat="1" ht="15.5" x14ac:dyDescent="0.3">
      <c r="B124" s="933">
        <v>16</v>
      </c>
      <c r="C124" s="324" t="s">
        <v>1473</v>
      </c>
      <c r="D124" s="4"/>
      <c r="E124" s="933"/>
      <c r="F124" s="2021"/>
      <c r="G124" s="2021">
        <v>62.53</v>
      </c>
      <c r="H124" s="2021">
        <v>62.53</v>
      </c>
      <c r="I124" s="2021">
        <v>0</v>
      </c>
      <c r="J124" s="2021">
        <v>10.46</v>
      </c>
      <c r="K124" s="2021">
        <v>10.46</v>
      </c>
      <c r="L124" s="2021">
        <v>0</v>
      </c>
      <c r="M124" s="2021">
        <v>0</v>
      </c>
      <c r="N124" s="2022">
        <f>K124+L124+M124</f>
        <v>10.46</v>
      </c>
      <c r="O124" s="2021">
        <f>I124+J124-N124</f>
        <v>0</v>
      </c>
    </row>
    <row r="125" spans="2:15" s="2" customFormat="1" ht="15.5" x14ac:dyDescent="0.3">
      <c r="B125" s="933">
        <v>17</v>
      </c>
      <c r="C125" s="326" t="s">
        <v>1474</v>
      </c>
      <c r="D125" s="64"/>
      <c r="E125" s="933"/>
      <c r="F125" s="2021"/>
      <c r="G125" s="2021">
        <v>3.48</v>
      </c>
      <c r="H125" s="2021">
        <v>3.48</v>
      </c>
      <c r="I125" s="2021">
        <v>0</v>
      </c>
      <c r="J125" s="2021">
        <v>5.45</v>
      </c>
      <c r="K125" s="2021">
        <v>5.45</v>
      </c>
      <c r="L125" s="2021">
        <v>0</v>
      </c>
      <c r="M125" s="2021">
        <v>0</v>
      </c>
      <c r="N125" s="2022">
        <f>K125+L125+M125</f>
        <v>5.45</v>
      </c>
      <c r="O125" s="2021">
        <f>I125+J125-N125</f>
        <v>0</v>
      </c>
    </row>
    <row r="126" spans="2:15" s="2" customFormat="1" ht="15.5" x14ac:dyDescent="0.3">
      <c r="B126" s="933">
        <v>18</v>
      </c>
      <c r="C126" s="1576" t="s">
        <v>1475</v>
      </c>
      <c r="D126" s="1577"/>
      <c r="E126" s="1578"/>
      <c r="F126" s="2029"/>
      <c r="G126" s="2029">
        <v>0.73</v>
      </c>
      <c r="H126" s="2029">
        <v>0.73</v>
      </c>
      <c r="I126" s="2029">
        <v>0</v>
      </c>
      <c r="J126" s="2030">
        <v>0.34</v>
      </c>
      <c r="K126" s="2029">
        <v>0.34</v>
      </c>
      <c r="L126" s="2029">
        <v>0</v>
      </c>
      <c r="M126" s="2029">
        <v>0</v>
      </c>
      <c r="N126" s="2031">
        <f>K126+L126+M126</f>
        <v>0.34</v>
      </c>
      <c r="O126" s="2029">
        <f>I126+J126-N126</f>
        <v>0</v>
      </c>
    </row>
    <row r="127" spans="2:15" s="2" customFormat="1" x14ac:dyDescent="0.3">
      <c r="B127" s="933">
        <v>19</v>
      </c>
      <c r="C127" s="3" t="s">
        <v>1703</v>
      </c>
      <c r="D127" s="3"/>
      <c r="E127" s="3"/>
      <c r="F127" s="3"/>
      <c r="G127" s="2021">
        <v>0.48</v>
      </c>
      <c r="H127" s="2021">
        <v>0.48</v>
      </c>
      <c r="I127" s="2021">
        <v>0</v>
      </c>
      <c r="J127" s="2021">
        <v>0.48</v>
      </c>
      <c r="K127" s="2021">
        <v>0.48</v>
      </c>
      <c r="L127" s="2021">
        <v>0</v>
      </c>
      <c r="M127" s="2021">
        <v>0</v>
      </c>
      <c r="N127" s="2021">
        <v>0.48</v>
      </c>
      <c r="O127" s="2021">
        <v>0</v>
      </c>
    </row>
    <row r="128" spans="2:15" s="2" customFormat="1" x14ac:dyDescent="0.3">
      <c r="B128" s="2023"/>
      <c r="C128" s="2024" t="s">
        <v>396</v>
      </c>
      <c r="D128" s="2024"/>
      <c r="E128" s="2024"/>
      <c r="F128" s="2024">
        <f>SUM(F99:F127)</f>
        <v>915.74000000000012</v>
      </c>
      <c r="G128" s="2024">
        <f t="shared" ref="G128:O128" si="8">SUM(G99:G127)</f>
        <v>356.22</v>
      </c>
      <c r="H128" s="2024">
        <f t="shared" si="8"/>
        <v>348.92000000000007</v>
      </c>
      <c r="I128" s="2024">
        <f t="shared" si="8"/>
        <v>7.2999999999999989</v>
      </c>
      <c r="J128" s="2024">
        <f t="shared" si="8"/>
        <v>109.95000000000002</v>
      </c>
      <c r="K128" s="2024">
        <f t="shared" si="8"/>
        <v>109.28</v>
      </c>
      <c r="L128" s="2024">
        <f t="shared" si="8"/>
        <v>0</v>
      </c>
      <c r="M128" s="2024">
        <f t="shared" si="8"/>
        <v>0</v>
      </c>
      <c r="N128" s="2024">
        <f t="shared" si="8"/>
        <v>109.28</v>
      </c>
      <c r="O128" s="2024">
        <f t="shared" si="8"/>
        <v>7.9699999999999989</v>
      </c>
    </row>
    <row r="129" spans="2:15" s="2" customFormat="1" x14ac:dyDescent="0.3">
      <c r="B129" s="930"/>
      <c r="C129" s="325" t="s">
        <v>1469</v>
      </c>
      <c r="D129" s="325"/>
      <c r="E129" s="932"/>
      <c r="F129" s="2021"/>
      <c r="G129" s="2021"/>
      <c r="H129" s="2021"/>
      <c r="I129" s="2021"/>
      <c r="J129" s="2021"/>
      <c r="K129" s="2021"/>
      <c r="L129" s="2021"/>
      <c r="M129" s="2021"/>
      <c r="N129" s="2021"/>
      <c r="O129" s="2021"/>
    </row>
    <row r="130" spans="2:15" s="2" customFormat="1" x14ac:dyDescent="0.3">
      <c r="B130" s="930"/>
      <c r="C130" s="325"/>
      <c r="D130" s="325"/>
      <c r="E130" s="932"/>
      <c r="F130" s="2021"/>
      <c r="G130" s="2021"/>
      <c r="H130" s="2021"/>
      <c r="I130" s="2021"/>
      <c r="J130" s="2021"/>
      <c r="K130" s="2021"/>
      <c r="L130" s="2021"/>
      <c r="M130" s="2021"/>
      <c r="N130" s="2021"/>
      <c r="O130" s="2021"/>
    </row>
    <row r="131" spans="2:15" s="2" customFormat="1" x14ac:dyDescent="0.3">
      <c r="B131" s="2351" t="s">
        <v>187</v>
      </c>
      <c r="C131" s="2351" t="s">
        <v>26</v>
      </c>
      <c r="D131" s="2351" t="s">
        <v>617</v>
      </c>
      <c r="E131" s="2352" t="s">
        <v>618</v>
      </c>
      <c r="F131" s="2306" t="s">
        <v>551</v>
      </c>
      <c r="G131" s="2306" t="s">
        <v>629</v>
      </c>
      <c r="H131" s="2306" t="s">
        <v>630</v>
      </c>
      <c r="I131" s="2306" t="s">
        <v>552</v>
      </c>
      <c r="J131" s="2306" t="s">
        <v>553</v>
      </c>
      <c r="K131" s="2306" t="s">
        <v>554</v>
      </c>
      <c r="L131" s="2306"/>
      <c r="M131" s="2306"/>
      <c r="N131" s="2306"/>
      <c r="O131" s="2306" t="s">
        <v>555</v>
      </c>
    </row>
    <row r="132" spans="2:15" s="2" customFormat="1" x14ac:dyDescent="0.3">
      <c r="B132" s="2351"/>
      <c r="C132" s="2351"/>
      <c r="D132" s="2351"/>
      <c r="E132" s="2352"/>
      <c r="F132" s="2306"/>
      <c r="G132" s="2306"/>
      <c r="H132" s="2306"/>
      <c r="I132" s="2306"/>
      <c r="J132" s="2306"/>
      <c r="K132" s="2306"/>
      <c r="L132" s="2306"/>
      <c r="M132" s="2306"/>
      <c r="N132" s="2306"/>
      <c r="O132" s="2306"/>
    </row>
    <row r="133" spans="2:15" s="2" customFormat="1" ht="28" x14ac:dyDescent="0.3">
      <c r="B133" s="2351"/>
      <c r="C133" s="2351"/>
      <c r="D133" s="2351"/>
      <c r="E133" s="2352"/>
      <c r="F133" s="2306"/>
      <c r="G133" s="2306"/>
      <c r="H133" s="2306"/>
      <c r="I133" s="2306"/>
      <c r="J133" s="2306"/>
      <c r="K133" s="2008" t="s">
        <v>556</v>
      </c>
      <c r="L133" s="2008" t="s">
        <v>557</v>
      </c>
      <c r="M133" s="2008" t="s">
        <v>558</v>
      </c>
      <c r="N133" s="2008" t="s">
        <v>559</v>
      </c>
      <c r="O133" s="2306"/>
    </row>
    <row r="134" spans="2:15" s="2" customFormat="1" x14ac:dyDescent="0.3">
      <c r="B134" s="162"/>
      <c r="C134" s="940" t="s">
        <v>427</v>
      </c>
      <c r="D134" s="162"/>
      <c r="E134" s="380"/>
      <c r="F134" s="2025"/>
      <c r="G134" s="2025"/>
      <c r="H134" s="2025"/>
      <c r="I134" s="2025"/>
      <c r="J134" s="2025"/>
      <c r="K134" s="2025"/>
      <c r="L134" s="2025"/>
      <c r="M134" s="2025"/>
      <c r="N134" s="2025"/>
      <c r="O134" s="2025"/>
    </row>
    <row r="135" spans="2:15" s="2" customFormat="1" x14ac:dyDescent="0.3">
      <c r="B135" s="162"/>
      <c r="C135" s="940" t="s">
        <v>33</v>
      </c>
      <c r="D135" s="162"/>
      <c r="E135" s="380"/>
      <c r="F135" s="2025"/>
      <c r="G135" s="2025"/>
      <c r="H135" s="2025"/>
      <c r="I135" s="2025"/>
      <c r="J135" s="2025"/>
      <c r="K135" s="2025"/>
      <c r="L135" s="2025"/>
      <c r="M135" s="2025"/>
      <c r="N135" s="2025"/>
      <c r="O135" s="2025"/>
    </row>
    <row r="136" spans="2:15" s="2" customFormat="1" x14ac:dyDescent="0.3">
      <c r="B136" s="930"/>
      <c r="C136" s="324" t="s">
        <v>35</v>
      </c>
      <c r="D136" s="325"/>
      <c r="E136" s="932"/>
      <c r="F136" s="2021"/>
      <c r="G136" s="2021"/>
      <c r="H136" s="2021"/>
      <c r="I136" s="2021"/>
      <c r="J136" s="2021"/>
      <c r="K136" s="2021"/>
      <c r="L136" s="2021"/>
      <c r="M136" s="2021"/>
      <c r="N136" s="2021"/>
      <c r="O136" s="2021"/>
    </row>
    <row r="137" spans="2:15" s="2" customFormat="1" x14ac:dyDescent="0.3">
      <c r="B137" s="930"/>
      <c r="C137" s="324" t="s">
        <v>1476</v>
      </c>
      <c r="D137" s="325"/>
      <c r="E137" s="932"/>
      <c r="F137" s="2021"/>
      <c r="G137" s="2021"/>
      <c r="H137" s="2021"/>
      <c r="I137" s="2021"/>
      <c r="J137" s="2021"/>
      <c r="K137" s="2021"/>
      <c r="L137" s="2021"/>
      <c r="M137" s="2021"/>
      <c r="N137" s="2021"/>
      <c r="O137" s="2021"/>
    </row>
    <row r="138" spans="2:15" s="2" customFormat="1" ht="15.5" x14ac:dyDescent="0.3">
      <c r="B138" s="930">
        <v>1</v>
      </c>
      <c r="C138" s="325" t="s">
        <v>1477</v>
      </c>
      <c r="D138" s="325" t="s">
        <v>1478</v>
      </c>
      <c r="E138" s="932" t="s">
        <v>1479</v>
      </c>
      <c r="F138" s="2021">
        <v>82.23</v>
      </c>
      <c r="G138" s="2021">
        <v>16.79</v>
      </c>
      <c r="H138" s="2021">
        <v>8.56</v>
      </c>
      <c r="I138" s="2021">
        <v>8.2299999999999986</v>
      </c>
      <c r="J138" s="2021">
        <v>5.8</v>
      </c>
      <c r="K138" s="2021">
        <v>14.03</v>
      </c>
      <c r="L138" s="2021">
        <v>0</v>
      </c>
      <c r="M138" s="2021">
        <v>0</v>
      </c>
      <c r="N138" s="2022">
        <f t="shared" ref="N138:N162" si="9">K138+L138+M138</f>
        <v>14.03</v>
      </c>
      <c r="O138" s="2021">
        <f t="shared" ref="O138:O162" si="10">I138+J138-N138</f>
        <v>0</v>
      </c>
    </row>
    <row r="139" spans="2:15" s="2" customFormat="1" ht="15.5" x14ac:dyDescent="0.3">
      <c r="B139" s="930">
        <v>2</v>
      </c>
      <c r="C139" s="325" t="s">
        <v>2061</v>
      </c>
      <c r="D139" s="325" t="s">
        <v>2062</v>
      </c>
      <c r="E139" s="932" t="s">
        <v>2063</v>
      </c>
      <c r="F139" s="2021">
        <v>27.4</v>
      </c>
      <c r="G139" s="2021">
        <v>0</v>
      </c>
      <c r="H139" s="2021">
        <v>0</v>
      </c>
      <c r="I139" s="2021">
        <v>0</v>
      </c>
      <c r="J139" s="2021">
        <v>5.71</v>
      </c>
      <c r="K139" s="2021">
        <v>5.71</v>
      </c>
      <c r="L139" s="2021">
        <v>0</v>
      </c>
      <c r="M139" s="2021">
        <v>0</v>
      </c>
      <c r="N139" s="2022">
        <f t="shared" si="9"/>
        <v>5.71</v>
      </c>
      <c r="O139" s="2021">
        <f t="shared" si="10"/>
        <v>0</v>
      </c>
    </row>
    <row r="140" spans="2:15" s="2" customFormat="1" ht="15.5" x14ac:dyDescent="0.3">
      <c r="B140" s="930"/>
      <c r="C140" s="325"/>
      <c r="D140" s="325"/>
      <c r="E140" s="932"/>
      <c r="F140" s="2021"/>
      <c r="G140" s="2021"/>
      <c r="H140" s="2021"/>
      <c r="I140" s="2021"/>
      <c r="J140" s="2021"/>
      <c r="K140" s="2021"/>
      <c r="L140" s="2021">
        <v>0</v>
      </c>
      <c r="M140" s="2021">
        <v>0</v>
      </c>
      <c r="N140" s="2022">
        <f t="shared" si="9"/>
        <v>0</v>
      </c>
      <c r="O140" s="2021">
        <f t="shared" si="10"/>
        <v>0</v>
      </c>
    </row>
    <row r="141" spans="2:15" s="2" customFormat="1" ht="15.5" x14ac:dyDescent="0.3">
      <c r="B141" s="930"/>
      <c r="C141" s="324" t="s">
        <v>1380</v>
      </c>
      <c r="D141" s="325">
        <v>0</v>
      </c>
      <c r="E141" s="932">
        <v>0</v>
      </c>
      <c r="F141" s="2021"/>
      <c r="G141" s="2021"/>
      <c r="H141" s="2021"/>
      <c r="I141" s="2021"/>
      <c r="J141" s="2021"/>
      <c r="K141" s="2021"/>
      <c r="L141" s="2021">
        <v>0</v>
      </c>
      <c r="M141" s="2021">
        <v>0</v>
      </c>
      <c r="N141" s="2022">
        <f t="shared" si="9"/>
        <v>0</v>
      </c>
      <c r="O141" s="2021">
        <f t="shared" si="10"/>
        <v>0</v>
      </c>
    </row>
    <row r="142" spans="2:15" s="2" customFormat="1" ht="15.5" x14ac:dyDescent="0.3">
      <c r="B142" s="930">
        <v>3</v>
      </c>
      <c r="C142" s="325" t="s">
        <v>1480</v>
      </c>
      <c r="D142" s="325" t="s">
        <v>2039</v>
      </c>
      <c r="E142" s="932" t="s">
        <v>1482</v>
      </c>
      <c r="F142" s="2021">
        <v>36.630000000000003</v>
      </c>
      <c r="G142" s="2021">
        <v>11.46</v>
      </c>
      <c r="H142" s="2021">
        <v>11.46</v>
      </c>
      <c r="I142" s="2021">
        <v>0</v>
      </c>
      <c r="J142" s="2021">
        <v>2.5</v>
      </c>
      <c r="K142" s="2021">
        <v>2.5</v>
      </c>
      <c r="L142" s="2021">
        <v>0</v>
      </c>
      <c r="M142" s="2021">
        <v>0</v>
      </c>
      <c r="N142" s="2022">
        <f t="shared" si="9"/>
        <v>2.5</v>
      </c>
      <c r="O142" s="2021">
        <f t="shared" si="10"/>
        <v>0</v>
      </c>
    </row>
    <row r="143" spans="2:15" s="2" customFormat="1" ht="15.5" x14ac:dyDescent="0.3">
      <c r="B143" s="930">
        <v>4</v>
      </c>
      <c r="C143" s="325" t="s">
        <v>1483</v>
      </c>
      <c r="D143" s="325" t="s">
        <v>2127</v>
      </c>
      <c r="E143" s="932" t="s">
        <v>1485</v>
      </c>
      <c r="F143" s="2021">
        <v>64.09</v>
      </c>
      <c r="G143" s="2021">
        <v>22.779999999999998</v>
      </c>
      <c r="H143" s="2021">
        <v>22.78</v>
      </c>
      <c r="I143" s="2021">
        <v>0</v>
      </c>
      <c r="J143" s="2021">
        <v>3</v>
      </c>
      <c r="K143" s="2021">
        <v>3</v>
      </c>
      <c r="L143" s="2021">
        <v>0</v>
      </c>
      <c r="M143" s="2021">
        <v>0</v>
      </c>
      <c r="N143" s="2022">
        <f t="shared" si="9"/>
        <v>3</v>
      </c>
      <c r="O143" s="2021">
        <f t="shared" si="10"/>
        <v>0</v>
      </c>
    </row>
    <row r="144" spans="2:15" s="2" customFormat="1" ht="15.5" x14ac:dyDescent="0.3">
      <c r="B144" s="930">
        <v>5</v>
      </c>
      <c r="C144" s="325" t="s">
        <v>1486</v>
      </c>
      <c r="D144" s="325" t="s">
        <v>2127</v>
      </c>
      <c r="E144" s="932" t="s">
        <v>1485</v>
      </c>
      <c r="F144" s="2021">
        <v>58.86</v>
      </c>
      <c r="G144" s="2021">
        <v>5.76</v>
      </c>
      <c r="H144" s="2021">
        <v>5.76</v>
      </c>
      <c r="I144" s="2021">
        <v>0</v>
      </c>
      <c r="J144" s="2021">
        <v>3.5</v>
      </c>
      <c r="K144" s="2021">
        <v>3.5</v>
      </c>
      <c r="L144" s="2021">
        <v>0</v>
      </c>
      <c r="M144" s="2021">
        <v>0</v>
      </c>
      <c r="N144" s="2022">
        <f t="shared" si="9"/>
        <v>3.5</v>
      </c>
      <c r="O144" s="2021">
        <f t="shared" si="10"/>
        <v>0</v>
      </c>
    </row>
    <row r="145" spans="2:15" s="2" customFormat="1" ht="15.5" x14ac:dyDescent="0.3">
      <c r="B145" s="930">
        <v>6</v>
      </c>
      <c r="C145" s="325" t="s">
        <v>1490</v>
      </c>
      <c r="D145" s="325" t="s">
        <v>1491</v>
      </c>
      <c r="E145" s="932" t="s">
        <v>1492</v>
      </c>
      <c r="F145" s="2021">
        <v>40.6</v>
      </c>
      <c r="G145" s="2021">
        <v>23.82</v>
      </c>
      <c r="H145" s="2021">
        <v>23.82</v>
      </c>
      <c r="I145" s="2021">
        <v>0</v>
      </c>
      <c r="J145" s="2021">
        <v>2.5</v>
      </c>
      <c r="K145" s="2021">
        <v>2.5</v>
      </c>
      <c r="L145" s="2021">
        <v>0</v>
      </c>
      <c r="M145" s="2021">
        <v>0</v>
      </c>
      <c r="N145" s="2022">
        <f t="shared" si="9"/>
        <v>2.5</v>
      </c>
      <c r="O145" s="2021">
        <f t="shared" si="10"/>
        <v>0</v>
      </c>
    </row>
    <row r="146" spans="2:15" s="2" customFormat="1" ht="15.5" x14ac:dyDescent="0.3">
      <c r="B146" s="930"/>
      <c r="C146" s="325"/>
      <c r="D146" s="325"/>
      <c r="E146" s="932"/>
      <c r="F146" s="2021"/>
      <c r="G146" s="2021"/>
      <c r="H146" s="2021"/>
      <c r="I146" s="2021"/>
      <c r="J146" s="2021"/>
      <c r="K146" s="2021"/>
      <c r="L146" s="2021">
        <v>0</v>
      </c>
      <c r="M146" s="2021">
        <v>0</v>
      </c>
      <c r="N146" s="2022">
        <f t="shared" si="9"/>
        <v>0</v>
      </c>
      <c r="O146" s="2021">
        <f t="shared" si="10"/>
        <v>0</v>
      </c>
    </row>
    <row r="147" spans="2:15" s="2" customFormat="1" ht="15.5" x14ac:dyDescent="0.3">
      <c r="B147" s="930"/>
      <c r="C147" s="324" t="s">
        <v>1493</v>
      </c>
      <c r="D147" s="325"/>
      <c r="E147" s="932"/>
      <c r="F147" s="2021"/>
      <c r="G147" s="2021"/>
      <c r="H147" s="2021"/>
      <c r="I147" s="2021"/>
      <c r="J147" s="2021"/>
      <c r="K147" s="2021"/>
      <c r="L147" s="2021"/>
      <c r="M147" s="2021"/>
      <c r="N147" s="2022"/>
      <c r="O147" s="2021"/>
    </row>
    <row r="148" spans="2:15" s="2" customFormat="1" ht="15.5" x14ac:dyDescent="0.3">
      <c r="B148" s="930">
        <v>7</v>
      </c>
      <c r="C148" s="325" t="s">
        <v>2064</v>
      </c>
      <c r="D148" s="325" t="s">
        <v>2065</v>
      </c>
      <c r="E148" s="932" t="s">
        <v>1492</v>
      </c>
      <c r="F148" s="2021">
        <v>147.65</v>
      </c>
      <c r="G148" s="2021">
        <v>39.21</v>
      </c>
      <c r="H148" s="2021">
        <v>39.21</v>
      </c>
      <c r="I148" s="2021">
        <v>0</v>
      </c>
      <c r="J148" s="2021">
        <v>25</v>
      </c>
      <c r="K148" s="2021">
        <v>25</v>
      </c>
      <c r="L148" s="2021">
        <v>0</v>
      </c>
      <c r="M148" s="2021">
        <v>0</v>
      </c>
      <c r="N148" s="2022">
        <f t="shared" si="9"/>
        <v>25</v>
      </c>
      <c r="O148" s="2021">
        <f t="shared" si="10"/>
        <v>0</v>
      </c>
    </row>
    <row r="149" spans="2:15" s="2" customFormat="1" ht="15.5" x14ac:dyDescent="0.3">
      <c r="B149" s="930"/>
      <c r="C149" s="324" t="s">
        <v>1496</v>
      </c>
      <c r="D149" s="325"/>
      <c r="E149" s="932"/>
      <c r="F149" s="2021"/>
      <c r="G149" s="2021"/>
      <c r="H149" s="2021"/>
      <c r="I149" s="2021"/>
      <c r="J149" s="2021"/>
      <c r="K149" s="2021"/>
      <c r="L149" s="2021">
        <v>0</v>
      </c>
      <c r="M149" s="2021">
        <v>0</v>
      </c>
      <c r="N149" s="2022">
        <f t="shared" si="9"/>
        <v>0</v>
      </c>
      <c r="O149" s="2021">
        <f t="shared" si="10"/>
        <v>0</v>
      </c>
    </row>
    <row r="150" spans="2:15" s="2" customFormat="1" ht="15.5" x14ac:dyDescent="0.3">
      <c r="B150" s="930">
        <v>8</v>
      </c>
      <c r="C150" s="327" t="s">
        <v>2066</v>
      </c>
      <c r="D150" s="325" t="s">
        <v>2067</v>
      </c>
      <c r="E150" s="932" t="s">
        <v>2068</v>
      </c>
      <c r="F150" s="2021">
        <v>246.2</v>
      </c>
      <c r="G150" s="2021">
        <v>101.52</v>
      </c>
      <c r="H150" s="2021">
        <v>101.52</v>
      </c>
      <c r="I150" s="2021">
        <v>0</v>
      </c>
      <c r="J150" s="2021">
        <v>49.68</v>
      </c>
      <c r="K150" s="2021">
        <v>49.68</v>
      </c>
      <c r="L150" s="2021">
        <v>0</v>
      </c>
      <c r="M150" s="2021">
        <v>0</v>
      </c>
      <c r="N150" s="2022">
        <f t="shared" si="9"/>
        <v>49.68</v>
      </c>
      <c r="O150" s="2021">
        <f t="shared" si="10"/>
        <v>0</v>
      </c>
    </row>
    <row r="151" spans="2:15" s="2" customFormat="1" ht="15.5" x14ac:dyDescent="0.3">
      <c r="B151" s="930"/>
      <c r="C151" s="324" t="s">
        <v>2130</v>
      </c>
      <c r="D151" s="325"/>
      <c r="E151" s="932"/>
      <c r="F151" s="2021"/>
      <c r="G151" s="2021"/>
      <c r="H151" s="2021"/>
      <c r="I151" s="2021"/>
      <c r="J151" s="2021"/>
      <c r="K151" s="2021"/>
      <c r="L151" s="2021">
        <v>0</v>
      </c>
      <c r="M151" s="2021">
        <v>0</v>
      </c>
      <c r="N151" s="2022">
        <f t="shared" si="9"/>
        <v>0</v>
      </c>
      <c r="O151" s="2021">
        <f t="shared" si="10"/>
        <v>0</v>
      </c>
    </row>
    <row r="152" spans="2:15" s="2" customFormat="1" ht="15.5" x14ac:dyDescent="0.3">
      <c r="B152" s="930">
        <v>9</v>
      </c>
      <c r="C152" s="327" t="s">
        <v>2137</v>
      </c>
      <c r="D152" s="325" t="s">
        <v>1502</v>
      </c>
      <c r="E152" s="932" t="s">
        <v>2053</v>
      </c>
      <c r="F152" s="2021">
        <v>13.12</v>
      </c>
      <c r="G152" s="2021">
        <v>0</v>
      </c>
      <c r="H152" s="2021">
        <v>0</v>
      </c>
      <c r="I152" s="2021">
        <v>0</v>
      </c>
      <c r="J152" s="2021">
        <v>0</v>
      </c>
      <c r="K152" s="2021">
        <v>0</v>
      </c>
      <c r="L152" s="2021">
        <v>0</v>
      </c>
      <c r="M152" s="2021">
        <v>0</v>
      </c>
      <c r="N152" s="2022">
        <f t="shared" si="9"/>
        <v>0</v>
      </c>
      <c r="O152" s="2021">
        <f t="shared" si="10"/>
        <v>0</v>
      </c>
    </row>
    <row r="153" spans="2:15" s="2" customFormat="1" ht="15.5" x14ac:dyDescent="0.3">
      <c r="B153" s="930">
        <v>10</v>
      </c>
      <c r="C153" s="325" t="s">
        <v>1504</v>
      </c>
      <c r="D153" s="325" t="s">
        <v>2131</v>
      </c>
      <c r="E153" s="932" t="s">
        <v>2070</v>
      </c>
      <c r="F153" s="2021">
        <v>9.2200000000000006</v>
      </c>
      <c r="G153" s="2021">
        <v>0.45</v>
      </c>
      <c r="H153" s="2021">
        <v>0.45</v>
      </c>
      <c r="I153" s="2021">
        <v>0</v>
      </c>
      <c r="J153" s="2021">
        <v>0.5</v>
      </c>
      <c r="K153" s="2021">
        <v>0.5</v>
      </c>
      <c r="L153" s="2021">
        <v>0</v>
      </c>
      <c r="M153" s="2021">
        <v>0</v>
      </c>
      <c r="N153" s="2022">
        <f t="shared" si="9"/>
        <v>0.5</v>
      </c>
      <c r="O153" s="2021">
        <f t="shared" si="10"/>
        <v>0</v>
      </c>
    </row>
    <row r="154" spans="2:15" s="2" customFormat="1" ht="15.5" x14ac:dyDescent="0.3">
      <c r="B154" s="930"/>
      <c r="C154" s="324"/>
      <c r="D154" s="325"/>
      <c r="E154" s="932"/>
      <c r="F154" s="2021"/>
      <c r="G154" s="2021"/>
      <c r="H154" s="2021"/>
      <c r="I154" s="2021"/>
      <c r="J154" s="2021"/>
      <c r="K154" s="2021"/>
      <c r="L154" s="2021">
        <v>0</v>
      </c>
      <c r="M154" s="2021">
        <v>0</v>
      </c>
      <c r="N154" s="2022">
        <f t="shared" si="9"/>
        <v>0</v>
      </c>
      <c r="O154" s="2021">
        <f t="shared" si="10"/>
        <v>0</v>
      </c>
    </row>
    <row r="155" spans="2:15" s="2" customFormat="1" ht="15.5" x14ac:dyDescent="0.3">
      <c r="B155" s="930"/>
      <c r="C155" s="324"/>
      <c r="D155" s="325"/>
      <c r="E155" s="932"/>
      <c r="F155" s="2021"/>
      <c r="G155" s="2021"/>
      <c r="H155" s="2021"/>
      <c r="I155" s="2021"/>
      <c r="J155" s="2021"/>
      <c r="K155" s="2021"/>
      <c r="L155" s="2021">
        <v>0</v>
      </c>
      <c r="M155" s="2021">
        <v>0</v>
      </c>
      <c r="N155" s="2022">
        <f t="shared" si="9"/>
        <v>0</v>
      </c>
      <c r="O155" s="2021">
        <f t="shared" si="10"/>
        <v>0</v>
      </c>
    </row>
    <row r="156" spans="2:15" s="2" customFormat="1" ht="15.5" x14ac:dyDescent="0.3">
      <c r="B156" s="930">
        <v>11</v>
      </c>
      <c r="C156" s="325" t="s">
        <v>1470</v>
      </c>
      <c r="D156" s="325"/>
      <c r="E156" s="1808" t="s">
        <v>2121</v>
      </c>
      <c r="F156" s="2021">
        <v>56.07</v>
      </c>
      <c r="G156" s="2021">
        <v>26.24</v>
      </c>
      <c r="H156" s="2021">
        <v>26.24</v>
      </c>
      <c r="I156" s="2021">
        <v>0</v>
      </c>
      <c r="J156" s="2021">
        <v>5.5</v>
      </c>
      <c r="K156" s="2021">
        <v>5.5</v>
      </c>
      <c r="L156" s="2021">
        <v>0</v>
      </c>
      <c r="M156" s="2021">
        <v>0</v>
      </c>
      <c r="N156" s="2022">
        <f t="shared" si="9"/>
        <v>5.5</v>
      </c>
      <c r="O156" s="2021">
        <f t="shared" si="10"/>
        <v>0</v>
      </c>
    </row>
    <row r="157" spans="2:15" s="2" customFormat="1" ht="15.5" x14ac:dyDescent="0.3">
      <c r="B157" s="930"/>
      <c r="C157" s="325"/>
      <c r="D157" s="325"/>
      <c r="E157" s="932"/>
      <c r="F157" s="2021"/>
      <c r="G157" s="2021"/>
      <c r="H157" s="2021"/>
      <c r="I157" s="2021"/>
      <c r="J157" s="2021"/>
      <c r="K157" s="2021"/>
      <c r="L157" s="2021">
        <v>0</v>
      </c>
      <c r="M157" s="2021">
        <v>0</v>
      </c>
      <c r="N157" s="2022">
        <f t="shared" si="9"/>
        <v>0</v>
      </c>
      <c r="O157" s="2021">
        <f t="shared" si="10"/>
        <v>0</v>
      </c>
    </row>
    <row r="158" spans="2:15" s="2" customFormat="1" ht="15.5" x14ac:dyDescent="0.3">
      <c r="B158" s="930"/>
      <c r="C158" s="324" t="s">
        <v>34</v>
      </c>
      <c r="D158" s="325"/>
      <c r="E158" s="932"/>
      <c r="F158" s="2021"/>
      <c r="G158" s="2021"/>
      <c r="H158" s="2021"/>
      <c r="I158" s="2021"/>
      <c r="J158" s="2021"/>
      <c r="K158" s="2021"/>
      <c r="L158" s="2021">
        <v>0</v>
      </c>
      <c r="M158" s="2021">
        <v>0</v>
      </c>
      <c r="N158" s="2022">
        <f t="shared" si="9"/>
        <v>0</v>
      </c>
      <c r="O158" s="2021">
        <f t="shared" si="10"/>
        <v>0</v>
      </c>
    </row>
    <row r="159" spans="2:15" s="2" customFormat="1" ht="15.5" x14ac:dyDescent="0.3">
      <c r="B159" s="930">
        <v>12</v>
      </c>
      <c r="C159" s="325" t="s">
        <v>1471</v>
      </c>
      <c r="D159" s="325" t="s">
        <v>2041</v>
      </c>
      <c r="E159" s="932" t="s">
        <v>2041</v>
      </c>
      <c r="F159" s="2021"/>
      <c r="G159" s="2021">
        <v>12.01</v>
      </c>
      <c r="H159" s="2021">
        <v>11.34</v>
      </c>
      <c r="I159" s="2021">
        <v>0.66999999999999993</v>
      </c>
      <c r="J159" s="2021">
        <v>8.5</v>
      </c>
      <c r="K159" s="2021">
        <v>9.17</v>
      </c>
      <c r="L159" s="2021">
        <v>0</v>
      </c>
      <c r="M159" s="2021">
        <v>0</v>
      </c>
      <c r="N159" s="2022">
        <f t="shared" si="9"/>
        <v>9.17</v>
      </c>
      <c r="O159" s="2021">
        <f t="shared" si="10"/>
        <v>0</v>
      </c>
    </row>
    <row r="160" spans="2:15" s="2" customFormat="1" ht="15.5" x14ac:dyDescent="0.3">
      <c r="B160" s="930">
        <v>13</v>
      </c>
      <c r="C160" s="4" t="s">
        <v>1473</v>
      </c>
      <c r="D160" s="325" t="s">
        <v>2041</v>
      </c>
      <c r="E160" s="932" t="s">
        <v>2041</v>
      </c>
      <c r="F160" s="2021"/>
      <c r="G160" s="2021">
        <v>72.990000000000009</v>
      </c>
      <c r="H160" s="2021">
        <v>72.989999999999995</v>
      </c>
      <c r="I160" s="2021">
        <v>0</v>
      </c>
      <c r="J160" s="2021">
        <v>7.5</v>
      </c>
      <c r="K160" s="2021">
        <v>7.5</v>
      </c>
      <c r="L160" s="2021">
        <v>0</v>
      </c>
      <c r="M160" s="2021">
        <v>0</v>
      </c>
      <c r="N160" s="2022">
        <f t="shared" si="9"/>
        <v>7.5</v>
      </c>
      <c r="O160" s="2021">
        <f t="shared" si="10"/>
        <v>0</v>
      </c>
    </row>
    <row r="161" spans="2:15" s="2" customFormat="1" ht="15.5" x14ac:dyDescent="0.3">
      <c r="B161" s="1947">
        <v>14</v>
      </c>
      <c r="C161" s="11" t="s">
        <v>1474</v>
      </c>
      <c r="D161" s="11" t="s">
        <v>2041</v>
      </c>
      <c r="E161" s="1947" t="s">
        <v>2041</v>
      </c>
      <c r="F161" s="1857"/>
      <c r="G161" s="1857">
        <v>8.93</v>
      </c>
      <c r="H161" s="1857">
        <v>8.93</v>
      </c>
      <c r="I161" s="2021">
        <v>0</v>
      </c>
      <c r="J161" s="1857">
        <v>2.5</v>
      </c>
      <c r="K161" s="1857">
        <v>2.5</v>
      </c>
      <c r="L161" s="1857">
        <v>0</v>
      </c>
      <c r="M161" s="1857">
        <v>0</v>
      </c>
      <c r="N161" s="2022">
        <f t="shared" si="9"/>
        <v>2.5</v>
      </c>
      <c r="O161" s="2021">
        <f t="shared" si="10"/>
        <v>0</v>
      </c>
    </row>
    <row r="162" spans="2:15" s="2" customFormat="1" ht="14" customHeight="1" x14ac:dyDescent="0.3">
      <c r="B162" s="1945">
        <v>15</v>
      </c>
      <c r="C162" s="929" t="s">
        <v>1475</v>
      </c>
      <c r="D162" s="1974">
        <v>0</v>
      </c>
      <c r="E162" s="1975">
        <v>0</v>
      </c>
      <c r="F162" s="1974"/>
      <c r="G162" s="1974">
        <v>1.07</v>
      </c>
      <c r="H162" s="1974">
        <v>1.07</v>
      </c>
      <c r="I162" s="2021">
        <v>0</v>
      </c>
      <c r="J162" s="1974">
        <v>1.5</v>
      </c>
      <c r="K162" s="1974">
        <v>1.5</v>
      </c>
      <c r="L162" s="1974">
        <v>0</v>
      </c>
      <c r="M162" s="1974">
        <v>0</v>
      </c>
      <c r="N162" s="2022">
        <f t="shared" si="9"/>
        <v>1.5</v>
      </c>
      <c r="O162" s="2021">
        <f t="shared" si="10"/>
        <v>0</v>
      </c>
    </row>
    <row r="163" spans="2:15" s="2" customFormat="1" x14ac:dyDescent="0.3">
      <c r="B163" s="2023"/>
      <c r="C163" s="2024" t="s">
        <v>396</v>
      </c>
      <c r="D163" s="2024"/>
      <c r="E163" s="2024"/>
      <c r="F163" s="2024">
        <f>SUM(F138:F162)</f>
        <v>782.07000000000016</v>
      </c>
      <c r="G163" s="2024">
        <f>SUM(G138:G162)</f>
        <v>343.03</v>
      </c>
      <c r="H163" s="2024">
        <f>SUM(H138:H162)</f>
        <v>334.13</v>
      </c>
      <c r="I163" s="2024">
        <f t="shared" ref="I163:O163" si="11">SUM(I138:I162)</f>
        <v>8.8999999999999986</v>
      </c>
      <c r="J163" s="2024">
        <f t="shared" si="11"/>
        <v>123.69</v>
      </c>
      <c r="K163" s="2024">
        <f t="shared" si="11"/>
        <v>132.58999999999997</v>
      </c>
      <c r="L163" s="2024">
        <f t="shared" si="11"/>
        <v>0</v>
      </c>
      <c r="M163" s="2024">
        <f t="shared" si="11"/>
        <v>0</v>
      </c>
      <c r="N163" s="2024">
        <f t="shared" si="11"/>
        <v>132.58999999999997</v>
      </c>
      <c r="O163" s="2024">
        <f t="shared" si="11"/>
        <v>0</v>
      </c>
    </row>
    <row r="164" spans="2:15" s="2" customFormat="1" ht="15.5" x14ac:dyDescent="0.35">
      <c r="B164" s="162"/>
      <c r="C164" s="939" t="s">
        <v>1469</v>
      </c>
      <c r="D164" s="929"/>
      <c r="E164" s="753"/>
      <c r="F164" s="1974"/>
      <c r="G164" s="1974"/>
      <c r="H164" s="1974"/>
      <c r="I164" s="2032"/>
      <c r="J164" s="1974"/>
      <c r="K164" s="2025"/>
      <c r="L164" s="2025"/>
      <c r="M164" s="2025"/>
      <c r="N164" s="2025"/>
      <c r="O164" s="1974"/>
    </row>
    <row r="165" spans="2:15" s="2" customFormat="1" x14ac:dyDescent="0.3">
      <c r="B165" s="930"/>
      <c r="C165" s="324"/>
      <c r="D165" s="4"/>
      <c r="E165" s="933"/>
      <c r="F165" s="2021"/>
      <c r="G165" s="2021"/>
      <c r="H165" s="2021"/>
      <c r="I165" s="2033"/>
      <c r="J165" s="2021"/>
      <c r="K165" s="2021"/>
      <c r="L165" s="2021"/>
      <c r="M165" s="2021"/>
      <c r="N165" s="2021"/>
      <c r="O165" s="2021"/>
    </row>
    <row r="166" spans="2:15" s="2" customFormat="1" x14ac:dyDescent="0.3">
      <c r="B166" s="2351" t="s">
        <v>187</v>
      </c>
      <c r="C166" s="2351" t="s">
        <v>26</v>
      </c>
      <c r="D166" s="2351" t="s">
        <v>617</v>
      </c>
      <c r="E166" s="2352" t="s">
        <v>618</v>
      </c>
      <c r="F166" s="2306" t="s">
        <v>551</v>
      </c>
      <c r="G166" s="2306" t="s">
        <v>629</v>
      </c>
      <c r="H166" s="2306" t="s">
        <v>630</v>
      </c>
      <c r="I166" s="2306" t="s">
        <v>552</v>
      </c>
      <c r="J166" s="2306" t="s">
        <v>553</v>
      </c>
      <c r="K166" s="2306" t="s">
        <v>554</v>
      </c>
      <c r="L166" s="2306"/>
      <c r="M166" s="2306"/>
      <c r="N166" s="2306"/>
      <c r="O166" s="2306" t="s">
        <v>555</v>
      </c>
    </row>
    <row r="167" spans="2:15" s="2" customFormat="1" x14ac:dyDescent="0.3">
      <c r="B167" s="2351"/>
      <c r="C167" s="2351"/>
      <c r="D167" s="2351"/>
      <c r="E167" s="2352"/>
      <c r="F167" s="2306"/>
      <c r="G167" s="2306"/>
      <c r="H167" s="2306"/>
      <c r="I167" s="2306"/>
      <c r="J167" s="2306"/>
      <c r="K167" s="2306"/>
      <c r="L167" s="2306"/>
      <c r="M167" s="2306"/>
      <c r="N167" s="2306"/>
      <c r="O167" s="2306"/>
    </row>
    <row r="168" spans="2:15" s="2" customFormat="1" ht="28" x14ac:dyDescent="0.3">
      <c r="B168" s="2351"/>
      <c r="C168" s="2351"/>
      <c r="D168" s="2351"/>
      <c r="E168" s="2352"/>
      <c r="F168" s="2306"/>
      <c r="G168" s="2306"/>
      <c r="H168" s="2306"/>
      <c r="I168" s="2306"/>
      <c r="J168" s="2306"/>
      <c r="K168" s="2008" t="s">
        <v>556</v>
      </c>
      <c r="L168" s="2008" t="s">
        <v>557</v>
      </c>
      <c r="M168" s="2008" t="s">
        <v>558</v>
      </c>
      <c r="N168" s="2008" t="s">
        <v>559</v>
      </c>
      <c r="O168" s="2306"/>
    </row>
    <row r="169" spans="2:15" s="2" customFormat="1" x14ac:dyDescent="0.3">
      <c r="B169" s="930"/>
      <c r="C169" s="324" t="s">
        <v>428</v>
      </c>
      <c r="D169" s="325"/>
      <c r="E169" s="932"/>
      <c r="F169" s="2021"/>
      <c r="G169" s="2021"/>
      <c r="H169" s="2021"/>
      <c r="I169" s="2021"/>
      <c r="J169" s="2021"/>
      <c r="K169" s="2021"/>
      <c r="L169" s="2021"/>
      <c r="M169" s="2021"/>
      <c r="N169" s="2021"/>
      <c r="O169" s="2021"/>
    </row>
    <row r="170" spans="2:15" s="2" customFormat="1" x14ac:dyDescent="0.3">
      <c r="B170" s="930"/>
      <c r="C170" s="324" t="s">
        <v>33</v>
      </c>
      <c r="D170" s="325"/>
      <c r="E170" s="932"/>
      <c r="F170" s="2021"/>
      <c r="G170" s="2021"/>
      <c r="H170" s="2021"/>
      <c r="I170" s="2021"/>
      <c r="J170" s="2021"/>
      <c r="K170" s="2021"/>
      <c r="L170" s="2021"/>
      <c r="M170" s="2021"/>
      <c r="N170" s="2021"/>
      <c r="O170" s="2021"/>
    </row>
    <row r="171" spans="2:15" s="2" customFormat="1" x14ac:dyDescent="0.3">
      <c r="B171" s="930"/>
      <c r="C171" s="324" t="s">
        <v>35</v>
      </c>
      <c r="D171" s="325"/>
      <c r="E171" s="932"/>
      <c r="F171" s="2021"/>
      <c r="G171" s="2021"/>
      <c r="H171" s="2021"/>
      <c r="I171" s="2021"/>
      <c r="J171" s="2021"/>
      <c r="K171" s="2021"/>
      <c r="L171" s="2021"/>
      <c r="M171" s="2021"/>
      <c r="N171" s="2021"/>
      <c r="O171" s="2021"/>
    </row>
    <row r="172" spans="2:15" s="2" customFormat="1" x14ac:dyDescent="0.3">
      <c r="B172" s="930"/>
      <c r="C172" s="325" t="s">
        <v>1476</v>
      </c>
      <c r="D172" s="325"/>
      <c r="E172" s="932"/>
      <c r="F172" s="2021"/>
      <c r="G172" s="2021"/>
      <c r="H172" s="2021"/>
      <c r="I172" s="2021"/>
      <c r="J172" s="2021"/>
      <c r="K172" s="2021"/>
      <c r="L172" s="2021"/>
      <c r="M172" s="2021"/>
      <c r="N172" s="2021"/>
      <c r="O172" s="2021"/>
    </row>
    <row r="173" spans="2:15" s="2" customFormat="1" ht="15.5" x14ac:dyDescent="0.3">
      <c r="B173" s="930">
        <v>1</v>
      </c>
      <c r="C173" s="325" t="s">
        <v>1477</v>
      </c>
      <c r="D173" s="325" t="s">
        <v>1478</v>
      </c>
      <c r="E173" s="932" t="s">
        <v>1479</v>
      </c>
      <c r="F173" s="2021">
        <v>82.23</v>
      </c>
      <c r="G173" s="2021">
        <v>22.59</v>
      </c>
      <c r="H173" s="2021">
        <v>22.59</v>
      </c>
      <c r="I173" s="2021">
        <v>0</v>
      </c>
      <c r="J173" s="1975">
        <v>5.9</v>
      </c>
      <c r="K173" s="2021">
        <v>5.9</v>
      </c>
      <c r="L173" s="2021">
        <v>0</v>
      </c>
      <c r="M173" s="2021">
        <v>0</v>
      </c>
      <c r="N173" s="2022">
        <f t="shared" ref="N173:N201" si="12">K173+L173+M173</f>
        <v>5.9</v>
      </c>
      <c r="O173" s="2021">
        <f t="shared" ref="O173:O201" si="13">I173+J173-N173</f>
        <v>0</v>
      </c>
    </row>
    <row r="174" spans="2:15" s="2" customFormat="1" ht="15.5" x14ac:dyDescent="0.3">
      <c r="B174" s="930">
        <v>2</v>
      </c>
      <c r="C174" s="325" t="s">
        <v>2061</v>
      </c>
      <c r="D174" s="325" t="s">
        <v>2062</v>
      </c>
      <c r="E174" s="932" t="s">
        <v>2063</v>
      </c>
      <c r="F174" s="2021">
        <v>27.4</v>
      </c>
      <c r="G174" s="2021">
        <v>5.71</v>
      </c>
      <c r="H174" s="2021">
        <v>5.71</v>
      </c>
      <c r="I174" s="2021">
        <v>0</v>
      </c>
      <c r="J174" s="1975">
        <v>13.43</v>
      </c>
      <c r="K174" s="2021">
        <v>13.43</v>
      </c>
      <c r="L174" s="2021">
        <v>0</v>
      </c>
      <c r="M174" s="2021">
        <v>0</v>
      </c>
      <c r="N174" s="2022">
        <f t="shared" si="12"/>
        <v>13.43</v>
      </c>
      <c r="O174" s="2021">
        <f t="shared" si="13"/>
        <v>0</v>
      </c>
    </row>
    <row r="175" spans="2:15" s="2" customFormat="1" ht="15.5" x14ac:dyDescent="0.3">
      <c r="B175" s="930"/>
      <c r="C175" s="325"/>
      <c r="D175" s="325"/>
      <c r="E175" s="932"/>
      <c r="F175" s="2021"/>
      <c r="G175" s="2021"/>
      <c r="H175" s="2021"/>
      <c r="I175" s="2021"/>
      <c r="J175" s="1975"/>
      <c r="K175" s="2021"/>
      <c r="L175" s="2021"/>
      <c r="M175" s="2021"/>
      <c r="N175" s="2022"/>
      <c r="O175" s="2021"/>
    </row>
    <row r="176" spans="2:15" s="2" customFormat="1" ht="15.5" x14ac:dyDescent="0.3">
      <c r="B176" s="930"/>
      <c r="C176" s="324" t="s">
        <v>1380</v>
      </c>
      <c r="D176" s="325"/>
      <c r="E176" s="932"/>
      <c r="F176" s="2021"/>
      <c r="G176" s="2021"/>
      <c r="H176" s="2021"/>
      <c r="I176" s="2021"/>
      <c r="J176" s="1975"/>
      <c r="K176" s="2021"/>
      <c r="L176" s="2021"/>
      <c r="M176" s="2021"/>
      <c r="N176" s="2022"/>
      <c r="O176" s="2021"/>
    </row>
    <row r="177" spans="2:15" s="2" customFormat="1" ht="15.5" x14ac:dyDescent="0.3">
      <c r="B177" s="930">
        <v>3</v>
      </c>
      <c r="C177" s="325" t="s">
        <v>1480</v>
      </c>
      <c r="D177" s="325" t="s">
        <v>2039</v>
      </c>
      <c r="E177" s="932" t="s">
        <v>1482</v>
      </c>
      <c r="F177" s="2021">
        <v>36.630000000000003</v>
      </c>
      <c r="G177" s="2021">
        <v>13.96</v>
      </c>
      <c r="H177" s="2021">
        <v>13.96</v>
      </c>
      <c r="I177" s="2021">
        <v>0</v>
      </c>
      <c r="J177" s="2021">
        <v>5</v>
      </c>
      <c r="K177" s="2021">
        <v>5</v>
      </c>
      <c r="L177" s="2021">
        <v>0</v>
      </c>
      <c r="M177" s="2021">
        <v>0</v>
      </c>
      <c r="N177" s="2022">
        <f t="shared" si="12"/>
        <v>5</v>
      </c>
      <c r="O177" s="2021">
        <f t="shared" si="13"/>
        <v>0</v>
      </c>
    </row>
    <row r="178" spans="2:15" s="2" customFormat="1" ht="14" customHeight="1" x14ac:dyDescent="0.3">
      <c r="B178" s="930">
        <v>4</v>
      </c>
      <c r="C178" s="325" t="s">
        <v>1483</v>
      </c>
      <c r="D178" s="325" t="s">
        <v>2127</v>
      </c>
      <c r="E178" s="932" t="s">
        <v>1485</v>
      </c>
      <c r="F178" s="2021">
        <v>64.09</v>
      </c>
      <c r="G178" s="2021">
        <v>25.779999999999998</v>
      </c>
      <c r="H178" s="2021">
        <v>25.78</v>
      </c>
      <c r="I178" s="2021">
        <v>0</v>
      </c>
      <c r="J178" s="2021">
        <v>7.5</v>
      </c>
      <c r="K178" s="2021">
        <v>7.5</v>
      </c>
      <c r="L178" s="2021">
        <v>0</v>
      </c>
      <c r="M178" s="2021">
        <v>0</v>
      </c>
      <c r="N178" s="2022">
        <f t="shared" si="12"/>
        <v>7.5</v>
      </c>
      <c r="O178" s="2021">
        <f t="shared" si="13"/>
        <v>0</v>
      </c>
    </row>
    <row r="179" spans="2:15" s="2" customFormat="1" ht="15.5" x14ac:dyDescent="0.3">
      <c r="B179" s="930">
        <v>5</v>
      </c>
      <c r="C179" s="325" t="s">
        <v>1486</v>
      </c>
      <c r="D179" s="325" t="s">
        <v>2127</v>
      </c>
      <c r="E179" s="932" t="s">
        <v>1485</v>
      </c>
      <c r="F179" s="2021">
        <v>58.86</v>
      </c>
      <c r="G179" s="2021">
        <v>9.26</v>
      </c>
      <c r="H179" s="2021">
        <v>9.26</v>
      </c>
      <c r="I179" s="2021">
        <v>0</v>
      </c>
      <c r="J179" s="2021">
        <v>8.25</v>
      </c>
      <c r="K179" s="2021">
        <v>8.25</v>
      </c>
      <c r="L179" s="2021">
        <v>0</v>
      </c>
      <c r="M179" s="2021">
        <v>0</v>
      </c>
      <c r="N179" s="2022">
        <f t="shared" si="12"/>
        <v>8.25</v>
      </c>
      <c r="O179" s="2021">
        <f t="shared" si="13"/>
        <v>0</v>
      </c>
    </row>
    <row r="180" spans="2:15" s="2" customFormat="1" ht="15.5" x14ac:dyDescent="0.3">
      <c r="B180" s="930">
        <v>6</v>
      </c>
      <c r="C180" s="325" t="s">
        <v>1490</v>
      </c>
      <c r="D180" s="325" t="s">
        <v>1491</v>
      </c>
      <c r="E180" s="932" t="s">
        <v>1492</v>
      </c>
      <c r="F180" s="2021">
        <v>40.6</v>
      </c>
      <c r="G180" s="2021">
        <v>26.32</v>
      </c>
      <c r="H180" s="2021">
        <v>26.32</v>
      </c>
      <c r="I180" s="2021">
        <v>0</v>
      </c>
      <c r="J180" s="2021">
        <v>7.66</v>
      </c>
      <c r="K180" s="2021">
        <v>7.66</v>
      </c>
      <c r="L180" s="2021">
        <v>0</v>
      </c>
      <c r="M180" s="2021">
        <v>0</v>
      </c>
      <c r="N180" s="2022">
        <f t="shared" si="12"/>
        <v>7.66</v>
      </c>
      <c r="O180" s="2021">
        <f t="shared" si="13"/>
        <v>0</v>
      </c>
    </row>
    <row r="181" spans="2:15" s="2" customFormat="1" ht="15.5" x14ac:dyDescent="0.3">
      <c r="B181" s="930"/>
      <c r="C181" s="325"/>
      <c r="D181" s="325"/>
      <c r="E181" s="932"/>
      <c r="F181" s="2021"/>
      <c r="G181" s="2021"/>
      <c r="H181" s="2021"/>
      <c r="I181" s="2021"/>
      <c r="J181" s="2021"/>
      <c r="K181" s="2021"/>
      <c r="L181" s="2021"/>
      <c r="M181" s="2021"/>
      <c r="N181" s="2022"/>
      <c r="O181" s="2021"/>
    </row>
    <row r="182" spans="2:15" s="2" customFormat="1" ht="15.5" x14ac:dyDescent="0.3">
      <c r="B182" s="930"/>
      <c r="C182" s="324" t="s">
        <v>1493</v>
      </c>
      <c r="D182" s="325"/>
      <c r="E182" s="932"/>
      <c r="F182" s="2021"/>
      <c r="G182" s="2021"/>
      <c r="H182" s="2021"/>
      <c r="I182" s="2021"/>
      <c r="J182" s="2021"/>
      <c r="K182" s="2021"/>
      <c r="L182" s="2021"/>
      <c r="M182" s="2021"/>
      <c r="N182" s="2022"/>
      <c r="O182" s="2021"/>
    </row>
    <row r="183" spans="2:15" s="2" customFormat="1" ht="15.5" x14ac:dyDescent="0.3">
      <c r="B183" s="930">
        <v>7</v>
      </c>
      <c r="C183" s="325" t="s">
        <v>2064</v>
      </c>
      <c r="D183" s="325" t="s">
        <v>2065</v>
      </c>
      <c r="E183" s="932" t="s">
        <v>1492</v>
      </c>
      <c r="F183" s="2021">
        <v>147.65</v>
      </c>
      <c r="G183" s="2021">
        <v>64.210000000000008</v>
      </c>
      <c r="H183" s="2021">
        <v>64.210000000000008</v>
      </c>
      <c r="I183" s="2021">
        <v>0</v>
      </c>
      <c r="J183" s="2021">
        <v>26.25</v>
      </c>
      <c r="K183" s="2021">
        <v>26.25</v>
      </c>
      <c r="L183" s="2021">
        <v>0</v>
      </c>
      <c r="M183" s="2021">
        <v>0</v>
      </c>
      <c r="N183" s="2022">
        <f t="shared" si="12"/>
        <v>26.25</v>
      </c>
      <c r="O183" s="2021">
        <f t="shared" si="13"/>
        <v>0</v>
      </c>
    </row>
    <row r="184" spans="2:15" s="2" customFormat="1" ht="15.5" x14ac:dyDescent="0.3">
      <c r="B184" s="930"/>
      <c r="C184" s="324" t="s">
        <v>1496</v>
      </c>
      <c r="D184" s="325"/>
      <c r="E184" s="932"/>
      <c r="F184" s="2021"/>
      <c r="G184" s="2021"/>
      <c r="H184" s="2021"/>
      <c r="I184" s="2021"/>
      <c r="J184" s="2034"/>
      <c r="K184" s="2021"/>
      <c r="L184" s="2021"/>
      <c r="M184" s="2021"/>
      <c r="N184" s="2022"/>
      <c r="O184" s="2021"/>
    </row>
    <row r="185" spans="2:15" s="2" customFormat="1" ht="15.5" x14ac:dyDescent="0.3">
      <c r="B185" s="930">
        <v>8</v>
      </c>
      <c r="C185" s="325" t="s">
        <v>2066</v>
      </c>
      <c r="D185" s="325" t="s">
        <v>2067</v>
      </c>
      <c r="E185" s="932" t="s">
        <v>2068</v>
      </c>
      <c r="F185" s="2021">
        <v>246.2</v>
      </c>
      <c r="G185" s="2021">
        <v>151.19999999999999</v>
      </c>
      <c r="H185" s="2021">
        <v>151.19999999999999</v>
      </c>
      <c r="I185" s="2021">
        <v>0</v>
      </c>
      <c r="J185" s="1975">
        <v>48</v>
      </c>
      <c r="K185" s="2021">
        <v>48</v>
      </c>
      <c r="L185" s="2021">
        <v>0</v>
      </c>
      <c r="M185" s="2021">
        <v>0</v>
      </c>
      <c r="N185" s="2022">
        <f t="shared" si="12"/>
        <v>48</v>
      </c>
      <c r="O185" s="2021">
        <f t="shared" si="13"/>
        <v>0</v>
      </c>
    </row>
    <row r="186" spans="2:15" s="2" customFormat="1" ht="15.5" x14ac:dyDescent="0.3">
      <c r="B186" s="930"/>
      <c r="C186" s="324" t="s">
        <v>2130</v>
      </c>
      <c r="D186" s="325"/>
      <c r="E186" s="932"/>
      <c r="F186" s="2021"/>
      <c r="G186" s="2021"/>
      <c r="H186" s="2021"/>
      <c r="I186" s="2021"/>
      <c r="J186" s="1975"/>
      <c r="K186" s="2021"/>
      <c r="L186" s="2021"/>
      <c r="M186" s="2021"/>
      <c r="N186" s="2022"/>
      <c r="O186" s="2021"/>
    </row>
    <row r="187" spans="2:15" s="2" customFormat="1" ht="15.5" x14ac:dyDescent="0.3">
      <c r="B187" s="930">
        <v>9</v>
      </c>
      <c r="C187" s="325" t="s">
        <v>2137</v>
      </c>
      <c r="D187" s="325" t="s">
        <v>1502</v>
      </c>
      <c r="E187" s="932" t="s">
        <v>2053</v>
      </c>
      <c r="F187" s="2021">
        <v>13.12</v>
      </c>
      <c r="G187" s="2021">
        <v>0</v>
      </c>
      <c r="H187" s="2021">
        <v>0</v>
      </c>
      <c r="I187" s="2021">
        <v>0</v>
      </c>
      <c r="J187" s="1975">
        <v>0</v>
      </c>
      <c r="K187" s="2021">
        <v>0</v>
      </c>
      <c r="L187" s="2021">
        <v>0</v>
      </c>
      <c r="M187" s="2021">
        <v>0</v>
      </c>
      <c r="N187" s="2022">
        <f t="shared" si="12"/>
        <v>0</v>
      </c>
      <c r="O187" s="2021">
        <f t="shared" si="13"/>
        <v>0</v>
      </c>
    </row>
    <row r="188" spans="2:15" s="2" customFormat="1" ht="14" customHeight="1" x14ac:dyDescent="0.3">
      <c r="B188" s="930">
        <v>10</v>
      </c>
      <c r="C188" s="325" t="s">
        <v>1504</v>
      </c>
      <c r="D188" s="325" t="s">
        <v>2131</v>
      </c>
      <c r="E188" s="932" t="s">
        <v>2070</v>
      </c>
      <c r="F188" s="2021">
        <v>9.2200000000000006</v>
      </c>
      <c r="G188" s="2021">
        <v>0.95</v>
      </c>
      <c r="H188" s="2021">
        <v>0.95</v>
      </c>
      <c r="I188" s="2021">
        <v>0</v>
      </c>
      <c r="J188" s="1975">
        <v>3.5</v>
      </c>
      <c r="K188" s="2021">
        <v>3.5</v>
      </c>
      <c r="L188" s="2021">
        <v>0</v>
      </c>
      <c r="M188" s="2021">
        <v>0</v>
      </c>
      <c r="N188" s="2022">
        <f t="shared" si="12"/>
        <v>3.5</v>
      </c>
      <c r="O188" s="2021">
        <f t="shared" si="13"/>
        <v>0</v>
      </c>
    </row>
    <row r="189" spans="2:15" s="2" customFormat="1" ht="15.5" x14ac:dyDescent="0.3">
      <c r="B189" s="930"/>
      <c r="C189" s="325"/>
      <c r="D189" s="325"/>
      <c r="E189" s="932"/>
      <c r="F189" s="2021"/>
      <c r="G189" s="2021"/>
      <c r="H189" s="2021"/>
      <c r="I189" s="2021"/>
      <c r="J189" s="1975"/>
      <c r="K189" s="2021"/>
      <c r="L189" s="2021"/>
      <c r="M189" s="2021"/>
      <c r="N189" s="2022"/>
      <c r="O189" s="2021"/>
    </row>
    <row r="190" spans="2:15" s="2" customFormat="1" ht="15.5" x14ac:dyDescent="0.3">
      <c r="B190" s="930"/>
      <c r="C190" s="941"/>
      <c r="D190" s="325"/>
      <c r="E190" s="932"/>
      <c r="F190" s="2021"/>
      <c r="G190" s="2021"/>
      <c r="H190" s="2021"/>
      <c r="I190" s="2021"/>
      <c r="J190" s="2021"/>
      <c r="K190" s="2021"/>
      <c r="L190" s="2021"/>
      <c r="M190" s="2021"/>
      <c r="N190" s="2022"/>
      <c r="O190" s="2021"/>
    </row>
    <row r="191" spans="2:15" s="2" customFormat="1" ht="15.5" x14ac:dyDescent="0.3">
      <c r="B191" s="930">
        <v>11</v>
      </c>
      <c r="C191" s="325" t="s">
        <v>1470</v>
      </c>
      <c r="D191" s="325"/>
      <c r="E191" s="2035" t="s">
        <v>2121</v>
      </c>
      <c r="F191" s="2021">
        <v>56.07</v>
      </c>
      <c r="G191" s="2021">
        <v>31.74</v>
      </c>
      <c r="H191" s="2021">
        <v>31.74</v>
      </c>
      <c r="I191" s="2021">
        <v>0</v>
      </c>
      <c r="J191" s="2021">
        <v>12.5</v>
      </c>
      <c r="K191" s="2021">
        <v>12.5</v>
      </c>
      <c r="L191" s="2021">
        <v>0</v>
      </c>
      <c r="M191" s="2021">
        <v>0</v>
      </c>
      <c r="N191" s="2022">
        <f t="shared" si="12"/>
        <v>12.5</v>
      </c>
      <c r="O191" s="2021">
        <f t="shared" si="13"/>
        <v>0</v>
      </c>
    </row>
    <row r="192" spans="2:15" s="2" customFormat="1" ht="15.5" x14ac:dyDescent="0.3">
      <c r="B192" s="930"/>
      <c r="C192" s="325"/>
      <c r="D192" s="325"/>
      <c r="E192" s="2035"/>
      <c r="F192" s="2021"/>
      <c r="G192" s="2021"/>
      <c r="H192" s="2021"/>
      <c r="I192" s="2021"/>
      <c r="J192" s="2021"/>
      <c r="K192" s="2021"/>
      <c r="L192" s="2021"/>
      <c r="M192" s="2021"/>
      <c r="N192" s="2022"/>
      <c r="O192" s="2021"/>
    </row>
    <row r="193" spans="2:15" s="2" customFormat="1" ht="15.5" x14ac:dyDescent="0.3">
      <c r="B193" s="930"/>
      <c r="C193" s="2021" t="s">
        <v>2081</v>
      </c>
      <c r="D193" s="2021">
        <v>0</v>
      </c>
      <c r="E193" s="2035">
        <v>0</v>
      </c>
      <c r="F193" s="2021"/>
      <c r="G193" s="2021"/>
      <c r="H193" s="2021"/>
      <c r="I193" s="2021"/>
      <c r="J193" s="2021"/>
      <c r="K193" s="2021"/>
      <c r="L193" s="2021">
        <v>0</v>
      </c>
      <c r="M193" s="2021">
        <v>0</v>
      </c>
      <c r="N193" s="2022">
        <f t="shared" si="12"/>
        <v>0</v>
      </c>
      <c r="O193" s="2021">
        <v>0</v>
      </c>
    </row>
    <row r="194" spans="2:15" s="2" customFormat="1" ht="15.5" x14ac:dyDescent="0.3">
      <c r="B194" s="930"/>
      <c r="C194" s="2021" t="s">
        <v>1697</v>
      </c>
      <c r="D194" s="2021">
        <v>0</v>
      </c>
      <c r="E194" s="2035">
        <v>0</v>
      </c>
      <c r="F194" s="2021">
        <v>143.72</v>
      </c>
      <c r="G194" s="2021">
        <v>0</v>
      </c>
      <c r="H194" s="2021">
        <v>0</v>
      </c>
      <c r="I194" s="2021">
        <v>0</v>
      </c>
      <c r="J194" s="2036">
        <v>82.011999999999986</v>
      </c>
      <c r="K194" s="2036">
        <v>82.011999999999986</v>
      </c>
      <c r="L194" s="2021">
        <v>0</v>
      </c>
      <c r="M194" s="2021">
        <v>0</v>
      </c>
      <c r="N194" s="2022">
        <f t="shared" si="12"/>
        <v>82.011999999999986</v>
      </c>
      <c r="O194" s="2021">
        <v>0</v>
      </c>
    </row>
    <row r="195" spans="2:15" s="2" customFormat="1" ht="15.5" x14ac:dyDescent="0.3">
      <c r="B195" s="930"/>
      <c r="C195" s="2021" t="s">
        <v>1698</v>
      </c>
      <c r="D195" s="2021"/>
      <c r="E195" s="2035"/>
      <c r="F195" s="2021"/>
      <c r="G195" s="2021"/>
      <c r="H195" s="2021"/>
      <c r="I195" s="2021"/>
      <c r="J195" s="2036">
        <v>495.01650000000001</v>
      </c>
      <c r="K195" s="2036">
        <v>495.01650000000001</v>
      </c>
      <c r="L195" s="2021"/>
      <c r="M195" s="2021"/>
      <c r="N195" s="2022">
        <f t="shared" si="12"/>
        <v>495.01650000000001</v>
      </c>
      <c r="O195" s="2021"/>
    </row>
    <row r="196" spans="2:15" s="2" customFormat="1" ht="15.5" x14ac:dyDescent="0.3">
      <c r="B196" s="930"/>
      <c r="C196" s="327"/>
      <c r="D196" s="325"/>
      <c r="E196" s="932"/>
      <c r="F196" s="2021"/>
      <c r="G196" s="2021"/>
      <c r="H196" s="2021"/>
      <c r="I196" s="2021"/>
      <c r="J196" s="2021"/>
      <c r="K196" s="2021"/>
      <c r="L196" s="2021">
        <v>0</v>
      </c>
      <c r="M196" s="2021">
        <v>0</v>
      </c>
      <c r="N196" s="2022">
        <f t="shared" si="12"/>
        <v>0</v>
      </c>
      <c r="O196" s="2021">
        <f t="shared" si="13"/>
        <v>0</v>
      </c>
    </row>
    <row r="197" spans="2:15" s="2" customFormat="1" ht="15.5" x14ac:dyDescent="0.3">
      <c r="B197" s="930"/>
      <c r="C197" s="324" t="s">
        <v>34</v>
      </c>
      <c r="D197" s="325"/>
      <c r="E197" s="932"/>
      <c r="F197" s="2021"/>
      <c r="G197" s="2021"/>
      <c r="H197" s="2021"/>
      <c r="I197" s="2021"/>
      <c r="J197" s="2021"/>
      <c r="K197" s="2021"/>
      <c r="L197" s="2021">
        <v>0</v>
      </c>
      <c r="M197" s="2021">
        <v>0</v>
      </c>
      <c r="N197" s="2022">
        <f t="shared" si="12"/>
        <v>0</v>
      </c>
      <c r="O197" s="2021">
        <f t="shared" si="13"/>
        <v>0</v>
      </c>
    </row>
    <row r="198" spans="2:15" s="2" customFormat="1" ht="15.5" x14ac:dyDescent="0.3">
      <c r="B198" s="930">
        <v>12</v>
      </c>
      <c r="C198" s="325" t="s">
        <v>1471</v>
      </c>
      <c r="D198" s="325"/>
      <c r="E198" s="932"/>
      <c r="F198" s="2021"/>
      <c r="G198" s="2021">
        <v>20.55</v>
      </c>
      <c r="H198" s="2021">
        <v>20.55</v>
      </c>
      <c r="I198" s="2021">
        <v>0</v>
      </c>
      <c r="J198" s="2021">
        <v>9.5</v>
      </c>
      <c r="K198" s="2021">
        <v>9.5</v>
      </c>
      <c r="L198" s="2021">
        <v>0</v>
      </c>
      <c r="M198" s="2021">
        <v>0</v>
      </c>
      <c r="N198" s="2022">
        <f t="shared" si="12"/>
        <v>9.5</v>
      </c>
      <c r="O198" s="2021">
        <f t="shared" si="13"/>
        <v>0</v>
      </c>
    </row>
    <row r="199" spans="2:15" s="2" customFormat="1" ht="15.5" x14ac:dyDescent="0.3">
      <c r="B199" s="930">
        <v>13</v>
      </c>
      <c r="C199" s="325" t="s">
        <v>1473</v>
      </c>
      <c r="D199" s="325"/>
      <c r="E199" s="932"/>
      <c r="F199" s="2021"/>
      <c r="G199" s="2021">
        <v>80.490000000000009</v>
      </c>
      <c r="H199" s="2021">
        <v>80.489999999999995</v>
      </c>
      <c r="I199" s="2021">
        <v>0</v>
      </c>
      <c r="J199" s="2021">
        <v>7.5</v>
      </c>
      <c r="K199" s="2021">
        <v>7.5</v>
      </c>
      <c r="L199" s="2021">
        <v>0</v>
      </c>
      <c r="M199" s="2021">
        <v>0</v>
      </c>
      <c r="N199" s="2022">
        <f t="shared" si="12"/>
        <v>7.5</v>
      </c>
      <c r="O199" s="2021">
        <f t="shared" si="13"/>
        <v>0</v>
      </c>
    </row>
    <row r="200" spans="2:15" s="2" customFormat="1" ht="15.5" x14ac:dyDescent="0.3">
      <c r="B200" s="930">
        <v>14</v>
      </c>
      <c r="C200" s="325" t="s">
        <v>1474</v>
      </c>
      <c r="D200" s="325"/>
      <c r="E200" s="932"/>
      <c r="F200" s="2021"/>
      <c r="G200" s="2021">
        <v>11.43</v>
      </c>
      <c r="H200" s="2021">
        <v>11.43</v>
      </c>
      <c r="I200" s="2021">
        <v>0</v>
      </c>
      <c r="J200" s="2021">
        <v>2.5</v>
      </c>
      <c r="K200" s="2021">
        <v>2.5</v>
      </c>
      <c r="L200" s="2021">
        <v>0</v>
      </c>
      <c r="M200" s="2021">
        <v>0</v>
      </c>
      <c r="N200" s="2022">
        <f t="shared" si="12"/>
        <v>2.5</v>
      </c>
      <c r="O200" s="2021">
        <f t="shared" si="13"/>
        <v>0</v>
      </c>
    </row>
    <row r="201" spans="2:15" s="2" customFormat="1" ht="15.5" x14ac:dyDescent="0.3">
      <c r="B201" s="930">
        <v>15</v>
      </c>
      <c r="C201" s="325" t="s">
        <v>1475</v>
      </c>
      <c r="D201" s="325"/>
      <c r="E201" s="932"/>
      <c r="F201" s="2021"/>
      <c r="G201" s="2021">
        <v>2.5700000000000003</v>
      </c>
      <c r="H201" s="2021">
        <v>2.5700000000000003</v>
      </c>
      <c r="I201" s="2021">
        <v>0</v>
      </c>
      <c r="J201" s="2021">
        <v>1.5</v>
      </c>
      <c r="K201" s="2021">
        <v>1.5</v>
      </c>
      <c r="L201" s="2021">
        <v>0</v>
      </c>
      <c r="M201" s="2021">
        <v>0</v>
      </c>
      <c r="N201" s="2022">
        <f t="shared" si="12"/>
        <v>1.5</v>
      </c>
      <c r="O201" s="2021">
        <f t="shared" si="13"/>
        <v>0</v>
      </c>
    </row>
    <row r="202" spans="2:15" s="2" customFormat="1" x14ac:dyDescent="0.3">
      <c r="B202" s="2024"/>
      <c r="C202" s="2024" t="s">
        <v>396</v>
      </c>
      <c r="D202" s="2024">
        <f t="shared" ref="D202:O202" si="14">SUM(D173:D201)</f>
        <v>0</v>
      </c>
      <c r="E202" s="2024">
        <f t="shared" si="14"/>
        <v>0</v>
      </c>
      <c r="F202" s="2024">
        <f t="shared" si="14"/>
        <v>925.79000000000019</v>
      </c>
      <c r="G202" s="2024">
        <f t="shared" si="14"/>
        <v>466.76</v>
      </c>
      <c r="H202" s="2024">
        <f t="shared" si="14"/>
        <v>466.76</v>
      </c>
      <c r="I202" s="2024">
        <f t="shared" si="14"/>
        <v>0</v>
      </c>
      <c r="J202" s="2024">
        <f t="shared" si="14"/>
        <v>736.01850000000002</v>
      </c>
      <c r="K202" s="2024">
        <f t="shared" si="14"/>
        <v>736.01850000000002</v>
      </c>
      <c r="L202" s="2024">
        <f t="shared" si="14"/>
        <v>0</v>
      </c>
      <c r="M202" s="2024">
        <f t="shared" si="14"/>
        <v>0</v>
      </c>
      <c r="N202" s="2024">
        <f t="shared" si="14"/>
        <v>736.01850000000002</v>
      </c>
      <c r="O202" s="2024">
        <f t="shared" si="14"/>
        <v>0</v>
      </c>
    </row>
    <row r="203" spans="2:15" s="2" customFormat="1" ht="15.5" x14ac:dyDescent="0.35">
      <c r="B203" s="930"/>
      <c r="C203" s="939" t="s">
        <v>1469</v>
      </c>
      <c r="D203" s="325"/>
      <c r="E203" s="932"/>
      <c r="F203" s="2021"/>
      <c r="G203" s="2021"/>
      <c r="H203" s="2021"/>
      <c r="I203" s="2021"/>
      <c r="J203" s="2021"/>
      <c r="K203" s="2021"/>
      <c r="L203" s="2021"/>
      <c r="M203" s="2021"/>
      <c r="N203" s="2021"/>
      <c r="O203" s="2021"/>
    </row>
    <row r="204" spans="2:15" s="2" customFormat="1" x14ac:dyDescent="0.3">
      <c r="B204" s="930"/>
      <c r="C204" s="4"/>
      <c r="D204" s="325"/>
      <c r="E204" s="932"/>
      <c r="F204" s="2021"/>
      <c r="G204" s="2021"/>
      <c r="H204" s="2021"/>
      <c r="I204" s="2021"/>
      <c r="J204" s="2021"/>
      <c r="K204" s="2021"/>
      <c r="L204" s="2021"/>
      <c r="M204" s="2021"/>
      <c r="N204" s="2021"/>
      <c r="O204" s="2021"/>
    </row>
    <row r="205" spans="2:15" s="2" customFormat="1" x14ac:dyDescent="0.3">
      <c r="B205" s="2351" t="s">
        <v>187</v>
      </c>
      <c r="C205" s="2351" t="s">
        <v>26</v>
      </c>
      <c r="D205" s="2351" t="s">
        <v>617</v>
      </c>
      <c r="E205" s="2352" t="s">
        <v>618</v>
      </c>
      <c r="F205" s="2306" t="s">
        <v>551</v>
      </c>
      <c r="G205" s="2306" t="s">
        <v>629</v>
      </c>
      <c r="H205" s="2306" t="s">
        <v>630</v>
      </c>
      <c r="I205" s="2306" t="s">
        <v>552</v>
      </c>
      <c r="J205" s="2306" t="s">
        <v>553</v>
      </c>
      <c r="K205" s="2306" t="s">
        <v>554</v>
      </c>
      <c r="L205" s="2306"/>
      <c r="M205" s="2306"/>
      <c r="N205" s="2306"/>
      <c r="O205" s="2306" t="s">
        <v>555</v>
      </c>
    </row>
    <row r="206" spans="2:15" s="2" customFormat="1" x14ac:dyDescent="0.3">
      <c r="B206" s="2351"/>
      <c r="C206" s="2351"/>
      <c r="D206" s="2351"/>
      <c r="E206" s="2352"/>
      <c r="F206" s="2306"/>
      <c r="G206" s="2306"/>
      <c r="H206" s="2306"/>
      <c r="I206" s="2306"/>
      <c r="J206" s="2306"/>
      <c r="K206" s="2306"/>
      <c r="L206" s="2306"/>
      <c r="M206" s="2306"/>
      <c r="N206" s="2306"/>
      <c r="O206" s="2306"/>
    </row>
    <row r="207" spans="2:15" s="2" customFormat="1" ht="28" x14ac:dyDescent="0.3">
      <c r="B207" s="2351"/>
      <c r="C207" s="2351"/>
      <c r="D207" s="2351"/>
      <c r="E207" s="2352"/>
      <c r="F207" s="2306"/>
      <c r="G207" s="2306"/>
      <c r="H207" s="2306"/>
      <c r="I207" s="2306"/>
      <c r="J207" s="2306"/>
      <c r="K207" s="2008" t="s">
        <v>556</v>
      </c>
      <c r="L207" s="2008" t="s">
        <v>557</v>
      </c>
      <c r="M207" s="2008" t="s">
        <v>558</v>
      </c>
      <c r="N207" s="2008" t="s">
        <v>559</v>
      </c>
      <c r="O207" s="2306"/>
    </row>
    <row r="208" spans="2:15" s="2" customFormat="1" x14ac:dyDescent="0.3">
      <c r="B208" s="1947"/>
      <c r="C208" s="769" t="s">
        <v>429</v>
      </c>
      <c r="I208" s="2037"/>
      <c r="J208" s="2037"/>
      <c r="K208" s="2037"/>
      <c r="L208" s="2037"/>
      <c r="M208" s="2037"/>
      <c r="N208" s="2037"/>
      <c r="O208" s="2037"/>
    </row>
    <row r="209" spans="1:15" s="2" customFormat="1" x14ac:dyDescent="0.3">
      <c r="B209" s="1947"/>
      <c r="C209" s="942" t="s">
        <v>33</v>
      </c>
      <c r="D209" s="943"/>
      <c r="E209" s="1947"/>
      <c r="F209" s="2038"/>
      <c r="G209" s="2038"/>
      <c r="H209" s="2039"/>
      <c r="I209" s="2037"/>
      <c r="J209" s="2037"/>
      <c r="K209" s="2037"/>
      <c r="L209" s="2037"/>
      <c r="M209" s="2037"/>
      <c r="N209" s="2037"/>
      <c r="O209" s="2037"/>
    </row>
    <row r="210" spans="1:15" s="2" customFormat="1" x14ac:dyDescent="0.3">
      <c r="B210" s="1947"/>
      <c r="C210" s="942" t="s">
        <v>35</v>
      </c>
      <c r="D210" s="943"/>
      <c r="E210" s="1947"/>
      <c r="F210" s="2038"/>
      <c r="G210" s="2038"/>
      <c r="H210" s="2039"/>
      <c r="I210" s="2037"/>
      <c r="J210" s="2037"/>
      <c r="K210" s="2037"/>
      <c r="L210" s="2037"/>
      <c r="M210" s="2037"/>
      <c r="N210" s="2037"/>
      <c r="O210" s="2037"/>
    </row>
    <row r="211" spans="1:15" s="2" customFormat="1" x14ac:dyDescent="0.3">
      <c r="B211" s="1947"/>
      <c r="C211" s="944" t="s">
        <v>1476</v>
      </c>
      <c r="D211" s="944"/>
      <c r="E211" s="106"/>
      <c r="F211" s="2039"/>
      <c r="G211" s="2039"/>
      <c r="H211" s="1857"/>
      <c r="I211" s="2037"/>
      <c r="J211" s="2037"/>
      <c r="K211" s="2037"/>
      <c r="L211" s="2037"/>
      <c r="M211" s="2037"/>
      <c r="N211" s="2040"/>
      <c r="O211" s="2040"/>
    </row>
    <row r="212" spans="1:15" s="775" customFormat="1" ht="14" customHeight="1" x14ac:dyDescent="0.3">
      <c r="A212" s="2"/>
      <c r="B212" s="162">
        <v>1</v>
      </c>
      <c r="C212" s="945" t="s">
        <v>1477</v>
      </c>
      <c r="D212" s="943" t="s">
        <v>1478</v>
      </c>
      <c r="E212" s="1947" t="s">
        <v>1479</v>
      </c>
      <c r="F212" s="2038">
        <v>82.23</v>
      </c>
      <c r="G212" s="2038">
        <v>28.490000000000002</v>
      </c>
      <c r="H212" s="2038">
        <v>28.490000000000002</v>
      </c>
      <c r="I212" s="2026">
        <v>0</v>
      </c>
      <c r="J212" s="1815">
        <v>6.42</v>
      </c>
      <c r="K212" s="1974">
        <v>6.42</v>
      </c>
      <c r="L212" s="1974">
        <v>0</v>
      </c>
      <c r="M212" s="1974">
        <v>0</v>
      </c>
      <c r="N212" s="2022">
        <f t="shared" ref="N212:N240" si="15">K212+L212+M212</f>
        <v>6.42</v>
      </c>
      <c r="O212" s="2021">
        <f t="shared" ref="O212:O240" si="16">I212+J212-N212</f>
        <v>0</v>
      </c>
    </row>
    <row r="213" spans="1:15" s="775" customFormat="1" ht="14" customHeight="1" x14ac:dyDescent="0.3">
      <c r="A213" s="2"/>
      <c r="B213" s="162">
        <v>2</v>
      </c>
      <c r="C213" s="753" t="s">
        <v>2061</v>
      </c>
      <c r="D213" s="753" t="s">
        <v>2062</v>
      </c>
      <c r="E213" s="380" t="s">
        <v>2063</v>
      </c>
      <c r="F213" s="1974">
        <v>27.4</v>
      </c>
      <c r="G213" s="1974">
        <v>19.14</v>
      </c>
      <c r="H213" s="1974">
        <v>19.14</v>
      </c>
      <c r="I213" s="2026">
        <v>0</v>
      </c>
      <c r="J213" s="1815">
        <v>8.26</v>
      </c>
      <c r="K213" s="1974">
        <v>8.26</v>
      </c>
      <c r="L213" s="1974">
        <v>0</v>
      </c>
      <c r="M213" s="1974">
        <v>0</v>
      </c>
      <c r="N213" s="2022">
        <f t="shared" si="15"/>
        <v>8.26</v>
      </c>
      <c r="O213" s="2021">
        <f t="shared" si="16"/>
        <v>0</v>
      </c>
    </row>
    <row r="214" spans="1:15" s="775" customFormat="1" ht="14" customHeight="1" x14ac:dyDescent="0.3">
      <c r="A214" s="2"/>
      <c r="B214" s="162"/>
      <c r="C214" s="933"/>
      <c r="D214" s="933"/>
      <c r="E214" s="933"/>
      <c r="F214" s="930"/>
      <c r="G214" s="930"/>
      <c r="H214" s="930"/>
      <c r="I214" s="2026"/>
      <c r="J214" s="1815"/>
      <c r="K214" s="1974"/>
      <c r="L214" s="1974">
        <v>0</v>
      </c>
      <c r="M214" s="1974">
        <v>0</v>
      </c>
      <c r="N214" s="2022">
        <f t="shared" si="15"/>
        <v>0</v>
      </c>
      <c r="O214" s="2021">
        <f t="shared" si="16"/>
        <v>0</v>
      </c>
    </row>
    <row r="215" spans="1:15" s="775" customFormat="1" ht="14" customHeight="1" x14ac:dyDescent="0.3">
      <c r="A215" s="2"/>
      <c r="B215" s="162"/>
      <c r="C215" s="753" t="s">
        <v>1380</v>
      </c>
      <c r="D215" s="753"/>
      <c r="E215" s="380"/>
      <c r="F215" s="1974"/>
      <c r="G215" s="1974"/>
      <c r="H215" s="1974"/>
      <c r="I215" s="2026"/>
      <c r="J215" s="1815"/>
      <c r="K215" s="1974"/>
      <c r="L215" s="1974"/>
      <c r="M215" s="1974"/>
      <c r="N215" s="2022"/>
      <c r="O215" s="2021"/>
    </row>
    <row r="216" spans="1:15" s="2" customFormat="1" ht="15.5" x14ac:dyDescent="0.3">
      <c r="B216" s="930">
        <v>3</v>
      </c>
      <c r="C216" s="929" t="s">
        <v>1480</v>
      </c>
      <c r="D216" s="753" t="s">
        <v>2039</v>
      </c>
      <c r="E216" s="380" t="s">
        <v>1482</v>
      </c>
      <c r="F216" s="1974">
        <v>36.630000000000003</v>
      </c>
      <c r="G216" s="1974">
        <v>18.96</v>
      </c>
      <c r="H216" s="1974">
        <v>18.96</v>
      </c>
      <c r="I216" s="2026">
        <v>0</v>
      </c>
      <c r="J216" s="2026">
        <v>0</v>
      </c>
      <c r="K216" s="2026">
        <v>0</v>
      </c>
      <c r="L216" s="2021">
        <v>0</v>
      </c>
      <c r="M216" s="2021">
        <v>0</v>
      </c>
      <c r="N216" s="2022">
        <f t="shared" si="15"/>
        <v>0</v>
      </c>
      <c r="O216" s="2021">
        <f t="shared" si="16"/>
        <v>0</v>
      </c>
    </row>
    <row r="217" spans="1:15" s="2" customFormat="1" ht="15.5" x14ac:dyDescent="0.3">
      <c r="B217" s="930">
        <v>4</v>
      </c>
      <c r="C217" s="328" t="s">
        <v>1483</v>
      </c>
      <c r="D217" s="948" t="s">
        <v>2127</v>
      </c>
      <c r="E217" s="933" t="s">
        <v>1485</v>
      </c>
      <c r="F217" s="2026">
        <v>64.09</v>
      </c>
      <c r="G217" s="2026">
        <v>33.28</v>
      </c>
      <c r="H217" s="2026">
        <v>33.28</v>
      </c>
      <c r="I217" s="2026">
        <v>0</v>
      </c>
      <c r="J217" s="2026">
        <v>0</v>
      </c>
      <c r="K217" s="2026">
        <v>0</v>
      </c>
      <c r="L217" s="2021">
        <v>0</v>
      </c>
      <c r="M217" s="2021">
        <v>0</v>
      </c>
      <c r="N217" s="2022">
        <f t="shared" si="15"/>
        <v>0</v>
      </c>
      <c r="O217" s="2021">
        <f t="shared" si="16"/>
        <v>0</v>
      </c>
    </row>
    <row r="218" spans="1:15" s="2" customFormat="1" ht="15.5" x14ac:dyDescent="0.3">
      <c r="B218" s="930">
        <v>5</v>
      </c>
      <c r="C218" s="327" t="s">
        <v>1486</v>
      </c>
      <c r="D218" s="65" t="s">
        <v>2127</v>
      </c>
      <c r="E218" s="933" t="s">
        <v>1485</v>
      </c>
      <c r="F218" s="2026">
        <v>58.86</v>
      </c>
      <c r="G218" s="2026">
        <v>17.509999999999998</v>
      </c>
      <c r="H218" s="2026">
        <v>17.509999999999998</v>
      </c>
      <c r="I218" s="2026">
        <v>0</v>
      </c>
      <c r="J218" s="2026">
        <v>9.5</v>
      </c>
      <c r="K218" s="2026">
        <v>9.5</v>
      </c>
      <c r="L218" s="2021">
        <v>0</v>
      </c>
      <c r="M218" s="2021">
        <v>0</v>
      </c>
      <c r="N218" s="2022">
        <f t="shared" si="15"/>
        <v>9.5</v>
      </c>
      <c r="O218" s="2021">
        <f t="shared" si="16"/>
        <v>0</v>
      </c>
    </row>
    <row r="219" spans="1:15" s="2" customFormat="1" ht="15.5" x14ac:dyDescent="0.3">
      <c r="B219" s="930">
        <v>6</v>
      </c>
      <c r="C219" s="325" t="s">
        <v>1490</v>
      </c>
      <c r="D219" s="3" t="s">
        <v>1491</v>
      </c>
      <c r="E219" s="933" t="s">
        <v>1492</v>
      </c>
      <c r="F219" s="2026">
        <v>40.6</v>
      </c>
      <c r="G219" s="2026">
        <v>33.980000000000004</v>
      </c>
      <c r="H219" s="2026">
        <v>33.980000000000004</v>
      </c>
      <c r="I219" s="2026">
        <v>0</v>
      </c>
      <c r="J219" s="2026">
        <v>6.62</v>
      </c>
      <c r="K219" s="2026">
        <v>6.62</v>
      </c>
      <c r="L219" s="2021">
        <v>0</v>
      </c>
      <c r="M219" s="2021">
        <v>0</v>
      </c>
      <c r="N219" s="2022">
        <f t="shared" si="15"/>
        <v>6.62</v>
      </c>
      <c r="O219" s="2021">
        <f t="shared" si="16"/>
        <v>0</v>
      </c>
    </row>
    <row r="220" spans="1:15" s="2" customFormat="1" ht="15.5" x14ac:dyDescent="0.3">
      <c r="B220" s="930"/>
      <c r="C220" s="325"/>
      <c r="D220" s="325"/>
      <c r="E220" s="932"/>
      <c r="F220" s="2026"/>
      <c r="G220" s="2026"/>
      <c r="H220" s="2026"/>
      <c r="I220" s="2026"/>
      <c r="J220" s="2026"/>
      <c r="K220" s="2026"/>
      <c r="L220" s="2021"/>
      <c r="M220" s="2021"/>
      <c r="N220" s="2022"/>
      <c r="O220" s="2021"/>
    </row>
    <row r="221" spans="1:15" s="2" customFormat="1" ht="15.5" x14ac:dyDescent="0.3">
      <c r="B221" s="930"/>
      <c r="C221" s="325" t="s">
        <v>1493</v>
      </c>
      <c r="D221" s="325"/>
      <c r="E221" s="932"/>
      <c r="F221" s="2026"/>
      <c r="G221" s="2026"/>
      <c r="H221" s="2026"/>
      <c r="I221" s="2026"/>
      <c r="J221" s="2026"/>
      <c r="K221" s="2026"/>
      <c r="L221" s="2021"/>
      <c r="M221" s="2021"/>
      <c r="N221" s="2022"/>
      <c r="O221" s="2021"/>
    </row>
    <row r="222" spans="1:15" s="2" customFormat="1" ht="15.5" x14ac:dyDescent="0.3">
      <c r="B222" s="933">
        <v>7</v>
      </c>
      <c r="C222" s="324" t="s">
        <v>2064</v>
      </c>
      <c r="D222" s="325" t="s">
        <v>2065</v>
      </c>
      <c r="E222" s="932" t="s">
        <v>1492</v>
      </c>
      <c r="F222" s="2026">
        <v>147.65</v>
      </c>
      <c r="G222" s="2026">
        <v>90.460000000000008</v>
      </c>
      <c r="H222" s="2026">
        <v>90.460000000000008</v>
      </c>
      <c r="I222" s="2026">
        <v>0</v>
      </c>
      <c r="J222" s="2026">
        <v>26.17</v>
      </c>
      <c r="K222" s="2026">
        <v>26.17</v>
      </c>
      <c r="L222" s="2021">
        <v>0</v>
      </c>
      <c r="M222" s="2021">
        <v>0</v>
      </c>
      <c r="N222" s="2022">
        <f t="shared" si="15"/>
        <v>26.17</v>
      </c>
      <c r="O222" s="2021">
        <f t="shared" si="16"/>
        <v>0</v>
      </c>
    </row>
    <row r="223" spans="1:15" customFormat="1" ht="15.5" x14ac:dyDescent="0.3">
      <c r="A223" s="2"/>
      <c r="B223" s="946"/>
      <c r="C223" s="3" t="s">
        <v>1496</v>
      </c>
      <c r="D223" s="3"/>
      <c r="E223" s="933"/>
      <c r="F223" s="2026"/>
      <c r="G223" s="2026"/>
      <c r="H223" s="2026"/>
      <c r="I223" s="2026"/>
      <c r="J223" s="2041"/>
      <c r="K223" s="2042"/>
      <c r="L223" s="2043"/>
      <c r="M223" s="2043"/>
      <c r="N223" s="2022"/>
      <c r="O223" s="2021"/>
    </row>
    <row r="224" spans="1:15" s="774" customFormat="1" ht="14" customHeight="1" x14ac:dyDescent="0.3">
      <c r="A224" s="2"/>
      <c r="B224" s="933">
        <v>8</v>
      </c>
      <c r="C224" s="949" t="s">
        <v>2066</v>
      </c>
      <c r="D224" s="410" t="s">
        <v>2067</v>
      </c>
      <c r="E224" s="947" t="s">
        <v>2068</v>
      </c>
      <c r="F224" s="2042">
        <v>246.2</v>
      </c>
      <c r="G224" s="2042">
        <v>199.2</v>
      </c>
      <c r="H224" s="2042">
        <v>199.2</v>
      </c>
      <c r="I224" s="2026">
        <v>0</v>
      </c>
      <c r="J224" s="2040">
        <v>47</v>
      </c>
      <c r="K224" s="1974">
        <v>47</v>
      </c>
      <c r="L224" s="1974">
        <v>0</v>
      </c>
      <c r="M224" s="1974">
        <v>0</v>
      </c>
      <c r="N224" s="2022">
        <f t="shared" si="15"/>
        <v>47</v>
      </c>
      <c r="O224" s="2021">
        <f t="shared" si="16"/>
        <v>0</v>
      </c>
    </row>
    <row r="225" spans="1:15" s="774" customFormat="1" ht="14" customHeight="1" x14ac:dyDescent="0.3">
      <c r="A225" s="2"/>
      <c r="B225" s="933"/>
      <c r="C225" s="753" t="s">
        <v>2130</v>
      </c>
      <c r="D225" s="753"/>
      <c r="E225" s="380"/>
      <c r="F225" s="1974"/>
      <c r="G225" s="1974"/>
      <c r="H225" s="1974"/>
      <c r="I225" s="2026"/>
      <c r="J225" s="2040"/>
      <c r="K225" s="1974"/>
      <c r="L225" s="1974"/>
      <c r="M225" s="1974"/>
      <c r="N225" s="2022"/>
      <c r="O225" s="2021"/>
    </row>
    <row r="226" spans="1:15" s="774" customFormat="1" ht="14" customHeight="1" x14ac:dyDescent="0.3">
      <c r="A226" s="2"/>
      <c r="B226" s="933">
        <v>9</v>
      </c>
      <c r="C226" s="929" t="s">
        <v>2137</v>
      </c>
      <c r="D226" s="753" t="s">
        <v>1502</v>
      </c>
      <c r="E226" s="380" t="s">
        <v>2053</v>
      </c>
      <c r="F226" s="1974">
        <v>13.12</v>
      </c>
      <c r="G226" s="1974">
        <v>0</v>
      </c>
      <c r="H226" s="1974">
        <v>0</v>
      </c>
      <c r="I226" s="2026">
        <v>0</v>
      </c>
      <c r="J226" s="2040">
        <v>0</v>
      </c>
      <c r="K226" s="1974">
        <v>0</v>
      </c>
      <c r="L226" s="1974">
        <v>0</v>
      </c>
      <c r="M226" s="1974">
        <v>0</v>
      </c>
      <c r="N226" s="2022">
        <f t="shared" si="15"/>
        <v>0</v>
      </c>
      <c r="O226" s="2021">
        <f t="shared" si="16"/>
        <v>0</v>
      </c>
    </row>
    <row r="227" spans="1:15" s="774" customFormat="1" ht="14" customHeight="1" x14ac:dyDescent="0.3">
      <c r="A227" s="2"/>
      <c r="B227" s="933">
        <v>10</v>
      </c>
      <c r="C227" s="753" t="s">
        <v>1504</v>
      </c>
      <c r="D227" s="753" t="s">
        <v>2131</v>
      </c>
      <c r="E227" s="380" t="s">
        <v>2070</v>
      </c>
      <c r="F227" s="1974">
        <v>9.2200000000000006</v>
      </c>
      <c r="G227" s="1974">
        <v>4.45</v>
      </c>
      <c r="H227" s="1974">
        <v>4.45</v>
      </c>
      <c r="I227" s="2026">
        <v>0</v>
      </c>
      <c r="J227" s="2040">
        <v>4.7699999999999996</v>
      </c>
      <c r="K227" s="1974">
        <v>4.7699999999999996</v>
      </c>
      <c r="L227" s="1974">
        <v>0</v>
      </c>
      <c r="M227" s="1974">
        <v>0</v>
      </c>
      <c r="N227" s="2022">
        <f t="shared" si="15"/>
        <v>4.7699999999999996</v>
      </c>
      <c r="O227" s="2021">
        <f t="shared" si="16"/>
        <v>0</v>
      </c>
    </row>
    <row r="228" spans="1:15" s="774" customFormat="1" ht="15.5" x14ac:dyDescent="0.3">
      <c r="A228" s="2"/>
      <c r="B228" s="162"/>
      <c r="C228" s="753"/>
      <c r="D228" s="753"/>
      <c r="E228" s="380"/>
      <c r="F228" s="1974"/>
      <c r="G228" s="1974"/>
      <c r="H228" s="1974"/>
      <c r="I228" s="2026"/>
      <c r="J228" s="2040"/>
      <c r="K228" s="2025"/>
      <c r="L228" s="2025"/>
      <c r="M228" s="2025"/>
      <c r="N228" s="2022"/>
      <c r="O228" s="2021"/>
    </row>
    <row r="229" spans="1:15" s="2" customFormat="1" ht="15.5" x14ac:dyDescent="0.3">
      <c r="B229" s="930"/>
      <c r="C229" s="929"/>
      <c r="D229" s="929"/>
      <c r="E229" s="380"/>
      <c r="F229" s="1974"/>
      <c r="G229" s="1974"/>
      <c r="H229" s="1974"/>
      <c r="I229" s="2026"/>
      <c r="J229" s="2026"/>
      <c r="K229" s="2026"/>
      <c r="L229" s="2021"/>
      <c r="M229" s="2021"/>
      <c r="N229" s="2022"/>
      <c r="O229" s="2021"/>
    </row>
    <row r="230" spans="1:15" s="2" customFormat="1" ht="15.5" x14ac:dyDescent="0.3">
      <c r="B230" s="930">
        <v>11</v>
      </c>
      <c r="C230" s="941" t="s">
        <v>1470</v>
      </c>
      <c r="D230" s="65"/>
      <c r="E230" s="2035" t="s">
        <v>2121</v>
      </c>
      <c r="F230" s="2026">
        <v>56.07</v>
      </c>
      <c r="G230" s="2026">
        <v>44.239999999999995</v>
      </c>
      <c r="H230" s="2026">
        <v>44.239999999999995</v>
      </c>
      <c r="I230" s="2026">
        <v>0</v>
      </c>
      <c r="J230" s="2026">
        <v>11.98</v>
      </c>
      <c r="K230" s="2026">
        <v>11.98</v>
      </c>
      <c r="L230" s="2021">
        <v>0</v>
      </c>
      <c r="M230" s="2021">
        <v>0</v>
      </c>
      <c r="N230" s="2022">
        <f t="shared" si="15"/>
        <v>11.98</v>
      </c>
      <c r="O230" s="2021">
        <f t="shared" si="16"/>
        <v>0</v>
      </c>
    </row>
    <row r="231" spans="1:15" s="2" customFormat="1" ht="15.5" x14ac:dyDescent="0.3">
      <c r="B231" s="930"/>
      <c r="C231" s="2021" t="s">
        <v>2081</v>
      </c>
      <c r="D231" s="2021">
        <v>0</v>
      </c>
      <c r="E231" s="2035">
        <v>0</v>
      </c>
      <c r="F231" s="2021">
        <v>0</v>
      </c>
      <c r="G231" s="2021">
        <v>0</v>
      </c>
      <c r="H231" s="2021">
        <v>0</v>
      </c>
      <c r="I231" s="2021">
        <v>0</v>
      </c>
      <c r="J231" s="2021">
        <v>0</v>
      </c>
      <c r="K231" s="2021">
        <v>0</v>
      </c>
      <c r="L231" s="2021">
        <v>0</v>
      </c>
      <c r="M231" s="2021">
        <v>0</v>
      </c>
      <c r="N231" s="2022">
        <f t="shared" si="15"/>
        <v>0</v>
      </c>
      <c r="O231" s="2021">
        <v>0</v>
      </c>
    </row>
    <row r="232" spans="1:15" s="2" customFormat="1" ht="15.5" x14ac:dyDescent="0.3">
      <c r="B232" s="930"/>
      <c r="C232" s="2021"/>
      <c r="D232" s="2021"/>
      <c r="E232" s="2035"/>
      <c r="F232" s="2021"/>
      <c r="G232" s="2021"/>
      <c r="H232" s="2021"/>
      <c r="I232" s="2021"/>
      <c r="J232" s="2044"/>
      <c r="K232" s="2044"/>
      <c r="L232" s="2021"/>
      <c r="M232" s="2021"/>
      <c r="N232" s="2022"/>
      <c r="O232" s="2021"/>
    </row>
    <row r="233" spans="1:15" s="2" customFormat="1" ht="15.5" x14ac:dyDescent="0.3">
      <c r="B233" s="930"/>
      <c r="C233" s="2021" t="s">
        <v>1697</v>
      </c>
      <c r="D233" s="2021">
        <v>0</v>
      </c>
      <c r="E233" s="2035"/>
      <c r="F233" s="2021">
        <v>143.72</v>
      </c>
      <c r="G233" s="2021">
        <v>57.488</v>
      </c>
      <c r="H233" s="2021">
        <v>57.488</v>
      </c>
      <c r="I233" s="2021">
        <v>0</v>
      </c>
      <c r="J233" s="2036">
        <v>123.01799999999999</v>
      </c>
      <c r="K233" s="2036">
        <v>123.01799999999999</v>
      </c>
      <c r="L233" s="2021"/>
      <c r="M233" s="2021"/>
      <c r="N233" s="2022">
        <f t="shared" si="15"/>
        <v>123.01799999999999</v>
      </c>
      <c r="O233" s="2021">
        <v>0</v>
      </c>
    </row>
    <row r="234" spans="1:15" s="2" customFormat="1" ht="15.5" x14ac:dyDescent="0.3">
      <c r="B234" s="930"/>
      <c r="C234" s="2021" t="s">
        <v>1698</v>
      </c>
      <c r="D234" s="2021">
        <v>0</v>
      </c>
      <c r="E234" s="2035"/>
      <c r="F234" s="2021"/>
      <c r="G234" s="2021"/>
      <c r="H234" s="2021"/>
      <c r="I234" s="2021"/>
      <c r="J234" s="2036">
        <v>461.32569999999998</v>
      </c>
      <c r="K234" s="2036">
        <v>461.32569999999998</v>
      </c>
      <c r="L234" s="2021"/>
      <c r="M234" s="2021"/>
      <c r="N234" s="2022">
        <f t="shared" si="15"/>
        <v>461.32569999999998</v>
      </c>
      <c r="O234" s="2021">
        <v>0</v>
      </c>
    </row>
    <row r="235" spans="1:15" s="2" customFormat="1" ht="15.5" x14ac:dyDescent="0.3">
      <c r="B235" s="930"/>
      <c r="C235" s="2021" t="s">
        <v>1954</v>
      </c>
      <c r="D235" s="2021">
        <v>0</v>
      </c>
      <c r="E235" s="2035"/>
      <c r="F235" s="2021"/>
      <c r="G235" s="2021"/>
      <c r="H235" s="2021"/>
      <c r="I235" s="2021"/>
      <c r="J235" s="2036">
        <v>176.38</v>
      </c>
      <c r="K235" s="2036">
        <v>176.38</v>
      </c>
      <c r="L235" s="2021"/>
      <c r="M235" s="2021"/>
      <c r="N235" s="2022">
        <f t="shared" si="15"/>
        <v>176.38</v>
      </c>
      <c r="O235" s="2021">
        <v>0</v>
      </c>
    </row>
    <row r="236" spans="1:15" s="2" customFormat="1" ht="15.5" x14ac:dyDescent="0.3">
      <c r="B236" s="930"/>
      <c r="C236" s="2026" t="s">
        <v>2006</v>
      </c>
      <c r="D236" s="2021"/>
      <c r="E236" s="2035"/>
      <c r="F236" s="2021"/>
      <c r="G236" s="2021"/>
      <c r="H236" s="2021"/>
      <c r="I236" s="2021"/>
      <c r="J236" s="2045"/>
      <c r="K236" s="2045"/>
      <c r="L236" s="2021"/>
      <c r="M236" s="2021"/>
      <c r="N236" s="2022"/>
      <c r="O236" s="2021"/>
    </row>
    <row r="237" spans="1:15" s="2" customFormat="1" ht="15.5" x14ac:dyDescent="0.3">
      <c r="B237" s="930">
        <v>12</v>
      </c>
      <c r="C237" s="324" t="s">
        <v>1471</v>
      </c>
      <c r="D237" s="325" t="s">
        <v>2041</v>
      </c>
      <c r="E237" s="932"/>
      <c r="F237" s="2021"/>
      <c r="G237" s="2021">
        <v>30.05</v>
      </c>
      <c r="H237" s="2021">
        <v>30.05</v>
      </c>
      <c r="I237" s="2021">
        <v>0</v>
      </c>
      <c r="J237" s="2021">
        <v>10</v>
      </c>
      <c r="K237" s="2021">
        <v>10</v>
      </c>
      <c r="L237" s="2021"/>
      <c r="M237" s="2021"/>
      <c r="N237" s="2022">
        <f t="shared" si="15"/>
        <v>10</v>
      </c>
      <c r="O237" s="2021">
        <f t="shared" si="16"/>
        <v>0</v>
      </c>
    </row>
    <row r="238" spans="1:15" s="2" customFormat="1" ht="15.5" x14ac:dyDescent="0.3">
      <c r="B238" s="930">
        <v>13</v>
      </c>
      <c r="C238" s="325" t="s">
        <v>1473</v>
      </c>
      <c r="D238" s="325" t="s">
        <v>2041</v>
      </c>
      <c r="E238" s="932"/>
      <c r="F238" s="2021"/>
      <c r="G238" s="2021">
        <v>87.990000000000009</v>
      </c>
      <c r="H238" s="2021">
        <v>87.99</v>
      </c>
      <c r="I238" s="2021">
        <v>0</v>
      </c>
      <c r="J238" s="2021">
        <v>7.5</v>
      </c>
      <c r="K238" s="2021">
        <v>7.5</v>
      </c>
      <c r="L238" s="2021"/>
      <c r="M238" s="2021"/>
      <c r="N238" s="2022">
        <f t="shared" si="15"/>
        <v>7.5</v>
      </c>
      <c r="O238" s="2021">
        <f t="shared" si="16"/>
        <v>0</v>
      </c>
    </row>
    <row r="239" spans="1:15" s="2" customFormat="1" ht="15.5" x14ac:dyDescent="0.3">
      <c r="B239" s="933">
        <v>14</v>
      </c>
      <c r="C239" s="325" t="s">
        <v>1474</v>
      </c>
      <c r="D239" s="325" t="s">
        <v>2041</v>
      </c>
      <c r="E239" s="932"/>
      <c r="F239" s="2021"/>
      <c r="G239" s="2021">
        <v>13.93</v>
      </c>
      <c r="H239" s="2021">
        <v>13.93</v>
      </c>
      <c r="I239" s="2021">
        <v>0</v>
      </c>
      <c r="J239" s="2021">
        <v>2</v>
      </c>
      <c r="K239" s="2021">
        <v>2</v>
      </c>
      <c r="L239" s="2021"/>
      <c r="M239" s="2021"/>
      <c r="N239" s="2022">
        <f t="shared" si="15"/>
        <v>2</v>
      </c>
      <c r="O239" s="2021">
        <f t="shared" si="16"/>
        <v>0</v>
      </c>
    </row>
    <row r="240" spans="1:15" s="2" customFormat="1" ht="15.5" x14ac:dyDescent="0.3">
      <c r="B240" s="933">
        <v>15</v>
      </c>
      <c r="C240" s="3" t="s">
        <v>1475</v>
      </c>
      <c r="D240" s="4"/>
      <c r="E240" s="933"/>
      <c r="F240" s="2021"/>
      <c r="G240" s="2021">
        <v>4.07</v>
      </c>
      <c r="H240" s="2021">
        <v>4.07</v>
      </c>
      <c r="I240" s="2021">
        <v>0</v>
      </c>
      <c r="J240" s="2021">
        <v>1.5</v>
      </c>
      <c r="K240" s="2021">
        <v>1.5</v>
      </c>
      <c r="L240" s="2021"/>
      <c r="M240" s="2021"/>
      <c r="N240" s="2022">
        <f t="shared" si="15"/>
        <v>1.5</v>
      </c>
      <c r="O240" s="2021">
        <f t="shared" si="16"/>
        <v>0</v>
      </c>
    </row>
    <row r="241" spans="1:15" s="2" customFormat="1" x14ac:dyDescent="0.3">
      <c r="B241" s="2023"/>
      <c r="C241" s="2046" t="s">
        <v>145</v>
      </c>
      <c r="D241" s="2023"/>
      <c r="E241" s="2023"/>
      <c r="F241" s="2023">
        <f t="shared" ref="F241:O241" si="17">SUM(F210:F240)</f>
        <v>925.79000000000019</v>
      </c>
      <c r="G241" s="2023">
        <f t="shared" si="17"/>
        <v>683.23799999999994</v>
      </c>
      <c r="H241" s="2023">
        <f t="shared" si="17"/>
        <v>683.23799999999994</v>
      </c>
      <c r="I241" s="2023">
        <f t="shared" si="17"/>
        <v>0</v>
      </c>
      <c r="J241" s="2023">
        <f t="shared" si="17"/>
        <v>902.44369999999992</v>
      </c>
      <c r="K241" s="2023">
        <f t="shared" si="17"/>
        <v>902.44369999999992</v>
      </c>
      <c r="L241" s="2023">
        <f t="shared" si="17"/>
        <v>0</v>
      </c>
      <c r="M241" s="2023">
        <f t="shared" si="17"/>
        <v>0</v>
      </c>
      <c r="N241" s="2023">
        <f t="shared" si="17"/>
        <v>902.44369999999992</v>
      </c>
      <c r="O241" s="2023">
        <f t="shared" si="17"/>
        <v>0</v>
      </c>
    </row>
    <row r="242" spans="1:15" s="2" customFormat="1" ht="15.5" x14ac:dyDescent="0.35">
      <c r="B242" s="2040"/>
      <c r="C242" s="939" t="s">
        <v>1469</v>
      </c>
      <c r="D242" s="3"/>
      <c r="E242" s="933"/>
      <c r="F242" s="2021"/>
      <c r="G242" s="2021"/>
      <c r="H242" s="2021"/>
      <c r="I242" s="2021"/>
      <c r="J242" s="2021"/>
      <c r="K242" s="2021"/>
      <c r="L242" s="2021"/>
      <c r="M242" s="2021"/>
      <c r="N242" s="2021"/>
      <c r="O242" s="2021"/>
    </row>
    <row r="243" spans="1:15" s="2" customFormat="1" x14ac:dyDescent="0.3">
      <c r="B243" s="937"/>
      <c r="C243" s="13"/>
      <c r="D243" s="13"/>
      <c r="E243" s="937"/>
      <c r="F243" s="2044"/>
      <c r="G243" s="2044"/>
      <c r="H243" s="2044"/>
      <c r="I243" s="2044"/>
      <c r="J243" s="2044"/>
      <c r="K243" s="2044"/>
      <c r="L243" s="2044"/>
      <c r="M243" s="2044"/>
      <c r="N243" s="2044"/>
      <c r="O243" s="2044"/>
    </row>
    <row r="244" spans="1:15" s="2" customFormat="1" x14ac:dyDescent="0.3">
      <c r="B244" s="937"/>
      <c r="C244" s="13"/>
      <c r="D244" s="13"/>
      <c r="E244" s="937"/>
      <c r="F244" s="2044"/>
      <c r="G244" s="2044"/>
      <c r="H244" s="2044"/>
      <c r="I244" s="2044"/>
      <c r="J244" s="2044"/>
      <c r="K244" s="2044"/>
      <c r="L244" s="2044"/>
      <c r="M244" s="2044"/>
      <c r="N244" s="2044"/>
      <c r="O244" s="2044"/>
    </row>
    <row r="245" spans="1:15" s="2" customFormat="1" x14ac:dyDescent="0.3">
      <c r="B245" s="775"/>
      <c r="C245" s="769" t="s">
        <v>283</v>
      </c>
      <c r="E245" s="775"/>
      <c r="F245" s="2047"/>
      <c r="G245" s="2047"/>
      <c r="H245" s="2047"/>
      <c r="I245" s="2047"/>
      <c r="J245" s="2047"/>
      <c r="K245" s="2047"/>
      <c r="L245" s="2047"/>
      <c r="M245" s="2047"/>
      <c r="N245" s="2047"/>
      <c r="O245" s="2047"/>
    </row>
    <row r="246" spans="1:15" s="2" customFormat="1" x14ac:dyDescent="0.3">
      <c r="B246" s="775"/>
      <c r="C246" s="769"/>
      <c r="E246" s="775"/>
      <c r="F246" s="2047"/>
      <c r="G246" s="2047"/>
      <c r="H246" s="2047"/>
      <c r="I246" s="2047"/>
      <c r="J246" s="2047"/>
      <c r="K246" s="2047"/>
      <c r="L246" s="2047"/>
      <c r="M246" s="2047"/>
      <c r="N246" s="2047"/>
      <c r="O246" s="2047"/>
    </row>
    <row r="247" spans="1:15" s="2" customFormat="1" x14ac:dyDescent="0.3">
      <c r="B247" s="775"/>
      <c r="C247" s="769" t="s">
        <v>0</v>
      </c>
      <c r="E247" s="775"/>
      <c r="F247" s="2047"/>
      <c r="G247" s="2047"/>
      <c r="H247" s="2047"/>
      <c r="I247" s="2047"/>
      <c r="J247" s="2047"/>
      <c r="K247" s="2047"/>
      <c r="L247" s="2047"/>
      <c r="M247" s="2047"/>
      <c r="N247" s="2047"/>
      <c r="O247" s="2047"/>
    </row>
    <row r="248" spans="1:15" s="769" customFormat="1" ht="14" customHeight="1" x14ac:dyDescent="0.3">
      <c r="A248" s="2"/>
      <c r="B248" s="2351" t="s">
        <v>187</v>
      </c>
      <c r="C248" s="2351" t="s">
        <v>26</v>
      </c>
      <c r="D248" s="2351" t="s">
        <v>617</v>
      </c>
      <c r="E248" s="2351" t="s">
        <v>618</v>
      </c>
      <c r="F248" s="2306" t="s">
        <v>551</v>
      </c>
      <c r="G248" s="2306" t="s">
        <v>629</v>
      </c>
      <c r="H248" s="2306" t="s">
        <v>630</v>
      </c>
      <c r="I248" s="2306" t="s">
        <v>552</v>
      </c>
      <c r="J248" s="2306" t="s">
        <v>553</v>
      </c>
      <c r="K248" s="2306" t="s">
        <v>554</v>
      </c>
      <c r="L248" s="2306"/>
      <c r="M248" s="2306"/>
      <c r="N248" s="2306"/>
      <c r="O248" s="2306" t="s">
        <v>555</v>
      </c>
    </row>
    <row r="249" spans="1:15" s="769" customFormat="1" ht="14" customHeight="1" x14ac:dyDescent="0.3">
      <c r="A249" s="2"/>
      <c r="B249" s="2351"/>
      <c r="C249" s="2351"/>
      <c r="D249" s="2351"/>
      <c r="E249" s="2351"/>
      <c r="F249" s="2306"/>
      <c r="G249" s="2306"/>
      <c r="H249" s="2306"/>
      <c r="I249" s="2306"/>
      <c r="J249" s="2306"/>
      <c r="K249" s="2306"/>
      <c r="L249" s="2306"/>
      <c r="M249" s="2306"/>
      <c r="N249" s="2306"/>
      <c r="O249" s="2306"/>
    </row>
    <row r="250" spans="1:15" s="769" customFormat="1" ht="14" customHeight="1" x14ac:dyDescent="0.3">
      <c r="A250" s="2"/>
      <c r="B250" s="2351"/>
      <c r="C250" s="2351"/>
      <c r="D250" s="2351"/>
      <c r="E250" s="2351"/>
      <c r="F250" s="2306"/>
      <c r="G250" s="2306"/>
      <c r="H250" s="2306"/>
      <c r="I250" s="2306"/>
      <c r="J250" s="2306"/>
      <c r="K250" s="2008" t="s">
        <v>556</v>
      </c>
      <c r="L250" s="2008" t="s">
        <v>557</v>
      </c>
      <c r="M250" s="2008" t="s">
        <v>558</v>
      </c>
      <c r="N250" s="2008" t="s">
        <v>559</v>
      </c>
      <c r="O250" s="2306"/>
    </row>
    <row r="251" spans="1:15" s="2" customFormat="1" x14ac:dyDescent="0.3">
      <c r="B251" s="930"/>
      <c r="C251" s="4" t="s">
        <v>179</v>
      </c>
      <c r="D251" s="3"/>
      <c r="E251" s="933"/>
      <c r="F251" s="2021"/>
      <c r="G251" s="2021"/>
      <c r="H251" s="2021"/>
      <c r="I251" s="2021"/>
      <c r="J251" s="2021"/>
      <c r="K251" s="2021"/>
      <c r="L251" s="2021"/>
      <c r="M251" s="2021"/>
      <c r="N251" s="2021"/>
      <c r="O251" s="2021"/>
    </row>
    <row r="252" spans="1:15" s="2" customFormat="1" x14ac:dyDescent="0.3">
      <c r="B252" s="930"/>
      <c r="C252" s="64" t="s">
        <v>33</v>
      </c>
      <c r="D252" s="3"/>
      <c r="E252" s="933"/>
      <c r="F252" s="2021"/>
      <c r="G252" s="2021"/>
      <c r="H252" s="2021"/>
      <c r="I252" s="2021"/>
      <c r="J252" s="2021"/>
      <c r="K252" s="2021"/>
      <c r="L252" s="2021"/>
      <c r="M252" s="2021"/>
      <c r="N252" s="2021"/>
      <c r="O252" s="2021"/>
    </row>
    <row r="253" spans="1:15" s="2" customFormat="1" ht="15.5" x14ac:dyDescent="0.3">
      <c r="B253" s="933">
        <v>1</v>
      </c>
      <c r="C253" s="948" t="s">
        <v>2139</v>
      </c>
      <c r="D253" s="3" t="s">
        <v>2140</v>
      </c>
      <c r="E253" s="933" t="s">
        <v>2086</v>
      </c>
      <c r="F253" s="2021">
        <v>18.05</v>
      </c>
      <c r="G253" s="2021">
        <v>19.399999999999999</v>
      </c>
      <c r="H253" s="2021">
        <v>19.399999999999999</v>
      </c>
      <c r="I253" s="2021">
        <v>0</v>
      </c>
      <c r="J253" s="2021">
        <v>0</v>
      </c>
      <c r="K253" s="2021">
        <v>0</v>
      </c>
      <c r="L253" s="2021"/>
      <c r="M253" s="2021"/>
      <c r="N253" s="2022">
        <f>K253+L253+M253</f>
        <v>0</v>
      </c>
      <c r="O253" s="2021">
        <f>I253+J253-N253</f>
        <v>0</v>
      </c>
    </row>
    <row r="254" spans="1:15" s="2" customFormat="1" ht="15.5" x14ac:dyDescent="0.3">
      <c r="B254" s="933">
        <v>2</v>
      </c>
      <c r="C254" s="948" t="s">
        <v>2004</v>
      </c>
      <c r="D254" s="3" t="s">
        <v>2091</v>
      </c>
      <c r="E254" s="933" t="s">
        <v>2092</v>
      </c>
      <c r="F254" s="2021">
        <v>30.19</v>
      </c>
      <c r="G254" s="2021">
        <v>6.79</v>
      </c>
      <c r="H254" s="2021">
        <v>6.79</v>
      </c>
      <c r="I254" s="2021">
        <v>0</v>
      </c>
      <c r="J254" s="2021">
        <v>10.52</v>
      </c>
      <c r="K254" s="2021">
        <v>10.52</v>
      </c>
      <c r="L254" s="2021"/>
      <c r="M254" s="2021"/>
      <c r="N254" s="2022">
        <f>K254+L254+M254</f>
        <v>10.52</v>
      </c>
      <c r="O254" s="2021">
        <f>I254+J254-N254</f>
        <v>0</v>
      </c>
    </row>
    <row r="255" spans="1:15" s="2" customFormat="1" ht="15.5" x14ac:dyDescent="0.3">
      <c r="B255" s="933">
        <v>3</v>
      </c>
      <c r="C255" s="948" t="s">
        <v>2095</v>
      </c>
      <c r="D255" s="3" t="s">
        <v>2123</v>
      </c>
      <c r="E255" s="933" t="s">
        <v>2141</v>
      </c>
      <c r="F255" s="2021">
        <v>12.94</v>
      </c>
      <c r="G255" s="2021">
        <v>5.49</v>
      </c>
      <c r="H255" s="2021">
        <v>5.49</v>
      </c>
      <c r="I255" s="2021">
        <v>0</v>
      </c>
      <c r="J255" s="2021">
        <v>7.41</v>
      </c>
      <c r="K255" s="2021">
        <v>7.41</v>
      </c>
      <c r="L255" s="2021"/>
      <c r="M255" s="2021"/>
      <c r="N255" s="2022">
        <f>K255+L255+M255</f>
        <v>7.41</v>
      </c>
      <c r="O255" s="2021">
        <f>I255+J255-N255</f>
        <v>0</v>
      </c>
    </row>
    <row r="256" spans="1:15" s="2" customFormat="1" ht="15.5" x14ac:dyDescent="0.3">
      <c r="B256" s="933"/>
      <c r="C256" s="948"/>
      <c r="D256" s="3"/>
      <c r="E256" s="933"/>
      <c r="F256" s="2021"/>
      <c r="G256" s="2021"/>
      <c r="H256" s="2021"/>
      <c r="I256" s="2021">
        <f t="shared" ref="I256:I290" si="18">G256-H256</f>
        <v>0</v>
      </c>
      <c r="J256" s="2021"/>
      <c r="K256" s="2021"/>
      <c r="L256" s="2021"/>
      <c r="M256" s="2021"/>
      <c r="N256" s="2022"/>
      <c r="O256" s="2021"/>
    </row>
    <row r="257" spans="1:15" s="2" customFormat="1" ht="15.5" x14ac:dyDescent="0.3">
      <c r="B257" s="930"/>
      <c r="C257" s="3"/>
      <c r="D257" s="3"/>
      <c r="E257" s="3"/>
      <c r="F257" s="3"/>
      <c r="G257" s="3"/>
      <c r="H257" s="3"/>
      <c r="I257" s="2021">
        <f t="shared" si="18"/>
        <v>0</v>
      </c>
      <c r="J257" s="2021"/>
      <c r="K257" s="2021"/>
      <c r="L257" s="2021"/>
      <c r="M257" s="2021"/>
      <c r="N257" s="2022"/>
      <c r="O257" s="2021"/>
    </row>
    <row r="258" spans="1:15" s="2" customFormat="1" ht="15.5" x14ac:dyDescent="0.3">
      <c r="B258" s="930"/>
      <c r="C258" s="64" t="s">
        <v>186</v>
      </c>
      <c r="D258" s="3"/>
      <c r="E258" s="933"/>
      <c r="F258" s="2021"/>
      <c r="G258" s="2021"/>
      <c r="H258" s="2021"/>
      <c r="I258" s="2021">
        <f t="shared" si="18"/>
        <v>0</v>
      </c>
      <c r="J258" s="2021"/>
      <c r="K258" s="2021"/>
      <c r="L258" s="2021"/>
      <c r="M258" s="2021"/>
      <c r="N258" s="2022"/>
      <c r="O258" s="2021"/>
    </row>
    <row r="259" spans="1:15" s="2" customFormat="1" ht="15.5" x14ac:dyDescent="0.3">
      <c r="B259" s="933">
        <v>4</v>
      </c>
      <c r="C259" s="64" t="s">
        <v>33</v>
      </c>
      <c r="D259" s="3"/>
      <c r="E259" s="933"/>
      <c r="F259" s="2021"/>
      <c r="G259" s="2021"/>
      <c r="H259" s="2021"/>
      <c r="I259" s="2021">
        <f t="shared" si="18"/>
        <v>0</v>
      </c>
      <c r="J259" s="2021"/>
      <c r="K259" s="2021"/>
      <c r="L259" s="2021"/>
      <c r="M259" s="2021"/>
      <c r="N259" s="2022"/>
      <c r="O259" s="2021"/>
    </row>
    <row r="260" spans="1:15" s="2" customFormat="1" ht="15.5" x14ac:dyDescent="0.3">
      <c r="B260" s="933">
        <v>5</v>
      </c>
      <c r="C260" s="948" t="s">
        <v>2004</v>
      </c>
      <c r="D260" s="3" t="s">
        <v>2091</v>
      </c>
      <c r="E260" s="933" t="s">
        <v>2092</v>
      </c>
      <c r="F260" s="2021">
        <v>30.19</v>
      </c>
      <c r="G260" s="2021">
        <v>17.309999999999999</v>
      </c>
      <c r="H260" s="2021">
        <v>17.309999999999999</v>
      </c>
      <c r="I260" s="2021">
        <v>0</v>
      </c>
      <c r="J260" s="2021">
        <v>11.95</v>
      </c>
      <c r="K260" s="2021">
        <v>11.95</v>
      </c>
      <c r="L260" s="2021"/>
      <c r="M260" s="2021"/>
      <c r="N260" s="2022">
        <f>K260+L260+M260</f>
        <v>11.95</v>
      </c>
      <c r="O260" s="2021">
        <f>I260+J260-N260</f>
        <v>0</v>
      </c>
    </row>
    <row r="261" spans="1:15" ht="15.5" x14ac:dyDescent="0.3">
      <c r="A261" s="2"/>
      <c r="B261" s="1947"/>
      <c r="C261" s="948" t="s">
        <v>2095</v>
      </c>
      <c r="D261" s="3" t="s">
        <v>2123</v>
      </c>
      <c r="E261" s="933" t="s">
        <v>2141</v>
      </c>
      <c r="F261" s="2021">
        <v>12.94</v>
      </c>
      <c r="G261" s="2021">
        <v>12.9</v>
      </c>
      <c r="H261" s="2021">
        <v>12.9</v>
      </c>
      <c r="I261" s="2021">
        <v>0</v>
      </c>
      <c r="J261" s="2021">
        <v>0</v>
      </c>
      <c r="K261" s="2021">
        <v>0</v>
      </c>
      <c r="L261" s="2021"/>
      <c r="M261" s="2021"/>
      <c r="N261" s="2022">
        <f>K261+L261+M261</f>
        <v>0</v>
      </c>
      <c r="O261" s="2021">
        <f>I261+J261-N261</f>
        <v>0</v>
      </c>
    </row>
    <row r="262" spans="1:15" ht="15.5" x14ac:dyDescent="0.3">
      <c r="A262" s="2"/>
      <c r="B262" s="1947"/>
      <c r="C262" s="950">
        <v>0</v>
      </c>
      <c r="D262" s="11"/>
      <c r="E262" s="1947"/>
      <c r="F262" s="1857"/>
      <c r="G262" s="1857"/>
      <c r="H262" s="1857"/>
      <c r="I262" s="2021"/>
      <c r="J262" s="1857"/>
      <c r="K262" s="1857"/>
      <c r="L262" s="1857"/>
      <c r="M262" s="1857"/>
      <c r="N262" s="2022"/>
      <c r="O262" s="2021"/>
    </row>
    <row r="263" spans="1:15" ht="15.5" x14ac:dyDescent="0.3">
      <c r="A263" s="2"/>
      <c r="B263" s="1947"/>
      <c r="C263" s="951" t="s">
        <v>2081</v>
      </c>
      <c r="D263" s="11"/>
      <c r="E263" s="1947"/>
      <c r="F263" s="1857"/>
      <c r="G263" s="1857"/>
      <c r="H263" s="1857"/>
      <c r="I263" s="2021"/>
      <c r="J263" s="1857"/>
      <c r="K263" s="1857"/>
      <c r="L263" s="1857"/>
      <c r="M263" s="1857"/>
      <c r="N263" s="2022"/>
      <c r="O263" s="2021"/>
    </row>
    <row r="264" spans="1:15" ht="15.5" x14ac:dyDescent="0.3">
      <c r="A264" s="2"/>
      <c r="B264" s="1947"/>
      <c r="C264" s="950">
        <v>0</v>
      </c>
      <c r="D264" s="157"/>
      <c r="E264" s="1947"/>
      <c r="F264" s="2037"/>
      <c r="G264" s="2037"/>
      <c r="H264" s="2037"/>
      <c r="I264" s="2021"/>
      <c r="J264" s="2048"/>
      <c r="K264" s="2048"/>
      <c r="L264" s="2048"/>
      <c r="M264" s="2048"/>
      <c r="N264" s="2022"/>
      <c r="O264" s="2021"/>
    </row>
    <row r="265" spans="1:15" ht="15.75" customHeight="1" x14ac:dyDescent="0.3">
      <c r="A265" s="2"/>
      <c r="B265" s="1947"/>
      <c r="C265" s="942" t="s">
        <v>426</v>
      </c>
      <c r="D265" s="157"/>
      <c r="E265" s="1947"/>
      <c r="F265" s="2037"/>
      <c r="G265" s="2037"/>
      <c r="H265" s="2037"/>
      <c r="I265" s="2021"/>
      <c r="J265" s="2048"/>
      <c r="K265" s="2048"/>
      <c r="L265" s="2048"/>
      <c r="M265" s="2048"/>
      <c r="N265" s="2022"/>
      <c r="O265" s="2021"/>
    </row>
    <row r="266" spans="1:15" ht="15.5" x14ac:dyDescent="0.3">
      <c r="A266" s="2"/>
      <c r="B266" s="1947">
        <v>6</v>
      </c>
      <c r="C266" s="942" t="s">
        <v>33</v>
      </c>
      <c r="D266" s="157"/>
      <c r="E266" s="1947"/>
      <c r="F266" s="2037"/>
      <c r="G266" s="2037"/>
      <c r="H266" s="2037"/>
      <c r="I266" s="2021"/>
      <c r="J266" s="2048"/>
      <c r="K266" s="2048"/>
      <c r="L266" s="2048"/>
      <c r="M266" s="2048"/>
      <c r="N266" s="2022"/>
      <c r="O266" s="2021"/>
    </row>
    <row r="267" spans="1:15" ht="14" customHeight="1" x14ac:dyDescent="0.3">
      <c r="A267" s="2"/>
      <c r="B267" s="1947"/>
      <c r="C267" s="950" t="s">
        <v>2004</v>
      </c>
      <c r="D267" s="11" t="s">
        <v>2091</v>
      </c>
      <c r="E267" s="933" t="s">
        <v>2092</v>
      </c>
      <c r="F267" s="2035">
        <v>30.19</v>
      </c>
      <c r="G267" s="2035">
        <v>29.259999999999998</v>
      </c>
      <c r="H267" s="2035">
        <v>29.259999999999998</v>
      </c>
      <c r="I267" s="2021">
        <v>0</v>
      </c>
      <c r="J267" s="2048">
        <v>0</v>
      </c>
      <c r="K267" s="2048">
        <v>0</v>
      </c>
      <c r="L267" s="2048"/>
      <c r="M267" s="1857"/>
      <c r="N267" s="2022">
        <f>K267+L267+M267</f>
        <v>0</v>
      </c>
      <c r="O267" s="2021">
        <f>I267+J267-N267</f>
        <v>0</v>
      </c>
    </row>
    <row r="268" spans="1:15" ht="15.5" x14ac:dyDescent="0.3">
      <c r="A268" s="2"/>
      <c r="B268" s="1947"/>
      <c r="C268" s="950"/>
      <c r="D268" s="11"/>
      <c r="E268" s="1947"/>
      <c r="F268" s="1857"/>
      <c r="G268" s="1857"/>
      <c r="H268" s="1857"/>
      <c r="I268" s="2021"/>
      <c r="J268" s="1857"/>
      <c r="K268" s="1857"/>
      <c r="L268" s="1857"/>
      <c r="M268" s="1857"/>
      <c r="N268" s="2022"/>
      <c r="O268" s="2021"/>
    </row>
    <row r="269" spans="1:15" ht="15.5" x14ac:dyDescent="0.3">
      <c r="A269" s="2"/>
      <c r="B269" s="1947">
        <v>7</v>
      </c>
      <c r="C269" s="942" t="s">
        <v>2081</v>
      </c>
      <c r="D269" s="11"/>
      <c r="E269" s="1947"/>
      <c r="F269" s="2049" t="s">
        <v>2007</v>
      </c>
      <c r="G269" s="1857"/>
      <c r="H269" s="1857"/>
      <c r="I269" s="2021"/>
      <c r="J269" s="1857"/>
      <c r="K269" s="1857"/>
      <c r="L269" s="1857"/>
      <c r="M269" s="1857"/>
      <c r="N269" s="2022"/>
      <c r="O269" s="2021"/>
    </row>
    <row r="270" spans="1:15" s="2" customFormat="1" ht="15.5" x14ac:dyDescent="0.3">
      <c r="B270" s="933"/>
      <c r="C270" s="950" t="s">
        <v>2125</v>
      </c>
      <c r="D270" s="11"/>
      <c r="E270" s="1947"/>
      <c r="F270" s="1857">
        <v>25.46</v>
      </c>
      <c r="G270" s="1857">
        <v>0</v>
      </c>
      <c r="H270" s="1857">
        <v>0</v>
      </c>
      <c r="I270" s="2021">
        <v>0</v>
      </c>
      <c r="J270" s="1857">
        <v>14.63</v>
      </c>
      <c r="K270" s="1857">
        <v>14.63</v>
      </c>
      <c r="L270" s="1857"/>
      <c r="M270" s="1857"/>
      <c r="N270" s="2022">
        <f>K270+L270+M270</f>
        <v>14.63</v>
      </c>
      <c r="O270" s="2021">
        <f>I270+J270-N270</f>
        <v>0</v>
      </c>
    </row>
    <row r="271" spans="1:15" s="2" customFormat="1" ht="15.5" x14ac:dyDescent="0.3">
      <c r="B271" s="933"/>
      <c r="C271" s="948"/>
      <c r="D271" s="3"/>
      <c r="E271" s="933"/>
      <c r="F271" s="2021"/>
      <c r="G271" s="2021"/>
      <c r="H271" s="2021"/>
      <c r="I271" s="2021"/>
      <c r="J271" s="2021"/>
      <c r="K271" s="2021"/>
      <c r="L271" s="2021"/>
      <c r="M271" s="2021"/>
      <c r="N271" s="2022"/>
      <c r="O271" s="2021"/>
    </row>
    <row r="272" spans="1:15" s="2" customFormat="1" ht="15.5" x14ac:dyDescent="0.3">
      <c r="B272" s="933"/>
      <c r="C272" s="64" t="s">
        <v>427</v>
      </c>
      <c r="D272" s="3"/>
      <c r="E272" s="933"/>
      <c r="F272" s="2021"/>
      <c r="G272" s="2021"/>
      <c r="H272" s="2021"/>
      <c r="I272" s="2021"/>
      <c r="J272" s="2021"/>
      <c r="K272" s="2021"/>
      <c r="L272" s="2021"/>
      <c r="M272" s="2021"/>
      <c r="N272" s="2022"/>
      <c r="O272" s="2021"/>
    </row>
    <row r="273" spans="2:15" s="2" customFormat="1" ht="15.5" x14ac:dyDescent="0.3">
      <c r="B273" s="933"/>
      <c r="C273" s="64" t="s">
        <v>33</v>
      </c>
      <c r="D273" s="3"/>
      <c r="E273" s="933"/>
      <c r="F273" s="2021"/>
      <c r="G273" s="2021"/>
      <c r="H273" s="2021"/>
      <c r="I273" s="2021"/>
      <c r="J273" s="2021"/>
      <c r="K273" s="2021"/>
      <c r="L273" s="2021"/>
      <c r="M273" s="2021"/>
      <c r="N273" s="2022"/>
      <c r="O273" s="2021"/>
    </row>
    <row r="274" spans="2:15" s="2" customFormat="1" ht="15.5" x14ac:dyDescent="0.3">
      <c r="B274" s="933"/>
      <c r="C274" s="2050">
        <v>0</v>
      </c>
      <c r="D274" s="3"/>
      <c r="E274" s="933"/>
      <c r="F274" s="2021"/>
      <c r="G274" s="2021"/>
      <c r="H274" s="2021"/>
      <c r="I274" s="2021"/>
      <c r="J274" s="2021"/>
      <c r="K274" s="2021"/>
      <c r="L274" s="2021"/>
      <c r="M274" s="2021"/>
      <c r="N274" s="2022"/>
      <c r="O274" s="2021"/>
    </row>
    <row r="275" spans="2:15" s="2" customFormat="1" ht="15.5" x14ac:dyDescent="0.3">
      <c r="B275" s="933">
        <v>8</v>
      </c>
      <c r="C275" s="64" t="s">
        <v>2081</v>
      </c>
      <c r="D275" s="3"/>
      <c r="E275" s="933"/>
      <c r="F275" s="2051" t="s">
        <v>2007</v>
      </c>
      <c r="G275" s="2021"/>
      <c r="H275" s="2021"/>
      <c r="I275" s="2021"/>
      <c r="J275" s="2021"/>
      <c r="K275" s="2021"/>
      <c r="L275" s="2021"/>
      <c r="M275" s="2021"/>
      <c r="N275" s="2022"/>
      <c r="O275" s="2021"/>
    </row>
    <row r="276" spans="2:15" s="2" customFormat="1" ht="15.5" x14ac:dyDescent="0.3">
      <c r="B276" s="933">
        <v>9</v>
      </c>
      <c r="C276" s="948" t="s">
        <v>2125</v>
      </c>
      <c r="D276" s="3"/>
      <c r="E276" s="933"/>
      <c r="F276" s="2021">
        <v>25.46</v>
      </c>
      <c r="G276" s="2021">
        <v>14.63</v>
      </c>
      <c r="H276" s="2021">
        <v>14.63</v>
      </c>
      <c r="I276" s="2021">
        <v>0</v>
      </c>
      <c r="J276" s="2021">
        <v>10.84</v>
      </c>
      <c r="K276" s="2021">
        <v>10.84</v>
      </c>
      <c r="L276" s="2021"/>
      <c r="M276" s="2021"/>
      <c r="N276" s="2022">
        <f>K276+L276+M276</f>
        <v>10.84</v>
      </c>
      <c r="O276" s="2021">
        <f>I276+J276-N276</f>
        <v>0</v>
      </c>
    </row>
    <row r="277" spans="2:15" s="2" customFormat="1" ht="15.5" x14ac:dyDescent="0.3">
      <c r="B277" s="933"/>
      <c r="C277" s="948"/>
      <c r="E277" s="933"/>
      <c r="F277" s="2021"/>
      <c r="G277" s="2021"/>
      <c r="H277" s="2021"/>
      <c r="I277" s="2021"/>
      <c r="J277" s="2021"/>
      <c r="K277" s="2021"/>
      <c r="L277" s="2021"/>
      <c r="M277" s="2021"/>
      <c r="N277" s="2022"/>
      <c r="O277" s="2021"/>
    </row>
    <row r="278" spans="2:15" s="2" customFormat="1" ht="15.5" x14ac:dyDescent="0.3">
      <c r="B278" s="933"/>
      <c r="C278" s="64" t="s">
        <v>428</v>
      </c>
      <c r="D278" s="3"/>
      <c r="E278" s="933"/>
      <c r="F278" s="2021"/>
      <c r="G278" s="2021"/>
      <c r="H278" s="2021"/>
      <c r="I278" s="2021"/>
      <c r="J278" s="2021"/>
      <c r="K278" s="2021"/>
      <c r="L278" s="2021"/>
      <c r="M278" s="2021"/>
      <c r="N278" s="2022"/>
      <c r="O278" s="2021"/>
    </row>
    <row r="279" spans="2:15" s="2" customFormat="1" ht="15.5" x14ac:dyDescent="0.3">
      <c r="B279" s="933"/>
      <c r="C279" s="64" t="s">
        <v>33</v>
      </c>
      <c r="D279" s="3"/>
      <c r="E279" s="933"/>
      <c r="F279" s="2021"/>
      <c r="G279" s="2021"/>
      <c r="H279" s="2021"/>
      <c r="I279" s="2021">
        <f t="shared" si="18"/>
        <v>0</v>
      </c>
      <c r="J279" s="2021"/>
      <c r="K279" s="2021"/>
      <c r="L279" s="2021"/>
      <c r="M279" s="2021"/>
      <c r="N279" s="2022"/>
      <c r="O279" s="2021"/>
    </row>
    <row r="280" spans="2:15" s="2" customFormat="1" ht="15.5" x14ac:dyDescent="0.3">
      <c r="B280" s="933"/>
      <c r="C280" s="2027" t="s">
        <v>2081</v>
      </c>
      <c r="D280" s="2021"/>
      <c r="E280" s="1808"/>
      <c r="F280" s="2021"/>
      <c r="G280" s="2021"/>
      <c r="H280" s="2021"/>
      <c r="I280" s="2021"/>
      <c r="J280" s="2021"/>
      <c r="K280" s="2021"/>
      <c r="L280" s="2021"/>
      <c r="M280" s="2021"/>
      <c r="N280" s="2022">
        <v>0</v>
      </c>
      <c r="O280" s="2021">
        <v>0</v>
      </c>
    </row>
    <row r="281" spans="2:15" s="2" customFormat="1" ht="15.5" x14ac:dyDescent="0.3">
      <c r="B281" s="933"/>
      <c r="C281" s="2050">
        <v>0</v>
      </c>
      <c r="D281" s="2021"/>
      <c r="E281" s="1808"/>
      <c r="F281" s="2021"/>
      <c r="G281" s="2021"/>
      <c r="H281" s="2021"/>
      <c r="I281" s="2021"/>
      <c r="J281" s="2021"/>
      <c r="K281" s="2021"/>
      <c r="L281" s="2021"/>
      <c r="M281" s="2021"/>
      <c r="N281" s="2022">
        <v>0</v>
      </c>
      <c r="O281" s="2021">
        <v>0</v>
      </c>
    </row>
    <row r="282" spans="2:15" s="2" customFormat="1" ht="15.5" x14ac:dyDescent="0.3">
      <c r="B282" s="933"/>
      <c r="C282" s="2050" t="s">
        <v>2101</v>
      </c>
      <c r="D282" s="2021"/>
      <c r="E282" s="1808"/>
      <c r="F282" s="1807">
        <v>289.00094999999999</v>
      </c>
      <c r="G282" s="2021">
        <v>0</v>
      </c>
      <c r="H282" s="2021">
        <v>0</v>
      </c>
      <c r="I282" s="2021">
        <v>0</v>
      </c>
      <c r="J282" s="1807">
        <v>289.00094999999999</v>
      </c>
      <c r="K282" s="1807">
        <v>289.00094999999999</v>
      </c>
      <c r="L282" s="2021"/>
      <c r="M282" s="2021"/>
      <c r="N282" s="2022">
        <f>K282+L282+M282</f>
        <v>289.00094999999999</v>
      </c>
      <c r="O282" s="2021">
        <v>0</v>
      </c>
    </row>
    <row r="283" spans="2:15" s="2" customFormat="1" ht="15.5" x14ac:dyDescent="0.3">
      <c r="B283" s="933"/>
      <c r="C283" s="2050" t="s">
        <v>2103</v>
      </c>
      <c r="D283" s="2021"/>
      <c r="E283" s="1808"/>
      <c r="F283" s="1807">
        <v>73.617949999999993</v>
      </c>
      <c r="G283" s="2021">
        <v>0</v>
      </c>
      <c r="H283" s="2021">
        <v>0</v>
      </c>
      <c r="I283" s="2021">
        <v>0</v>
      </c>
      <c r="J283" s="1807">
        <v>73.617949999999993</v>
      </c>
      <c r="K283" s="1807">
        <v>73.617949999999993</v>
      </c>
      <c r="L283" s="2021"/>
      <c r="M283" s="2021"/>
      <c r="N283" s="2022">
        <f>K283+L283+M283</f>
        <v>73.617949999999993</v>
      </c>
      <c r="O283" s="2021">
        <v>0</v>
      </c>
    </row>
    <row r="284" spans="2:15" s="2" customFormat="1" ht="15.5" x14ac:dyDescent="0.3">
      <c r="B284" s="933"/>
      <c r="C284" s="2050"/>
      <c r="D284" s="2021"/>
      <c r="E284" s="1808"/>
      <c r="F284" s="2021"/>
      <c r="G284" s="2021"/>
      <c r="H284" s="2021"/>
      <c r="I284" s="2021"/>
      <c r="J284" s="2021"/>
      <c r="K284" s="2021"/>
      <c r="L284" s="2021"/>
      <c r="M284" s="2021"/>
      <c r="N284" s="2022"/>
      <c r="O284" s="2021"/>
    </row>
    <row r="285" spans="2:15" s="2" customFormat="1" ht="15.5" x14ac:dyDescent="0.3">
      <c r="B285" s="933"/>
      <c r="C285" s="2027" t="s">
        <v>429</v>
      </c>
      <c r="D285" s="2021"/>
      <c r="E285" s="1808"/>
      <c r="F285" s="2021"/>
      <c r="G285" s="2021"/>
      <c r="H285" s="2021"/>
      <c r="I285" s="2021"/>
      <c r="J285" s="2021"/>
      <c r="K285" s="2021"/>
      <c r="L285" s="2021"/>
      <c r="M285" s="2021"/>
      <c r="N285" s="2022"/>
      <c r="O285" s="2021"/>
    </row>
    <row r="286" spans="2:15" s="2" customFormat="1" ht="15.5" x14ac:dyDescent="0.3">
      <c r="B286" s="933">
        <v>10</v>
      </c>
      <c r="C286" s="64" t="s">
        <v>2081</v>
      </c>
      <c r="D286" s="3"/>
      <c r="E286" s="933"/>
      <c r="F286" s="2021"/>
      <c r="G286" s="2021"/>
      <c r="H286" s="2021"/>
      <c r="I286" s="2021">
        <f t="shared" si="18"/>
        <v>0</v>
      </c>
      <c r="J286" s="2021"/>
      <c r="K286" s="2021"/>
      <c r="L286" s="2021"/>
      <c r="M286" s="2021"/>
      <c r="N286" s="2022"/>
      <c r="O286" s="2021"/>
    </row>
    <row r="287" spans="2:15" s="2" customFormat="1" ht="15.5" x14ac:dyDescent="0.3">
      <c r="B287" s="933"/>
      <c r="C287" s="2050" t="s">
        <v>2101</v>
      </c>
      <c r="D287" s="2050"/>
      <c r="E287" s="2050"/>
      <c r="F287" s="2050">
        <v>75.98</v>
      </c>
      <c r="G287" s="2050">
        <v>75.98</v>
      </c>
      <c r="H287" s="2050">
        <v>75.98</v>
      </c>
      <c r="I287" s="2050">
        <v>0</v>
      </c>
      <c r="J287" s="2050">
        <v>0</v>
      </c>
      <c r="K287" s="2050">
        <v>0</v>
      </c>
      <c r="L287" s="2050"/>
      <c r="M287" s="2050"/>
      <c r="N287" s="2022">
        <f t="shared" ref="N287:N288" si="19">K287+L287+M287</f>
        <v>0</v>
      </c>
      <c r="O287" s="2021"/>
    </row>
    <row r="288" spans="2:15" s="2" customFormat="1" ht="15.5" x14ac:dyDescent="0.3">
      <c r="B288" s="933"/>
      <c r="C288" s="2050" t="s">
        <v>2103</v>
      </c>
      <c r="D288" s="2027"/>
      <c r="E288" s="2027"/>
      <c r="F288" s="2050">
        <v>72.53</v>
      </c>
      <c r="G288" s="2050">
        <v>36.265000000000001</v>
      </c>
      <c r="H288" s="2050">
        <v>36.265000000000001</v>
      </c>
      <c r="I288" s="2050">
        <v>0</v>
      </c>
      <c r="J288" s="1807">
        <v>46.334749999999993</v>
      </c>
      <c r="K288" s="1807">
        <v>46.334749999999993</v>
      </c>
      <c r="L288" s="2050"/>
      <c r="M288" s="2050"/>
      <c r="N288" s="2022">
        <f t="shared" si="19"/>
        <v>46.334749999999993</v>
      </c>
      <c r="O288" s="2021"/>
    </row>
    <row r="289" spans="2:15" s="2" customFormat="1" ht="15.5" x14ac:dyDescent="0.3">
      <c r="B289" s="933"/>
      <c r="C289" s="2027">
        <v>0</v>
      </c>
      <c r="D289" s="3"/>
      <c r="E289" s="933"/>
      <c r="F289" s="2021"/>
      <c r="G289" s="2021"/>
      <c r="H289" s="2021"/>
      <c r="I289" s="2021">
        <f t="shared" si="18"/>
        <v>0</v>
      </c>
      <c r="J289" s="2021"/>
      <c r="K289" s="2021"/>
      <c r="L289" s="2021"/>
      <c r="M289" s="2021"/>
      <c r="N289" s="2022"/>
      <c r="O289" s="2021"/>
    </row>
    <row r="290" spans="2:15" s="2" customFormat="1" ht="15.5" x14ac:dyDescent="0.3">
      <c r="B290" s="933">
        <v>11</v>
      </c>
      <c r="C290" s="64" t="s">
        <v>2081</v>
      </c>
      <c r="D290" s="3"/>
      <c r="E290" s="933"/>
      <c r="F290" s="2021"/>
      <c r="G290" s="2021"/>
      <c r="H290" s="2021"/>
      <c r="I290" s="2021">
        <f t="shared" si="18"/>
        <v>0</v>
      </c>
      <c r="J290" s="2021"/>
      <c r="K290" s="2021"/>
      <c r="L290" s="2021"/>
      <c r="M290" s="2021"/>
      <c r="N290" s="2022"/>
      <c r="O290" s="2021"/>
    </row>
    <row r="291" spans="2:15" s="2" customFormat="1" x14ac:dyDescent="0.3">
      <c r="B291" s="1947"/>
      <c r="C291" s="950"/>
      <c r="D291" s="11"/>
      <c r="E291" s="1947"/>
      <c r="F291" s="1857"/>
      <c r="G291" s="1857"/>
      <c r="H291" s="1857"/>
      <c r="I291" s="1857"/>
      <c r="J291" s="1857"/>
      <c r="K291" s="1857"/>
      <c r="L291" s="1857"/>
      <c r="M291" s="1857"/>
      <c r="N291" s="1857"/>
      <c r="O291" s="1857"/>
    </row>
    <row r="292" spans="2:15" s="2" customFormat="1" x14ac:dyDescent="0.3">
      <c r="B292" s="1948"/>
      <c r="C292" s="1"/>
      <c r="D292" s="1"/>
      <c r="E292" s="1948"/>
      <c r="F292" s="2011"/>
      <c r="G292" s="2011"/>
      <c r="H292" s="2011"/>
      <c r="I292" s="2011"/>
      <c r="J292" s="2011"/>
      <c r="K292" s="2011"/>
      <c r="L292" s="2011"/>
      <c r="M292" s="2011"/>
      <c r="N292" s="2011"/>
      <c r="O292" s="2011"/>
    </row>
    <row r="293" spans="2:15" s="2" customFormat="1" x14ac:dyDescent="0.3">
      <c r="B293" s="1948"/>
      <c r="C293" s="1"/>
      <c r="D293" s="1"/>
      <c r="E293" s="1948"/>
      <c r="F293" s="2011"/>
      <c r="G293" s="2011"/>
      <c r="H293" s="2011"/>
      <c r="I293" s="2011"/>
      <c r="J293" s="2011"/>
      <c r="K293" s="2011"/>
      <c r="L293" s="2011"/>
      <c r="M293" s="2011"/>
      <c r="N293" s="2011"/>
      <c r="O293" s="2011"/>
    </row>
    <row r="294" spans="2:15" s="2" customFormat="1" x14ac:dyDescent="0.3">
      <c r="B294" s="1948"/>
      <c r="C294" s="1"/>
      <c r="D294" s="1"/>
      <c r="E294" s="1948"/>
      <c r="F294" s="2011"/>
      <c r="G294" s="2011"/>
      <c r="H294" s="2011"/>
      <c r="I294" s="2011"/>
      <c r="J294" s="2011"/>
      <c r="K294" s="2011"/>
      <c r="L294" s="2011"/>
      <c r="M294" s="2011"/>
      <c r="N294" s="2011"/>
      <c r="O294" s="2011"/>
    </row>
    <row r="295" spans="2:15" s="2" customFormat="1" x14ac:dyDescent="0.3">
      <c r="B295" s="1948"/>
      <c r="C295" s="1"/>
      <c r="D295" s="1"/>
      <c r="E295" s="1948"/>
      <c r="F295" s="2011"/>
      <c r="G295" s="2011"/>
      <c r="H295" s="2011"/>
      <c r="I295" s="2011"/>
      <c r="J295" s="2011"/>
      <c r="K295" s="2011"/>
      <c r="L295" s="2011"/>
      <c r="M295" s="2011"/>
      <c r="N295" s="2011"/>
      <c r="O295" s="2011"/>
    </row>
    <row r="296" spans="2:15" s="2" customFormat="1" x14ac:dyDescent="0.3">
      <c r="B296" s="1948"/>
      <c r="C296" s="1"/>
      <c r="D296" s="1"/>
      <c r="E296" s="1948"/>
      <c r="F296" s="2011"/>
      <c r="G296" s="2011"/>
      <c r="H296" s="2011"/>
      <c r="I296" s="2011"/>
      <c r="J296" s="2011"/>
      <c r="K296" s="2011"/>
      <c r="L296" s="2011"/>
      <c r="M296" s="2011"/>
      <c r="N296" s="2011"/>
      <c r="O296" s="2011"/>
    </row>
    <row r="297" spans="2:15" s="2" customFormat="1" x14ac:dyDescent="0.3">
      <c r="B297" s="1948"/>
      <c r="C297" s="1"/>
      <c r="D297" s="1"/>
      <c r="E297" s="1948"/>
      <c r="F297" s="2011"/>
      <c r="G297" s="2011"/>
      <c r="H297" s="2011"/>
      <c r="I297" s="2011"/>
      <c r="J297" s="2011"/>
      <c r="K297" s="2011"/>
      <c r="L297" s="2011"/>
      <c r="M297" s="2011"/>
      <c r="N297" s="2011"/>
      <c r="O297" s="2011"/>
    </row>
    <row r="298" spans="2:15" s="2" customFormat="1" x14ac:dyDescent="0.3">
      <c r="B298" s="1948"/>
      <c r="C298" s="1"/>
      <c r="D298" s="1"/>
      <c r="E298" s="1948"/>
      <c r="F298" s="2011"/>
      <c r="G298" s="2011"/>
      <c r="H298" s="2011"/>
      <c r="I298" s="2011"/>
      <c r="J298" s="2011"/>
      <c r="K298" s="2011"/>
      <c r="L298" s="2011"/>
      <c r="M298" s="2011"/>
      <c r="N298" s="2011"/>
      <c r="O298" s="2011"/>
    </row>
    <row r="299" spans="2:15" s="2" customFormat="1" x14ac:dyDescent="0.3">
      <c r="B299" s="1948"/>
      <c r="C299" s="1"/>
      <c r="D299" s="1"/>
      <c r="E299" s="1948"/>
      <c r="F299" s="2011"/>
      <c r="G299" s="2011"/>
      <c r="H299" s="2011"/>
      <c r="I299" s="2011"/>
      <c r="J299" s="2011"/>
      <c r="K299" s="2011"/>
      <c r="L299" s="2011"/>
      <c r="M299" s="2011"/>
      <c r="N299" s="2011"/>
      <c r="O299" s="2011"/>
    </row>
    <row r="300" spans="2:15" s="2" customFormat="1" x14ac:dyDescent="0.3">
      <c r="B300" s="1948"/>
      <c r="C300" s="1"/>
      <c r="D300" s="1"/>
      <c r="E300" s="1948"/>
      <c r="F300" s="2011"/>
      <c r="G300" s="2011"/>
      <c r="H300" s="2011"/>
      <c r="I300" s="2011"/>
      <c r="J300" s="2011"/>
      <c r="K300" s="2011"/>
      <c r="L300" s="2011"/>
      <c r="M300" s="2011"/>
      <c r="N300" s="2011"/>
      <c r="O300" s="2011"/>
    </row>
    <row r="301" spans="2:15" s="2" customFormat="1" x14ac:dyDescent="0.3">
      <c r="B301" s="1948"/>
      <c r="C301" s="1"/>
      <c r="D301" s="1"/>
      <c r="E301" s="1948"/>
      <c r="F301" s="2011"/>
      <c r="G301" s="2011"/>
      <c r="H301" s="2011"/>
      <c r="I301" s="2011"/>
      <c r="J301" s="2011"/>
      <c r="K301" s="2011"/>
      <c r="L301" s="2011"/>
      <c r="M301" s="2011"/>
      <c r="N301" s="2011"/>
      <c r="O301" s="2011"/>
    </row>
    <row r="302" spans="2:15" s="2" customFormat="1" x14ac:dyDescent="0.3">
      <c r="B302" s="1948"/>
      <c r="C302" s="1"/>
      <c r="D302" s="1"/>
      <c r="E302" s="1948"/>
      <c r="F302" s="2011"/>
      <c r="G302" s="2011"/>
      <c r="H302" s="2011"/>
      <c r="I302" s="2011"/>
      <c r="J302" s="2011"/>
      <c r="K302" s="2011"/>
      <c r="L302" s="2011"/>
      <c r="M302" s="2011"/>
      <c r="N302" s="2011"/>
      <c r="O302" s="2011"/>
    </row>
    <row r="303" spans="2:15" s="2" customFormat="1" x14ac:dyDescent="0.3">
      <c r="B303" s="1948"/>
      <c r="C303" s="1"/>
      <c r="D303" s="1"/>
      <c r="E303" s="1948"/>
      <c r="F303" s="2011"/>
      <c r="G303" s="2011"/>
      <c r="H303" s="2011"/>
      <c r="I303" s="2011"/>
      <c r="J303" s="2011"/>
      <c r="K303" s="2011"/>
      <c r="L303" s="2011"/>
      <c r="M303" s="2011"/>
      <c r="N303" s="2011"/>
      <c r="O303" s="2011"/>
    </row>
    <row r="304" spans="2:15" s="2" customFormat="1" x14ac:dyDescent="0.3">
      <c r="B304" s="1948"/>
      <c r="C304" s="1"/>
      <c r="D304" s="1"/>
      <c r="E304" s="1948"/>
      <c r="F304" s="2011"/>
      <c r="G304" s="2011"/>
      <c r="H304" s="2011"/>
      <c r="I304" s="2011"/>
      <c r="J304" s="2011"/>
      <c r="K304" s="2011"/>
      <c r="L304" s="2011"/>
      <c r="M304" s="2011"/>
      <c r="N304" s="2011"/>
      <c r="O304" s="2011"/>
    </row>
    <row r="305" spans="2:15" s="2" customFormat="1" x14ac:dyDescent="0.3">
      <c r="B305" s="1948"/>
      <c r="C305" s="1"/>
      <c r="D305" s="1"/>
      <c r="E305" s="1948"/>
      <c r="F305" s="2011"/>
      <c r="G305" s="2011"/>
      <c r="H305" s="2011"/>
      <c r="I305" s="2011"/>
      <c r="J305" s="2011"/>
      <c r="K305" s="2011"/>
      <c r="L305" s="2011"/>
      <c r="M305" s="2011"/>
      <c r="N305" s="2011"/>
      <c r="O305" s="2011"/>
    </row>
    <row r="306" spans="2:15" s="2" customFormat="1" x14ac:dyDescent="0.3">
      <c r="B306" s="1948"/>
      <c r="C306" s="1"/>
      <c r="D306" s="1"/>
      <c r="E306" s="1948"/>
      <c r="F306" s="2011"/>
      <c r="G306" s="2011"/>
      <c r="H306" s="2011"/>
      <c r="I306" s="2011"/>
      <c r="J306" s="2011"/>
      <c r="K306" s="2011"/>
      <c r="L306" s="2011"/>
      <c r="M306" s="2011"/>
      <c r="N306" s="2011"/>
      <c r="O306" s="2011"/>
    </row>
    <row r="307" spans="2:15" s="2" customFormat="1" x14ac:dyDescent="0.3">
      <c r="B307" s="1948"/>
      <c r="C307" s="1"/>
      <c r="D307" s="1"/>
      <c r="E307" s="1948"/>
      <c r="F307" s="2011"/>
      <c r="G307" s="2011"/>
      <c r="H307" s="2011"/>
      <c r="I307" s="2011"/>
      <c r="J307" s="2011"/>
      <c r="K307" s="2011"/>
      <c r="L307" s="2011"/>
      <c r="M307" s="2011"/>
      <c r="N307" s="2011"/>
      <c r="O307" s="2011"/>
    </row>
    <row r="308" spans="2:15" s="2" customFormat="1" x14ac:dyDescent="0.3">
      <c r="B308" s="1948"/>
      <c r="C308" s="1"/>
      <c r="D308" s="1"/>
      <c r="E308" s="1948"/>
      <c r="F308" s="2011"/>
      <c r="G308" s="2011"/>
      <c r="H308" s="2011"/>
      <c r="I308" s="2011"/>
      <c r="J308" s="2011"/>
      <c r="K308" s="2011"/>
      <c r="L308" s="2011"/>
      <c r="M308" s="2011"/>
      <c r="N308" s="2011"/>
      <c r="O308" s="2011"/>
    </row>
    <row r="309" spans="2:15" s="2" customFormat="1" x14ac:dyDescent="0.3">
      <c r="B309" s="1948"/>
      <c r="C309" s="1"/>
      <c r="D309" s="1"/>
      <c r="E309" s="1948"/>
      <c r="F309" s="2011"/>
      <c r="G309" s="2011"/>
      <c r="H309" s="2011"/>
      <c r="I309" s="2011"/>
      <c r="J309" s="2011"/>
      <c r="K309" s="2011"/>
      <c r="L309" s="2011"/>
      <c r="M309" s="2011"/>
      <c r="N309" s="2011"/>
      <c r="O309" s="2011"/>
    </row>
    <row r="310" spans="2:15" s="2" customFormat="1" x14ac:dyDescent="0.3">
      <c r="B310" s="1948"/>
      <c r="C310" s="1"/>
      <c r="D310" s="1"/>
      <c r="E310" s="1948"/>
      <c r="F310" s="2011"/>
      <c r="G310" s="2011"/>
      <c r="H310" s="2011"/>
      <c r="I310" s="2011"/>
      <c r="J310" s="2011"/>
      <c r="K310" s="2011"/>
      <c r="L310" s="2011"/>
      <c r="M310" s="2011"/>
      <c r="N310" s="2011"/>
      <c r="O310" s="2011"/>
    </row>
    <row r="311" spans="2:15" s="2" customFormat="1" x14ac:dyDescent="0.3">
      <c r="B311" s="1948"/>
      <c r="C311" s="1"/>
      <c r="D311" s="1"/>
      <c r="E311" s="1948"/>
      <c r="F311" s="2011"/>
      <c r="G311" s="2011"/>
      <c r="H311" s="2011"/>
      <c r="I311" s="2011"/>
      <c r="J311" s="2011"/>
      <c r="K311" s="2011"/>
      <c r="L311" s="2011"/>
      <c r="M311" s="2011"/>
      <c r="N311" s="2011"/>
      <c r="O311" s="2011"/>
    </row>
    <row r="312" spans="2:15" s="2" customFormat="1" x14ac:dyDescent="0.3">
      <c r="B312" s="1948"/>
      <c r="C312" s="1"/>
      <c r="D312" s="1"/>
      <c r="E312" s="1948"/>
      <c r="F312" s="2011"/>
      <c r="G312" s="2011"/>
      <c r="H312" s="2011"/>
      <c r="I312" s="2011"/>
      <c r="J312" s="2011"/>
      <c r="K312" s="2011"/>
      <c r="L312" s="2011"/>
      <c r="M312" s="2011"/>
      <c r="N312" s="2011"/>
      <c r="O312" s="2011"/>
    </row>
    <row r="313" spans="2:15" s="2" customFormat="1" x14ac:dyDescent="0.3">
      <c r="B313" s="1948"/>
      <c r="C313" s="1"/>
      <c r="D313" s="1"/>
      <c r="E313" s="1948"/>
      <c r="F313" s="2011"/>
      <c r="G313" s="2011"/>
      <c r="H313" s="2011"/>
      <c r="I313" s="2011"/>
      <c r="J313" s="2011"/>
      <c r="K313" s="2011"/>
      <c r="L313" s="2011"/>
      <c r="M313" s="2011"/>
      <c r="N313" s="2011"/>
      <c r="O313" s="2011"/>
    </row>
    <row r="314" spans="2:15" s="2" customFormat="1" x14ac:dyDescent="0.3">
      <c r="B314" s="1948"/>
      <c r="C314" s="1"/>
      <c r="D314" s="1"/>
      <c r="E314" s="1948"/>
      <c r="F314" s="2011"/>
      <c r="G314" s="2011"/>
      <c r="H314" s="2011"/>
      <c r="I314" s="2011"/>
      <c r="J314" s="2011"/>
      <c r="K314" s="2011"/>
      <c r="L314" s="2011"/>
      <c r="M314" s="2011"/>
      <c r="N314" s="2011"/>
      <c r="O314" s="2011"/>
    </row>
    <row r="315" spans="2:15" s="2" customFormat="1" x14ac:dyDescent="0.3">
      <c r="B315" s="1948"/>
      <c r="C315" s="1"/>
      <c r="D315" s="1"/>
      <c r="E315" s="1948"/>
      <c r="F315" s="2011"/>
      <c r="G315" s="2011"/>
      <c r="H315" s="2011"/>
      <c r="I315" s="2011"/>
      <c r="J315" s="2011"/>
      <c r="K315" s="2011"/>
      <c r="L315" s="2011"/>
      <c r="M315" s="2011"/>
      <c r="N315" s="2011"/>
      <c r="O315" s="2011"/>
    </row>
    <row r="316" spans="2:15" s="2" customFormat="1" x14ac:dyDescent="0.3">
      <c r="B316" s="1948"/>
      <c r="C316" s="1"/>
      <c r="D316" s="1"/>
      <c r="E316" s="1948"/>
      <c r="F316" s="2011"/>
      <c r="G316" s="2011"/>
      <c r="H316" s="2011"/>
      <c r="I316" s="2011"/>
      <c r="J316" s="2011"/>
      <c r="K316" s="2011"/>
      <c r="L316" s="2011"/>
      <c r="M316" s="2011"/>
      <c r="N316" s="2011"/>
      <c r="O316" s="2011"/>
    </row>
    <row r="317" spans="2:15" s="2" customFormat="1" x14ac:dyDescent="0.3">
      <c r="B317" s="1948"/>
      <c r="C317" s="1"/>
      <c r="D317" s="1"/>
      <c r="E317" s="1948"/>
      <c r="F317" s="2011"/>
      <c r="G317" s="2011"/>
      <c r="H317" s="2011"/>
      <c r="I317" s="2011"/>
      <c r="J317" s="2011"/>
      <c r="K317" s="2011"/>
      <c r="L317" s="2011"/>
      <c r="M317" s="2011"/>
      <c r="N317" s="2011"/>
      <c r="O317" s="2011"/>
    </row>
    <row r="318" spans="2:15" s="2" customFormat="1" x14ac:dyDescent="0.3">
      <c r="B318" s="1948"/>
      <c r="C318" s="1"/>
      <c r="D318" s="1"/>
      <c r="E318" s="1948"/>
      <c r="F318" s="2011"/>
      <c r="G318" s="2011"/>
      <c r="H318" s="2011"/>
      <c r="I318" s="2011"/>
      <c r="J318" s="2011"/>
      <c r="K318" s="2011"/>
      <c r="L318" s="2011"/>
      <c r="M318" s="2011"/>
      <c r="N318" s="2011"/>
      <c r="O318" s="2011"/>
    </row>
    <row r="319" spans="2:15" s="2" customFormat="1" x14ac:dyDescent="0.3">
      <c r="B319" s="1948"/>
      <c r="C319" s="1"/>
      <c r="D319" s="1"/>
      <c r="E319" s="1948"/>
      <c r="F319" s="2011"/>
      <c r="G319" s="2011"/>
      <c r="H319" s="2011"/>
      <c r="I319" s="2011"/>
      <c r="J319" s="2011"/>
      <c r="K319" s="2011"/>
      <c r="L319" s="2011"/>
      <c r="M319" s="2011"/>
      <c r="N319" s="2011"/>
      <c r="O319" s="2011"/>
    </row>
    <row r="320" spans="2:15" s="2" customFormat="1" x14ac:dyDescent="0.3">
      <c r="B320" s="1948"/>
      <c r="C320" s="1"/>
      <c r="D320" s="1"/>
      <c r="E320" s="1948"/>
      <c r="F320" s="2011"/>
      <c r="G320" s="2011"/>
      <c r="H320" s="2011"/>
      <c r="I320" s="2011"/>
      <c r="J320" s="2011"/>
      <c r="K320" s="2011"/>
      <c r="L320" s="2011"/>
      <c r="M320" s="2011"/>
      <c r="N320" s="2011"/>
      <c r="O320" s="2011"/>
    </row>
    <row r="321" spans="2:15" s="2" customFormat="1" x14ac:dyDescent="0.3">
      <c r="B321" s="1948"/>
      <c r="C321" s="1"/>
      <c r="D321" s="1"/>
      <c r="E321" s="1948"/>
      <c r="F321" s="2011"/>
      <c r="G321" s="2011"/>
      <c r="H321" s="2011"/>
      <c r="I321" s="2011"/>
      <c r="J321" s="2011"/>
      <c r="K321" s="2011"/>
      <c r="L321" s="2011"/>
      <c r="M321" s="2011"/>
      <c r="N321" s="2011"/>
      <c r="O321" s="2011"/>
    </row>
    <row r="322" spans="2:15" s="2" customFormat="1" x14ac:dyDescent="0.3">
      <c r="B322" s="1948"/>
      <c r="C322" s="1"/>
      <c r="D322" s="1"/>
      <c r="E322" s="1948"/>
      <c r="F322" s="2011"/>
      <c r="G322" s="2011"/>
      <c r="H322" s="2011"/>
      <c r="I322" s="2011"/>
      <c r="J322" s="2011"/>
      <c r="K322" s="2011"/>
      <c r="L322" s="2011"/>
      <c r="M322" s="2011"/>
      <c r="N322" s="2011"/>
      <c r="O322" s="2011"/>
    </row>
    <row r="323" spans="2:15" s="2" customFormat="1" x14ac:dyDescent="0.3">
      <c r="B323" s="1948"/>
      <c r="C323" s="1"/>
      <c r="D323" s="1"/>
      <c r="E323" s="1948"/>
      <c r="F323" s="2011"/>
      <c r="G323" s="2011"/>
      <c r="H323" s="2011"/>
      <c r="I323" s="2011"/>
      <c r="J323" s="2011"/>
      <c r="K323" s="2011"/>
      <c r="L323" s="2011"/>
      <c r="M323" s="2011"/>
      <c r="N323" s="2011"/>
      <c r="O323" s="2011"/>
    </row>
    <row r="324" spans="2:15" s="2" customFormat="1" x14ac:dyDescent="0.3">
      <c r="B324" s="1948"/>
      <c r="C324" s="1"/>
      <c r="D324" s="1"/>
      <c r="E324" s="1948"/>
      <c r="F324" s="2011"/>
      <c r="G324" s="2011"/>
      <c r="H324" s="2011"/>
      <c r="I324" s="2011"/>
      <c r="J324" s="2011"/>
      <c r="K324" s="2011"/>
      <c r="L324" s="2011"/>
      <c r="M324" s="2011"/>
      <c r="N324" s="2011"/>
      <c r="O324" s="2011"/>
    </row>
    <row r="325" spans="2:15" s="2" customFormat="1" x14ac:dyDescent="0.3">
      <c r="B325" s="1948"/>
      <c r="C325" s="1"/>
      <c r="D325" s="1"/>
      <c r="E325" s="1948"/>
      <c r="F325" s="2011"/>
      <c r="G325" s="2011"/>
      <c r="H325" s="2011"/>
      <c r="I325" s="2011"/>
      <c r="J325" s="2011"/>
      <c r="K325" s="2011"/>
      <c r="L325" s="2011"/>
      <c r="M325" s="2011"/>
      <c r="N325" s="2011"/>
      <c r="O325" s="2011"/>
    </row>
    <row r="326" spans="2:15" s="2" customFormat="1" x14ac:dyDescent="0.3">
      <c r="B326" s="1948"/>
      <c r="C326" s="1"/>
      <c r="D326" s="1"/>
      <c r="E326" s="1948"/>
      <c r="F326" s="2011"/>
      <c r="G326" s="2011"/>
      <c r="H326" s="2011"/>
      <c r="I326" s="2011"/>
      <c r="J326" s="2011"/>
      <c r="K326" s="2011"/>
      <c r="L326" s="2011"/>
      <c r="M326" s="2011"/>
      <c r="N326" s="2011"/>
      <c r="O326" s="2011"/>
    </row>
    <row r="327" spans="2:15" s="2" customFormat="1" x14ac:dyDescent="0.3">
      <c r="B327" s="1948"/>
      <c r="C327" s="1"/>
      <c r="D327" s="1"/>
      <c r="E327" s="1948"/>
      <c r="F327" s="2011"/>
      <c r="G327" s="2011"/>
      <c r="H327" s="2011"/>
      <c r="I327" s="2011"/>
      <c r="J327" s="2011"/>
      <c r="K327" s="2011"/>
      <c r="L327" s="2011"/>
      <c r="M327" s="2011"/>
      <c r="N327" s="2011"/>
      <c r="O327" s="2011"/>
    </row>
    <row r="328" spans="2:15" s="2" customFormat="1" x14ac:dyDescent="0.3">
      <c r="B328" s="1948"/>
      <c r="C328" s="1"/>
      <c r="D328" s="1"/>
      <c r="E328" s="1948"/>
      <c r="F328" s="2011"/>
      <c r="G328" s="2011"/>
      <c r="H328" s="2011"/>
      <c r="I328" s="2011"/>
      <c r="J328" s="2011"/>
      <c r="K328" s="2011"/>
      <c r="L328" s="2011"/>
      <c r="M328" s="2011"/>
      <c r="N328" s="2011"/>
      <c r="O328" s="2011"/>
    </row>
    <row r="329" spans="2:15" s="2" customFormat="1" x14ac:dyDescent="0.3">
      <c r="B329" s="1948"/>
      <c r="C329" s="1"/>
      <c r="D329" s="1"/>
      <c r="E329" s="1948"/>
      <c r="F329" s="2011"/>
      <c r="G329" s="2011"/>
      <c r="H329" s="2011"/>
      <c r="I329" s="2011"/>
      <c r="J329" s="2011"/>
      <c r="K329" s="2011"/>
      <c r="L329" s="2011"/>
      <c r="M329" s="2011"/>
      <c r="N329" s="2011"/>
      <c r="O329" s="2011"/>
    </row>
    <row r="330" spans="2:15" s="2" customFormat="1" x14ac:dyDescent="0.3">
      <c r="B330" s="1948"/>
      <c r="C330" s="1"/>
      <c r="D330" s="1"/>
      <c r="E330" s="1948"/>
      <c r="F330" s="2011"/>
      <c r="G330" s="2011"/>
      <c r="H330" s="2011"/>
      <c r="I330" s="2011"/>
      <c r="J330" s="2011"/>
      <c r="K330" s="2011"/>
      <c r="L330" s="2011"/>
      <c r="M330" s="2011"/>
      <c r="N330" s="2011"/>
      <c r="O330" s="2011"/>
    </row>
    <row r="331" spans="2:15" s="2" customFormat="1" x14ac:dyDescent="0.3">
      <c r="B331" s="1948"/>
      <c r="C331" s="1"/>
      <c r="D331" s="1"/>
      <c r="E331" s="1948"/>
      <c r="F331" s="2011"/>
      <c r="G331" s="2011"/>
      <c r="H331" s="2011"/>
      <c r="I331" s="2011"/>
      <c r="J331" s="2011"/>
      <c r="K331" s="2011"/>
      <c r="L331" s="2011"/>
      <c r="M331" s="2011"/>
      <c r="N331" s="2011"/>
      <c r="O331" s="2011"/>
    </row>
    <row r="332" spans="2:15" s="2" customFormat="1" x14ac:dyDescent="0.3">
      <c r="B332" s="1948"/>
      <c r="C332" s="1"/>
      <c r="D332" s="1"/>
      <c r="E332" s="1948"/>
      <c r="F332" s="2011"/>
      <c r="G332" s="2011"/>
      <c r="H332" s="2011"/>
      <c r="I332" s="2011"/>
      <c r="J332" s="2011"/>
      <c r="K332" s="2011"/>
      <c r="L332" s="2011"/>
      <c r="M332" s="2011"/>
      <c r="N332" s="2011"/>
      <c r="O332" s="2011"/>
    </row>
    <row r="333" spans="2:15" s="2" customFormat="1" x14ac:dyDescent="0.3">
      <c r="B333" s="1948"/>
      <c r="C333" s="1"/>
      <c r="D333" s="1"/>
      <c r="E333" s="1948"/>
      <c r="F333" s="2011"/>
      <c r="G333" s="2011"/>
      <c r="H333" s="2011"/>
      <c r="I333" s="2011"/>
      <c r="J333" s="2011"/>
      <c r="K333" s="2011"/>
      <c r="L333" s="2011"/>
      <c r="M333" s="2011"/>
      <c r="N333" s="2011"/>
      <c r="O333" s="2011"/>
    </row>
  </sheetData>
  <mergeCells count="77">
    <mergeCell ref="O49:O51"/>
    <mergeCell ref="G49:G51"/>
    <mergeCell ref="H49:H51"/>
    <mergeCell ref="I49:I51"/>
    <mergeCell ref="J49:J51"/>
    <mergeCell ref="K49:N50"/>
    <mergeCell ref="B49:B51"/>
    <mergeCell ref="C49:C51"/>
    <mergeCell ref="D49:D51"/>
    <mergeCell ref="O10:O12"/>
    <mergeCell ref="B10:B12"/>
    <mergeCell ref="C10:C12"/>
    <mergeCell ref="D10:D12"/>
    <mergeCell ref="E10:E12"/>
    <mergeCell ref="F10:F12"/>
    <mergeCell ref="G10:G12"/>
    <mergeCell ref="H10:H12"/>
    <mergeCell ref="I10:I12"/>
    <mergeCell ref="J10:J12"/>
    <mergeCell ref="K10:N11"/>
    <mergeCell ref="E49:E51"/>
    <mergeCell ref="F49:F51"/>
    <mergeCell ref="I92:I94"/>
    <mergeCell ref="J92:J94"/>
    <mergeCell ref="B166:B168"/>
    <mergeCell ref="C166:C168"/>
    <mergeCell ref="D166:D168"/>
    <mergeCell ref="E166:E168"/>
    <mergeCell ref="F166:F168"/>
    <mergeCell ref="G166:G168"/>
    <mergeCell ref="H166:H168"/>
    <mergeCell ref="B92:B94"/>
    <mergeCell ref="C92:C94"/>
    <mergeCell ref="D92:D94"/>
    <mergeCell ref="E92:E94"/>
    <mergeCell ref="I166:I168"/>
    <mergeCell ref="J166:J168"/>
    <mergeCell ref="K92:N93"/>
    <mergeCell ref="O92:O94"/>
    <mergeCell ref="B131:B133"/>
    <mergeCell ref="C131:C133"/>
    <mergeCell ref="D131:D133"/>
    <mergeCell ref="E131:E133"/>
    <mergeCell ref="F131:F133"/>
    <mergeCell ref="G131:G133"/>
    <mergeCell ref="H131:H133"/>
    <mergeCell ref="I131:I133"/>
    <mergeCell ref="J131:J133"/>
    <mergeCell ref="K131:N132"/>
    <mergeCell ref="O131:O133"/>
    <mergeCell ref="F92:F94"/>
    <mergeCell ref="G92:G94"/>
    <mergeCell ref="H92:H94"/>
    <mergeCell ref="K166:N167"/>
    <mergeCell ref="O166:O168"/>
    <mergeCell ref="B205:B207"/>
    <mergeCell ref="C205:C207"/>
    <mergeCell ref="D205:D207"/>
    <mergeCell ref="E205:E207"/>
    <mergeCell ref="F205:F207"/>
    <mergeCell ref="G205:G207"/>
    <mergeCell ref="H205:H207"/>
    <mergeCell ref="I205:I207"/>
    <mergeCell ref="J205:J207"/>
    <mergeCell ref="K205:N206"/>
    <mergeCell ref="O205:O207"/>
    <mergeCell ref="B248:B250"/>
    <mergeCell ref="C248:C250"/>
    <mergeCell ref="D248:D250"/>
    <mergeCell ref="E248:E250"/>
    <mergeCell ref="F248:F250"/>
    <mergeCell ref="O248:O250"/>
    <mergeCell ref="G248:G250"/>
    <mergeCell ref="H248:H250"/>
    <mergeCell ref="I248:I250"/>
    <mergeCell ref="J248:J250"/>
    <mergeCell ref="K248:N249"/>
  </mergeCells>
  <printOptions verticalCentered="1"/>
  <pageMargins left="0" right="0" top="0.23622047244094491" bottom="0.23622047244094491" header="0.23622047244094491" footer="0.23622047244094491"/>
  <pageSetup paperSize="9" scale="47" fitToHeight="2" orientation="landscape" r:id="rId1"/>
  <headerFooter alignWithMargins="0">
    <oddHeader>&amp;F</oddHeader>
  </headerFooter>
  <rowBreaks count="6" manualBreakCount="6">
    <brk id="47" max="14" man="1"/>
    <brk id="91" max="14" man="1"/>
    <brk id="130" max="14" man="1"/>
    <brk id="165" max="14" man="1"/>
    <brk id="204" max="14" man="1"/>
    <brk id="243"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T42"/>
  <sheetViews>
    <sheetView zoomScale="86" workbookViewId="0">
      <selection activeCell="F21" sqref="F21:G27"/>
    </sheetView>
  </sheetViews>
  <sheetFormatPr defaultColWidth="9.08984375" defaultRowHeight="14.5" x14ac:dyDescent="0.35"/>
  <cols>
    <col min="1" max="2" width="9.08984375" style="1528"/>
    <col min="3" max="3" width="44.453125" style="1528" customWidth="1"/>
    <col min="4" max="4" width="14.1796875" style="1528" customWidth="1"/>
    <col min="5" max="6" width="12.6328125" style="1528" customWidth="1"/>
    <col min="7" max="7" width="10.54296875" style="1528" customWidth="1"/>
    <col min="8" max="8" width="9.36328125" style="794" bestFit="1" customWidth="1"/>
    <col min="9" max="9" width="11.36328125" style="794" customWidth="1"/>
    <col min="10" max="11" width="11.54296875" style="794" bestFit="1" customWidth="1"/>
    <col min="12" max="14" width="11.54296875" style="794" customWidth="1"/>
    <col min="15" max="15" width="11.36328125" style="794" customWidth="1"/>
    <col min="16" max="16" width="11.54296875" style="1570" customWidth="1"/>
    <col min="17" max="17" width="13.36328125" style="1570" customWidth="1"/>
    <col min="18" max="18" width="13" style="1570" customWidth="1"/>
    <col min="19" max="16384" width="9.08984375" style="1528"/>
  </cols>
  <sheetData>
    <row r="1" spans="3:20" x14ac:dyDescent="0.35">
      <c r="C1" s="2157" t="s">
        <v>1694</v>
      </c>
      <c r="D1" s="2157"/>
      <c r="E1" s="2157"/>
    </row>
    <row r="2" spans="3:20" ht="29" x14ac:dyDescent="0.35">
      <c r="C2" s="1529" t="s">
        <v>50</v>
      </c>
      <c r="D2" s="1529" t="s">
        <v>742</v>
      </c>
      <c r="E2" s="1529" t="s">
        <v>1672</v>
      </c>
    </row>
    <row r="3" spans="3:20" hidden="1" x14ac:dyDescent="0.35">
      <c r="C3" s="1530"/>
      <c r="D3" s="1531"/>
      <c r="E3" s="1532"/>
    </row>
    <row r="4" spans="3:20" hidden="1" x14ac:dyDescent="0.35">
      <c r="C4" s="1530"/>
      <c r="D4" s="1531"/>
      <c r="E4" s="1532"/>
    </row>
    <row r="5" spans="3:20" hidden="1" x14ac:dyDescent="0.35">
      <c r="C5" s="1530"/>
      <c r="D5" s="1531"/>
      <c r="E5" s="1532"/>
    </row>
    <row r="6" spans="3:20" hidden="1" x14ac:dyDescent="0.35">
      <c r="C6" s="1533"/>
      <c r="D6" s="1534"/>
      <c r="E6" s="1535"/>
    </row>
    <row r="7" spans="3:20" hidden="1" x14ac:dyDescent="0.35">
      <c r="C7" s="1533"/>
      <c r="D7" s="1534"/>
      <c r="E7" s="1535"/>
    </row>
    <row r="8" spans="3:20" x14ac:dyDescent="0.35">
      <c r="C8" s="1536" t="s">
        <v>1673</v>
      </c>
      <c r="D8" s="1537">
        <v>1</v>
      </c>
      <c r="E8" s="1538">
        <f>'ARR-Summary'!F101</f>
        <v>-132.02115691687368</v>
      </c>
    </row>
    <row r="9" spans="3:20" x14ac:dyDescent="0.35">
      <c r="C9" s="1536" t="s">
        <v>1674</v>
      </c>
      <c r="D9" s="1537">
        <v>2</v>
      </c>
      <c r="E9" s="1538">
        <f ca="1">'ARR-Summary'!I101</f>
        <v>-301.23594336495989</v>
      </c>
    </row>
    <row r="10" spans="3:20" x14ac:dyDescent="0.35">
      <c r="C10" s="1536" t="s">
        <v>1675</v>
      </c>
      <c r="D10" s="1537">
        <v>3</v>
      </c>
      <c r="E10" s="1538">
        <f>'ARR-Summary'!L101</f>
        <v>427.49808277907778</v>
      </c>
    </row>
    <row r="11" spans="3:20" x14ac:dyDescent="0.35">
      <c r="C11" s="1536" t="s">
        <v>1676</v>
      </c>
      <c r="D11" s="1537">
        <v>4</v>
      </c>
      <c r="E11" s="1538">
        <f ca="1">'ARR-Summary'!Q101</f>
        <v>989.7544437068882</v>
      </c>
    </row>
    <row r="12" spans="3:20" x14ac:dyDescent="0.35">
      <c r="C12" s="1536" t="s">
        <v>1677</v>
      </c>
      <c r="D12" s="1537">
        <v>5</v>
      </c>
      <c r="E12" s="1538">
        <f ca="1">'ARR-Summary'!T101</f>
        <v>633.01604607900481</v>
      </c>
    </row>
    <row r="13" spans="3:20" x14ac:dyDescent="0.35">
      <c r="C13" s="1536" t="s">
        <v>1678</v>
      </c>
      <c r="D13" s="1537">
        <v>6</v>
      </c>
      <c r="E13" s="1538">
        <f ca="1">'ARR-Summary'!V101</f>
        <v>3.5492947826869568</v>
      </c>
      <c r="F13" s="1709"/>
    </row>
    <row r="14" spans="3:20" x14ac:dyDescent="0.35">
      <c r="C14" s="1536" t="s">
        <v>1679</v>
      </c>
      <c r="D14" s="1537">
        <v>7</v>
      </c>
      <c r="E14" s="1538"/>
    </row>
    <row r="15" spans="3:20" s="1539" customFormat="1" hidden="1" x14ac:dyDescent="0.35">
      <c r="C15" s="1536"/>
      <c r="D15" s="1537"/>
      <c r="E15" s="1538"/>
      <c r="F15" s="1528"/>
      <c r="G15" s="1528"/>
      <c r="H15" s="794"/>
      <c r="I15" s="794"/>
      <c r="J15" s="794"/>
      <c r="K15" s="794"/>
      <c r="L15" s="794"/>
      <c r="M15" s="794"/>
      <c r="N15" s="794"/>
      <c r="O15" s="794"/>
      <c r="P15" s="1570"/>
      <c r="Q15" s="1570"/>
      <c r="R15" s="1570"/>
      <c r="S15" s="1528"/>
      <c r="T15" s="1528"/>
    </row>
    <row r="16" spans="3:20" s="1539" customFormat="1" hidden="1" x14ac:dyDescent="0.35">
      <c r="C16" s="1536"/>
      <c r="D16" s="1537"/>
      <c r="E16" s="1538"/>
      <c r="F16" s="1528"/>
      <c r="G16" s="1528"/>
      <c r="H16" s="794"/>
      <c r="I16" s="794"/>
      <c r="J16" s="794"/>
      <c r="K16" s="794"/>
      <c r="L16" s="794"/>
      <c r="M16" s="794"/>
      <c r="N16" s="794"/>
      <c r="O16" s="794"/>
      <c r="P16" s="1570"/>
      <c r="Q16" s="1570"/>
      <c r="R16" s="1570"/>
      <c r="S16" s="1528"/>
      <c r="T16" s="1528"/>
    </row>
    <row r="17" spans="3:20" s="1539" customFormat="1" hidden="1" x14ac:dyDescent="0.35">
      <c r="C17" s="1536"/>
      <c r="D17" s="1537"/>
      <c r="E17" s="1538"/>
      <c r="F17" s="1528"/>
      <c r="G17" s="1528"/>
      <c r="H17" s="794"/>
      <c r="I17" s="794"/>
      <c r="J17" s="794"/>
      <c r="K17" s="794"/>
      <c r="L17" s="794"/>
      <c r="M17" s="794"/>
      <c r="N17" s="794"/>
      <c r="O17" s="794"/>
      <c r="P17" s="1570"/>
      <c r="Q17" s="1570"/>
      <c r="R17" s="1570"/>
      <c r="S17" s="1528"/>
      <c r="T17" s="1528"/>
    </row>
    <row r="18" spans="3:20" s="1539" customFormat="1" hidden="1" x14ac:dyDescent="0.35">
      <c r="C18" s="1536"/>
      <c r="D18" s="1537"/>
      <c r="E18" s="1540"/>
      <c r="F18" s="1528"/>
      <c r="G18" s="1528"/>
      <c r="H18" s="794"/>
      <c r="I18" s="794"/>
      <c r="J18" s="794"/>
      <c r="K18" s="794"/>
      <c r="L18" s="794"/>
      <c r="M18" s="794"/>
      <c r="N18" s="794"/>
      <c r="O18" s="794"/>
      <c r="P18" s="1570"/>
      <c r="Q18" s="1570"/>
      <c r="R18" s="1570"/>
      <c r="S18" s="1528"/>
      <c r="T18" s="1528"/>
    </row>
    <row r="19" spans="3:20" s="1539" customFormat="1" x14ac:dyDescent="0.35">
      <c r="C19" s="1536"/>
      <c r="D19" s="1537"/>
      <c r="E19" s="1540"/>
      <c r="F19" s="1528"/>
      <c r="G19" s="1528"/>
      <c r="H19" s="794"/>
      <c r="I19" s="794"/>
      <c r="J19" s="794"/>
      <c r="K19" s="794"/>
      <c r="L19" s="794"/>
      <c r="M19" s="794"/>
      <c r="N19" s="794"/>
      <c r="O19" s="794"/>
      <c r="P19" s="1570"/>
      <c r="Q19" s="1570"/>
      <c r="R19" s="1570"/>
      <c r="S19" s="1528"/>
      <c r="T19" s="1528"/>
    </row>
    <row r="20" spans="3:20" x14ac:dyDescent="0.35">
      <c r="C20" s="1536" t="s">
        <v>1680</v>
      </c>
      <c r="D20" s="1537">
        <v>8</v>
      </c>
      <c r="E20" s="1540">
        <f ca="1">'Carrying Cost'!D25</f>
        <v>-50.087494220651159</v>
      </c>
    </row>
    <row r="21" spans="3:20" x14ac:dyDescent="0.35">
      <c r="C21" s="1541" t="s">
        <v>1681</v>
      </c>
      <c r="D21" s="1542" t="s">
        <v>1682</v>
      </c>
      <c r="E21" s="1543">
        <f ca="1">SUM(E7:E20)</f>
        <v>1570.4732728451729</v>
      </c>
      <c r="F21" s="1799"/>
      <c r="G21" s="1709"/>
    </row>
    <row r="22" spans="3:20" x14ac:dyDescent="0.35">
      <c r="E22" s="1544"/>
      <c r="F22" s="1800"/>
      <c r="G22" s="1709"/>
      <c r="H22" s="1710"/>
      <c r="I22" s="1574" t="s">
        <v>427</v>
      </c>
      <c r="J22" s="1574" t="s">
        <v>428</v>
      </c>
      <c r="K22" s="1574" t="s">
        <v>429</v>
      </c>
    </row>
    <row r="23" spans="3:20" ht="39" x14ac:dyDescent="0.35">
      <c r="C23" s="2094" t="s">
        <v>1683</v>
      </c>
      <c r="D23" s="2095" t="s">
        <v>428</v>
      </c>
      <c r="E23" s="2096" t="s">
        <v>429</v>
      </c>
      <c r="F23" s="1800"/>
      <c r="H23" s="1710"/>
      <c r="I23" s="1573" t="s">
        <v>1701</v>
      </c>
      <c r="J23" s="1573" t="s">
        <v>1700</v>
      </c>
      <c r="K23" s="1573" t="s">
        <v>1700</v>
      </c>
    </row>
    <row r="24" spans="3:20" x14ac:dyDescent="0.35">
      <c r="C24" s="1545" t="s">
        <v>1684</v>
      </c>
      <c r="D24" s="1546">
        <f ca="1">'ARR-Summary'!T100</f>
        <v>3508.8040396286297</v>
      </c>
      <c r="E24" s="1547">
        <f>'ARR-Summary'!V100</f>
        <v>3562.8576597165029</v>
      </c>
      <c r="F24" s="1800"/>
      <c r="H24" s="1767"/>
      <c r="I24" s="1571">
        <f ca="1">F13.1!$U$98</f>
        <v>8.0604484407391475</v>
      </c>
      <c r="J24" s="1571">
        <f ca="1">F14.1!T52</f>
        <v>9.1989544103940268</v>
      </c>
      <c r="K24" s="1571">
        <f ca="1">F14.2!T52</f>
        <v>9.5298855972309831</v>
      </c>
    </row>
    <row r="25" spans="3:20" x14ac:dyDescent="0.35">
      <c r="C25" s="1545" t="s">
        <v>1685</v>
      </c>
      <c r="D25" s="1546">
        <f ca="1">F14.1!S52</f>
        <v>4224.3585650453642</v>
      </c>
      <c r="E25" s="1547">
        <f ca="1">F14.2!S52</f>
        <v>4417.5127063852469</v>
      </c>
      <c r="F25" s="1800"/>
      <c r="H25" s="1767"/>
      <c r="I25" s="1571"/>
      <c r="J25" s="1572">
        <f ca="1">J24/I24-1</f>
        <v>0.14124598377190023</v>
      </c>
      <c r="K25" s="1572">
        <f ca="1">K24/J24-1</f>
        <v>3.5974869759440642E-2</v>
      </c>
    </row>
    <row r="26" spans="3:20" x14ac:dyDescent="0.35">
      <c r="C26" s="1549" t="s">
        <v>1686</v>
      </c>
      <c r="D26" s="1550">
        <f ca="1">D25-D24</f>
        <v>715.55452541673458</v>
      </c>
      <c r="E26" s="1551">
        <f ca="1">E25-E24</f>
        <v>854.65504666874403</v>
      </c>
      <c r="F26" s="1800"/>
      <c r="G26" s="1552"/>
      <c r="H26" s="1548"/>
    </row>
    <row r="27" spans="3:20" x14ac:dyDescent="0.35">
      <c r="C27" s="1553" t="s">
        <v>1687</v>
      </c>
      <c r="D27" s="1554"/>
      <c r="E27" s="1555">
        <f ca="1">E26+D26</f>
        <v>1570.2095720854786</v>
      </c>
      <c r="F27" s="1800"/>
      <c r="G27" s="1709"/>
    </row>
    <row r="28" spans="3:20" x14ac:dyDescent="0.35">
      <c r="D28" s="1556"/>
      <c r="E28" s="1557">
        <f ca="1">E27-E21</f>
        <v>-0.26370075969430218</v>
      </c>
      <c r="F28" s="1766"/>
      <c r="G28" s="1552"/>
    </row>
    <row r="29" spans="3:20" x14ac:dyDescent="0.35">
      <c r="D29" s="1569"/>
      <c r="E29" s="1569"/>
      <c r="F29" s="1766"/>
    </row>
    <row r="30" spans="3:20" ht="14" customHeight="1" x14ac:dyDescent="0.35">
      <c r="D30" s="2102"/>
      <c r="E30" s="2102"/>
      <c r="F30" s="1766"/>
    </row>
    <row r="31" spans="3:20" x14ac:dyDescent="0.35">
      <c r="D31" s="1560"/>
      <c r="E31" s="1556"/>
      <c r="F31" s="1766"/>
    </row>
    <row r="32" spans="3:20" x14ac:dyDescent="0.35">
      <c r="C32" s="1561"/>
      <c r="D32" s="1559"/>
      <c r="E32" s="1559"/>
      <c r="F32" s="1766"/>
      <c r="G32" s="1561"/>
    </row>
    <row r="33" spans="3:7" x14ac:dyDescent="0.35">
      <c r="D33" s="1562"/>
      <c r="E33" s="1562"/>
      <c r="F33" s="1766"/>
      <c r="G33" s="1561"/>
    </row>
    <row r="34" spans="3:7" x14ac:dyDescent="0.35">
      <c r="C34" s="1561"/>
      <c r="D34" s="1563"/>
      <c r="E34" s="1563"/>
      <c r="F34" s="1766"/>
      <c r="G34" s="1561"/>
    </row>
    <row r="35" spans="3:7" x14ac:dyDescent="0.35">
      <c r="D35" s="1561"/>
      <c r="E35" s="1561"/>
      <c r="F35" s="1766"/>
      <c r="G35" s="1561"/>
    </row>
    <row r="36" spans="3:7" x14ac:dyDescent="0.35">
      <c r="D36" s="1564"/>
      <c r="E36" s="1564"/>
      <c r="F36" s="1766"/>
      <c r="G36" s="1561"/>
    </row>
    <row r="37" spans="3:7" x14ac:dyDescent="0.35">
      <c r="D37" s="1558"/>
      <c r="E37" s="1558"/>
      <c r="F37" s="1766"/>
      <c r="G37" s="1561"/>
    </row>
    <row r="38" spans="3:7" x14ac:dyDescent="0.35">
      <c r="D38" s="1565"/>
      <c r="E38" s="1565"/>
      <c r="F38" s="1766"/>
      <c r="G38" s="1561"/>
    </row>
    <row r="39" spans="3:7" x14ac:dyDescent="0.35">
      <c r="D39" s="1561"/>
      <c r="E39" s="1561"/>
      <c r="F39" s="1561"/>
      <c r="G39" s="1561"/>
    </row>
    <row r="40" spans="3:7" x14ac:dyDescent="0.35">
      <c r="C40" s="1562"/>
      <c r="D40" s="1561"/>
    </row>
    <row r="41" spans="3:7" x14ac:dyDescent="0.35">
      <c r="D41" s="1561"/>
      <c r="E41" s="1561"/>
      <c r="F41" s="1561"/>
    </row>
    <row r="42" spans="3:7" x14ac:dyDescent="0.35">
      <c r="D42" s="1561"/>
    </row>
  </sheetData>
  <mergeCells count="1">
    <mergeCell ref="C1:E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3"/>
  <sheetViews>
    <sheetView showGridLines="0" view="pageBreakPreview" topLeftCell="D123" zoomScale="57" zoomScaleNormal="68" zoomScaleSheetLayoutView="68" workbookViewId="0">
      <selection activeCell="A5" sqref="A5"/>
    </sheetView>
  </sheetViews>
  <sheetFormatPr defaultColWidth="9.1796875" defaultRowHeight="14" x14ac:dyDescent="0.3"/>
  <cols>
    <col min="1" max="1" width="4.1796875" style="119" customWidth="1"/>
    <col min="2" max="2" width="6.26953125" style="119" customWidth="1"/>
    <col min="3" max="3" width="40.26953125" style="119" customWidth="1"/>
    <col min="4" max="4" width="18.7265625" style="426" customWidth="1"/>
    <col min="5" max="5" width="20.7265625" style="426" customWidth="1"/>
    <col min="6" max="15" width="18.7265625" style="426" customWidth="1"/>
    <col min="16" max="19" width="18.7265625" style="119" customWidth="1"/>
    <col min="20" max="16384" width="9.1796875" style="119"/>
  </cols>
  <sheetData>
    <row r="1" spans="1:16" x14ac:dyDescent="0.3">
      <c r="B1" s="41"/>
    </row>
    <row r="2" spans="1:16" x14ac:dyDescent="0.3">
      <c r="B2" s="118"/>
      <c r="D2" s="527"/>
      <c r="E2" s="527"/>
      <c r="F2" s="523" t="s">
        <v>1027</v>
      </c>
      <c r="G2" s="527"/>
      <c r="H2" s="527"/>
      <c r="I2" s="527"/>
      <c r="J2" s="527"/>
      <c r="K2" s="527"/>
      <c r="L2" s="527"/>
      <c r="M2" s="527"/>
      <c r="N2" s="527"/>
      <c r="O2" s="527"/>
    </row>
    <row r="3" spans="1:16" x14ac:dyDescent="0.3">
      <c r="B3" s="118"/>
      <c r="D3" s="519"/>
      <c r="E3" s="519"/>
      <c r="F3" s="523" t="s">
        <v>848</v>
      </c>
      <c r="G3" s="519"/>
      <c r="H3" s="519"/>
      <c r="I3" s="519"/>
      <c r="J3" s="519"/>
      <c r="K3" s="519"/>
      <c r="L3" s="519"/>
      <c r="M3" s="519"/>
      <c r="N3" s="519"/>
      <c r="O3" s="519"/>
    </row>
    <row r="4" spans="1:16" x14ac:dyDescent="0.3">
      <c r="B4" s="19"/>
      <c r="D4" s="528"/>
      <c r="E4" s="529"/>
      <c r="F4" s="530" t="s">
        <v>321</v>
      </c>
      <c r="G4" s="529"/>
      <c r="H4" s="531"/>
      <c r="I4" s="527"/>
      <c r="J4" s="527"/>
      <c r="K4" s="527"/>
      <c r="L4" s="527"/>
      <c r="M4" s="527"/>
      <c r="N4" s="527"/>
      <c r="O4" s="527"/>
    </row>
    <row r="5" spans="1:16" x14ac:dyDescent="0.3">
      <c r="C5" s="41"/>
      <c r="E5" s="532"/>
      <c r="G5" s="532"/>
      <c r="H5" s="532"/>
    </row>
    <row r="6" spans="1:16" x14ac:dyDescent="0.3">
      <c r="C6" s="41"/>
      <c r="E6" s="532"/>
      <c r="G6" s="532"/>
      <c r="H6" s="532"/>
    </row>
    <row r="7" spans="1:16" x14ac:dyDescent="0.3">
      <c r="C7" s="41" t="s">
        <v>323</v>
      </c>
      <c r="E7" s="532"/>
      <c r="G7" s="532"/>
      <c r="H7" s="532"/>
    </row>
    <row r="8" spans="1:16" x14ac:dyDescent="0.3">
      <c r="C8" s="41"/>
      <c r="E8" s="532"/>
      <c r="G8" s="532"/>
      <c r="H8" s="532"/>
    </row>
    <row r="9" spans="1:16" x14ac:dyDescent="0.3">
      <c r="C9" s="41"/>
      <c r="E9" s="532"/>
      <c r="G9" s="532"/>
      <c r="H9" s="532"/>
    </row>
    <row r="10" spans="1:16" x14ac:dyDescent="0.3">
      <c r="A10" s="119" t="s">
        <v>139</v>
      </c>
      <c r="B10" s="283" t="s">
        <v>140</v>
      </c>
      <c r="C10" s="283"/>
      <c r="D10" s="533"/>
      <c r="E10" s="533"/>
      <c r="F10" s="533"/>
      <c r="G10" s="533"/>
      <c r="H10" s="425"/>
      <c r="I10" s="512"/>
      <c r="J10" s="425"/>
      <c r="K10" s="512"/>
      <c r="L10" s="512"/>
      <c r="M10" s="425"/>
      <c r="N10" s="425"/>
      <c r="O10" s="425"/>
    </row>
    <row r="11" spans="1:16" x14ac:dyDescent="0.3">
      <c r="B11" s="294"/>
      <c r="C11" s="10"/>
      <c r="D11" s="534"/>
      <c r="E11" s="534"/>
      <c r="F11" s="534"/>
      <c r="G11" s="534"/>
      <c r="H11" s="425"/>
      <c r="I11" s="512"/>
      <c r="J11" s="425"/>
      <c r="K11" s="512"/>
      <c r="L11" s="512"/>
      <c r="M11" s="425"/>
      <c r="N11" s="425"/>
      <c r="O11" s="535" t="s">
        <v>16</v>
      </c>
    </row>
    <row r="12" spans="1:16" ht="15.75" customHeight="1" x14ac:dyDescent="0.3">
      <c r="B12" s="2351" t="s">
        <v>187</v>
      </c>
      <c r="C12" s="2351" t="s">
        <v>50</v>
      </c>
      <c r="D12" s="2354" t="s">
        <v>179</v>
      </c>
      <c r="E12" s="2355"/>
      <c r="F12" s="2355"/>
      <c r="G12" s="2356"/>
      <c r="H12" s="2354" t="s">
        <v>186</v>
      </c>
      <c r="I12" s="2355"/>
      <c r="J12" s="2355"/>
      <c r="K12" s="2355"/>
      <c r="L12" s="2356"/>
      <c r="M12" s="2190" t="s">
        <v>426</v>
      </c>
      <c r="N12" s="2197"/>
      <c r="O12" s="2197"/>
      <c r="P12" s="2191"/>
    </row>
    <row r="13" spans="1:16" ht="15.75" customHeight="1" x14ac:dyDescent="0.3">
      <c r="B13" s="2351"/>
      <c r="C13" s="2351"/>
      <c r="D13" s="2357" t="s">
        <v>12</v>
      </c>
      <c r="E13" s="2358"/>
      <c r="F13" s="2358"/>
      <c r="G13" s="2358"/>
      <c r="H13" s="2354" t="s">
        <v>12</v>
      </c>
      <c r="I13" s="2355"/>
      <c r="J13" s="2355"/>
      <c r="K13" s="2355"/>
      <c r="L13" s="2356"/>
      <c r="M13" s="2357" t="s">
        <v>12</v>
      </c>
      <c r="N13" s="2358"/>
      <c r="O13" s="2358"/>
      <c r="P13" s="2358"/>
    </row>
    <row r="14" spans="1:16" s="35" customFormat="1" ht="42" x14ac:dyDescent="0.3">
      <c r="B14" s="2351"/>
      <c r="C14" s="2351"/>
      <c r="D14" s="488" t="s">
        <v>141</v>
      </c>
      <c r="E14" s="488" t="s">
        <v>142</v>
      </c>
      <c r="F14" s="488" t="s">
        <v>143</v>
      </c>
      <c r="G14" s="488" t="s">
        <v>144</v>
      </c>
      <c r="H14" s="488" t="s">
        <v>141</v>
      </c>
      <c r="I14" s="488" t="s">
        <v>142</v>
      </c>
      <c r="J14" s="488" t="s">
        <v>143</v>
      </c>
      <c r="K14" s="766" t="s">
        <v>1386</v>
      </c>
      <c r="L14" s="488" t="s">
        <v>144</v>
      </c>
      <c r="M14" s="488" t="s">
        <v>141</v>
      </c>
      <c r="N14" s="488" t="s">
        <v>142</v>
      </c>
      <c r="O14" s="488" t="s">
        <v>143</v>
      </c>
      <c r="P14" s="488" t="s">
        <v>144</v>
      </c>
    </row>
    <row r="15" spans="1:16" s="36" customFormat="1" x14ac:dyDescent="0.25">
      <c r="B15" s="282"/>
      <c r="C15" s="282"/>
      <c r="D15" s="488" t="s">
        <v>73</v>
      </c>
      <c r="E15" s="1066" t="s">
        <v>74</v>
      </c>
      <c r="F15" s="488" t="s">
        <v>690</v>
      </c>
      <c r="G15" s="488" t="s">
        <v>779</v>
      </c>
      <c r="H15" s="488" t="s">
        <v>411</v>
      </c>
      <c r="I15" s="488" t="s">
        <v>412</v>
      </c>
      <c r="J15" s="488" t="s">
        <v>581</v>
      </c>
      <c r="K15" s="766"/>
      <c r="L15" s="488" t="s">
        <v>780</v>
      </c>
      <c r="M15" s="488" t="s">
        <v>668</v>
      </c>
      <c r="N15" s="488" t="s">
        <v>582</v>
      </c>
      <c r="O15" s="488" t="s">
        <v>759</v>
      </c>
      <c r="P15" s="488" t="s">
        <v>781</v>
      </c>
    </row>
    <row r="16" spans="1:16" s="8" customFormat="1" x14ac:dyDescent="0.3">
      <c r="B16" s="63">
        <v>1</v>
      </c>
      <c r="C16" s="295" t="s">
        <v>942</v>
      </c>
      <c r="D16" s="343">
        <v>2.2999999999999998</v>
      </c>
      <c r="E16" s="343">
        <v>0</v>
      </c>
      <c r="F16" s="343">
        <v>0</v>
      </c>
      <c r="G16" s="355">
        <f t="shared" ref="G16:G26" si="0">D16+E16-F16</f>
        <v>2.2999999999999998</v>
      </c>
      <c r="H16" s="343">
        <f>G16</f>
        <v>2.2999999999999998</v>
      </c>
      <c r="I16" s="343">
        <v>0</v>
      </c>
      <c r="J16" s="343">
        <v>0</v>
      </c>
      <c r="K16" s="343">
        <v>0</v>
      </c>
      <c r="L16" s="343">
        <f>H16+I16-J16+K16</f>
        <v>2.2999999999999998</v>
      </c>
      <c r="M16" s="343">
        <f>L16</f>
        <v>2.2999999999999998</v>
      </c>
      <c r="N16" s="343">
        <v>0</v>
      </c>
      <c r="O16" s="343">
        <v>0</v>
      </c>
      <c r="P16" s="343">
        <f>M16+N16-O16</f>
        <v>2.2999999999999998</v>
      </c>
    </row>
    <row r="17" spans="2:17" s="8" customFormat="1" x14ac:dyDescent="0.3">
      <c r="B17" s="63">
        <v>2</v>
      </c>
      <c r="C17" s="295" t="s">
        <v>943</v>
      </c>
      <c r="D17" s="343">
        <v>80.239999999999995</v>
      </c>
      <c r="E17" s="343">
        <v>2.82</v>
      </c>
      <c r="F17" s="343">
        <v>0</v>
      </c>
      <c r="G17" s="355">
        <f t="shared" si="0"/>
        <v>83.059999999999988</v>
      </c>
      <c r="H17" s="343">
        <f t="shared" ref="H17:H26" si="1">G17</f>
        <v>83.059999999999988</v>
      </c>
      <c r="I17" s="343">
        <v>0.91</v>
      </c>
      <c r="J17" s="343">
        <v>0</v>
      </c>
      <c r="K17" s="343">
        <v>-0.05</v>
      </c>
      <c r="L17" s="343">
        <f t="shared" ref="L17:L26" si="2">H17+I17-J17+K17</f>
        <v>83.919999999999987</v>
      </c>
      <c r="M17" s="343">
        <f t="shared" ref="M17:M26" si="3">L17</f>
        <v>83.919999999999987</v>
      </c>
      <c r="N17" s="343">
        <v>2.7310108629999994</v>
      </c>
      <c r="O17" s="343">
        <v>4.4562209999999998E-3</v>
      </c>
      <c r="P17" s="343">
        <f t="shared" ref="P17:P26" si="4">M17+N17-O17</f>
        <v>86.646554641999984</v>
      </c>
    </row>
    <row r="18" spans="2:17" s="8" customFormat="1" x14ac:dyDescent="0.3">
      <c r="B18" s="63">
        <v>3</v>
      </c>
      <c r="C18" s="295" t="s">
        <v>944</v>
      </c>
      <c r="D18" s="343">
        <v>1122.7899999999997</v>
      </c>
      <c r="E18" s="343">
        <v>78.069999999999993</v>
      </c>
      <c r="F18" s="343">
        <v>1.1200000000000001</v>
      </c>
      <c r="G18" s="355">
        <f t="shared" si="0"/>
        <v>1199.7399999999998</v>
      </c>
      <c r="H18" s="343">
        <f t="shared" si="1"/>
        <v>1199.7399999999998</v>
      </c>
      <c r="I18" s="343">
        <v>37.770000000000003</v>
      </c>
      <c r="J18" s="343">
        <v>4.09</v>
      </c>
      <c r="K18" s="343">
        <v>-4.3600000000000003</v>
      </c>
      <c r="L18" s="343">
        <f t="shared" si="2"/>
        <v>1229.06</v>
      </c>
      <c r="M18" s="343">
        <f t="shared" si="3"/>
        <v>1229.06</v>
      </c>
      <c r="N18" s="343">
        <v>35.965802568999997</v>
      </c>
      <c r="O18" s="343">
        <v>3.1743146939999995</v>
      </c>
      <c r="P18" s="343">
        <f t="shared" si="4"/>
        <v>1261.851487875</v>
      </c>
    </row>
    <row r="19" spans="2:17" s="8" customFormat="1" x14ac:dyDescent="0.3">
      <c r="B19" s="63">
        <v>4</v>
      </c>
      <c r="C19" s="295" t="s">
        <v>945</v>
      </c>
      <c r="D19" s="343">
        <v>1021.1099999999999</v>
      </c>
      <c r="E19" s="343">
        <v>89.77</v>
      </c>
      <c r="F19" s="343">
        <v>1.25</v>
      </c>
      <c r="G19" s="355">
        <f t="shared" si="0"/>
        <v>1109.6299999999999</v>
      </c>
      <c r="H19" s="343">
        <f t="shared" si="1"/>
        <v>1109.6299999999999</v>
      </c>
      <c r="I19" s="343">
        <v>78.650000000000006</v>
      </c>
      <c r="J19" s="343">
        <v>1.46</v>
      </c>
      <c r="K19" s="343">
        <v>-2.04</v>
      </c>
      <c r="L19" s="343">
        <f t="shared" si="2"/>
        <v>1184.78</v>
      </c>
      <c r="M19" s="343">
        <f t="shared" si="3"/>
        <v>1184.78</v>
      </c>
      <c r="N19" s="343">
        <v>55.03376655200001</v>
      </c>
      <c r="O19" s="343">
        <v>1.3665803999999999</v>
      </c>
      <c r="P19" s="343">
        <f t="shared" si="4"/>
        <v>1238.4471861520001</v>
      </c>
    </row>
    <row r="20" spans="2:17" s="8" customFormat="1" x14ac:dyDescent="0.3">
      <c r="B20" s="63">
        <v>5</v>
      </c>
      <c r="C20" s="295" t="s">
        <v>946</v>
      </c>
      <c r="D20" s="343">
        <v>176.22</v>
      </c>
      <c r="E20" s="343">
        <v>11.68</v>
      </c>
      <c r="F20" s="343">
        <v>15.11</v>
      </c>
      <c r="G20" s="355">
        <f t="shared" si="0"/>
        <v>172.79000000000002</v>
      </c>
      <c r="H20" s="343">
        <f t="shared" si="1"/>
        <v>172.79000000000002</v>
      </c>
      <c r="I20" s="343">
        <v>6.3</v>
      </c>
      <c r="J20" s="343">
        <v>18.86</v>
      </c>
      <c r="K20" s="343">
        <v>0</v>
      </c>
      <c r="L20" s="343">
        <f t="shared" si="2"/>
        <v>160.23000000000002</v>
      </c>
      <c r="M20" s="343">
        <f t="shared" si="3"/>
        <v>160.23000000000002</v>
      </c>
      <c r="N20" s="343">
        <v>14.615692191999999</v>
      </c>
      <c r="O20" s="343">
        <v>14.581991098</v>
      </c>
      <c r="P20" s="343">
        <f t="shared" si="4"/>
        <v>160.26370109400003</v>
      </c>
    </row>
    <row r="21" spans="2:17" s="8" customFormat="1" x14ac:dyDescent="0.3">
      <c r="B21" s="63">
        <v>6</v>
      </c>
      <c r="C21" s="295" t="s">
        <v>947</v>
      </c>
      <c r="D21" s="343">
        <v>92.33</v>
      </c>
      <c r="E21" s="343">
        <v>55.39</v>
      </c>
      <c r="F21" s="343">
        <v>0</v>
      </c>
      <c r="G21" s="355">
        <f t="shared" si="0"/>
        <v>147.72</v>
      </c>
      <c r="H21" s="343">
        <f t="shared" si="1"/>
        <v>147.72</v>
      </c>
      <c r="I21" s="343">
        <v>4.99</v>
      </c>
      <c r="J21" s="343">
        <v>0</v>
      </c>
      <c r="K21" s="343">
        <v>0</v>
      </c>
      <c r="L21" s="343">
        <f t="shared" si="2"/>
        <v>152.71</v>
      </c>
      <c r="M21" s="343">
        <f t="shared" si="3"/>
        <v>152.71</v>
      </c>
      <c r="N21" s="343">
        <v>9.5876542499999999</v>
      </c>
      <c r="O21" s="343">
        <v>0</v>
      </c>
      <c r="P21" s="343">
        <f t="shared" si="4"/>
        <v>162.29765424999999</v>
      </c>
    </row>
    <row r="22" spans="2:17" s="8" customFormat="1" x14ac:dyDescent="0.3">
      <c r="B22" s="63">
        <v>7</v>
      </c>
      <c r="C22" s="296" t="s">
        <v>948</v>
      </c>
      <c r="D22" s="343">
        <v>0.04</v>
      </c>
      <c r="E22" s="343">
        <v>0</v>
      </c>
      <c r="F22" s="343">
        <v>0</v>
      </c>
      <c r="G22" s="355">
        <f t="shared" si="0"/>
        <v>0.04</v>
      </c>
      <c r="H22" s="343">
        <f t="shared" si="1"/>
        <v>0.04</v>
      </c>
      <c r="I22" s="343">
        <v>0</v>
      </c>
      <c r="J22" s="343">
        <v>0</v>
      </c>
      <c r="K22" s="343">
        <v>0</v>
      </c>
      <c r="L22" s="343">
        <f t="shared" si="2"/>
        <v>0.04</v>
      </c>
      <c r="M22" s="343">
        <f t="shared" si="3"/>
        <v>0.04</v>
      </c>
      <c r="N22" s="343">
        <v>0</v>
      </c>
      <c r="O22" s="343">
        <v>0</v>
      </c>
      <c r="P22" s="343">
        <f t="shared" si="4"/>
        <v>0.04</v>
      </c>
    </row>
    <row r="23" spans="2:17" x14ac:dyDescent="0.3">
      <c r="B23" s="63">
        <v>8</v>
      </c>
      <c r="C23" s="295" t="s">
        <v>949</v>
      </c>
      <c r="D23" s="343">
        <v>14.44</v>
      </c>
      <c r="E23" s="343">
        <v>0.32</v>
      </c>
      <c r="F23" s="343">
        <v>1.0900000000000001</v>
      </c>
      <c r="G23" s="355">
        <f t="shared" si="0"/>
        <v>13.67</v>
      </c>
      <c r="H23" s="343">
        <f t="shared" si="1"/>
        <v>13.67</v>
      </c>
      <c r="I23" s="343">
        <v>0.15</v>
      </c>
      <c r="J23" s="343">
        <v>0</v>
      </c>
      <c r="K23" s="343">
        <v>0</v>
      </c>
      <c r="L23" s="343">
        <f t="shared" si="2"/>
        <v>13.82</v>
      </c>
      <c r="M23" s="343">
        <f t="shared" si="3"/>
        <v>13.82</v>
      </c>
      <c r="N23" s="343">
        <v>0</v>
      </c>
      <c r="O23" s="343">
        <v>0</v>
      </c>
      <c r="P23" s="343">
        <f t="shared" si="4"/>
        <v>13.82</v>
      </c>
    </row>
    <row r="24" spans="2:17" x14ac:dyDescent="0.3">
      <c r="B24" s="63">
        <v>9</v>
      </c>
      <c r="C24" s="295" t="s">
        <v>950</v>
      </c>
      <c r="D24" s="343">
        <v>31.080000000000002</v>
      </c>
      <c r="E24" s="343">
        <v>7.32</v>
      </c>
      <c r="F24" s="343">
        <v>0.52</v>
      </c>
      <c r="G24" s="355">
        <f t="shared" si="0"/>
        <v>37.880000000000003</v>
      </c>
      <c r="H24" s="343">
        <f t="shared" si="1"/>
        <v>37.880000000000003</v>
      </c>
      <c r="I24" s="343">
        <v>6.04</v>
      </c>
      <c r="J24" s="343">
        <v>0</v>
      </c>
      <c r="K24" s="343">
        <v>0.13</v>
      </c>
      <c r="L24" s="343">
        <f t="shared" si="2"/>
        <v>44.050000000000004</v>
      </c>
      <c r="M24" s="343">
        <f t="shared" si="3"/>
        <v>44.050000000000004</v>
      </c>
      <c r="N24" s="343">
        <v>4.7741385000000003</v>
      </c>
      <c r="O24" s="343">
        <v>3.9607125999999999E-2</v>
      </c>
      <c r="P24" s="343">
        <f t="shared" si="4"/>
        <v>48.784531374000004</v>
      </c>
    </row>
    <row r="25" spans="2:17" x14ac:dyDescent="0.3">
      <c r="B25" s="63">
        <v>10</v>
      </c>
      <c r="C25" s="295" t="s">
        <v>951</v>
      </c>
      <c r="D25" s="343">
        <v>25.290000000000003</v>
      </c>
      <c r="E25" s="343">
        <v>0.85</v>
      </c>
      <c r="F25" s="343">
        <v>0.01</v>
      </c>
      <c r="G25" s="355">
        <f t="shared" si="0"/>
        <v>26.130000000000003</v>
      </c>
      <c r="H25" s="343">
        <f t="shared" si="1"/>
        <v>26.130000000000003</v>
      </c>
      <c r="I25" s="343">
        <v>1.03</v>
      </c>
      <c r="J25" s="343">
        <v>0.12</v>
      </c>
      <c r="K25" s="343">
        <v>0</v>
      </c>
      <c r="L25" s="343">
        <f t="shared" si="2"/>
        <v>27.040000000000003</v>
      </c>
      <c r="M25" s="343">
        <f t="shared" si="3"/>
        <v>27.040000000000003</v>
      </c>
      <c r="N25" s="343">
        <v>0.63022882700000005</v>
      </c>
      <c r="O25" s="343">
        <v>0.31862361699999997</v>
      </c>
      <c r="P25" s="343">
        <f t="shared" si="4"/>
        <v>27.351605210000002</v>
      </c>
      <c r="Q25" s="456">
        <f>AVERAGE(L25,P25)</f>
        <v>27.195802605000004</v>
      </c>
    </row>
    <row r="26" spans="2:17" s="1" customFormat="1" x14ac:dyDescent="0.3">
      <c r="B26" s="63">
        <v>11</v>
      </c>
      <c r="C26" s="37" t="s">
        <v>1385</v>
      </c>
      <c r="D26" s="343">
        <v>48.49</v>
      </c>
      <c r="E26" s="343">
        <v>0.26</v>
      </c>
      <c r="F26" s="343">
        <v>0.48</v>
      </c>
      <c r="G26" s="355">
        <f t="shared" si="0"/>
        <v>48.27</v>
      </c>
      <c r="H26" s="343">
        <f t="shared" si="1"/>
        <v>48.27</v>
      </c>
      <c r="I26" s="343">
        <v>0.47</v>
      </c>
      <c r="J26" s="343">
        <v>0.24</v>
      </c>
      <c r="K26" s="343">
        <v>0</v>
      </c>
      <c r="L26" s="343">
        <f t="shared" si="2"/>
        <v>48.5</v>
      </c>
      <c r="M26" s="343">
        <f t="shared" si="3"/>
        <v>48.5</v>
      </c>
      <c r="N26" s="343">
        <v>0.343170117</v>
      </c>
      <c r="O26" s="343">
        <v>0.21562829000000003</v>
      </c>
      <c r="P26" s="343">
        <f t="shared" si="4"/>
        <v>48.627541827000002</v>
      </c>
    </row>
    <row r="27" spans="2:17" s="1" customFormat="1" ht="16" x14ac:dyDescent="0.3">
      <c r="B27" s="59"/>
      <c r="C27" s="67" t="s">
        <v>145</v>
      </c>
      <c r="D27" s="357">
        <f t="shared" ref="D27:P27" si="5">SUM(D16:D26)</f>
        <v>2614.329999999999</v>
      </c>
      <c r="E27" s="357">
        <f t="shared" si="5"/>
        <v>246.47999999999993</v>
      </c>
      <c r="F27" s="357">
        <f t="shared" si="5"/>
        <v>19.580000000000002</v>
      </c>
      <c r="G27" s="357">
        <f t="shared" si="5"/>
        <v>2841.2299999999996</v>
      </c>
      <c r="H27" s="357">
        <f t="shared" si="5"/>
        <v>2841.2299999999996</v>
      </c>
      <c r="I27" s="357">
        <f t="shared" si="5"/>
        <v>136.31</v>
      </c>
      <c r="J27" s="357">
        <f t="shared" si="5"/>
        <v>24.77</v>
      </c>
      <c r="K27" s="357">
        <f t="shared" si="5"/>
        <v>-6.32</v>
      </c>
      <c r="L27" s="357">
        <f t="shared" si="5"/>
        <v>2946.4500000000003</v>
      </c>
      <c r="M27" s="357">
        <f t="shared" si="5"/>
        <v>2946.4500000000003</v>
      </c>
      <c r="N27" s="357">
        <f t="shared" si="5"/>
        <v>123.68146387</v>
      </c>
      <c r="O27" s="357">
        <f t="shared" si="5"/>
        <v>19.701201446000002</v>
      </c>
      <c r="P27" s="357">
        <f t="shared" si="5"/>
        <v>3050.4302624240004</v>
      </c>
    </row>
    <row r="28" spans="2:17" s="1" customFormat="1" x14ac:dyDescent="0.3">
      <c r="B28" s="283"/>
      <c r="C28" s="10"/>
      <c r="D28" s="536"/>
      <c r="E28" s="536"/>
      <c r="F28" s="536"/>
      <c r="G28" s="536"/>
      <c r="H28" s="425"/>
      <c r="I28" s="512"/>
      <c r="J28" s="425"/>
      <c r="K28" s="512"/>
      <c r="L28" s="512"/>
      <c r="M28" s="425"/>
      <c r="N28" s="425"/>
      <c r="O28" s="425"/>
    </row>
    <row r="29" spans="2:17" s="1" customFormat="1" x14ac:dyDescent="0.3">
      <c r="B29" s="2353" t="s">
        <v>765</v>
      </c>
      <c r="C29" s="2353"/>
      <c r="D29" s="2353"/>
      <c r="E29" s="2353"/>
      <c r="F29" s="2353"/>
      <c r="G29" s="2353"/>
      <c r="H29" s="425"/>
      <c r="I29" s="512"/>
      <c r="J29" s="425"/>
      <c r="K29" s="512"/>
      <c r="L29" s="512"/>
      <c r="M29" s="425"/>
      <c r="N29" s="425"/>
      <c r="O29" s="425"/>
    </row>
    <row r="30" spans="2:17" x14ac:dyDescent="0.3">
      <c r="B30" s="283"/>
      <c r="C30" s="10"/>
      <c r="D30" s="536"/>
      <c r="E30" s="536"/>
      <c r="F30" s="536"/>
      <c r="G30" s="536"/>
      <c r="H30" s="425"/>
      <c r="I30" s="512"/>
      <c r="J30" s="425"/>
      <c r="K30" s="512"/>
      <c r="L30" s="512"/>
      <c r="M30" s="425"/>
      <c r="N30" s="425"/>
      <c r="O30" s="425"/>
    </row>
    <row r="31" spans="2:17" x14ac:dyDescent="0.3">
      <c r="B31" s="283"/>
      <c r="C31" s="10"/>
      <c r="D31" s="536"/>
      <c r="E31" s="536"/>
      <c r="F31" s="536"/>
      <c r="G31" s="536"/>
      <c r="H31" s="425"/>
      <c r="I31" s="512"/>
      <c r="J31" s="425"/>
      <c r="K31" s="512"/>
      <c r="L31" s="512"/>
      <c r="M31" s="425"/>
      <c r="N31" s="425"/>
      <c r="O31" s="535" t="s">
        <v>16</v>
      </c>
    </row>
    <row r="32" spans="2:17" ht="15.75" customHeight="1" x14ac:dyDescent="0.3">
      <c r="B32" s="2351" t="s">
        <v>187</v>
      </c>
      <c r="C32" s="2351" t="s">
        <v>50</v>
      </c>
      <c r="D32" s="2192" t="s">
        <v>427</v>
      </c>
      <c r="E32" s="2192"/>
      <c r="F32" s="2192"/>
      <c r="G32" s="2192"/>
      <c r="H32" s="2192" t="s">
        <v>428</v>
      </c>
      <c r="I32" s="2192"/>
      <c r="J32" s="2192"/>
      <c r="K32" s="2192"/>
      <c r="L32" s="2192" t="s">
        <v>429</v>
      </c>
      <c r="M32" s="2192"/>
      <c r="N32" s="2192"/>
      <c r="O32" s="2192"/>
    </row>
    <row r="33" spans="1:18" ht="15.75" customHeight="1" x14ac:dyDescent="0.35">
      <c r="A33" s="733"/>
      <c r="B33" s="2351"/>
      <c r="C33" s="2351"/>
      <c r="D33" s="2357" t="s">
        <v>22</v>
      </c>
      <c r="E33" s="2359"/>
      <c r="F33" s="2359"/>
      <c r="G33" s="2359"/>
      <c r="H33" s="2357" t="s">
        <v>31</v>
      </c>
      <c r="I33" s="2359"/>
      <c r="J33" s="2359"/>
      <c r="K33" s="2359"/>
      <c r="L33" s="2357" t="s">
        <v>31</v>
      </c>
      <c r="M33" s="2359"/>
      <c r="N33" s="2359"/>
      <c r="O33" s="2359"/>
    </row>
    <row r="34" spans="1:18" s="35" customFormat="1" ht="42" x14ac:dyDescent="0.3">
      <c r="B34" s="2351"/>
      <c r="C34" s="2351"/>
      <c r="D34" s="488" t="s">
        <v>141</v>
      </c>
      <c r="E34" s="488" t="s">
        <v>142</v>
      </c>
      <c r="F34" s="488" t="s">
        <v>143</v>
      </c>
      <c r="G34" s="488" t="s">
        <v>144</v>
      </c>
      <c r="H34" s="488" t="s">
        <v>141</v>
      </c>
      <c r="I34" s="488" t="s">
        <v>142</v>
      </c>
      <c r="J34" s="488" t="s">
        <v>143</v>
      </c>
      <c r="K34" s="488" t="s">
        <v>144</v>
      </c>
      <c r="L34" s="488" t="s">
        <v>141</v>
      </c>
      <c r="M34" s="488" t="s">
        <v>142</v>
      </c>
      <c r="N34" s="488" t="s">
        <v>143</v>
      </c>
      <c r="O34" s="488" t="s">
        <v>144</v>
      </c>
    </row>
    <row r="35" spans="1:18" s="36" customFormat="1" x14ac:dyDescent="0.25">
      <c r="B35" s="282"/>
      <c r="C35" s="282"/>
      <c r="D35" s="488" t="s">
        <v>782</v>
      </c>
      <c r="E35" s="488" t="s">
        <v>583</v>
      </c>
      <c r="F35" s="488" t="s">
        <v>760</v>
      </c>
      <c r="G35" s="488" t="s">
        <v>783</v>
      </c>
      <c r="H35" s="488" t="s">
        <v>585</v>
      </c>
      <c r="I35" s="488" t="s">
        <v>761</v>
      </c>
      <c r="J35" s="488" t="s">
        <v>784</v>
      </c>
      <c r="K35" s="488" t="s">
        <v>785</v>
      </c>
      <c r="L35" s="488" t="s">
        <v>762</v>
      </c>
      <c r="M35" s="488" t="s">
        <v>763</v>
      </c>
      <c r="N35" s="488" t="s">
        <v>764</v>
      </c>
      <c r="O35" s="488" t="s">
        <v>786</v>
      </c>
    </row>
    <row r="36" spans="1:18" s="8" customFormat="1" x14ac:dyDescent="0.3">
      <c r="B36" s="63">
        <v>1</v>
      </c>
      <c r="C36" s="295" t="s">
        <v>942</v>
      </c>
      <c r="D36" s="343">
        <f t="shared" ref="D36:D46" si="6">P16</f>
        <v>2.2999999999999998</v>
      </c>
      <c r="E36" s="355">
        <f t="shared" ref="E36:E46" si="7">N16/$N$27*$E$47</f>
        <v>0</v>
      </c>
      <c r="F36" s="355">
        <f t="shared" ref="F36:F46" si="8">O16</f>
        <v>0</v>
      </c>
      <c r="G36" s="355">
        <f>D36+E36-F36</f>
        <v>2.2999999999999998</v>
      </c>
      <c r="H36" s="343">
        <f>G36</f>
        <v>2.2999999999999998</v>
      </c>
      <c r="I36" s="343">
        <f t="shared" ref="I36:I46" si="9">N16/$N$27*$I$47</f>
        <v>0</v>
      </c>
      <c r="J36" s="343">
        <f>F36</f>
        <v>0</v>
      </c>
      <c r="K36" s="355">
        <f>H36+I36-J36</f>
        <v>2.2999999999999998</v>
      </c>
      <c r="L36" s="343">
        <f>K36</f>
        <v>2.2999999999999998</v>
      </c>
      <c r="M36" s="499">
        <f>N16/$N$27*$M$47</f>
        <v>0</v>
      </c>
      <c r="N36" s="343">
        <f>J36</f>
        <v>0</v>
      </c>
      <c r="O36" s="355">
        <f>L36+M36-N36</f>
        <v>2.2999999999999998</v>
      </c>
    </row>
    <row r="37" spans="1:18" s="8" customFormat="1" x14ac:dyDescent="0.3">
      <c r="B37" s="63">
        <v>2</v>
      </c>
      <c r="C37" s="295" t="s">
        <v>943</v>
      </c>
      <c r="D37" s="343">
        <f t="shared" si="6"/>
        <v>86.646554641999984</v>
      </c>
      <c r="E37" s="355">
        <f t="shared" si="7"/>
        <v>3.1670783626219854</v>
      </c>
      <c r="F37" s="355">
        <f t="shared" si="8"/>
        <v>4.4562209999999998E-3</v>
      </c>
      <c r="G37" s="355">
        <f>D37+E37-F37</f>
        <v>89.809176783621965</v>
      </c>
      <c r="H37" s="343">
        <f t="shared" ref="H37:H46" si="10">G37</f>
        <v>89.809176783621965</v>
      </c>
      <c r="I37" s="343">
        <f t="shared" si="9"/>
        <v>21.212058806728496</v>
      </c>
      <c r="J37" s="343">
        <f t="shared" ref="J37:J46" si="11">F37</f>
        <v>4.4562209999999998E-3</v>
      </c>
      <c r="K37" s="355">
        <f t="shared" ref="K37:K46" si="12">H37+I37-J37</f>
        <v>111.01677936935046</v>
      </c>
      <c r="L37" s="343">
        <f t="shared" ref="L37:L46" si="13">K37</f>
        <v>111.01677936935046</v>
      </c>
      <c r="M37" s="499">
        <f t="shared" ref="M37:M46" si="14">N17/$N$27*$M$47</f>
        <v>18.284361709414345</v>
      </c>
      <c r="N37" s="343">
        <f t="shared" ref="N37:N46" si="15">J37</f>
        <v>4.4562209999999998E-3</v>
      </c>
      <c r="O37" s="355">
        <f t="shared" ref="O37:O46" si="16">L37+M37-N37</f>
        <v>129.2966848577648</v>
      </c>
    </row>
    <row r="38" spans="1:18" s="8" customFormat="1" ht="14.5" x14ac:dyDescent="0.3">
      <c r="B38" s="786">
        <v>3</v>
      </c>
      <c r="C38" s="295" t="s">
        <v>944</v>
      </c>
      <c r="D38" s="343">
        <f t="shared" si="6"/>
        <v>1261.851487875</v>
      </c>
      <c r="E38" s="355">
        <f t="shared" si="7"/>
        <v>41.708554386886789</v>
      </c>
      <c r="F38" s="355">
        <f t="shared" si="8"/>
        <v>3.1743146939999995</v>
      </c>
      <c r="G38" s="355">
        <f t="shared" ref="G38:G46" si="17">D38+E38-F38</f>
        <v>1300.3857275678868</v>
      </c>
      <c r="H38" s="343">
        <f t="shared" si="10"/>
        <v>1300.3857275678868</v>
      </c>
      <c r="I38" s="343">
        <f t="shared" si="9"/>
        <v>279.35030558126891</v>
      </c>
      <c r="J38" s="343">
        <f t="shared" si="11"/>
        <v>3.1743146939999995</v>
      </c>
      <c r="K38" s="355">
        <f t="shared" si="12"/>
        <v>1576.5617184551556</v>
      </c>
      <c r="L38" s="343">
        <f t="shared" si="13"/>
        <v>1576.5617184551556</v>
      </c>
      <c r="M38" s="499">
        <f t="shared" si="14"/>
        <v>240.7942612936358</v>
      </c>
      <c r="N38" s="343">
        <f t="shared" si="15"/>
        <v>3.1743146939999995</v>
      </c>
      <c r="O38" s="355">
        <f t="shared" si="16"/>
        <v>1814.1816650547914</v>
      </c>
    </row>
    <row r="39" spans="1:18" x14ac:dyDescent="0.3">
      <c r="B39" s="63">
        <v>4</v>
      </c>
      <c r="C39" s="295" t="s">
        <v>945</v>
      </c>
      <c r="D39" s="343">
        <f t="shared" si="6"/>
        <v>1238.4471861520001</v>
      </c>
      <c r="E39" s="355">
        <f t="shared" si="7"/>
        <v>63.821149019145743</v>
      </c>
      <c r="F39" s="355">
        <f t="shared" si="8"/>
        <v>1.3665803999999999</v>
      </c>
      <c r="G39" s="355">
        <f t="shared" si="17"/>
        <v>1300.9017547711458</v>
      </c>
      <c r="H39" s="343">
        <f t="shared" si="10"/>
        <v>1300.9017547711458</v>
      </c>
      <c r="I39" s="343">
        <f t="shared" si="9"/>
        <v>427.45325852509876</v>
      </c>
      <c r="J39" s="343">
        <f t="shared" si="11"/>
        <v>1.3665803999999999</v>
      </c>
      <c r="K39" s="355">
        <f t="shared" si="12"/>
        <v>1726.9884328962446</v>
      </c>
      <c r="L39" s="343">
        <f t="shared" si="13"/>
        <v>1726.9884328962446</v>
      </c>
      <c r="M39" s="499">
        <f t="shared" si="14"/>
        <v>368.45598364367879</v>
      </c>
      <c r="N39" s="343">
        <f t="shared" si="15"/>
        <v>1.3665803999999999</v>
      </c>
      <c r="O39" s="355">
        <f t="shared" si="16"/>
        <v>2094.0778361399234</v>
      </c>
    </row>
    <row r="40" spans="1:18" x14ac:dyDescent="0.3">
      <c r="B40" s="63">
        <v>5</v>
      </c>
      <c r="C40" s="295" t="s">
        <v>946</v>
      </c>
      <c r="D40" s="343">
        <f t="shared" si="6"/>
        <v>160.26370109400003</v>
      </c>
      <c r="E40" s="355">
        <f t="shared" si="7"/>
        <v>16.949417200478674</v>
      </c>
      <c r="F40" s="355">
        <f t="shared" si="8"/>
        <v>14.581991098</v>
      </c>
      <c r="G40" s="355">
        <f t="shared" si="17"/>
        <v>162.6311271964787</v>
      </c>
      <c r="H40" s="343">
        <f t="shared" si="10"/>
        <v>162.6311271964787</v>
      </c>
      <c r="I40" s="343">
        <f t="shared" si="9"/>
        <v>113.5216730471667</v>
      </c>
      <c r="J40" s="343">
        <f t="shared" si="11"/>
        <v>14.581991098</v>
      </c>
      <c r="K40" s="355">
        <f t="shared" si="12"/>
        <v>261.5708091456454</v>
      </c>
      <c r="L40" s="343">
        <f t="shared" si="13"/>
        <v>261.5708091456454</v>
      </c>
      <c r="M40" s="499">
        <f t="shared" si="14"/>
        <v>97.853364954554223</v>
      </c>
      <c r="N40" s="343">
        <f t="shared" si="15"/>
        <v>14.581991098</v>
      </c>
      <c r="O40" s="355">
        <f t="shared" si="16"/>
        <v>344.84218300219959</v>
      </c>
    </row>
    <row r="41" spans="1:18" x14ac:dyDescent="0.3">
      <c r="B41" s="63">
        <v>6</v>
      </c>
      <c r="C41" s="295" t="s">
        <v>947</v>
      </c>
      <c r="D41" s="343">
        <f t="shared" si="6"/>
        <v>162.29765424999999</v>
      </c>
      <c r="E41" s="355">
        <f t="shared" si="7"/>
        <v>11.118539561618626</v>
      </c>
      <c r="F41" s="355">
        <f t="shared" si="8"/>
        <v>0</v>
      </c>
      <c r="G41" s="355">
        <f t="shared" si="17"/>
        <v>173.41619381161863</v>
      </c>
      <c r="H41" s="343">
        <f t="shared" si="10"/>
        <v>173.41619381161863</v>
      </c>
      <c r="I41" s="343">
        <f t="shared" si="9"/>
        <v>74.468354749118561</v>
      </c>
      <c r="J41" s="343">
        <f t="shared" si="11"/>
        <v>0</v>
      </c>
      <c r="K41" s="355">
        <f t="shared" si="12"/>
        <v>247.88454856073719</v>
      </c>
      <c r="L41" s="343">
        <f t="shared" si="13"/>
        <v>247.88454856073719</v>
      </c>
      <c r="M41" s="499">
        <f t="shared" si="14"/>
        <v>64.190201740623294</v>
      </c>
      <c r="N41" s="343">
        <f t="shared" si="15"/>
        <v>0</v>
      </c>
      <c r="O41" s="355">
        <f t="shared" si="16"/>
        <v>312.0747503013605</v>
      </c>
    </row>
    <row r="42" spans="1:18" s="1" customFormat="1" x14ac:dyDescent="0.3">
      <c r="B42" s="63">
        <v>7</v>
      </c>
      <c r="C42" s="296" t="s">
        <v>948</v>
      </c>
      <c r="D42" s="343">
        <f t="shared" si="6"/>
        <v>0.04</v>
      </c>
      <c r="E42" s="355">
        <f t="shared" si="7"/>
        <v>0</v>
      </c>
      <c r="F42" s="355">
        <f t="shared" si="8"/>
        <v>0</v>
      </c>
      <c r="G42" s="355">
        <f t="shared" si="17"/>
        <v>0.04</v>
      </c>
      <c r="H42" s="343">
        <f t="shared" si="10"/>
        <v>0.04</v>
      </c>
      <c r="I42" s="343">
        <f t="shared" si="9"/>
        <v>0</v>
      </c>
      <c r="J42" s="343">
        <f t="shared" si="11"/>
        <v>0</v>
      </c>
      <c r="K42" s="355">
        <f t="shared" si="12"/>
        <v>0.04</v>
      </c>
      <c r="L42" s="343">
        <f t="shared" si="13"/>
        <v>0.04</v>
      </c>
      <c r="M42" s="499">
        <f t="shared" si="14"/>
        <v>0</v>
      </c>
      <c r="N42" s="343">
        <f t="shared" si="15"/>
        <v>0</v>
      </c>
      <c r="O42" s="355">
        <f t="shared" si="16"/>
        <v>0.04</v>
      </c>
    </row>
    <row r="43" spans="1:18" s="1" customFormat="1" x14ac:dyDescent="0.3">
      <c r="B43" s="63">
        <v>8</v>
      </c>
      <c r="C43" s="295" t="s">
        <v>949</v>
      </c>
      <c r="D43" s="343">
        <f t="shared" si="6"/>
        <v>13.82</v>
      </c>
      <c r="E43" s="355">
        <f t="shared" si="7"/>
        <v>0</v>
      </c>
      <c r="F43" s="355">
        <f t="shared" si="8"/>
        <v>0</v>
      </c>
      <c r="G43" s="355">
        <f t="shared" si="17"/>
        <v>13.82</v>
      </c>
      <c r="H43" s="343">
        <f t="shared" si="10"/>
        <v>13.82</v>
      </c>
      <c r="I43" s="343">
        <f t="shared" si="9"/>
        <v>0</v>
      </c>
      <c r="J43" s="343">
        <f t="shared" si="11"/>
        <v>0</v>
      </c>
      <c r="K43" s="355">
        <f t="shared" si="12"/>
        <v>13.82</v>
      </c>
      <c r="L43" s="343">
        <f t="shared" si="13"/>
        <v>13.82</v>
      </c>
      <c r="M43" s="499">
        <f t="shared" si="14"/>
        <v>0</v>
      </c>
      <c r="N43" s="343">
        <f t="shared" si="15"/>
        <v>0</v>
      </c>
      <c r="O43" s="355">
        <f t="shared" si="16"/>
        <v>13.82</v>
      </c>
    </row>
    <row r="44" spans="1:18" s="1" customFormat="1" x14ac:dyDescent="0.3">
      <c r="B44" s="63">
        <v>9</v>
      </c>
      <c r="C44" s="295" t="s">
        <v>950</v>
      </c>
      <c r="D44" s="343">
        <f t="shared" si="6"/>
        <v>48.784531374000004</v>
      </c>
      <c r="E44" s="355">
        <f t="shared" si="7"/>
        <v>5.5364374226257285</v>
      </c>
      <c r="F44" s="355">
        <f t="shared" si="8"/>
        <v>3.9607125999999999E-2</v>
      </c>
      <c r="G44" s="355">
        <f t="shared" si="17"/>
        <v>54.281361670625735</v>
      </c>
      <c r="H44" s="343">
        <f t="shared" si="10"/>
        <v>54.281361670625735</v>
      </c>
      <c r="I44" s="343">
        <f t="shared" si="9"/>
        <v>37.081253679900357</v>
      </c>
      <c r="J44" s="343">
        <f t="shared" si="11"/>
        <v>3.9607125999999999E-2</v>
      </c>
      <c r="K44" s="355">
        <f t="shared" si="12"/>
        <v>91.323008224526077</v>
      </c>
      <c r="L44" s="343">
        <f t="shared" si="13"/>
        <v>91.323008224526077</v>
      </c>
      <c r="M44" s="499">
        <f t="shared" si="14"/>
        <v>31.963283767004505</v>
      </c>
      <c r="N44" s="343">
        <f t="shared" si="15"/>
        <v>3.9607125999999999E-2</v>
      </c>
      <c r="O44" s="355">
        <f t="shared" si="16"/>
        <v>123.24668486553058</v>
      </c>
    </row>
    <row r="45" spans="1:18" s="1" customFormat="1" x14ac:dyDescent="0.3">
      <c r="B45" s="63">
        <v>10</v>
      </c>
      <c r="C45" s="295" t="s">
        <v>951</v>
      </c>
      <c r="D45" s="343">
        <f t="shared" si="6"/>
        <v>27.351605210000002</v>
      </c>
      <c r="E45" s="355">
        <f t="shared" si="7"/>
        <v>0.73085907805571959</v>
      </c>
      <c r="F45" s="355">
        <f t="shared" si="8"/>
        <v>0.31862361699999997</v>
      </c>
      <c r="G45" s="355">
        <f t="shared" si="17"/>
        <v>27.763840671055721</v>
      </c>
      <c r="H45" s="343">
        <f t="shared" si="10"/>
        <v>27.763840671055721</v>
      </c>
      <c r="I45" s="343">
        <f t="shared" si="9"/>
        <v>4.8950559373954139</v>
      </c>
      <c r="J45" s="343">
        <f t="shared" si="11"/>
        <v>0.31862361699999997</v>
      </c>
      <c r="K45" s="355">
        <f t="shared" si="12"/>
        <v>32.340272991451137</v>
      </c>
      <c r="L45" s="343">
        <f t="shared" si="13"/>
        <v>32.340272991451137</v>
      </c>
      <c r="M45" s="499">
        <f t="shared" si="14"/>
        <v>4.2194382998204576</v>
      </c>
      <c r="N45" s="343">
        <f t="shared" si="15"/>
        <v>0.31862361699999997</v>
      </c>
      <c r="O45" s="355">
        <f t="shared" si="16"/>
        <v>36.241087674271597</v>
      </c>
    </row>
    <row r="46" spans="1:18" s="1" customFormat="1" x14ac:dyDescent="0.3">
      <c r="B46" s="63">
        <v>11</v>
      </c>
      <c r="C46" s="37" t="s">
        <v>1385</v>
      </c>
      <c r="D46" s="343">
        <f t="shared" si="6"/>
        <v>48.627541827000002</v>
      </c>
      <c r="E46" s="355">
        <f t="shared" si="7"/>
        <v>0.3979649685667162</v>
      </c>
      <c r="F46" s="355">
        <f t="shared" si="8"/>
        <v>0.21562829000000003</v>
      </c>
      <c r="G46" s="355">
        <f t="shared" si="17"/>
        <v>48.809878505566722</v>
      </c>
      <c r="H46" s="343">
        <f t="shared" si="10"/>
        <v>48.809878505566722</v>
      </c>
      <c r="I46" s="343">
        <f t="shared" si="9"/>
        <v>2.6654396733228594</v>
      </c>
      <c r="J46" s="343">
        <f t="shared" si="11"/>
        <v>0.21562829000000003</v>
      </c>
      <c r="K46" s="355">
        <f t="shared" si="12"/>
        <v>51.259689888889582</v>
      </c>
      <c r="L46" s="343">
        <f t="shared" si="13"/>
        <v>51.259689888889582</v>
      </c>
      <c r="M46" s="499">
        <f t="shared" si="14"/>
        <v>2.2975545912685895</v>
      </c>
      <c r="N46" s="343">
        <f t="shared" si="15"/>
        <v>0.21562829000000003</v>
      </c>
      <c r="O46" s="355">
        <f t="shared" si="16"/>
        <v>53.341616190158177</v>
      </c>
    </row>
    <row r="47" spans="1:18" s="1" customFormat="1" ht="16" x14ac:dyDescent="0.3">
      <c r="B47" s="59"/>
      <c r="C47" s="67" t="s">
        <v>145</v>
      </c>
      <c r="D47" s="357">
        <f>SUM(D36:D46)</f>
        <v>3050.4302624240004</v>
      </c>
      <c r="E47" s="357">
        <f>'F4'!P45</f>
        <v>143.42999999999998</v>
      </c>
      <c r="F47" s="357">
        <f t="shared" ref="F47:O47" si="18">SUM(F36:F46)</f>
        <v>19.701201446000002</v>
      </c>
      <c r="G47" s="357">
        <f t="shared" si="18"/>
        <v>3174.1590609780001</v>
      </c>
      <c r="H47" s="357">
        <f t="shared" si="18"/>
        <v>3174.1590609780001</v>
      </c>
      <c r="I47" s="357">
        <f>'F4'!S45</f>
        <v>960.64740000000006</v>
      </c>
      <c r="J47" s="357">
        <f t="shared" si="18"/>
        <v>19.701201446000002</v>
      </c>
      <c r="K47" s="357">
        <f t="shared" si="18"/>
        <v>4115.1052595319998</v>
      </c>
      <c r="L47" s="357">
        <f t="shared" si="18"/>
        <v>4115.1052595319998</v>
      </c>
      <c r="M47" s="2124">
        <f>'F4'!U45</f>
        <v>828.05844999999999</v>
      </c>
      <c r="N47" s="357">
        <f t="shared" si="18"/>
        <v>19.701201446000002</v>
      </c>
      <c r="O47" s="357">
        <f t="shared" si="18"/>
        <v>4923.4625080859996</v>
      </c>
    </row>
    <row r="48" spans="1:18" s="1" customFormat="1" ht="16" x14ac:dyDescent="0.3">
      <c r="B48" s="299"/>
      <c r="C48" s="299"/>
      <c r="D48" s="537"/>
      <c r="E48" s="537"/>
      <c r="F48" s="537"/>
      <c r="G48" s="537"/>
      <c r="H48" s="537"/>
      <c r="I48" s="537"/>
      <c r="J48" s="537"/>
      <c r="K48" s="537"/>
      <c r="L48" s="537"/>
      <c r="M48" s="537"/>
      <c r="N48" s="425"/>
      <c r="O48" s="425"/>
      <c r="P48" s="39"/>
      <c r="Q48" s="39"/>
      <c r="R48" s="39"/>
    </row>
    <row r="49" spans="2:18" x14ac:dyDescent="0.3">
      <c r="B49" s="306"/>
      <c r="C49" s="306"/>
      <c r="D49" s="538"/>
      <c r="E49" s="538"/>
      <c r="F49" s="538"/>
      <c r="G49" s="538"/>
      <c r="H49" s="538"/>
      <c r="I49" s="538"/>
      <c r="J49" s="538"/>
      <c r="K49" s="538"/>
      <c r="L49" s="538"/>
      <c r="M49" s="538"/>
      <c r="N49" s="538"/>
      <c r="O49" s="538"/>
    </row>
    <row r="50" spans="2:18" s="1" customFormat="1" ht="16" x14ac:dyDescent="0.3">
      <c r="D50" s="425"/>
      <c r="E50" s="425"/>
      <c r="F50" s="425"/>
      <c r="G50" s="425"/>
      <c r="H50" s="425"/>
      <c r="I50" s="425"/>
      <c r="J50" s="425"/>
      <c r="K50" s="425"/>
      <c r="L50" s="425"/>
      <c r="M50" s="425"/>
      <c r="N50" s="425"/>
      <c r="O50" s="425"/>
      <c r="P50" s="39"/>
      <c r="Q50" s="39"/>
      <c r="R50" s="39"/>
    </row>
    <row r="51" spans="2:18" x14ac:dyDescent="0.3">
      <c r="B51" s="283" t="s">
        <v>146</v>
      </c>
      <c r="C51" s="1"/>
      <c r="D51" s="425"/>
      <c r="E51" s="425"/>
      <c r="F51" s="425"/>
      <c r="G51" s="425"/>
      <c r="H51" s="425"/>
      <c r="I51" s="425"/>
      <c r="J51" s="425"/>
      <c r="K51" s="425"/>
      <c r="L51" s="425"/>
      <c r="M51" s="425"/>
      <c r="N51" s="425"/>
      <c r="O51" s="425"/>
    </row>
    <row r="52" spans="2:18" x14ac:dyDescent="0.3">
      <c r="B52" s="283"/>
      <c r="C52" s="1"/>
      <c r="D52" s="425"/>
      <c r="E52" s="425"/>
      <c r="F52" s="425"/>
      <c r="G52" s="425"/>
      <c r="H52" s="425"/>
      <c r="I52" s="425"/>
      <c r="J52" s="425"/>
      <c r="K52" s="425"/>
      <c r="L52" s="425"/>
      <c r="M52" s="425"/>
      <c r="N52" s="425"/>
      <c r="O52" s="425"/>
    </row>
    <row r="53" spans="2:18" x14ac:dyDescent="0.3">
      <c r="B53" s="1"/>
      <c r="C53" s="1"/>
      <c r="D53" s="534"/>
      <c r="E53" s="534"/>
      <c r="F53" s="534"/>
      <c r="G53" s="534"/>
      <c r="H53" s="425"/>
      <c r="I53" s="512"/>
      <c r="J53" s="425"/>
      <c r="K53" s="512"/>
      <c r="L53" s="512"/>
      <c r="M53" s="425"/>
      <c r="N53" s="425"/>
      <c r="O53" s="535" t="s">
        <v>16</v>
      </c>
    </row>
    <row r="54" spans="2:18" ht="15" customHeight="1" x14ac:dyDescent="0.3">
      <c r="B54" s="2351" t="s">
        <v>187</v>
      </c>
      <c r="C54" s="2351" t="s">
        <v>50</v>
      </c>
      <c r="D54" s="2354" t="s">
        <v>179</v>
      </c>
      <c r="E54" s="2355"/>
      <c r="F54" s="2355"/>
      <c r="G54" s="2356"/>
      <c r="H54" s="2354" t="s">
        <v>186</v>
      </c>
      <c r="I54" s="2355"/>
      <c r="J54" s="2355"/>
      <c r="K54" s="2356"/>
      <c r="L54" s="2190" t="s">
        <v>426</v>
      </c>
      <c r="M54" s="2197"/>
      <c r="N54" s="2197"/>
      <c r="O54" s="2191"/>
    </row>
    <row r="55" spans="2:18" x14ac:dyDescent="0.3">
      <c r="B55" s="2351"/>
      <c r="C55" s="2351"/>
      <c r="D55" s="2357" t="s">
        <v>12</v>
      </c>
      <c r="E55" s="2358"/>
      <c r="F55" s="2358"/>
      <c r="G55" s="2358"/>
      <c r="H55" s="2357" t="s">
        <v>12</v>
      </c>
      <c r="I55" s="2358"/>
      <c r="J55" s="2358"/>
      <c r="K55" s="2358"/>
      <c r="L55" s="2357" t="s">
        <v>12</v>
      </c>
      <c r="M55" s="2358"/>
      <c r="N55" s="2358"/>
      <c r="O55" s="2358"/>
    </row>
    <row r="56" spans="2:18" ht="56" x14ac:dyDescent="0.3">
      <c r="B56" s="2351"/>
      <c r="C56" s="2351"/>
      <c r="D56" s="488" t="s">
        <v>147</v>
      </c>
      <c r="E56" s="488" t="s">
        <v>142</v>
      </c>
      <c r="F56" s="539" t="s">
        <v>148</v>
      </c>
      <c r="G56" s="488" t="s">
        <v>149</v>
      </c>
      <c r="H56" s="488" t="s">
        <v>147</v>
      </c>
      <c r="I56" s="488" t="s">
        <v>142</v>
      </c>
      <c r="J56" s="539" t="s">
        <v>148</v>
      </c>
      <c r="K56" s="488" t="s">
        <v>149</v>
      </c>
      <c r="L56" s="488" t="s">
        <v>147</v>
      </c>
      <c r="M56" s="488" t="s">
        <v>142</v>
      </c>
      <c r="N56" s="539" t="s">
        <v>148</v>
      </c>
      <c r="O56" s="488" t="s">
        <v>149</v>
      </c>
    </row>
    <row r="57" spans="2:18" x14ac:dyDescent="0.3">
      <c r="B57" s="282"/>
      <c r="C57" s="282"/>
      <c r="D57" s="488" t="s">
        <v>73</v>
      </c>
      <c r="E57" s="488" t="s">
        <v>74</v>
      </c>
      <c r="F57" s="488" t="s">
        <v>690</v>
      </c>
      <c r="G57" s="488" t="s">
        <v>779</v>
      </c>
      <c r="H57" s="488" t="s">
        <v>411</v>
      </c>
      <c r="I57" s="488" t="s">
        <v>412</v>
      </c>
      <c r="J57" s="488" t="s">
        <v>581</v>
      </c>
      <c r="K57" s="488" t="s">
        <v>780</v>
      </c>
      <c r="L57" s="488" t="s">
        <v>668</v>
      </c>
      <c r="M57" s="488" t="s">
        <v>582</v>
      </c>
      <c r="N57" s="488" t="s">
        <v>759</v>
      </c>
      <c r="O57" s="488" t="s">
        <v>781</v>
      </c>
    </row>
    <row r="58" spans="2:18" x14ac:dyDescent="0.3">
      <c r="B58" s="63">
        <v>1</v>
      </c>
      <c r="C58" s="295" t="s">
        <v>942</v>
      </c>
      <c r="D58" s="343">
        <v>0</v>
      </c>
      <c r="E58" s="343">
        <v>0</v>
      </c>
      <c r="F58" s="343">
        <v>0</v>
      </c>
      <c r="G58" s="355">
        <f>D58+E58-F58</f>
        <v>0</v>
      </c>
      <c r="H58" s="343">
        <f>G58</f>
        <v>0</v>
      </c>
      <c r="I58" s="343">
        <v>0</v>
      </c>
      <c r="J58" s="343">
        <v>0</v>
      </c>
      <c r="K58" s="343">
        <f t="shared" ref="K58:K68" si="19">H58+I58-J58</f>
        <v>0</v>
      </c>
      <c r="L58" s="343">
        <f>K58</f>
        <v>0</v>
      </c>
      <c r="M58" s="343">
        <v>0</v>
      </c>
      <c r="N58" s="343">
        <v>0</v>
      </c>
      <c r="O58" s="343">
        <f>L58+M58-N58</f>
        <v>0</v>
      </c>
      <c r="Q58" s="1624"/>
      <c r="R58" s="1624"/>
    </row>
    <row r="59" spans="2:18" x14ac:dyDescent="0.3">
      <c r="B59" s="63">
        <v>2</v>
      </c>
      <c r="C59" s="295" t="s">
        <v>943</v>
      </c>
      <c r="D59" s="343">
        <v>32.82</v>
      </c>
      <c r="E59" s="343">
        <v>2.6</v>
      </c>
      <c r="F59" s="343">
        <v>0</v>
      </c>
      <c r="G59" s="355">
        <f t="shared" ref="G59:G68" si="20">D59+E59-F59</f>
        <v>35.42</v>
      </c>
      <c r="H59" s="343">
        <f t="shared" ref="H59:H68" si="21">G59</f>
        <v>35.42</v>
      </c>
      <c r="I59" s="343">
        <v>2.68</v>
      </c>
      <c r="J59" s="343">
        <v>0</v>
      </c>
      <c r="K59" s="343">
        <f t="shared" si="19"/>
        <v>38.1</v>
      </c>
      <c r="L59" s="343">
        <f t="shared" ref="L59:L68" si="22">K59</f>
        <v>38.1</v>
      </c>
      <c r="M59" s="343">
        <v>2.56</v>
      </c>
      <c r="N59" s="343">
        <v>-0.22</v>
      </c>
      <c r="O59" s="343">
        <f t="shared" ref="O59:O68" si="23">L59+M59-N59</f>
        <v>40.880000000000003</v>
      </c>
      <c r="P59" s="426"/>
      <c r="Q59" s="1624"/>
      <c r="R59" s="1624"/>
    </row>
    <row r="60" spans="2:18" x14ac:dyDescent="0.3">
      <c r="B60" s="63">
        <v>3</v>
      </c>
      <c r="C60" s="295" t="s">
        <v>944</v>
      </c>
      <c r="D60" s="343">
        <v>605.0200000000001</v>
      </c>
      <c r="E60" s="343">
        <v>40.29</v>
      </c>
      <c r="F60" s="343">
        <v>1.01</v>
      </c>
      <c r="G60" s="355">
        <f t="shared" si="20"/>
        <v>644.30000000000007</v>
      </c>
      <c r="H60" s="343">
        <f t="shared" si="21"/>
        <v>644.30000000000007</v>
      </c>
      <c r="I60" s="343">
        <v>40.96</v>
      </c>
      <c r="J60" s="343">
        <v>3.65</v>
      </c>
      <c r="K60" s="343">
        <f t="shared" si="19"/>
        <v>681.61000000000013</v>
      </c>
      <c r="L60" s="343">
        <f t="shared" si="22"/>
        <v>681.61000000000013</v>
      </c>
      <c r="M60" s="343">
        <v>41.38</v>
      </c>
      <c r="N60" s="343">
        <v>2.71</v>
      </c>
      <c r="O60" s="343">
        <f t="shared" si="23"/>
        <v>720.28000000000009</v>
      </c>
      <c r="P60" s="426"/>
      <c r="Q60" s="1624"/>
      <c r="R60" s="1624"/>
    </row>
    <row r="61" spans="2:18" x14ac:dyDescent="0.3">
      <c r="B61" s="63">
        <v>4</v>
      </c>
      <c r="C61" s="295" t="s">
        <v>945</v>
      </c>
      <c r="D61" s="343">
        <v>371.74</v>
      </c>
      <c r="E61" s="343">
        <v>43.08</v>
      </c>
      <c r="F61" s="343">
        <v>1.1200000000000001</v>
      </c>
      <c r="G61" s="355">
        <f t="shared" si="20"/>
        <v>413.7</v>
      </c>
      <c r="H61" s="343">
        <f t="shared" si="21"/>
        <v>413.7</v>
      </c>
      <c r="I61" s="343">
        <v>44.6</v>
      </c>
      <c r="J61" s="343">
        <v>1.31</v>
      </c>
      <c r="K61" s="343">
        <f t="shared" si="19"/>
        <v>456.99</v>
      </c>
      <c r="L61" s="343">
        <f t="shared" si="22"/>
        <v>456.99</v>
      </c>
      <c r="M61" s="343">
        <v>45.26</v>
      </c>
      <c r="N61" s="343">
        <v>1.07</v>
      </c>
      <c r="O61" s="343">
        <f t="shared" si="23"/>
        <v>501.18</v>
      </c>
      <c r="P61" s="426"/>
      <c r="Q61" s="1624"/>
      <c r="R61" s="1624"/>
    </row>
    <row r="62" spans="2:18" x14ac:dyDescent="0.3">
      <c r="B62" s="63">
        <v>5</v>
      </c>
      <c r="C62" s="295" t="s">
        <v>946</v>
      </c>
      <c r="D62" s="343">
        <v>105.76000000000002</v>
      </c>
      <c r="E62" s="343">
        <v>10.35</v>
      </c>
      <c r="F62" s="343">
        <v>13.51</v>
      </c>
      <c r="G62" s="355">
        <f t="shared" si="20"/>
        <v>102.60000000000001</v>
      </c>
      <c r="H62" s="343">
        <f t="shared" si="21"/>
        <v>102.60000000000001</v>
      </c>
      <c r="I62" s="343">
        <v>10.26</v>
      </c>
      <c r="J62" s="343">
        <v>16.559999999999999</v>
      </c>
      <c r="K62" s="343">
        <f t="shared" si="19"/>
        <v>96.300000000000011</v>
      </c>
      <c r="L62" s="343">
        <f t="shared" si="22"/>
        <v>96.300000000000011</v>
      </c>
      <c r="M62" s="343">
        <v>9.0500000000000007</v>
      </c>
      <c r="N62" s="343">
        <v>13.03</v>
      </c>
      <c r="O62" s="343">
        <f t="shared" si="23"/>
        <v>92.320000000000007</v>
      </c>
      <c r="P62" s="426"/>
      <c r="Q62" s="1624"/>
      <c r="R62" s="1624"/>
    </row>
    <row r="63" spans="2:18" x14ac:dyDescent="0.3">
      <c r="B63" s="63">
        <v>6</v>
      </c>
      <c r="C63" s="295" t="s">
        <v>947</v>
      </c>
      <c r="D63" s="343">
        <v>38.92</v>
      </c>
      <c r="E63" s="343">
        <v>2.72</v>
      </c>
      <c r="F63" s="343">
        <v>0</v>
      </c>
      <c r="G63" s="355">
        <f t="shared" si="20"/>
        <v>41.64</v>
      </c>
      <c r="H63" s="343">
        <f t="shared" si="21"/>
        <v>41.64</v>
      </c>
      <c r="I63" s="343">
        <v>4.51</v>
      </c>
      <c r="J63" s="343">
        <v>0</v>
      </c>
      <c r="K63" s="343">
        <f t="shared" si="19"/>
        <v>46.15</v>
      </c>
      <c r="L63" s="343">
        <f t="shared" si="22"/>
        <v>46.15</v>
      </c>
      <c r="M63" s="343">
        <v>4.72</v>
      </c>
      <c r="N63" s="343">
        <v>0</v>
      </c>
      <c r="O63" s="343">
        <f t="shared" si="23"/>
        <v>50.87</v>
      </c>
      <c r="P63" s="426"/>
      <c r="Q63" s="1624"/>
      <c r="R63" s="1624"/>
    </row>
    <row r="64" spans="2:18" x14ac:dyDescent="0.3">
      <c r="B64" s="63">
        <v>7</v>
      </c>
      <c r="C64" s="296" t="s">
        <v>948</v>
      </c>
      <c r="D64" s="343">
        <v>0.03</v>
      </c>
      <c r="E64" s="343">
        <v>0</v>
      </c>
      <c r="F64" s="343">
        <v>0</v>
      </c>
      <c r="G64" s="355">
        <f t="shared" si="20"/>
        <v>0.03</v>
      </c>
      <c r="H64" s="343">
        <f t="shared" si="21"/>
        <v>0.03</v>
      </c>
      <c r="I64" s="343">
        <v>0</v>
      </c>
      <c r="J64" s="343">
        <v>0</v>
      </c>
      <c r="K64" s="343">
        <f t="shared" si="19"/>
        <v>0.03</v>
      </c>
      <c r="L64" s="343">
        <f t="shared" si="22"/>
        <v>0.03</v>
      </c>
      <c r="M64" s="343">
        <v>0</v>
      </c>
      <c r="N64" s="343">
        <v>0</v>
      </c>
      <c r="O64" s="343">
        <f t="shared" si="23"/>
        <v>0.03</v>
      </c>
      <c r="P64" s="426"/>
      <c r="Q64" s="1624"/>
      <c r="R64" s="1624"/>
    </row>
    <row r="65" spans="2:30" x14ac:dyDescent="0.3">
      <c r="B65" s="63">
        <v>8</v>
      </c>
      <c r="C65" s="295" t="s">
        <v>949</v>
      </c>
      <c r="D65" s="343">
        <v>11.4</v>
      </c>
      <c r="E65" s="343">
        <v>0.34</v>
      </c>
      <c r="F65" s="343">
        <v>0.98</v>
      </c>
      <c r="G65" s="355">
        <f t="shared" si="20"/>
        <v>10.76</v>
      </c>
      <c r="H65" s="343">
        <f t="shared" si="21"/>
        <v>10.76</v>
      </c>
      <c r="I65" s="343">
        <v>0.27</v>
      </c>
      <c r="J65" s="343">
        <v>0</v>
      </c>
      <c r="K65" s="343">
        <f t="shared" si="19"/>
        <v>11.03</v>
      </c>
      <c r="L65" s="343">
        <f t="shared" si="22"/>
        <v>11.03</v>
      </c>
      <c r="M65" s="343">
        <v>0.28000000000000003</v>
      </c>
      <c r="N65" s="343">
        <v>0</v>
      </c>
      <c r="O65" s="343">
        <f t="shared" si="23"/>
        <v>11.309999999999999</v>
      </c>
      <c r="P65" s="426"/>
      <c r="Q65" s="1624"/>
      <c r="R65" s="1624"/>
    </row>
    <row r="66" spans="2:30" x14ac:dyDescent="0.3">
      <c r="B66" s="63">
        <v>9</v>
      </c>
      <c r="C66" s="295" t="s">
        <v>950</v>
      </c>
      <c r="D66" s="343">
        <v>14.850000000000001</v>
      </c>
      <c r="E66" s="343">
        <v>1.3</v>
      </c>
      <c r="F66" s="343">
        <v>0.47</v>
      </c>
      <c r="G66" s="355">
        <f t="shared" si="20"/>
        <v>15.680000000000001</v>
      </c>
      <c r="H66" s="343">
        <f t="shared" si="21"/>
        <v>15.680000000000001</v>
      </c>
      <c r="I66" s="343">
        <v>1.38</v>
      </c>
      <c r="J66" s="343">
        <v>0</v>
      </c>
      <c r="K66" s="343">
        <f t="shared" si="19"/>
        <v>17.060000000000002</v>
      </c>
      <c r="L66" s="343">
        <f t="shared" si="22"/>
        <v>17.060000000000002</v>
      </c>
      <c r="M66" s="343">
        <v>1.73</v>
      </c>
      <c r="N66" s="343">
        <v>0.04</v>
      </c>
      <c r="O66" s="343">
        <f t="shared" si="23"/>
        <v>18.750000000000004</v>
      </c>
      <c r="P66" s="426"/>
      <c r="Q66" s="1624"/>
      <c r="R66" s="1624"/>
    </row>
    <row r="67" spans="2:30" x14ac:dyDescent="0.3">
      <c r="B67" s="63">
        <v>10</v>
      </c>
      <c r="C67" s="295" t="s">
        <v>951</v>
      </c>
      <c r="D67" s="343">
        <v>23.62</v>
      </c>
      <c r="E67" s="343">
        <v>0</v>
      </c>
      <c r="F67" s="343">
        <v>0.01</v>
      </c>
      <c r="G67" s="355">
        <f t="shared" si="20"/>
        <v>23.61</v>
      </c>
      <c r="H67" s="343">
        <f t="shared" si="21"/>
        <v>23.61</v>
      </c>
      <c r="I67" s="343">
        <v>0</v>
      </c>
      <c r="J67" s="343">
        <v>0.11</v>
      </c>
      <c r="K67" s="343">
        <f t="shared" si="19"/>
        <v>23.5</v>
      </c>
      <c r="L67" s="343">
        <f t="shared" si="22"/>
        <v>23.5</v>
      </c>
      <c r="M67" s="343">
        <v>1.01</v>
      </c>
      <c r="N67" s="343">
        <v>0.28999999999999998</v>
      </c>
      <c r="O67" s="343">
        <f t="shared" si="23"/>
        <v>24.220000000000002</v>
      </c>
      <c r="P67" s="426"/>
      <c r="Q67" s="1624"/>
      <c r="R67" s="1624"/>
      <c r="S67" s="1624"/>
      <c r="T67" s="1624"/>
    </row>
    <row r="68" spans="2:30" x14ac:dyDescent="0.3">
      <c r="B68" s="63">
        <v>11</v>
      </c>
      <c r="C68" s="37" t="s">
        <v>1385</v>
      </c>
      <c r="D68" s="343">
        <v>26.71</v>
      </c>
      <c r="E68" s="343">
        <v>1.6</v>
      </c>
      <c r="F68" s="343">
        <v>0.43</v>
      </c>
      <c r="G68" s="355">
        <f t="shared" si="20"/>
        <v>27.880000000000003</v>
      </c>
      <c r="H68" s="343">
        <f t="shared" si="21"/>
        <v>27.880000000000003</v>
      </c>
      <c r="I68" s="356">
        <v>1.56</v>
      </c>
      <c r="J68" s="356">
        <v>0.22</v>
      </c>
      <c r="K68" s="343">
        <f t="shared" si="19"/>
        <v>29.220000000000002</v>
      </c>
      <c r="L68" s="343">
        <f t="shared" si="22"/>
        <v>29.220000000000002</v>
      </c>
      <c r="M68" s="343">
        <v>1.58</v>
      </c>
      <c r="N68" s="343">
        <v>0.1</v>
      </c>
      <c r="O68" s="343">
        <f t="shared" si="23"/>
        <v>30.700000000000003</v>
      </c>
      <c r="P68" s="426"/>
      <c r="Q68" s="1624"/>
      <c r="R68" s="1624"/>
    </row>
    <row r="69" spans="2:30" ht="16" x14ac:dyDescent="0.3">
      <c r="B69" s="59"/>
      <c r="C69" s="67" t="s">
        <v>145</v>
      </c>
      <c r="D69" s="357">
        <f t="shared" ref="D69" si="24">SUM(D58:D67)</f>
        <v>1204.1600000000001</v>
      </c>
      <c r="E69" s="357">
        <f>SUM(E58:E67)</f>
        <v>100.67999999999999</v>
      </c>
      <c r="F69" s="357">
        <f t="shared" ref="F69:O69" si="25">SUM(F58:F67)</f>
        <v>17.100000000000001</v>
      </c>
      <c r="G69" s="357">
        <f t="shared" si="25"/>
        <v>1287.74</v>
      </c>
      <c r="H69" s="357">
        <f t="shared" si="25"/>
        <v>1287.74</v>
      </c>
      <c r="I69" s="357">
        <f t="shared" si="25"/>
        <v>104.66000000000001</v>
      </c>
      <c r="J69" s="357">
        <f t="shared" si="25"/>
        <v>21.63</v>
      </c>
      <c r="K69" s="357">
        <f t="shared" si="25"/>
        <v>1370.7700000000002</v>
      </c>
      <c r="L69" s="357">
        <f t="shared" si="25"/>
        <v>1370.7700000000002</v>
      </c>
      <c r="M69" s="357">
        <f t="shared" si="25"/>
        <v>105.99000000000001</v>
      </c>
      <c r="N69" s="357">
        <f t="shared" si="25"/>
        <v>16.919999999999998</v>
      </c>
      <c r="O69" s="357">
        <f t="shared" si="25"/>
        <v>1459.84</v>
      </c>
    </row>
    <row r="70" spans="2:30" ht="16" x14ac:dyDescent="0.3">
      <c r="B70" s="299"/>
      <c r="C70" s="300"/>
      <c r="D70" s="540"/>
      <c r="E70" s="540"/>
      <c r="F70" s="540"/>
      <c r="G70" s="540"/>
      <c r="H70" s="537"/>
      <c r="I70" s="537"/>
      <c r="J70" s="537"/>
      <c r="K70" s="537"/>
      <c r="L70" s="537"/>
      <c r="M70" s="537"/>
      <c r="N70" s="537"/>
      <c r="O70" s="537"/>
    </row>
    <row r="71" spans="2:30" ht="16" x14ac:dyDescent="0.3">
      <c r="B71" s="297" t="s">
        <v>766</v>
      </c>
      <c r="C71" s="301"/>
      <c r="D71" s="541"/>
      <c r="E71" s="541"/>
      <c r="F71" s="541"/>
      <c r="G71" s="541"/>
      <c r="H71" s="542"/>
      <c r="I71" s="542"/>
      <c r="J71" s="537"/>
      <c r="K71" s="537"/>
      <c r="L71" s="537"/>
      <c r="M71" s="537"/>
      <c r="N71" s="537"/>
      <c r="O71" s="537"/>
      <c r="P71" s="39"/>
      <c r="Q71" s="39"/>
      <c r="R71" s="39"/>
      <c r="S71" s="39"/>
      <c r="T71" s="39"/>
      <c r="U71" s="39"/>
      <c r="V71" s="39"/>
      <c r="W71" s="39"/>
      <c r="X71" s="39"/>
      <c r="Y71" s="39"/>
      <c r="Z71" s="39"/>
      <c r="AA71" s="39"/>
      <c r="AB71" s="39"/>
      <c r="AC71" s="39"/>
      <c r="AD71" s="39"/>
    </row>
    <row r="72" spans="2:30" ht="16" x14ac:dyDescent="0.3">
      <c r="B72" s="297" t="s">
        <v>778</v>
      </c>
      <c r="C72" s="301"/>
      <c r="D72" s="541"/>
      <c r="E72" s="541"/>
      <c r="F72" s="541"/>
      <c r="G72" s="541"/>
      <c r="H72" s="542"/>
      <c r="I72" s="542"/>
      <c r="J72" s="537"/>
      <c r="K72" s="537"/>
      <c r="L72" s="537"/>
      <c r="M72" s="537"/>
      <c r="N72" s="537"/>
      <c r="O72" s="537"/>
      <c r="P72" s="39"/>
      <c r="Q72" s="39"/>
      <c r="R72" s="39"/>
      <c r="S72" s="39"/>
      <c r="T72" s="39"/>
      <c r="U72" s="39"/>
      <c r="V72" s="39"/>
      <c r="W72" s="39"/>
      <c r="X72" s="39"/>
      <c r="Y72" s="39"/>
      <c r="Z72" s="39"/>
      <c r="AA72" s="39"/>
      <c r="AB72" s="39"/>
      <c r="AC72" s="39"/>
      <c r="AD72" s="39"/>
    </row>
    <row r="73" spans="2:30" ht="16" x14ac:dyDescent="0.3">
      <c r="B73" s="299"/>
      <c r="C73" s="300"/>
      <c r="D73" s="540"/>
      <c r="E73" s="540"/>
      <c r="F73" s="540"/>
      <c r="G73" s="540"/>
      <c r="H73" s="537"/>
      <c r="I73" s="537"/>
      <c r="J73" s="537"/>
      <c r="K73" s="537"/>
      <c r="L73" s="537"/>
      <c r="M73" s="537"/>
      <c r="N73" s="537"/>
      <c r="O73" s="537"/>
      <c r="P73" s="39"/>
      <c r="Q73" s="39"/>
      <c r="R73" s="39"/>
      <c r="S73" s="39"/>
      <c r="T73" s="39"/>
      <c r="U73" s="39"/>
      <c r="V73" s="39"/>
      <c r="W73" s="39"/>
      <c r="X73" s="39"/>
      <c r="Y73" s="39"/>
      <c r="Z73" s="39"/>
      <c r="AA73" s="39"/>
      <c r="AB73" s="39"/>
      <c r="AC73" s="39"/>
      <c r="AD73" s="39"/>
    </row>
    <row r="74" spans="2:30" ht="15" customHeight="1" x14ac:dyDescent="0.3">
      <c r="B74" s="299"/>
      <c r="C74" s="300"/>
      <c r="D74" s="536"/>
      <c r="E74" s="536"/>
      <c r="F74" s="536"/>
      <c r="G74" s="536"/>
      <c r="H74" s="425"/>
      <c r="I74" s="512"/>
      <c r="J74" s="425"/>
      <c r="K74" s="512"/>
      <c r="L74" s="512"/>
      <c r="M74" s="425"/>
      <c r="N74" s="425"/>
      <c r="O74" s="535" t="s">
        <v>16</v>
      </c>
    </row>
    <row r="75" spans="2:30" x14ac:dyDescent="0.3">
      <c r="B75" s="2351" t="s">
        <v>187</v>
      </c>
      <c r="C75" s="2351" t="s">
        <v>50</v>
      </c>
      <c r="D75" s="2192" t="s">
        <v>427</v>
      </c>
      <c r="E75" s="2192"/>
      <c r="F75" s="2192"/>
      <c r="G75" s="2192"/>
      <c r="H75" s="2192" t="s">
        <v>428</v>
      </c>
      <c r="I75" s="2192"/>
      <c r="J75" s="2192"/>
      <c r="K75" s="2192"/>
      <c r="L75" s="2192" t="s">
        <v>429</v>
      </c>
      <c r="M75" s="2192"/>
      <c r="N75" s="2192"/>
      <c r="O75" s="2192"/>
    </row>
    <row r="76" spans="2:30" x14ac:dyDescent="0.3">
      <c r="B76" s="2351"/>
      <c r="C76" s="2351"/>
      <c r="D76" s="2357" t="s">
        <v>22</v>
      </c>
      <c r="E76" s="2359"/>
      <c r="F76" s="2359"/>
      <c r="G76" s="2359"/>
      <c r="H76" s="2357" t="s">
        <v>31</v>
      </c>
      <c r="I76" s="2359"/>
      <c r="J76" s="2359"/>
      <c r="K76" s="2359"/>
      <c r="L76" s="2357" t="s">
        <v>31</v>
      </c>
      <c r="M76" s="2359"/>
      <c r="N76" s="2359"/>
      <c r="O76" s="2359"/>
    </row>
    <row r="77" spans="2:30" ht="56" x14ac:dyDescent="0.3">
      <c r="B77" s="2351"/>
      <c r="C77" s="2351"/>
      <c r="D77" s="488" t="s">
        <v>147</v>
      </c>
      <c r="E77" s="488" t="s">
        <v>142</v>
      </c>
      <c r="F77" s="539" t="s">
        <v>148</v>
      </c>
      <c r="G77" s="488" t="s">
        <v>149</v>
      </c>
      <c r="H77" s="488" t="s">
        <v>147</v>
      </c>
      <c r="I77" s="488" t="s">
        <v>142</v>
      </c>
      <c r="J77" s="539" t="s">
        <v>148</v>
      </c>
      <c r="K77" s="488" t="s">
        <v>149</v>
      </c>
      <c r="L77" s="488" t="s">
        <v>147</v>
      </c>
      <c r="M77" s="488" t="s">
        <v>142</v>
      </c>
      <c r="N77" s="539" t="s">
        <v>148</v>
      </c>
      <c r="O77" s="488" t="s">
        <v>149</v>
      </c>
    </row>
    <row r="78" spans="2:30" x14ac:dyDescent="0.3">
      <c r="B78" s="282"/>
      <c r="C78" s="282"/>
      <c r="D78" s="488" t="s">
        <v>782</v>
      </c>
      <c r="E78" s="488" t="s">
        <v>583</v>
      </c>
      <c r="F78" s="488" t="s">
        <v>760</v>
      </c>
      <c r="G78" s="488" t="s">
        <v>783</v>
      </c>
      <c r="H78" s="488" t="s">
        <v>585</v>
      </c>
      <c r="I78" s="488" t="s">
        <v>761</v>
      </c>
      <c r="J78" s="488" t="s">
        <v>784</v>
      </c>
      <c r="K78" s="488" t="s">
        <v>785</v>
      </c>
      <c r="L78" s="488" t="s">
        <v>762</v>
      </c>
      <c r="M78" s="488" t="s">
        <v>763</v>
      </c>
      <c r="N78" s="488" t="s">
        <v>764</v>
      </c>
      <c r="O78" s="488" t="s">
        <v>786</v>
      </c>
    </row>
    <row r="79" spans="2:30" x14ac:dyDescent="0.3">
      <c r="B79" s="63">
        <v>1</v>
      </c>
      <c r="C79" s="295" t="s">
        <v>942</v>
      </c>
      <c r="D79" s="1048">
        <f t="shared" ref="D79:D89" si="26">O58</f>
        <v>0</v>
      </c>
      <c r="E79" s="1048">
        <f t="shared" ref="E79:E89" si="27">M58/$M$69*$E$90</f>
        <v>0</v>
      </c>
      <c r="F79" s="1048">
        <f t="shared" ref="F79:F89" si="28">N58</f>
        <v>0</v>
      </c>
      <c r="G79" s="1048">
        <f>D79+E79-F79</f>
        <v>0</v>
      </c>
      <c r="H79" s="1049">
        <f>G79</f>
        <v>0</v>
      </c>
      <c r="I79" s="1049">
        <f>M58/$M$69*$I$90</f>
        <v>0</v>
      </c>
      <c r="J79" s="1049">
        <f>F79</f>
        <v>0</v>
      </c>
      <c r="K79" s="1048">
        <f>H79+I79-J79</f>
        <v>0</v>
      </c>
      <c r="L79" s="1049">
        <f>K79</f>
        <v>0</v>
      </c>
      <c r="M79" s="1049">
        <f t="shared" ref="M79:M89" si="29">M58/$M$69*$M$90</f>
        <v>0</v>
      </c>
      <c r="N79" s="1049">
        <f>J79</f>
        <v>0</v>
      </c>
      <c r="O79" s="1048">
        <f>L79+M79-N79</f>
        <v>0</v>
      </c>
    </row>
    <row r="80" spans="2:30" x14ac:dyDescent="0.3">
      <c r="B80" s="63">
        <v>2</v>
      </c>
      <c r="C80" s="295" t="s">
        <v>943</v>
      </c>
      <c r="D80" s="1048">
        <f t="shared" si="26"/>
        <v>40.880000000000003</v>
      </c>
      <c r="E80" s="1048">
        <f>M59</f>
        <v>2.56</v>
      </c>
      <c r="F80" s="1048">
        <f t="shared" si="28"/>
        <v>-0.22</v>
      </c>
      <c r="G80" s="1048">
        <f t="shared" ref="G80:G89" si="30">D80+E80-F80</f>
        <v>43.660000000000004</v>
      </c>
      <c r="H80" s="1049">
        <f t="shared" ref="H80:H89" si="31">G80</f>
        <v>43.660000000000004</v>
      </c>
      <c r="I80" s="1049">
        <f t="shared" ref="I80:I89" si="32">M59/$M$69*$I$90</f>
        <v>3.1117040600978791</v>
      </c>
      <c r="J80" s="1049">
        <f t="shared" ref="J80:J89" si="33">F80</f>
        <v>-0.22</v>
      </c>
      <c r="K80" s="1048">
        <f t="shared" ref="K80:K89" si="34">H80+I80-J80</f>
        <v>46.991704060097881</v>
      </c>
      <c r="L80" s="1049">
        <f t="shared" ref="L80:L89" si="35">K80</f>
        <v>46.991704060097881</v>
      </c>
      <c r="M80" s="1049">
        <f t="shared" si="29"/>
        <v>3.7734853615294881</v>
      </c>
      <c r="N80" s="1049">
        <f t="shared" ref="N80:N89" si="36">J80</f>
        <v>-0.22</v>
      </c>
      <c r="O80" s="1048">
        <f t="shared" ref="O80:O89" si="37">L80+M80-N80</f>
        <v>50.985189421627368</v>
      </c>
    </row>
    <row r="81" spans="2:16" x14ac:dyDescent="0.3">
      <c r="B81" s="63">
        <v>3</v>
      </c>
      <c r="C81" s="295" t="s">
        <v>944</v>
      </c>
      <c r="D81" s="1048">
        <f t="shared" si="26"/>
        <v>720.28000000000009</v>
      </c>
      <c r="E81" s="1048">
        <f t="shared" si="27"/>
        <v>42.951250472068118</v>
      </c>
      <c r="F81" s="1048">
        <f t="shared" si="28"/>
        <v>2.71</v>
      </c>
      <c r="G81" s="1048">
        <f t="shared" si="30"/>
        <v>760.52125047206812</v>
      </c>
      <c r="H81" s="1049">
        <f t="shared" si="31"/>
        <v>760.52125047206812</v>
      </c>
      <c r="I81" s="1049">
        <f t="shared" si="32"/>
        <v>50.297778908925885</v>
      </c>
      <c r="J81" s="1049">
        <f t="shared" si="33"/>
        <v>2.71</v>
      </c>
      <c r="K81" s="1048">
        <f t="shared" si="34"/>
        <v>808.109029380994</v>
      </c>
      <c r="L81" s="1049">
        <f t="shared" si="35"/>
        <v>808.109029380994</v>
      </c>
      <c r="M81" s="1049">
        <f t="shared" si="29"/>
        <v>60.994853226597748</v>
      </c>
      <c r="N81" s="1049">
        <f t="shared" si="36"/>
        <v>2.71</v>
      </c>
      <c r="O81" s="1048">
        <f t="shared" si="37"/>
        <v>866.39388260759176</v>
      </c>
    </row>
    <row r="82" spans="2:16" x14ac:dyDescent="0.3">
      <c r="B82" s="63">
        <v>4</v>
      </c>
      <c r="C82" s="295" t="s">
        <v>945</v>
      </c>
      <c r="D82" s="1048">
        <f t="shared" si="26"/>
        <v>501.18</v>
      </c>
      <c r="E82" s="1048">
        <f t="shared" si="27"/>
        <v>46.978578935857968</v>
      </c>
      <c r="F82" s="1048">
        <f t="shared" si="28"/>
        <v>1.07</v>
      </c>
      <c r="G82" s="1048">
        <f t="shared" si="30"/>
        <v>547.08857893585798</v>
      </c>
      <c r="H82" s="1049">
        <f t="shared" si="31"/>
        <v>547.08857893585798</v>
      </c>
      <c r="I82" s="1049">
        <f t="shared" si="32"/>
        <v>55.013955375011726</v>
      </c>
      <c r="J82" s="1049">
        <f t="shared" si="33"/>
        <v>1.07</v>
      </c>
      <c r="K82" s="1048">
        <f t="shared" si="34"/>
        <v>601.03253431086966</v>
      </c>
      <c r="L82" s="1049">
        <f t="shared" si="35"/>
        <v>601.03253431086966</v>
      </c>
      <c r="M82" s="1049">
        <f t="shared" si="29"/>
        <v>66.714041977665872</v>
      </c>
      <c r="N82" s="1049">
        <f t="shared" si="36"/>
        <v>1.07</v>
      </c>
      <c r="O82" s="1048">
        <f t="shared" si="37"/>
        <v>666.67657628853544</v>
      </c>
    </row>
    <row r="83" spans="2:16" x14ac:dyDescent="0.3">
      <c r="B83" s="63">
        <v>5</v>
      </c>
      <c r="C83" s="295" t="s">
        <v>946</v>
      </c>
      <c r="D83" s="1048">
        <f t="shared" si="26"/>
        <v>92.320000000000007</v>
      </c>
      <c r="E83" s="1048">
        <f t="shared" si="27"/>
        <v>9.3936398446644862</v>
      </c>
      <c r="F83" s="1048">
        <f t="shared" si="28"/>
        <v>13.03</v>
      </c>
      <c r="G83" s="1048">
        <f t="shared" si="30"/>
        <v>88.683639844664498</v>
      </c>
      <c r="H83" s="1049">
        <f t="shared" si="31"/>
        <v>88.683639844664498</v>
      </c>
      <c r="I83" s="1049">
        <f t="shared" si="32"/>
        <v>11.000360056205395</v>
      </c>
      <c r="J83" s="1049">
        <f t="shared" si="33"/>
        <v>13.03</v>
      </c>
      <c r="K83" s="1048">
        <f t="shared" si="34"/>
        <v>86.653999900869891</v>
      </c>
      <c r="L83" s="1049">
        <f t="shared" si="35"/>
        <v>86.653999900869891</v>
      </c>
      <c r="M83" s="1049">
        <f t="shared" si="29"/>
        <v>13.33986036009448</v>
      </c>
      <c r="N83" s="1049">
        <f t="shared" si="36"/>
        <v>13.03</v>
      </c>
      <c r="O83" s="1048">
        <f t="shared" si="37"/>
        <v>86.963860260964367</v>
      </c>
    </row>
    <row r="84" spans="2:16" x14ac:dyDescent="0.3">
      <c r="B84" s="63">
        <v>6</v>
      </c>
      <c r="C84" s="295" t="s">
        <v>947</v>
      </c>
      <c r="D84" s="1048">
        <f t="shared" si="26"/>
        <v>50.87</v>
      </c>
      <c r="E84" s="1048">
        <f t="shared" si="27"/>
        <v>4.8992243167752898</v>
      </c>
      <c r="F84" s="1048">
        <f t="shared" si="28"/>
        <v>0</v>
      </c>
      <c r="G84" s="1048">
        <f t="shared" si="30"/>
        <v>55.769224316775286</v>
      </c>
      <c r="H84" s="1049">
        <f t="shared" si="31"/>
        <v>55.769224316775286</v>
      </c>
      <c r="I84" s="1049">
        <f t="shared" si="32"/>
        <v>5.7372043608054648</v>
      </c>
      <c r="J84" s="1049">
        <f t="shared" si="33"/>
        <v>0</v>
      </c>
      <c r="K84" s="1048">
        <f t="shared" si="34"/>
        <v>61.50642867758075</v>
      </c>
      <c r="L84" s="1049">
        <f t="shared" si="35"/>
        <v>61.50642867758075</v>
      </c>
      <c r="M84" s="1049">
        <f t="shared" si="29"/>
        <v>6.9573636353199939</v>
      </c>
      <c r="N84" s="1049">
        <f t="shared" si="36"/>
        <v>0</v>
      </c>
      <c r="O84" s="1048">
        <f t="shared" si="37"/>
        <v>68.46379231290075</v>
      </c>
    </row>
    <row r="85" spans="2:16" x14ac:dyDescent="0.3">
      <c r="B85" s="63">
        <v>7</v>
      </c>
      <c r="C85" s="296" t="s">
        <v>948</v>
      </c>
      <c r="D85" s="1048">
        <f t="shared" si="26"/>
        <v>0.03</v>
      </c>
      <c r="E85" s="1048">
        <f t="shared" si="27"/>
        <v>0</v>
      </c>
      <c r="F85" s="1048">
        <f t="shared" si="28"/>
        <v>0</v>
      </c>
      <c r="G85" s="1048">
        <f t="shared" si="30"/>
        <v>0.03</v>
      </c>
      <c r="H85" s="1049">
        <f t="shared" si="31"/>
        <v>0.03</v>
      </c>
      <c r="I85" s="1049">
        <f t="shared" si="32"/>
        <v>0</v>
      </c>
      <c r="J85" s="1049">
        <f t="shared" si="33"/>
        <v>0</v>
      </c>
      <c r="K85" s="1048">
        <f t="shared" si="34"/>
        <v>0.03</v>
      </c>
      <c r="L85" s="1049">
        <f t="shared" si="35"/>
        <v>0.03</v>
      </c>
      <c r="M85" s="1049">
        <f t="shared" si="29"/>
        <v>0</v>
      </c>
      <c r="N85" s="1049">
        <f t="shared" si="36"/>
        <v>0</v>
      </c>
      <c r="O85" s="1048">
        <f t="shared" si="37"/>
        <v>0.03</v>
      </c>
    </row>
    <row r="86" spans="2:16" x14ac:dyDescent="0.3">
      <c r="B86" s="63">
        <v>8</v>
      </c>
      <c r="C86" s="295" t="s">
        <v>949</v>
      </c>
      <c r="D86" s="1048">
        <f t="shared" si="26"/>
        <v>11.309999999999999</v>
      </c>
      <c r="E86" s="1048">
        <f t="shared" si="27"/>
        <v>0.29063195099514433</v>
      </c>
      <c r="F86" s="1048">
        <f t="shared" si="28"/>
        <v>0</v>
      </c>
      <c r="G86" s="1048">
        <f t="shared" si="30"/>
        <v>11.600631950995144</v>
      </c>
      <c r="H86" s="1049">
        <f t="shared" si="31"/>
        <v>11.600631950995144</v>
      </c>
      <c r="I86" s="1049">
        <f t="shared" si="32"/>
        <v>0.3403426315732056</v>
      </c>
      <c r="J86" s="1049">
        <f t="shared" si="33"/>
        <v>0</v>
      </c>
      <c r="K86" s="1048">
        <f t="shared" si="34"/>
        <v>11.94097458256835</v>
      </c>
      <c r="L86" s="1049">
        <f t="shared" si="35"/>
        <v>11.94097458256835</v>
      </c>
      <c r="M86" s="1049">
        <f t="shared" si="29"/>
        <v>0.41272496141728782</v>
      </c>
      <c r="N86" s="1049">
        <f t="shared" si="36"/>
        <v>0</v>
      </c>
      <c r="O86" s="1048">
        <f t="shared" si="37"/>
        <v>12.353699543985638</v>
      </c>
    </row>
    <row r="87" spans="2:16" x14ac:dyDescent="0.3">
      <c r="B87" s="63">
        <v>9</v>
      </c>
      <c r="C87" s="295" t="s">
        <v>950</v>
      </c>
      <c r="D87" s="1048">
        <f t="shared" si="26"/>
        <v>18.750000000000004</v>
      </c>
      <c r="E87" s="1048">
        <f t="shared" si="27"/>
        <v>1.7956902686485703</v>
      </c>
      <c r="F87" s="1048">
        <f t="shared" si="28"/>
        <v>0.04</v>
      </c>
      <c r="G87" s="1048">
        <f t="shared" si="30"/>
        <v>20.505690268648575</v>
      </c>
      <c r="H87" s="1049">
        <f t="shared" si="31"/>
        <v>20.505690268648575</v>
      </c>
      <c r="I87" s="1049">
        <f t="shared" si="32"/>
        <v>2.1028312593630201</v>
      </c>
      <c r="J87" s="1049">
        <f t="shared" si="33"/>
        <v>0.04</v>
      </c>
      <c r="K87" s="1048">
        <f t="shared" si="34"/>
        <v>22.568521528011594</v>
      </c>
      <c r="L87" s="1049">
        <f t="shared" si="35"/>
        <v>22.568521528011594</v>
      </c>
      <c r="M87" s="1049">
        <f t="shared" si="29"/>
        <v>2.5500506544710997</v>
      </c>
      <c r="N87" s="1049">
        <f t="shared" si="36"/>
        <v>0.04</v>
      </c>
      <c r="O87" s="1048">
        <f t="shared" si="37"/>
        <v>25.078572182482695</v>
      </c>
    </row>
    <row r="88" spans="2:16" x14ac:dyDescent="0.3">
      <c r="B88" s="63">
        <v>10</v>
      </c>
      <c r="C88" s="295" t="s">
        <v>951</v>
      </c>
      <c r="D88" s="1048">
        <f t="shared" si="26"/>
        <v>24.220000000000002</v>
      </c>
      <c r="E88" s="1048">
        <f>M67/$M$69*$E$90</f>
        <v>1.0483509660896277</v>
      </c>
      <c r="F88" s="1048">
        <f t="shared" si="28"/>
        <v>0.28999999999999998</v>
      </c>
      <c r="G88" s="1048">
        <f t="shared" si="30"/>
        <v>24.978350966089632</v>
      </c>
      <c r="H88" s="1049">
        <f t="shared" si="31"/>
        <v>24.978350966089632</v>
      </c>
      <c r="I88" s="1049">
        <f t="shared" si="32"/>
        <v>1.2276644924604916</v>
      </c>
      <c r="J88" s="1049">
        <f t="shared" si="33"/>
        <v>0.28999999999999998</v>
      </c>
      <c r="K88" s="1048">
        <f t="shared" si="34"/>
        <v>25.916015458550124</v>
      </c>
      <c r="L88" s="1049">
        <f t="shared" si="35"/>
        <v>25.916015458550124</v>
      </c>
      <c r="M88" s="1049">
        <f t="shared" si="29"/>
        <v>1.4887578965409309</v>
      </c>
      <c r="N88" s="1049">
        <f t="shared" si="36"/>
        <v>0.28999999999999998</v>
      </c>
      <c r="O88" s="1048">
        <f t="shared" si="37"/>
        <v>27.114773355091057</v>
      </c>
    </row>
    <row r="89" spans="2:16" x14ac:dyDescent="0.3">
      <c r="B89" s="63">
        <v>11</v>
      </c>
      <c r="C89" s="37" t="s">
        <v>1385</v>
      </c>
      <c r="D89" s="1048">
        <f t="shared" si="26"/>
        <v>30.700000000000003</v>
      </c>
      <c r="E89" s="1048">
        <f t="shared" si="27"/>
        <v>1.6399945806154572</v>
      </c>
      <c r="F89" s="1048">
        <f t="shared" si="28"/>
        <v>0.1</v>
      </c>
      <c r="G89" s="1048">
        <f t="shared" si="30"/>
        <v>32.239994580615459</v>
      </c>
      <c r="H89" s="1049">
        <f t="shared" si="31"/>
        <v>32.239994580615459</v>
      </c>
      <c r="I89" s="1049">
        <f t="shared" si="32"/>
        <v>1.9205048495916601</v>
      </c>
      <c r="J89" s="1049">
        <f t="shared" si="33"/>
        <v>0.1</v>
      </c>
      <c r="K89" s="1048">
        <f t="shared" si="34"/>
        <v>34.060499430207116</v>
      </c>
      <c r="L89" s="1049">
        <f t="shared" si="35"/>
        <v>34.060499430207116</v>
      </c>
      <c r="M89" s="1049">
        <f t="shared" si="29"/>
        <v>2.328947996568981</v>
      </c>
      <c r="N89" s="1049">
        <f t="shared" si="36"/>
        <v>0.1</v>
      </c>
      <c r="O89" s="1048">
        <f t="shared" si="37"/>
        <v>36.289447426776093</v>
      </c>
    </row>
    <row r="90" spans="2:16" ht="16" x14ac:dyDescent="0.3">
      <c r="B90" s="59"/>
      <c r="C90" s="67" t="s">
        <v>145</v>
      </c>
      <c r="D90" s="1050">
        <f>SUM(D79:D88)</f>
        <v>1459.84</v>
      </c>
      <c r="E90" s="1050">
        <f>'F 5.3'!M25</f>
        <v>110.01457316419767</v>
      </c>
      <c r="F90" s="1050">
        <f t="shared" ref="F90:O90" si="38">SUM(F79:F88)</f>
        <v>16.919999999999998</v>
      </c>
      <c r="G90" s="1050">
        <f t="shared" si="38"/>
        <v>1552.8373667550991</v>
      </c>
      <c r="H90" s="1050">
        <f>'F 5.3'!N25</f>
        <v>128.83184114444308</v>
      </c>
      <c r="I90" s="1050">
        <f>'F 5.3'!N25</f>
        <v>128.83184114444308</v>
      </c>
      <c r="J90" s="1050">
        <f t="shared" si="38"/>
        <v>16.919999999999998</v>
      </c>
      <c r="K90" s="1050">
        <f t="shared" si="38"/>
        <v>1664.7492078995422</v>
      </c>
      <c r="L90" s="1050">
        <f t="shared" si="38"/>
        <v>1664.7492078995422</v>
      </c>
      <c r="M90" s="1050">
        <v>156.23113807363691</v>
      </c>
      <c r="N90" s="1050">
        <f t="shared" si="38"/>
        <v>16.919999999999998</v>
      </c>
      <c r="O90" s="1050">
        <f t="shared" si="38"/>
        <v>1804.0603459731792</v>
      </c>
    </row>
    <row r="91" spans="2:16" ht="16" x14ac:dyDescent="0.3">
      <c r="B91" s="299"/>
      <c r="C91" s="300"/>
      <c r="D91" s="540"/>
      <c r="E91" s="1635"/>
      <c r="F91" s="540"/>
      <c r="G91" s="540"/>
      <c r="H91" s="537"/>
      <c r="I91" s="1635"/>
      <c r="J91" s="537"/>
      <c r="K91" s="537"/>
      <c r="L91" s="537"/>
      <c r="M91" s="1635"/>
      <c r="N91" s="537"/>
      <c r="O91" s="537"/>
    </row>
    <row r="92" spans="2:16" x14ac:dyDescent="0.3">
      <c r="B92" s="1"/>
      <c r="C92" s="1"/>
      <c r="D92" s="538"/>
      <c r="E92" s="538"/>
      <c r="F92" s="538"/>
      <c r="G92" s="538"/>
      <c r="H92" s="538"/>
      <c r="I92" s="538"/>
      <c r="J92" s="538"/>
      <c r="K92" s="538"/>
      <c r="L92" s="538"/>
      <c r="M92" s="538"/>
      <c r="N92" s="538"/>
      <c r="O92" s="538"/>
    </row>
    <row r="93" spans="2:16" x14ac:dyDescent="0.3">
      <c r="B93" s="283" t="s">
        <v>188</v>
      </c>
      <c r="C93" s="1"/>
      <c r="D93" s="425"/>
      <c r="E93" s="425"/>
      <c r="F93" s="425"/>
      <c r="G93" s="425"/>
      <c r="H93" s="425"/>
      <c r="I93" s="425"/>
      <c r="J93" s="425"/>
      <c r="K93" s="425"/>
      <c r="L93" s="425"/>
      <c r="M93" s="425"/>
      <c r="N93" s="425"/>
      <c r="O93" s="425"/>
    </row>
    <row r="94" spans="2:16" x14ac:dyDescent="0.3">
      <c r="B94" s="283"/>
      <c r="C94" s="1"/>
      <c r="D94" s="425"/>
      <c r="E94" s="425"/>
      <c r="F94" s="425"/>
      <c r="G94" s="425"/>
      <c r="H94" s="425"/>
      <c r="I94" s="425"/>
      <c r="J94" s="425"/>
      <c r="K94" s="425"/>
      <c r="L94" s="425"/>
      <c r="M94" s="425"/>
      <c r="N94" s="425"/>
      <c r="O94" s="425"/>
    </row>
    <row r="95" spans="2:16" x14ac:dyDescent="0.3">
      <c r="B95" s="1"/>
      <c r="C95" s="1"/>
      <c r="D95" s="534"/>
      <c r="E95" s="534"/>
      <c r="F95" s="534"/>
      <c r="G95" s="534"/>
      <c r="H95" s="425"/>
      <c r="I95" s="512"/>
      <c r="J95" s="425"/>
      <c r="K95" s="512"/>
      <c r="L95" s="512"/>
      <c r="M95" s="425"/>
      <c r="N95" s="425"/>
      <c r="O95" s="535" t="s">
        <v>16</v>
      </c>
    </row>
    <row r="96" spans="2:16" ht="32.25" customHeight="1" x14ac:dyDescent="0.3">
      <c r="B96" s="2351" t="s">
        <v>187</v>
      </c>
      <c r="C96" s="2351" t="s">
        <v>50</v>
      </c>
      <c r="D96" s="2354" t="s">
        <v>179</v>
      </c>
      <c r="E96" s="2355"/>
      <c r="F96" s="2355"/>
      <c r="G96" s="2356"/>
      <c r="H96" s="2354" t="s">
        <v>186</v>
      </c>
      <c r="I96" s="2355"/>
      <c r="J96" s="2355"/>
      <c r="K96" s="2355"/>
      <c r="L96" s="2356"/>
      <c r="M96" s="2190" t="s">
        <v>426</v>
      </c>
      <c r="N96" s="2197"/>
      <c r="O96" s="2197"/>
      <c r="P96" s="2191"/>
    </row>
    <row r="97" spans="2:16" ht="15" customHeight="1" x14ac:dyDescent="0.3">
      <c r="B97" s="2351"/>
      <c r="C97" s="2351"/>
      <c r="D97" s="2357" t="s">
        <v>12</v>
      </c>
      <c r="E97" s="2358"/>
      <c r="F97" s="2358"/>
      <c r="G97" s="2358"/>
      <c r="H97" s="2354" t="s">
        <v>12</v>
      </c>
      <c r="I97" s="2355"/>
      <c r="J97" s="2355"/>
      <c r="K97" s="2355"/>
      <c r="L97" s="2356"/>
      <c r="M97" s="2357" t="s">
        <v>12</v>
      </c>
      <c r="N97" s="2358"/>
      <c r="O97" s="2358"/>
      <c r="P97" s="2358"/>
    </row>
    <row r="98" spans="2:16" ht="42" x14ac:dyDescent="0.3">
      <c r="B98" s="2351"/>
      <c r="C98" s="2351"/>
      <c r="D98" s="488" t="s">
        <v>141</v>
      </c>
      <c r="E98" s="488" t="s">
        <v>142</v>
      </c>
      <c r="F98" s="539" t="s">
        <v>148</v>
      </c>
      <c r="G98" s="488" t="s">
        <v>144</v>
      </c>
      <c r="H98" s="488" t="s">
        <v>141</v>
      </c>
      <c r="I98" s="488" t="s">
        <v>142</v>
      </c>
      <c r="J98" s="539" t="s">
        <v>148</v>
      </c>
      <c r="K98" s="766" t="s">
        <v>1386</v>
      </c>
      <c r="L98" s="488" t="s">
        <v>144</v>
      </c>
      <c r="M98" s="488" t="s">
        <v>141</v>
      </c>
      <c r="N98" s="488" t="s">
        <v>142</v>
      </c>
      <c r="O98" s="539" t="s">
        <v>148</v>
      </c>
      <c r="P98" s="488" t="s">
        <v>144</v>
      </c>
    </row>
    <row r="99" spans="2:16" x14ac:dyDescent="0.3">
      <c r="B99" s="282"/>
      <c r="C99" s="282"/>
      <c r="D99" s="488" t="s">
        <v>73</v>
      </c>
      <c r="E99" s="488" t="s">
        <v>74</v>
      </c>
      <c r="F99" s="488" t="s">
        <v>690</v>
      </c>
      <c r="G99" s="488" t="s">
        <v>779</v>
      </c>
      <c r="H99" s="488" t="s">
        <v>411</v>
      </c>
      <c r="I99" s="488" t="s">
        <v>412</v>
      </c>
      <c r="J99" s="488" t="s">
        <v>581</v>
      </c>
      <c r="K99" s="766"/>
      <c r="L99" s="488" t="s">
        <v>780</v>
      </c>
      <c r="M99" s="488" t="s">
        <v>668</v>
      </c>
      <c r="N99" s="488" t="s">
        <v>582</v>
      </c>
      <c r="O99" s="488" t="s">
        <v>759</v>
      </c>
      <c r="P99" s="488" t="s">
        <v>781</v>
      </c>
    </row>
    <row r="100" spans="2:16" x14ac:dyDescent="0.3">
      <c r="B100" s="63">
        <v>1</v>
      </c>
      <c r="C100" s="295" t="s">
        <v>942</v>
      </c>
      <c r="D100" s="355">
        <f t="shared" ref="D100:F110" si="39">D16-D58</f>
        <v>2.2999999999999998</v>
      </c>
      <c r="E100" s="355">
        <f t="shared" si="39"/>
        <v>0</v>
      </c>
      <c r="F100" s="355">
        <f t="shared" si="39"/>
        <v>0</v>
      </c>
      <c r="G100" s="355">
        <f>D100+E100-F100</f>
        <v>2.2999999999999998</v>
      </c>
      <c r="H100" s="355">
        <f>G100</f>
        <v>2.2999999999999998</v>
      </c>
      <c r="I100" s="355">
        <f t="shared" ref="I100:J110" si="40">I16-I58</f>
        <v>0</v>
      </c>
      <c r="J100" s="355">
        <f t="shared" si="40"/>
        <v>0</v>
      </c>
      <c r="K100" s="355">
        <f>K16</f>
        <v>0</v>
      </c>
      <c r="L100" s="343">
        <f>H100+I100-J100+K100</f>
        <v>2.2999999999999998</v>
      </c>
      <c r="M100" s="355">
        <f>L100</f>
        <v>2.2999999999999998</v>
      </c>
      <c r="N100" s="355"/>
      <c r="O100" s="355">
        <f t="shared" ref="O100:O110" si="41">O16-N58</f>
        <v>0</v>
      </c>
      <c r="P100" s="343">
        <f>M100+N100-O100</f>
        <v>2.2999999999999998</v>
      </c>
    </row>
    <row r="101" spans="2:16" x14ac:dyDescent="0.3">
      <c r="B101" s="63">
        <v>2</v>
      </c>
      <c r="C101" s="295" t="s">
        <v>943</v>
      </c>
      <c r="D101" s="355">
        <f t="shared" si="39"/>
        <v>47.419999999999995</v>
      </c>
      <c r="E101" s="355">
        <f t="shared" si="39"/>
        <v>0.21999999999999975</v>
      </c>
      <c r="F101" s="355">
        <f t="shared" si="39"/>
        <v>0</v>
      </c>
      <c r="G101" s="355">
        <f t="shared" ref="G101:G110" si="42">D101+E101-F101</f>
        <v>47.639999999999993</v>
      </c>
      <c r="H101" s="355">
        <f t="shared" ref="H101:H110" si="43">G101</f>
        <v>47.639999999999993</v>
      </c>
      <c r="I101" s="355">
        <f t="shared" si="40"/>
        <v>-1.77</v>
      </c>
      <c r="J101" s="355">
        <f t="shared" si="40"/>
        <v>0</v>
      </c>
      <c r="K101" s="355">
        <f t="shared" ref="K101:K110" si="44">K17</f>
        <v>-0.05</v>
      </c>
      <c r="L101" s="343">
        <f t="shared" ref="L101:L110" si="45">H101+I101-J101+K101</f>
        <v>45.819999999999993</v>
      </c>
      <c r="M101" s="355">
        <f t="shared" ref="M101:M110" si="46">L101</f>
        <v>45.819999999999993</v>
      </c>
      <c r="N101" s="355">
        <f t="shared" ref="N101:N110" si="47">N17-M59</f>
        <v>0.17101086299999935</v>
      </c>
      <c r="O101" s="355">
        <f t="shared" si="41"/>
        <v>0.22445622100000001</v>
      </c>
      <c r="P101" s="343">
        <f t="shared" ref="P101:P110" si="48">M101+N101-O101</f>
        <v>45.766554641999996</v>
      </c>
    </row>
    <row r="102" spans="2:16" x14ac:dyDescent="0.3">
      <c r="B102" s="63">
        <v>3</v>
      </c>
      <c r="C102" s="295" t="s">
        <v>944</v>
      </c>
      <c r="D102" s="355">
        <f t="shared" si="39"/>
        <v>517.76999999999964</v>
      </c>
      <c r="E102" s="355">
        <f t="shared" si="39"/>
        <v>37.779999999999994</v>
      </c>
      <c r="F102" s="355">
        <f t="shared" si="39"/>
        <v>0.1100000000000001</v>
      </c>
      <c r="G102" s="355">
        <f t="shared" si="42"/>
        <v>555.4399999999996</v>
      </c>
      <c r="H102" s="355">
        <f t="shared" si="43"/>
        <v>555.4399999999996</v>
      </c>
      <c r="I102" s="355">
        <f t="shared" si="40"/>
        <v>-3.1899999999999977</v>
      </c>
      <c r="J102" s="355">
        <f t="shared" si="40"/>
        <v>0.43999999999999995</v>
      </c>
      <c r="K102" s="355">
        <f t="shared" si="44"/>
        <v>-4.3600000000000003</v>
      </c>
      <c r="L102" s="343">
        <f t="shared" si="45"/>
        <v>547.44999999999948</v>
      </c>
      <c r="M102" s="355">
        <f t="shared" si="46"/>
        <v>547.44999999999948</v>
      </c>
      <c r="N102" s="355">
        <f t="shared" si="47"/>
        <v>-5.4141974310000052</v>
      </c>
      <c r="O102" s="355">
        <f t="shared" si="41"/>
        <v>0.46431469399999958</v>
      </c>
      <c r="P102" s="343">
        <f t="shared" si="48"/>
        <v>541.57148787499943</v>
      </c>
    </row>
    <row r="103" spans="2:16" x14ac:dyDescent="0.3">
      <c r="B103" s="63">
        <v>4</v>
      </c>
      <c r="C103" s="295" t="s">
        <v>945</v>
      </c>
      <c r="D103" s="355">
        <f t="shared" si="39"/>
        <v>649.36999999999989</v>
      </c>
      <c r="E103" s="355">
        <f t="shared" si="39"/>
        <v>46.69</v>
      </c>
      <c r="F103" s="355">
        <f t="shared" si="39"/>
        <v>0.12999999999999989</v>
      </c>
      <c r="G103" s="355">
        <f t="shared" si="42"/>
        <v>695.93</v>
      </c>
      <c r="H103" s="355">
        <f t="shared" si="43"/>
        <v>695.93</v>
      </c>
      <c r="I103" s="355">
        <f t="shared" si="40"/>
        <v>34.050000000000004</v>
      </c>
      <c r="J103" s="355">
        <f t="shared" si="40"/>
        <v>0.14999999999999991</v>
      </c>
      <c r="K103" s="355">
        <f t="shared" si="44"/>
        <v>-2.04</v>
      </c>
      <c r="L103" s="343">
        <f t="shared" si="45"/>
        <v>727.79</v>
      </c>
      <c r="M103" s="355">
        <f t="shared" si="46"/>
        <v>727.79</v>
      </c>
      <c r="N103" s="355">
        <f t="shared" si="47"/>
        <v>9.7737665520000121</v>
      </c>
      <c r="O103" s="355">
        <f t="shared" si="41"/>
        <v>0.29658039999999986</v>
      </c>
      <c r="P103" s="343">
        <f t="shared" si="48"/>
        <v>737.26718615199991</v>
      </c>
    </row>
    <row r="104" spans="2:16" x14ac:dyDescent="0.3">
      <c r="B104" s="63">
        <v>5</v>
      </c>
      <c r="C104" s="295" t="s">
        <v>946</v>
      </c>
      <c r="D104" s="355">
        <f t="shared" si="39"/>
        <v>70.45999999999998</v>
      </c>
      <c r="E104" s="355">
        <f t="shared" si="39"/>
        <v>1.33</v>
      </c>
      <c r="F104" s="355">
        <f t="shared" si="39"/>
        <v>1.5999999999999996</v>
      </c>
      <c r="G104" s="355">
        <f t="shared" si="42"/>
        <v>70.189999999999984</v>
      </c>
      <c r="H104" s="355">
        <f t="shared" si="43"/>
        <v>70.189999999999984</v>
      </c>
      <c r="I104" s="355">
        <f t="shared" si="40"/>
        <v>-3.96</v>
      </c>
      <c r="J104" s="355">
        <f t="shared" si="40"/>
        <v>2.3000000000000007</v>
      </c>
      <c r="K104" s="355">
        <f t="shared" si="44"/>
        <v>0</v>
      </c>
      <c r="L104" s="343">
        <f t="shared" si="45"/>
        <v>63.929999999999993</v>
      </c>
      <c r="M104" s="355">
        <f t="shared" si="46"/>
        <v>63.929999999999993</v>
      </c>
      <c r="N104" s="355">
        <f t="shared" si="47"/>
        <v>5.5656921919999984</v>
      </c>
      <c r="O104" s="355">
        <f t="shared" si="41"/>
        <v>1.5519910980000002</v>
      </c>
      <c r="P104" s="343">
        <f t="shared" si="48"/>
        <v>67.943701093999991</v>
      </c>
    </row>
    <row r="105" spans="2:16" x14ac:dyDescent="0.3">
      <c r="B105" s="63">
        <v>6</v>
      </c>
      <c r="C105" s="295" t="s">
        <v>947</v>
      </c>
      <c r="D105" s="355">
        <f t="shared" si="39"/>
        <v>53.41</v>
      </c>
      <c r="E105" s="355">
        <f t="shared" si="39"/>
        <v>52.67</v>
      </c>
      <c r="F105" s="355">
        <f t="shared" si="39"/>
        <v>0</v>
      </c>
      <c r="G105" s="355">
        <f t="shared" si="42"/>
        <v>106.08</v>
      </c>
      <c r="H105" s="355">
        <f t="shared" si="43"/>
        <v>106.08</v>
      </c>
      <c r="I105" s="355">
        <f t="shared" si="40"/>
        <v>0.48000000000000043</v>
      </c>
      <c r="J105" s="355">
        <f t="shared" si="40"/>
        <v>0</v>
      </c>
      <c r="K105" s="355">
        <f t="shared" si="44"/>
        <v>0</v>
      </c>
      <c r="L105" s="343">
        <f t="shared" si="45"/>
        <v>106.56</v>
      </c>
      <c r="M105" s="355">
        <f t="shared" si="46"/>
        <v>106.56</v>
      </c>
      <c r="N105" s="355">
        <f t="shared" si="47"/>
        <v>4.8676542500000002</v>
      </c>
      <c r="O105" s="355">
        <f t="shared" si="41"/>
        <v>0</v>
      </c>
      <c r="P105" s="343">
        <f t="shared" si="48"/>
        <v>111.42765425</v>
      </c>
    </row>
    <row r="106" spans="2:16" x14ac:dyDescent="0.3">
      <c r="B106" s="63">
        <v>7</v>
      </c>
      <c r="C106" s="296" t="s">
        <v>948</v>
      </c>
      <c r="D106" s="355">
        <f t="shared" si="39"/>
        <v>1.0000000000000002E-2</v>
      </c>
      <c r="E106" s="355">
        <f t="shared" si="39"/>
        <v>0</v>
      </c>
      <c r="F106" s="355">
        <f t="shared" si="39"/>
        <v>0</v>
      </c>
      <c r="G106" s="355">
        <f t="shared" si="42"/>
        <v>1.0000000000000002E-2</v>
      </c>
      <c r="H106" s="355">
        <f t="shared" si="43"/>
        <v>1.0000000000000002E-2</v>
      </c>
      <c r="I106" s="355">
        <f t="shared" si="40"/>
        <v>0</v>
      </c>
      <c r="J106" s="355">
        <f t="shared" si="40"/>
        <v>0</v>
      </c>
      <c r="K106" s="355">
        <f t="shared" si="44"/>
        <v>0</v>
      </c>
      <c r="L106" s="343">
        <f t="shared" si="45"/>
        <v>1.0000000000000002E-2</v>
      </c>
      <c r="M106" s="355">
        <f t="shared" si="46"/>
        <v>1.0000000000000002E-2</v>
      </c>
      <c r="N106" s="355">
        <f t="shared" si="47"/>
        <v>0</v>
      </c>
      <c r="O106" s="355">
        <f t="shared" si="41"/>
        <v>0</v>
      </c>
      <c r="P106" s="343">
        <f t="shared" si="48"/>
        <v>1.0000000000000002E-2</v>
      </c>
    </row>
    <row r="107" spans="2:16" x14ac:dyDescent="0.3">
      <c r="B107" s="63">
        <v>8</v>
      </c>
      <c r="C107" s="295" t="s">
        <v>949</v>
      </c>
      <c r="D107" s="355">
        <f t="shared" si="39"/>
        <v>3.0399999999999991</v>
      </c>
      <c r="E107" s="355">
        <f t="shared" si="39"/>
        <v>-2.0000000000000018E-2</v>
      </c>
      <c r="F107" s="355">
        <f t="shared" si="39"/>
        <v>0.1100000000000001</v>
      </c>
      <c r="G107" s="355">
        <f t="shared" si="42"/>
        <v>2.9099999999999993</v>
      </c>
      <c r="H107" s="355">
        <f t="shared" si="43"/>
        <v>2.9099999999999993</v>
      </c>
      <c r="I107" s="355">
        <f t="shared" si="40"/>
        <v>-0.12000000000000002</v>
      </c>
      <c r="J107" s="355">
        <f t="shared" si="40"/>
        <v>0</v>
      </c>
      <c r="K107" s="355">
        <f t="shared" si="44"/>
        <v>0</v>
      </c>
      <c r="L107" s="343">
        <f t="shared" si="45"/>
        <v>2.7899999999999991</v>
      </c>
      <c r="M107" s="355">
        <f t="shared" si="46"/>
        <v>2.7899999999999991</v>
      </c>
      <c r="N107" s="355">
        <f t="shared" si="47"/>
        <v>-0.28000000000000003</v>
      </c>
      <c r="O107" s="355">
        <f t="shared" si="41"/>
        <v>0</v>
      </c>
      <c r="P107" s="343">
        <f t="shared" si="48"/>
        <v>2.5099999999999989</v>
      </c>
    </row>
    <row r="108" spans="2:16" x14ac:dyDescent="0.3">
      <c r="B108" s="63">
        <v>9</v>
      </c>
      <c r="C108" s="295" t="s">
        <v>950</v>
      </c>
      <c r="D108" s="355">
        <f t="shared" si="39"/>
        <v>16.23</v>
      </c>
      <c r="E108" s="355">
        <f t="shared" si="39"/>
        <v>6.0200000000000005</v>
      </c>
      <c r="F108" s="355">
        <f t="shared" si="39"/>
        <v>5.0000000000000044E-2</v>
      </c>
      <c r="G108" s="355">
        <f t="shared" si="42"/>
        <v>22.2</v>
      </c>
      <c r="H108" s="355">
        <f t="shared" si="43"/>
        <v>22.2</v>
      </c>
      <c r="I108" s="355">
        <f t="shared" si="40"/>
        <v>4.66</v>
      </c>
      <c r="J108" s="355">
        <f t="shared" si="40"/>
        <v>0</v>
      </c>
      <c r="K108" s="355">
        <f t="shared" si="44"/>
        <v>0.13</v>
      </c>
      <c r="L108" s="343">
        <f t="shared" si="45"/>
        <v>26.99</v>
      </c>
      <c r="M108" s="355">
        <f t="shared" si="46"/>
        <v>26.99</v>
      </c>
      <c r="N108" s="355">
        <f t="shared" si="47"/>
        <v>3.0441385000000003</v>
      </c>
      <c r="O108" s="355">
        <f t="shared" si="41"/>
        <v>-3.9287400000000139E-4</v>
      </c>
      <c r="P108" s="343">
        <f t="shared" si="48"/>
        <v>30.034531373999997</v>
      </c>
    </row>
    <row r="109" spans="2:16" x14ac:dyDescent="0.3">
      <c r="B109" s="63">
        <v>10</v>
      </c>
      <c r="C109" s="295" t="s">
        <v>951</v>
      </c>
      <c r="D109" s="355">
        <f t="shared" si="39"/>
        <v>1.6700000000000017</v>
      </c>
      <c r="E109" s="355">
        <f t="shared" si="39"/>
        <v>0.85</v>
      </c>
      <c r="F109" s="355">
        <f t="shared" si="39"/>
        <v>0</v>
      </c>
      <c r="G109" s="355">
        <f t="shared" si="42"/>
        <v>2.5200000000000018</v>
      </c>
      <c r="H109" s="355">
        <f t="shared" si="43"/>
        <v>2.5200000000000018</v>
      </c>
      <c r="I109" s="355">
        <f t="shared" si="40"/>
        <v>1.03</v>
      </c>
      <c r="J109" s="355">
        <f t="shared" si="40"/>
        <v>9.999999999999995E-3</v>
      </c>
      <c r="K109" s="355">
        <f t="shared" si="44"/>
        <v>0</v>
      </c>
      <c r="L109" s="343">
        <f t="shared" si="45"/>
        <v>3.5400000000000018</v>
      </c>
      <c r="M109" s="355">
        <f t="shared" si="46"/>
        <v>3.5400000000000018</v>
      </c>
      <c r="N109" s="355">
        <f t="shared" si="47"/>
        <v>-0.37977117299999996</v>
      </c>
      <c r="O109" s="355">
        <f t="shared" si="41"/>
        <v>2.862361699999999E-2</v>
      </c>
      <c r="P109" s="343">
        <f t="shared" si="48"/>
        <v>3.1316052100000018</v>
      </c>
    </row>
    <row r="110" spans="2:16" x14ac:dyDescent="0.3">
      <c r="B110" s="63">
        <v>11</v>
      </c>
      <c r="C110" s="37" t="s">
        <v>1385</v>
      </c>
      <c r="D110" s="355">
        <f t="shared" si="39"/>
        <v>21.78</v>
      </c>
      <c r="E110" s="355">
        <f t="shared" si="39"/>
        <v>-1.34</v>
      </c>
      <c r="F110" s="355">
        <f t="shared" si="39"/>
        <v>4.9999999999999989E-2</v>
      </c>
      <c r="G110" s="355">
        <f t="shared" si="42"/>
        <v>20.39</v>
      </c>
      <c r="H110" s="355">
        <f t="shared" si="43"/>
        <v>20.39</v>
      </c>
      <c r="I110" s="355">
        <f t="shared" si="40"/>
        <v>-1.0900000000000001</v>
      </c>
      <c r="J110" s="355">
        <f t="shared" si="40"/>
        <v>1.999999999999999E-2</v>
      </c>
      <c r="K110" s="355">
        <f t="shared" si="44"/>
        <v>0</v>
      </c>
      <c r="L110" s="343">
        <f t="shared" si="45"/>
        <v>19.28</v>
      </c>
      <c r="M110" s="355">
        <f t="shared" si="46"/>
        <v>19.28</v>
      </c>
      <c r="N110" s="355">
        <f t="shared" si="47"/>
        <v>-1.236829883</v>
      </c>
      <c r="O110" s="355">
        <f t="shared" si="41"/>
        <v>0.11562829000000002</v>
      </c>
      <c r="P110" s="343">
        <f t="shared" si="48"/>
        <v>17.927541827000002</v>
      </c>
    </row>
    <row r="111" spans="2:16" ht="16" x14ac:dyDescent="0.3">
      <c r="B111" s="59"/>
      <c r="C111" s="67" t="s">
        <v>145</v>
      </c>
      <c r="D111" s="357">
        <f t="shared" ref="D111:P111" si="49">SUM(D100:D110)</f>
        <v>1383.4599999999998</v>
      </c>
      <c r="E111" s="357">
        <f t="shared" si="49"/>
        <v>144.19999999999999</v>
      </c>
      <c r="F111" s="357">
        <f t="shared" si="49"/>
        <v>2.0499999999999998</v>
      </c>
      <c r="G111" s="357">
        <f t="shared" si="49"/>
        <v>1525.6099999999997</v>
      </c>
      <c r="H111" s="357">
        <f t="shared" si="49"/>
        <v>1525.6099999999997</v>
      </c>
      <c r="I111" s="357">
        <f t="shared" si="49"/>
        <v>30.090000000000007</v>
      </c>
      <c r="J111" s="357">
        <f t="shared" si="49"/>
        <v>2.9200000000000004</v>
      </c>
      <c r="K111" s="357">
        <f t="shared" si="49"/>
        <v>-6.32</v>
      </c>
      <c r="L111" s="357">
        <f t="shared" si="49"/>
        <v>1546.4599999999994</v>
      </c>
      <c r="M111" s="357">
        <f t="shared" si="49"/>
        <v>1546.4599999999994</v>
      </c>
      <c r="N111" s="357">
        <f t="shared" si="49"/>
        <v>16.111463870000009</v>
      </c>
      <c r="O111" s="357">
        <f t="shared" si="49"/>
        <v>2.6812014459999998</v>
      </c>
      <c r="P111" s="357">
        <f t="shared" si="49"/>
        <v>1559.8902624239993</v>
      </c>
    </row>
    <row r="112" spans="2:16" ht="16" x14ac:dyDescent="0.3">
      <c r="B112" s="299"/>
      <c r="C112" s="300"/>
      <c r="D112" s="540"/>
      <c r="E112" s="540"/>
      <c r="F112" s="540"/>
      <c r="G112" s="540"/>
      <c r="H112" s="537"/>
      <c r="I112" s="537"/>
      <c r="J112" s="537"/>
      <c r="K112" s="537"/>
      <c r="L112" s="537"/>
      <c r="M112" s="537"/>
      <c r="N112" s="537"/>
      <c r="O112" s="537"/>
    </row>
    <row r="113" spans="2:30" ht="16" x14ac:dyDescent="0.3">
      <c r="B113" s="297" t="s">
        <v>767</v>
      </c>
      <c r="C113" s="302"/>
      <c r="D113" s="541"/>
      <c r="E113" s="541"/>
      <c r="F113" s="541"/>
      <c r="G113" s="540"/>
      <c r="H113" s="537"/>
      <c r="I113" s="537"/>
      <c r="J113" s="537"/>
      <c r="K113" s="537"/>
      <c r="L113" s="537"/>
      <c r="M113" s="537"/>
      <c r="N113" s="537"/>
      <c r="O113" s="537"/>
    </row>
    <row r="114" spans="2:30" ht="16" x14ac:dyDescent="0.3">
      <c r="B114" s="299"/>
      <c r="C114" s="300"/>
      <c r="D114" s="540"/>
      <c r="E114" s="540"/>
      <c r="F114" s="540"/>
      <c r="G114" s="540"/>
      <c r="H114" s="537"/>
      <c r="I114" s="537"/>
      <c r="J114" s="537"/>
      <c r="K114" s="537"/>
      <c r="L114" s="537"/>
      <c r="M114" s="537"/>
      <c r="N114" s="537"/>
      <c r="O114" s="537"/>
      <c r="P114" s="39"/>
      <c r="Q114" s="39"/>
      <c r="R114" s="39"/>
      <c r="S114" s="39"/>
      <c r="T114" s="39"/>
      <c r="U114" s="39"/>
      <c r="V114" s="39"/>
      <c r="W114" s="39"/>
      <c r="X114" s="39"/>
      <c r="Y114" s="39"/>
      <c r="Z114" s="39"/>
      <c r="AA114" s="39"/>
      <c r="AB114" s="39"/>
      <c r="AC114" s="39"/>
      <c r="AD114" s="39"/>
    </row>
    <row r="115" spans="2:30" ht="16" x14ac:dyDescent="0.3">
      <c r="B115" s="299"/>
      <c r="C115" s="300"/>
      <c r="D115" s="536"/>
      <c r="E115" s="536"/>
      <c r="F115" s="536"/>
      <c r="G115" s="536"/>
      <c r="H115" s="425"/>
      <c r="I115" s="512"/>
      <c r="J115" s="425"/>
      <c r="K115" s="512"/>
      <c r="L115" s="512"/>
      <c r="M115" s="425"/>
      <c r="N115" s="425"/>
      <c r="O115" s="535" t="s">
        <v>16</v>
      </c>
      <c r="P115" s="39"/>
      <c r="Q115" s="39"/>
      <c r="R115" s="39"/>
      <c r="S115" s="39"/>
      <c r="T115" s="39"/>
      <c r="U115" s="39"/>
      <c r="V115" s="39"/>
      <c r="W115" s="39"/>
      <c r="X115" s="39"/>
      <c r="Y115" s="39"/>
      <c r="Z115" s="39"/>
      <c r="AA115" s="39"/>
      <c r="AB115" s="39"/>
      <c r="AC115" s="39"/>
      <c r="AD115" s="39"/>
    </row>
    <row r="116" spans="2:30" ht="15" customHeight="1" x14ac:dyDescent="0.3">
      <c r="B116" s="2351" t="s">
        <v>187</v>
      </c>
      <c r="C116" s="2351" t="s">
        <v>50</v>
      </c>
      <c r="D116" s="2192" t="s">
        <v>427</v>
      </c>
      <c r="E116" s="2192"/>
      <c r="F116" s="2192"/>
      <c r="G116" s="2192"/>
      <c r="H116" s="2192" t="s">
        <v>428</v>
      </c>
      <c r="I116" s="2192"/>
      <c r="J116" s="2192"/>
      <c r="K116" s="2192"/>
      <c r="L116" s="2192" t="s">
        <v>429</v>
      </c>
      <c r="M116" s="2192"/>
      <c r="N116" s="2192"/>
      <c r="O116" s="2192"/>
    </row>
    <row r="117" spans="2:30" x14ac:dyDescent="0.3">
      <c r="B117" s="2351"/>
      <c r="C117" s="2351"/>
      <c r="D117" s="2357" t="s">
        <v>22</v>
      </c>
      <c r="E117" s="2359"/>
      <c r="F117" s="2359"/>
      <c r="G117" s="2359"/>
      <c r="H117" s="2357" t="s">
        <v>31</v>
      </c>
      <c r="I117" s="2359"/>
      <c r="J117" s="2359"/>
      <c r="K117" s="2359"/>
      <c r="L117" s="2357" t="s">
        <v>31</v>
      </c>
      <c r="M117" s="2359"/>
      <c r="N117" s="2359"/>
      <c r="O117" s="2359"/>
    </row>
    <row r="118" spans="2:30" ht="42" x14ac:dyDescent="0.3">
      <c r="B118" s="2351"/>
      <c r="C118" s="2351"/>
      <c r="D118" s="488" t="s">
        <v>141</v>
      </c>
      <c r="E118" s="488" t="s">
        <v>142</v>
      </c>
      <c r="F118" s="539" t="s">
        <v>148</v>
      </c>
      <c r="G118" s="488" t="s">
        <v>144</v>
      </c>
      <c r="H118" s="488" t="s">
        <v>141</v>
      </c>
      <c r="I118" s="488" t="s">
        <v>142</v>
      </c>
      <c r="J118" s="539" t="s">
        <v>148</v>
      </c>
      <c r="K118" s="488" t="s">
        <v>144</v>
      </c>
      <c r="L118" s="488" t="s">
        <v>141</v>
      </c>
      <c r="M118" s="488" t="s">
        <v>142</v>
      </c>
      <c r="N118" s="539" t="s">
        <v>148</v>
      </c>
      <c r="O118" s="488" t="s">
        <v>144</v>
      </c>
    </row>
    <row r="119" spans="2:30" x14ac:dyDescent="0.3">
      <c r="B119" s="282"/>
      <c r="C119" s="282"/>
      <c r="D119" s="488" t="s">
        <v>782</v>
      </c>
      <c r="E119" s="488" t="s">
        <v>583</v>
      </c>
      <c r="F119" s="488" t="s">
        <v>760</v>
      </c>
      <c r="G119" s="488" t="s">
        <v>783</v>
      </c>
      <c r="H119" s="488" t="s">
        <v>585</v>
      </c>
      <c r="I119" s="488" t="s">
        <v>761</v>
      </c>
      <c r="J119" s="488" t="s">
        <v>784</v>
      </c>
      <c r="K119" s="488" t="s">
        <v>785</v>
      </c>
      <c r="L119" s="488" t="s">
        <v>762</v>
      </c>
      <c r="M119" s="488" t="s">
        <v>763</v>
      </c>
      <c r="N119" s="488" t="s">
        <v>764</v>
      </c>
      <c r="O119" s="488" t="s">
        <v>786</v>
      </c>
    </row>
    <row r="120" spans="2:30" x14ac:dyDescent="0.3">
      <c r="B120" s="63">
        <v>1</v>
      </c>
      <c r="C120" s="295" t="s">
        <v>942</v>
      </c>
      <c r="D120" s="355">
        <f t="shared" ref="D120:D130" si="50">P100</f>
        <v>2.2999999999999998</v>
      </c>
      <c r="E120" s="355">
        <f>E36-E79</f>
        <v>0</v>
      </c>
      <c r="F120" s="355">
        <f>F36-F79</f>
        <v>0</v>
      </c>
      <c r="G120" s="355">
        <f>D120+E120-F120</f>
        <v>2.2999999999999998</v>
      </c>
      <c r="H120" s="343">
        <f>G120</f>
        <v>2.2999999999999998</v>
      </c>
      <c r="I120" s="355">
        <f t="shared" ref="I120:J130" si="51">I36-I79</f>
        <v>0</v>
      </c>
      <c r="J120" s="355">
        <f t="shared" si="51"/>
        <v>0</v>
      </c>
      <c r="K120" s="355">
        <f>H120+I120-J120</f>
        <v>2.2999999999999998</v>
      </c>
      <c r="L120" s="343">
        <f>K120</f>
        <v>2.2999999999999998</v>
      </c>
      <c r="M120" s="355">
        <f t="shared" ref="M120:N130" si="52">M36-M79</f>
        <v>0</v>
      </c>
      <c r="N120" s="355">
        <f t="shared" si="52"/>
        <v>0</v>
      </c>
      <c r="O120" s="355">
        <f>L120+M120-N120</f>
        <v>2.2999999999999998</v>
      </c>
    </row>
    <row r="121" spans="2:30" x14ac:dyDescent="0.3">
      <c r="B121" s="63">
        <v>2</v>
      </c>
      <c r="C121" s="295" t="s">
        <v>943</v>
      </c>
      <c r="D121" s="355">
        <f t="shared" si="50"/>
        <v>45.766554641999996</v>
      </c>
      <c r="E121" s="355">
        <f t="shared" ref="E121:F130" si="53">E37-E80</f>
        <v>0.60707836262198533</v>
      </c>
      <c r="F121" s="355">
        <f t="shared" si="53"/>
        <v>0.22445622100000001</v>
      </c>
      <c r="G121" s="355">
        <f t="shared" ref="G121:G130" si="54">D121+E121-F121</f>
        <v>46.149176783621982</v>
      </c>
      <c r="H121" s="343">
        <f t="shared" ref="H121:H130" si="55">G121</f>
        <v>46.149176783621982</v>
      </c>
      <c r="I121" s="355">
        <f t="shared" si="51"/>
        <v>18.100354746630618</v>
      </c>
      <c r="J121" s="355">
        <f t="shared" si="51"/>
        <v>0.22445622100000001</v>
      </c>
      <c r="K121" s="355">
        <f t="shared" ref="K121:K130" si="56">H121+I121-J121</f>
        <v>64.0250753092526</v>
      </c>
      <c r="L121" s="343">
        <f t="shared" ref="L121:L130" si="57">K121</f>
        <v>64.0250753092526</v>
      </c>
      <c r="M121" s="355">
        <f t="shared" si="52"/>
        <v>14.510876347884857</v>
      </c>
      <c r="N121" s="355">
        <f t="shared" si="52"/>
        <v>0.22445622100000001</v>
      </c>
      <c r="O121" s="355">
        <f t="shared" ref="O121:O130" si="58">L121+M121-N121</f>
        <v>78.311495436137463</v>
      </c>
    </row>
    <row r="122" spans="2:30" x14ac:dyDescent="0.3">
      <c r="B122" s="63">
        <v>3</v>
      </c>
      <c r="C122" s="295" t="s">
        <v>944</v>
      </c>
      <c r="D122" s="355">
        <f t="shared" si="50"/>
        <v>541.57148787499943</v>
      </c>
      <c r="E122" s="355">
        <f t="shared" si="53"/>
        <v>-1.2426960851813291</v>
      </c>
      <c r="F122" s="355">
        <f t="shared" si="53"/>
        <v>0.46431469399999958</v>
      </c>
      <c r="G122" s="355">
        <f t="shared" si="54"/>
        <v>539.86447709581807</v>
      </c>
      <c r="H122" s="343">
        <f t="shared" si="55"/>
        <v>539.86447709581807</v>
      </c>
      <c r="I122" s="355">
        <f t="shared" si="51"/>
        <v>229.05252667234302</v>
      </c>
      <c r="J122" s="355">
        <f t="shared" si="51"/>
        <v>0.46431469399999958</v>
      </c>
      <c r="K122" s="355">
        <f t="shared" si="56"/>
        <v>768.45268907416107</v>
      </c>
      <c r="L122" s="343">
        <f t="shared" si="57"/>
        <v>768.45268907416107</v>
      </c>
      <c r="M122" s="355">
        <f t="shared" si="52"/>
        <v>179.79940806703806</v>
      </c>
      <c r="N122" s="355">
        <f t="shared" si="52"/>
        <v>0.46431469399999958</v>
      </c>
      <c r="O122" s="355">
        <f t="shared" si="58"/>
        <v>947.78778244719911</v>
      </c>
    </row>
    <row r="123" spans="2:30" x14ac:dyDescent="0.3">
      <c r="B123" s="63">
        <v>4</v>
      </c>
      <c r="C123" s="295" t="s">
        <v>945</v>
      </c>
      <c r="D123" s="355">
        <f t="shared" si="50"/>
        <v>737.26718615199991</v>
      </c>
      <c r="E123" s="355">
        <f t="shared" si="53"/>
        <v>16.842570083287775</v>
      </c>
      <c r="F123" s="355">
        <f t="shared" si="53"/>
        <v>0.29658039999999986</v>
      </c>
      <c r="G123" s="355">
        <f t="shared" si="54"/>
        <v>753.81317583528767</v>
      </c>
      <c r="H123" s="343">
        <f t="shared" si="55"/>
        <v>753.81317583528767</v>
      </c>
      <c r="I123" s="355">
        <f t="shared" si="51"/>
        <v>372.43930315008703</v>
      </c>
      <c r="J123" s="355">
        <f t="shared" si="51"/>
        <v>0.29658039999999986</v>
      </c>
      <c r="K123" s="355">
        <f t="shared" si="56"/>
        <v>1125.9558985853746</v>
      </c>
      <c r="L123" s="343">
        <f t="shared" si="57"/>
        <v>1125.9558985853746</v>
      </c>
      <c r="M123" s="355">
        <f t="shared" si="52"/>
        <v>301.74194166601291</v>
      </c>
      <c r="N123" s="355">
        <f t="shared" si="52"/>
        <v>0.29658039999999986</v>
      </c>
      <c r="O123" s="355">
        <f t="shared" si="58"/>
        <v>1427.4012598513875</v>
      </c>
    </row>
    <row r="124" spans="2:30" x14ac:dyDescent="0.3">
      <c r="B124" s="63">
        <v>5</v>
      </c>
      <c r="C124" s="295" t="s">
        <v>946</v>
      </c>
      <c r="D124" s="355">
        <f t="shared" si="50"/>
        <v>67.943701093999991</v>
      </c>
      <c r="E124" s="355">
        <f t="shared" si="53"/>
        <v>7.5557773558141879</v>
      </c>
      <c r="F124" s="355">
        <f t="shared" si="53"/>
        <v>1.5519910980000002</v>
      </c>
      <c r="G124" s="355">
        <f t="shared" si="54"/>
        <v>73.947487351814175</v>
      </c>
      <c r="H124" s="343">
        <f t="shared" si="55"/>
        <v>73.947487351814175</v>
      </c>
      <c r="I124" s="355">
        <f t="shared" si="51"/>
        <v>102.52131299096131</v>
      </c>
      <c r="J124" s="355">
        <f t="shared" si="51"/>
        <v>1.5519910980000002</v>
      </c>
      <c r="K124" s="355">
        <f t="shared" si="56"/>
        <v>174.91680924477546</v>
      </c>
      <c r="L124" s="343">
        <f t="shared" si="57"/>
        <v>174.91680924477546</v>
      </c>
      <c r="M124" s="355">
        <f t="shared" si="52"/>
        <v>84.513504594459746</v>
      </c>
      <c r="N124" s="355">
        <f t="shared" si="52"/>
        <v>1.5519910980000002</v>
      </c>
      <c r="O124" s="355">
        <f t="shared" si="58"/>
        <v>257.87832274123525</v>
      </c>
    </row>
    <row r="125" spans="2:30" x14ac:dyDescent="0.3">
      <c r="B125" s="63">
        <v>6</v>
      </c>
      <c r="C125" s="295" t="s">
        <v>947</v>
      </c>
      <c r="D125" s="355">
        <f t="shared" si="50"/>
        <v>111.42765425</v>
      </c>
      <c r="E125" s="355">
        <f t="shared" si="53"/>
        <v>6.2193152448433358</v>
      </c>
      <c r="F125" s="355">
        <f t="shared" si="53"/>
        <v>0</v>
      </c>
      <c r="G125" s="355">
        <f t="shared" si="54"/>
        <v>117.64696949484333</v>
      </c>
      <c r="H125" s="343">
        <f t="shared" si="55"/>
        <v>117.64696949484333</v>
      </c>
      <c r="I125" s="355">
        <f t="shared" si="51"/>
        <v>68.731150388313097</v>
      </c>
      <c r="J125" s="355">
        <f t="shared" si="51"/>
        <v>0</v>
      </c>
      <c r="K125" s="355">
        <f t="shared" si="56"/>
        <v>186.37811988315644</v>
      </c>
      <c r="L125" s="343">
        <f t="shared" si="57"/>
        <v>186.37811988315644</v>
      </c>
      <c r="M125" s="355">
        <f t="shared" si="52"/>
        <v>57.232838105303301</v>
      </c>
      <c r="N125" s="355">
        <f t="shared" si="52"/>
        <v>0</v>
      </c>
      <c r="O125" s="355">
        <f t="shared" si="58"/>
        <v>243.61095798845975</v>
      </c>
    </row>
    <row r="126" spans="2:30" x14ac:dyDescent="0.3">
      <c r="B126" s="63">
        <v>7</v>
      </c>
      <c r="C126" s="296" t="s">
        <v>948</v>
      </c>
      <c r="D126" s="355">
        <f t="shared" si="50"/>
        <v>1.0000000000000002E-2</v>
      </c>
      <c r="E126" s="355">
        <f t="shared" si="53"/>
        <v>0</v>
      </c>
      <c r="F126" s="355">
        <f t="shared" si="53"/>
        <v>0</v>
      </c>
      <c r="G126" s="355">
        <f t="shared" si="54"/>
        <v>1.0000000000000002E-2</v>
      </c>
      <c r="H126" s="343">
        <f t="shared" si="55"/>
        <v>1.0000000000000002E-2</v>
      </c>
      <c r="I126" s="355">
        <f t="shared" si="51"/>
        <v>0</v>
      </c>
      <c r="J126" s="355">
        <f t="shared" si="51"/>
        <v>0</v>
      </c>
      <c r="K126" s="355">
        <f t="shared" si="56"/>
        <v>1.0000000000000002E-2</v>
      </c>
      <c r="L126" s="343">
        <f t="shared" si="57"/>
        <v>1.0000000000000002E-2</v>
      </c>
      <c r="M126" s="355">
        <f t="shared" si="52"/>
        <v>0</v>
      </c>
      <c r="N126" s="355">
        <f t="shared" si="52"/>
        <v>0</v>
      </c>
      <c r="O126" s="355">
        <f t="shared" si="58"/>
        <v>1.0000000000000002E-2</v>
      </c>
    </row>
    <row r="127" spans="2:30" x14ac:dyDescent="0.3">
      <c r="B127" s="63">
        <v>8</v>
      </c>
      <c r="C127" s="295" t="s">
        <v>949</v>
      </c>
      <c r="D127" s="355">
        <f t="shared" si="50"/>
        <v>2.5099999999999989</v>
      </c>
      <c r="E127" s="355">
        <f t="shared" si="53"/>
        <v>-0.29063195099514433</v>
      </c>
      <c r="F127" s="355">
        <f t="shared" si="53"/>
        <v>0</v>
      </c>
      <c r="G127" s="355">
        <f t="shared" si="54"/>
        <v>2.2193680490048546</v>
      </c>
      <c r="H127" s="343">
        <f t="shared" si="55"/>
        <v>2.2193680490048546</v>
      </c>
      <c r="I127" s="355">
        <f t="shared" si="51"/>
        <v>-0.3403426315732056</v>
      </c>
      <c r="J127" s="355">
        <f t="shared" si="51"/>
        <v>0</v>
      </c>
      <c r="K127" s="355">
        <f t="shared" si="56"/>
        <v>1.879025417431649</v>
      </c>
      <c r="L127" s="343">
        <f t="shared" si="57"/>
        <v>1.879025417431649</v>
      </c>
      <c r="M127" s="355">
        <f t="shared" si="52"/>
        <v>-0.41272496141728782</v>
      </c>
      <c r="N127" s="355">
        <f t="shared" si="52"/>
        <v>0</v>
      </c>
      <c r="O127" s="355">
        <f t="shared" si="58"/>
        <v>1.4663004560143611</v>
      </c>
    </row>
    <row r="128" spans="2:30" x14ac:dyDescent="0.3">
      <c r="B128" s="63">
        <v>9</v>
      </c>
      <c r="C128" s="295" t="s">
        <v>950</v>
      </c>
      <c r="D128" s="355">
        <f t="shared" si="50"/>
        <v>30.034531373999997</v>
      </c>
      <c r="E128" s="355">
        <f t="shared" si="53"/>
        <v>3.740747153977158</v>
      </c>
      <c r="F128" s="355">
        <f t="shared" si="53"/>
        <v>-3.9287400000000139E-4</v>
      </c>
      <c r="G128" s="355">
        <f t="shared" si="54"/>
        <v>33.775671401977156</v>
      </c>
      <c r="H128" s="343">
        <f t="shared" si="55"/>
        <v>33.775671401977156</v>
      </c>
      <c r="I128" s="355">
        <f t="shared" si="51"/>
        <v>34.978422420537335</v>
      </c>
      <c r="J128" s="355">
        <f t="shared" si="51"/>
        <v>-3.9287400000000139E-4</v>
      </c>
      <c r="K128" s="355">
        <f t="shared" si="56"/>
        <v>68.754486696514491</v>
      </c>
      <c r="L128" s="343">
        <f t="shared" si="57"/>
        <v>68.754486696514491</v>
      </c>
      <c r="M128" s="355">
        <f t="shared" si="52"/>
        <v>29.413233112533405</v>
      </c>
      <c r="N128" s="355">
        <f t="shared" si="52"/>
        <v>-3.9287400000000139E-4</v>
      </c>
      <c r="O128" s="355">
        <f t="shared" si="58"/>
        <v>98.168112683047895</v>
      </c>
    </row>
    <row r="129" spans="2:15" x14ac:dyDescent="0.3">
      <c r="B129" s="63">
        <v>10</v>
      </c>
      <c r="C129" s="295" t="s">
        <v>951</v>
      </c>
      <c r="D129" s="355">
        <f t="shared" si="50"/>
        <v>3.1316052100000018</v>
      </c>
      <c r="E129" s="355">
        <f t="shared" si="53"/>
        <v>-0.31749188803390815</v>
      </c>
      <c r="F129" s="355">
        <f t="shared" si="53"/>
        <v>2.862361699999999E-2</v>
      </c>
      <c r="G129" s="355">
        <f t="shared" si="54"/>
        <v>2.7854897049660936</v>
      </c>
      <c r="H129" s="343">
        <f t="shared" si="55"/>
        <v>2.7854897049660936</v>
      </c>
      <c r="I129" s="355">
        <f t="shared" si="51"/>
        <v>3.6673914449349221</v>
      </c>
      <c r="J129" s="355">
        <f t="shared" si="51"/>
        <v>2.862361699999999E-2</v>
      </c>
      <c r="K129" s="355">
        <f t="shared" si="56"/>
        <v>6.4242575329010156</v>
      </c>
      <c r="L129" s="343">
        <f t="shared" si="57"/>
        <v>6.4242575329010156</v>
      </c>
      <c r="M129" s="355">
        <f t="shared" si="52"/>
        <v>2.7306804032795267</v>
      </c>
      <c r="N129" s="355">
        <f t="shared" si="52"/>
        <v>2.862361699999999E-2</v>
      </c>
      <c r="O129" s="355">
        <f t="shared" si="58"/>
        <v>9.1263143191805423</v>
      </c>
    </row>
    <row r="130" spans="2:15" x14ac:dyDescent="0.3">
      <c r="B130" s="63">
        <v>11</v>
      </c>
      <c r="C130" s="37" t="s">
        <v>1385</v>
      </c>
      <c r="D130" s="355">
        <f t="shared" si="50"/>
        <v>17.927541827000002</v>
      </c>
      <c r="E130" s="355">
        <f t="shared" si="53"/>
        <v>-1.2420296120487411</v>
      </c>
      <c r="F130" s="355">
        <f t="shared" si="53"/>
        <v>0.11562829000000002</v>
      </c>
      <c r="G130" s="355">
        <f t="shared" si="54"/>
        <v>16.56988392495126</v>
      </c>
      <c r="H130" s="343">
        <f t="shared" si="55"/>
        <v>16.56988392495126</v>
      </c>
      <c r="I130" s="355">
        <f t="shared" si="51"/>
        <v>0.74493482373119924</v>
      </c>
      <c r="J130" s="355">
        <f t="shared" si="51"/>
        <v>0.11562829000000002</v>
      </c>
      <c r="K130" s="355">
        <f t="shared" si="56"/>
        <v>17.199190458682459</v>
      </c>
      <c r="L130" s="343">
        <f t="shared" si="57"/>
        <v>17.199190458682459</v>
      </c>
      <c r="M130" s="355">
        <f t="shared" si="52"/>
        <v>-3.1393405300391475E-2</v>
      </c>
      <c r="N130" s="355">
        <f t="shared" si="52"/>
        <v>0.11562829000000002</v>
      </c>
      <c r="O130" s="355">
        <f t="shared" si="58"/>
        <v>17.052168763382067</v>
      </c>
    </row>
    <row r="131" spans="2:15" ht="16" x14ac:dyDescent="0.3">
      <c r="B131" s="59"/>
      <c r="C131" s="67" t="s">
        <v>145</v>
      </c>
      <c r="D131" s="357">
        <f>SUM(D120:D130)</f>
        <v>1559.8902624239993</v>
      </c>
      <c r="E131" s="357">
        <f t="shared" ref="E131:O131" si="59">SUM(E120:E130)</f>
        <v>31.872638664285319</v>
      </c>
      <c r="F131" s="357">
        <f t="shared" si="59"/>
        <v>2.6812014459999998</v>
      </c>
      <c r="G131" s="357">
        <f t="shared" si="59"/>
        <v>1589.0816996422843</v>
      </c>
      <c r="H131" s="357">
        <f t="shared" si="59"/>
        <v>1589.0816996422843</v>
      </c>
      <c r="I131" s="357">
        <f t="shared" si="59"/>
        <v>829.89505400596522</v>
      </c>
      <c r="J131" s="357">
        <f t="shared" si="59"/>
        <v>2.6812014459999998</v>
      </c>
      <c r="K131" s="357">
        <f t="shared" si="59"/>
        <v>2416.2955522022503</v>
      </c>
      <c r="L131" s="357">
        <f t="shared" si="59"/>
        <v>2416.2955522022503</v>
      </c>
      <c r="M131" s="357">
        <f t="shared" si="59"/>
        <v>669.49836392979398</v>
      </c>
      <c r="N131" s="357">
        <f t="shared" si="59"/>
        <v>2.6812014459999998</v>
      </c>
      <c r="O131" s="357">
        <f t="shared" si="59"/>
        <v>3083.1127146860445</v>
      </c>
    </row>
    <row r="133" spans="2:15" hidden="1" x14ac:dyDescent="0.3">
      <c r="D133" s="538" t="b">
        <f>D131=F5.1!D131+F5.2!D131</f>
        <v>1</v>
      </c>
      <c r="E133" s="538" t="b">
        <f>E131=F5.1!E131+F5.2!E131</f>
        <v>1</v>
      </c>
      <c r="F133" s="538" t="b">
        <f>F131=F5.1!F131+F5.2!F131</f>
        <v>1</v>
      </c>
      <c r="G133" s="538" t="b">
        <f>G131=F5.1!G131+F5.2!G131</f>
        <v>1</v>
      </c>
      <c r="H133" s="538" t="b">
        <f>H131=F5.1!H131+F5.2!H131</f>
        <v>1</v>
      </c>
      <c r="I133" s="538" t="b">
        <f>I131=F5.1!I131+F5.2!I131</f>
        <v>1</v>
      </c>
      <c r="J133" s="538" t="b">
        <f>J131=F5.1!J131+F5.2!J131</f>
        <v>1</v>
      </c>
      <c r="K133" s="538" t="b">
        <f>K131=F5.1!K131+F5.2!K131</f>
        <v>1</v>
      </c>
      <c r="L133" s="538" t="b">
        <f>L131=F5.1!L131+F5.2!L131</f>
        <v>1</v>
      </c>
      <c r="M133" s="538" t="b">
        <f>M131=F5.1!M131+F5.2!M131</f>
        <v>1</v>
      </c>
      <c r="N133" s="538" t="b">
        <f>N131=F5.1!N131+F5.2!N131</f>
        <v>1</v>
      </c>
      <c r="O133" s="538" t="b">
        <f>O131=F5.1!O131+F5.2!O131</f>
        <v>1</v>
      </c>
    </row>
  </sheetData>
  <mergeCells count="49">
    <mergeCell ref="B116:B118"/>
    <mergeCell ref="C116:C118"/>
    <mergeCell ref="D97:G97"/>
    <mergeCell ref="D117:G117"/>
    <mergeCell ref="B75:B77"/>
    <mergeCell ref="C75:C77"/>
    <mergeCell ref="D76:G76"/>
    <mergeCell ref="B96:B98"/>
    <mergeCell ref="C96:C98"/>
    <mergeCell ref="D96:G96"/>
    <mergeCell ref="H116:K116"/>
    <mergeCell ref="L116:O116"/>
    <mergeCell ref="H117:K117"/>
    <mergeCell ref="L117:O117"/>
    <mergeCell ref="D75:G75"/>
    <mergeCell ref="D116:G116"/>
    <mergeCell ref="H76:K76"/>
    <mergeCell ref="L76:O76"/>
    <mergeCell ref="M96:P96"/>
    <mergeCell ref="M97:P97"/>
    <mergeCell ref="H96:L96"/>
    <mergeCell ref="H97:L97"/>
    <mergeCell ref="L75:O75"/>
    <mergeCell ref="B32:B34"/>
    <mergeCell ref="C32:C34"/>
    <mergeCell ref="L55:O55"/>
    <mergeCell ref="B54:B56"/>
    <mergeCell ref="C54:C56"/>
    <mergeCell ref="D32:G32"/>
    <mergeCell ref="D33:G33"/>
    <mergeCell ref="D54:G54"/>
    <mergeCell ref="H54:K54"/>
    <mergeCell ref="D55:G55"/>
    <mergeCell ref="H55:K55"/>
    <mergeCell ref="L54:O54"/>
    <mergeCell ref="M12:P12"/>
    <mergeCell ref="H32:K32"/>
    <mergeCell ref="M13:P13"/>
    <mergeCell ref="H33:K33"/>
    <mergeCell ref="H75:K75"/>
    <mergeCell ref="L32:O32"/>
    <mergeCell ref="L33:O33"/>
    <mergeCell ref="H12:L12"/>
    <mergeCell ref="H13:L13"/>
    <mergeCell ref="B29:G29"/>
    <mergeCell ref="B12:B14"/>
    <mergeCell ref="C12:C14"/>
    <mergeCell ref="D12:G12"/>
    <mergeCell ref="D13:G13"/>
  </mergeCells>
  <pageMargins left="0.27559055118110237" right="0.23622047244094491" top="0.23622047244094491" bottom="0.23622047244094491" header="0.23622047244094491" footer="0.23622047244094491"/>
  <pageSetup paperSize="9" scale="46" fitToHeight="4" orientation="landscape" r:id="rId1"/>
  <headerFooter alignWithMargins="0">
    <oddHeader>&amp;F</oddHeader>
  </headerFooter>
  <rowBreaks count="2" manualBreakCount="2">
    <brk id="47" max="16383" man="1"/>
    <brk id="91" max="1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1"/>
  <sheetViews>
    <sheetView showGridLines="0" view="pageBreakPreview" topLeftCell="H1" zoomScale="85" zoomScaleNormal="68" zoomScaleSheetLayoutView="85" workbookViewId="0">
      <selection activeCell="G28" sqref="G28"/>
    </sheetView>
  </sheetViews>
  <sheetFormatPr defaultColWidth="9.1796875" defaultRowHeight="14" x14ac:dyDescent="0.3"/>
  <cols>
    <col min="1" max="1" width="4.1796875" style="119" customWidth="1"/>
    <col min="2" max="2" width="6.26953125" style="119" customWidth="1"/>
    <col min="3" max="3" width="36.1796875" style="119" customWidth="1"/>
    <col min="4" max="4" width="18.7265625" style="426" customWidth="1"/>
    <col min="5" max="5" width="20.7265625" style="426" customWidth="1"/>
    <col min="6" max="12" width="18.7265625" style="426" customWidth="1"/>
    <col min="13" max="13" width="14.7265625" style="426" customWidth="1"/>
    <col min="14" max="14" width="15.81640625" style="426" customWidth="1"/>
    <col min="15" max="15" width="18.08984375" style="426" customWidth="1"/>
    <col min="16" max="19" width="18.7265625" style="119" customWidth="1"/>
    <col min="20" max="16384" width="9.1796875" style="119"/>
  </cols>
  <sheetData>
    <row r="1" spans="1:16" x14ac:dyDescent="0.3">
      <c r="B1" s="41"/>
    </row>
    <row r="2" spans="1:16" x14ac:dyDescent="0.3">
      <c r="B2" s="118"/>
      <c r="D2" s="527"/>
      <c r="E2" s="527"/>
      <c r="F2" s="523" t="s">
        <v>1027</v>
      </c>
      <c r="G2" s="527"/>
      <c r="H2" s="527"/>
      <c r="I2" s="527"/>
      <c r="J2" s="527"/>
      <c r="K2" s="527"/>
      <c r="L2" s="527"/>
      <c r="M2" s="527"/>
      <c r="N2" s="527"/>
      <c r="O2" s="527"/>
    </row>
    <row r="3" spans="1:16" x14ac:dyDescent="0.3">
      <c r="B3" s="118"/>
      <c r="D3" s="519"/>
      <c r="E3" s="519"/>
      <c r="F3" s="523" t="s">
        <v>848</v>
      </c>
      <c r="G3" s="519"/>
      <c r="H3" s="519"/>
      <c r="I3" s="519"/>
      <c r="J3" s="519"/>
      <c r="K3" s="519"/>
      <c r="L3" s="519"/>
      <c r="M3" s="519"/>
      <c r="N3" s="519"/>
      <c r="O3" s="519"/>
    </row>
    <row r="4" spans="1:16" x14ac:dyDescent="0.3">
      <c r="B4" s="19"/>
      <c r="D4" s="528"/>
      <c r="E4" s="529"/>
      <c r="F4" s="530" t="s">
        <v>673</v>
      </c>
      <c r="G4" s="529"/>
      <c r="H4" s="531"/>
      <c r="I4" s="527"/>
      <c r="J4" s="527"/>
      <c r="K4" s="527"/>
      <c r="L4" s="527"/>
      <c r="M4" s="527"/>
      <c r="N4" s="527"/>
      <c r="O4" s="527"/>
    </row>
    <row r="5" spans="1:16" x14ac:dyDescent="0.3">
      <c r="C5" s="41"/>
      <c r="E5" s="532"/>
      <c r="G5" s="532"/>
      <c r="H5" s="532"/>
    </row>
    <row r="6" spans="1:16" x14ac:dyDescent="0.3">
      <c r="C6" s="41"/>
      <c r="E6" s="532"/>
      <c r="G6" s="532"/>
      <c r="H6" s="532"/>
    </row>
    <row r="7" spans="1:16" x14ac:dyDescent="0.3">
      <c r="C7" s="41" t="s">
        <v>324</v>
      </c>
      <c r="E7" s="532"/>
      <c r="G7" s="532"/>
      <c r="H7" s="532"/>
    </row>
    <row r="8" spans="1:16" x14ac:dyDescent="0.3">
      <c r="C8" s="41"/>
      <c r="E8" s="532"/>
      <c r="G8" s="532"/>
      <c r="H8" s="532"/>
    </row>
    <row r="9" spans="1:16" x14ac:dyDescent="0.3">
      <c r="C9" s="41"/>
      <c r="E9" s="532"/>
      <c r="G9" s="532"/>
      <c r="H9" s="532"/>
    </row>
    <row r="10" spans="1:16" x14ac:dyDescent="0.3">
      <c r="A10" s="119" t="s">
        <v>139</v>
      </c>
      <c r="B10" s="283" t="s">
        <v>140</v>
      </c>
      <c r="C10" s="283"/>
      <c r="D10" s="533"/>
      <c r="E10" s="533"/>
      <c r="F10" s="533"/>
      <c r="G10" s="533"/>
      <c r="H10" s="425"/>
      <c r="I10" s="512"/>
      <c r="J10" s="425"/>
      <c r="K10" s="512"/>
      <c r="L10" s="512"/>
      <c r="M10" s="425"/>
      <c r="N10" s="425"/>
      <c r="O10" s="425"/>
    </row>
    <row r="11" spans="1:16" x14ac:dyDescent="0.3">
      <c r="B11" s="294"/>
      <c r="C11" s="10"/>
      <c r="D11" s="534"/>
      <c r="E11" s="534"/>
      <c r="F11" s="534"/>
      <c r="G11" s="534"/>
      <c r="H11" s="425"/>
      <c r="I11" s="512"/>
      <c r="J11" s="425"/>
      <c r="K11" s="512"/>
      <c r="L11" s="512"/>
      <c r="M11" s="425"/>
      <c r="N11" s="425"/>
      <c r="O11" s="535" t="s">
        <v>16</v>
      </c>
    </row>
    <row r="12" spans="1:16" ht="15.75" customHeight="1" x14ac:dyDescent="0.3">
      <c r="B12" s="2351" t="s">
        <v>187</v>
      </c>
      <c r="C12" s="2351" t="s">
        <v>50</v>
      </c>
      <c r="D12" s="2354" t="s">
        <v>179</v>
      </c>
      <c r="E12" s="2355"/>
      <c r="F12" s="2355"/>
      <c r="G12" s="2356"/>
      <c r="H12" s="2357" t="s">
        <v>186</v>
      </c>
      <c r="I12" s="2357"/>
      <c r="J12" s="2357"/>
      <c r="K12" s="2357"/>
      <c r="L12" s="2357"/>
      <c r="M12" s="2192" t="s">
        <v>426</v>
      </c>
      <c r="N12" s="2192"/>
      <c r="O12" s="2192"/>
      <c r="P12" s="2192"/>
    </row>
    <row r="13" spans="1:16" ht="15.75" customHeight="1" x14ac:dyDescent="0.3">
      <c r="B13" s="2351"/>
      <c r="C13" s="2351"/>
      <c r="D13" s="2357" t="s">
        <v>12</v>
      </c>
      <c r="E13" s="2358"/>
      <c r="F13" s="2358"/>
      <c r="G13" s="2358"/>
      <c r="H13" s="2357" t="s">
        <v>12</v>
      </c>
      <c r="I13" s="2357"/>
      <c r="J13" s="2357"/>
      <c r="K13" s="2357"/>
      <c r="L13" s="2357"/>
      <c r="M13" s="2357" t="s">
        <v>12</v>
      </c>
      <c r="N13" s="2357"/>
      <c r="O13" s="2357"/>
      <c r="P13" s="2357"/>
    </row>
    <row r="14" spans="1:16" s="35" customFormat="1" ht="42" x14ac:dyDescent="0.3">
      <c r="B14" s="2351"/>
      <c r="C14" s="2351"/>
      <c r="D14" s="488" t="s">
        <v>141</v>
      </c>
      <c r="E14" s="488" t="s">
        <v>142</v>
      </c>
      <c r="F14" s="488" t="s">
        <v>143</v>
      </c>
      <c r="G14" s="488" t="s">
        <v>144</v>
      </c>
      <c r="H14" s="488" t="s">
        <v>141</v>
      </c>
      <c r="I14" s="488" t="s">
        <v>142</v>
      </c>
      <c r="J14" s="488" t="s">
        <v>143</v>
      </c>
      <c r="K14" s="766" t="s">
        <v>1386</v>
      </c>
      <c r="L14" s="488" t="s">
        <v>144</v>
      </c>
      <c r="M14" s="488" t="s">
        <v>141</v>
      </c>
      <c r="N14" s="488" t="s">
        <v>142</v>
      </c>
      <c r="O14" s="488" t="s">
        <v>143</v>
      </c>
      <c r="P14" s="488" t="s">
        <v>144</v>
      </c>
    </row>
    <row r="15" spans="1:16" s="36" customFormat="1" x14ac:dyDescent="0.25">
      <c r="B15" s="282"/>
      <c r="C15" s="282"/>
      <c r="D15" s="488" t="s">
        <v>73</v>
      </c>
      <c r="E15" s="1066" t="s">
        <v>74</v>
      </c>
      <c r="F15" s="488" t="s">
        <v>690</v>
      </c>
      <c r="G15" s="488" t="s">
        <v>779</v>
      </c>
      <c r="H15" s="488" t="s">
        <v>411</v>
      </c>
      <c r="I15" s="488" t="s">
        <v>412</v>
      </c>
      <c r="J15" s="488" t="s">
        <v>581</v>
      </c>
      <c r="K15" s="766"/>
      <c r="L15" s="488" t="s">
        <v>780</v>
      </c>
      <c r="M15" s="488" t="s">
        <v>668</v>
      </c>
      <c r="N15" s="488" t="s">
        <v>582</v>
      </c>
      <c r="O15" s="488" t="s">
        <v>759</v>
      </c>
      <c r="P15" s="488" t="s">
        <v>781</v>
      </c>
    </row>
    <row r="16" spans="1:16" s="8" customFormat="1" x14ac:dyDescent="0.3">
      <c r="B16" s="63">
        <v>1</v>
      </c>
      <c r="C16" s="295" t="s">
        <v>942</v>
      </c>
      <c r="D16" s="355">
        <f>'F5'!D16*90%</f>
        <v>2.0699999999999998</v>
      </c>
      <c r="E16" s="355">
        <f>'F5'!E16*90%</f>
        <v>0</v>
      </c>
      <c r="F16" s="355">
        <f>'F5'!F16*90%</f>
        <v>0</v>
      </c>
      <c r="G16" s="355">
        <f>D16+E16-F16</f>
        <v>2.0699999999999998</v>
      </c>
      <c r="H16" s="355">
        <f>'F5'!H16*90%</f>
        <v>2.0699999999999998</v>
      </c>
      <c r="I16" s="355">
        <f>'F5'!I16*90%</f>
        <v>0</v>
      </c>
      <c r="J16" s="355">
        <f>'F5'!J16*90%</f>
        <v>0</v>
      </c>
      <c r="K16" s="355">
        <f>'F5'!K16*90%</f>
        <v>0</v>
      </c>
      <c r="L16" s="343">
        <f>H16+I16-J16+K16</f>
        <v>2.0699999999999998</v>
      </c>
      <c r="M16" s="355">
        <f>'F5'!M16*90%</f>
        <v>2.0699999999999998</v>
      </c>
      <c r="N16" s="355">
        <f>'F5'!N16*90%</f>
        <v>0</v>
      </c>
      <c r="O16" s="355">
        <f>'F5'!O16*90%</f>
        <v>0</v>
      </c>
      <c r="P16" s="343">
        <f>M16+N16-O16</f>
        <v>2.0699999999999998</v>
      </c>
    </row>
    <row r="17" spans="2:16" s="8" customFormat="1" x14ac:dyDescent="0.3">
      <c r="B17" s="63">
        <v>2</v>
      </c>
      <c r="C17" s="295" t="s">
        <v>943</v>
      </c>
      <c r="D17" s="355">
        <f>'F5'!D17*90%</f>
        <v>72.215999999999994</v>
      </c>
      <c r="E17" s="355">
        <f>'F5'!E17*90%</f>
        <v>2.5379999999999998</v>
      </c>
      <c r="F17" s="355">
        <f>'F5'!F17*90%</f>
        <v>0</v>
      </c>
      <c r="G17" s="355">
        <f t="shared" ref="G17:G26" si="0">D17+E17-F17</f>
        <v>74.753999999999991</v>
      </c>
      <c r="H17" s="355">
        <f>'F5'!H17*90%</f>
        <v>74.753999999999991</v>
      </c>
      <c r="I17" s="355">
        <f>'F5'!I17*90%</f>
        <v>0.81900000000000006</v>
      </c>
      <c r="J17" s="355">
        <f>'F5'!J17*90%</f>
        <v>0</v>
      </c>
      <c r="K17" s="355">
        <f>'F5'!K17*90%</f>
        <v>-4.5000000000000005E-2</v>
      </c>
      <c r="L17" s="343">
        <f t="shared" ref="L17:L26" si="1">H17+I17-J17+K17</f>
        <v>75.527999999999992</v>
      </c>
      <c r="M17" s="355">
        <f>'F5'!M17*90%</f>
        <v>75.527999999999992</v>
      </c>
      <c r="N17" s="355">
        <f>'F5'!N17*90%</f>
        <v>2.4579097766999993</v>
      </c>
      <c r="O17" s="355">
        <f>'F5'!O17*90%</f>
        <v>4.0105988999999996E-3</v>
      </c>
      <c r="P17" s="343">
        <f t="shared" ref="P17:P23" si="2">M17+N17-O17</f>
        <v>77.981899177800003</v>
      </c>
    </row>
    <row r="18" spans="2:16" s="8" customFormat="1" x14ac:dyDescent="0.3">
      <c r="B18" s="63">
        <v>3</v>
      </c>
      <c r="C18" s="295" t="s">
        <v>944</v>
      </c>
      <c r="D18" s="355">
        <f>'F5'!D18*90%</f>
        <v>1010.5109999999997</v>
      </c>
      <c r="E18" s="355">
        <f>'F5'!E18*90%</f>
        <v>70.262999999999991</v>
      </c>
      <c r="F18" s="355">
        <f>'F5'!F18*90%</f>
        <v>1.0080000000000002</v>
      </c>
      <c r="G18" s="355">
        <f t="shared" si="0"/>
        <v>1079.7659999999996</v>
      </c>
      <c r="H18" s="355">
        <f>'F5'!H18*90%</f>
        <v>1079.7659999999998</v>
      </c>
      <c r="I18" s="355">
        <f>'F5'!I18*90%</f>
        <v>33.993000000000002</v>
      </c>
      <c r="J18" s="355">
        <f>'F5'!J18*90%</f>
        <v>3.681</v>
      </c>
      <c r="K18" s="355">
        <f>'F5'!K18*90%</f>
        <v>-3.9240000000000004</v>
      </c>
      <c r="L18" s="343">
        <f t="shared" si="1"/>
        <v>1106.1539999999998</v>
      </c>
      <c r="M18" s="355">
        <f>'F5'!M18*90%</f>
        <v>1106.154</v>
      </c>
      <c r="N18" s="355">
        <f>'F5'!N18*90%</f>
        <v>32.3692223121</v>
      </c>
      <c r="O18" s="355">
        <f>'F5'!O18*90%</f>
        <v>2.8568832245999998</v>
      </c>
      <c r="P18" s="343">
        <f t="shared" si="2"/>
        <v>1135.6663390874999</v>
      </c>
    </row>
    <row r="19" spans="2:16" s="8" customFormat="1" x14ac:dyDescent="0.3">
      <c r="B19" s="63">
        <v>4</v>
      </c>
      <c r="C19" s="295" t="s">
        <v>945</v>
      </c>
      <c r="D19" s="355">
        <f>'F5'!D19*90%</f>
        <v>918.99899999999991</v>
      </c>
      <c r="E19" s="355">
        <f>'F5'!E19*90%</f>
        <v>80.792999999999992</v>
      </c>
      <c r="F19" s="355">
        <f>'F5'!F19*90%</f>
        <v>1.125</v>
      </c>
      <c r="G19" s="355">
        <f t="shared" si="0"/>
        <v>998.66699999999992</v>
      </c>
      <c r="H19" s="355">
        <f>'F5'!H19*90%</f>
        <v>998.66699999999992</v>
      </c>
      <c r="I19" s="355">
        <f>'F5'!I19*90%</f>
        <v>70.785000000000011</v>
      </c>
      <c r="J19" s="355">
        <f>'F5'!J19*90%</f>
        <v>1.3140000000000001</v>
      </c>
      <c r="K19" s="355">
        <f>'F5'!K19*90%</f>
        <v>-1.8360000000000001</v>
      </c>
      <c r="L19" s="343">
        <f t="shared" si="1"/>
        <v>1066.3019999999999</v>
      </c>
      <c r="M19" s="355">
        <f>'F5'!M19*90%</f>
        <v>1066.3019999999999</v>
      </c>
      <c r="N19" s="355">
        <f>'F5'!N19*90%</f>
        <v>49.53038989680001</v>
      </c>
      <c r="O19" s="355">
        <f>'F5'!O19*90%</f>
        <v>1.22992236</v>
      </c>
      <c r="P19" s="343">
        <f t="shared" si="2"/>
        <v>1114.6024675367998</v>
      </c>
    </row>
    <row r="20" spans="2:16" s="8" customFormat="1" x14ac:dyDescent="0.3">
      <c r="B20" s="63">
        <v>5</v>
      </c>
      <c r="C20" s="295" t="s">
        <v>946</v>
      </c>
      <c r="D20" s="355">
        <f>'F5'!D20*90%</f>
        <v>158.59800000000001</v>
      </c>
      <c r="E20" s="355">
        <f>'F5'!E20*90%</f>
        <v>10.512</v>
      </c>
      <c r="F20" s="355">
        <f>'F5'!F20*90%</f>
        <v>13.599</v>
      </c>
      <c r="G20" s="355">
        <f t="shared" si="0"/>
        <v>155.51100000000002</v>
      </c>
      <c r="H20" s="355">
        <f>'F5'!H20*90%</f>
        <v>155.51100000000002</v>
      </c>
      <c r="I20" s="355">
        <f>'F5'!I20*90%</f>
        <v>5.67</v>
      </c>
      <c r="J20" s="355">
        <f>'F5'!J20*90%</f>
        <v>16.974</v>
      </c>
      <c r="K20" s="355">
        <f>'F5'!K20*90%</f>
        <v>0</v>
      </c>
      <c r="L20" s="343">
        <f t="shared" si="1"/>
        <v>144.20700000000002</v>
      </c>
      <c r="M20" s="355">
        <f>'F5'!M20*90%</f>
        <v>144.20700000000002</v>
      </c>
      <c r="N20" s="355">
        <f>'F5'!N20*90%</f>
        <v>13.1541229728</v>
      </c>
      <c r="O20" s="355">
        <f>'F5'!O20*90%</f>
        <v>13.123791988200001</v>
      </c>
      <c r="P20" s="343">
        <f t="shared" si="2"/>
        <v>144.23733098460002</v>
      </c>
    </row>
    <row r="21" spans="2:16" s="8" customFormat="1" x14ac:dyDescent="0.3">
      <c r="B21" s="63">
        <v>6</v>
      </c>
      <c r="C21" s="295" t="s">
        <v>947</v>
      </c>
      <c r="D21" s="355">
        <f>'F5'!D21*90%</f>
        <v>83.096999999999994</v>
      </c>
      <c r="E21" s="355">
        <f>'F5'!E21*90%</f>
        <v>49.850999999999999</v>
      </c>
      <c r="F21" s="355">
        <f>'F5'!F21*90%</f>
        <v>0</v>
      </c>
      <c r="G21" s="355">
        <f t="shared" si="0"/>
        <v>132.94799999999998</v>
      </c>
      <c r="H21" s="355">
        <f>'F5'!H21*90%</f>
        <v>132.94800000000001</v>
      </c>
      <c r="I21" s="355">
        <f>'F5'!I21*90%</f>
        <v>4.4910000000000005</v>
      </c>
      <c r="J21" s="355">
        <f>'F5'!J21*90%</f>
        <v>0</v>
      </c>
      <c r="K21" s="355">
        <f>'F5'!K21*90%</f>
        <v>0</v>
      </c>
      <c r="L21" s="343">
        <f t="shared" si="1"/>
        <v>137.43900000000002</v>
      </c>
      <c r="M21" s="355">
        <f>'F5'!M21*90%</f>
        <v>137.43900000000002</v>
      </c>
      <c r="N21" s="355">
        <f>'F5'!N21*90%</f>
        <v>8.6288888250000007</v>
      </c>
      <c r="O21" s="355">
        <f>'F5'!O21*90%</f>
        <v>0</v>
      </c>
      <c r="P21" s="343">
        <f t="shared" si="2"/>
        <v>146.06788882500001</v>
      </c>
    </row>
    <row r="22" spans="2:16" s="8" customFormat="1" x14ac:dyDescent="0.3">
      <c r="B22" s="63">
        <v>7</v>
      </c>
      <c r="C22" s="296" t="s">
        <v>948</v>
      </c>
      <c r="D22" s="355">
        <f>'F5'!D22*90%</f>
        <v>3.6000000000000004E-2</v>
      </c>
      <c r="E22" s="355">
        <f>'F5'!E22*90%</f>
        <v>0</v>
      </c>
      <c r="F22" s="355">
        <f>'F5'!F22*90%</f>
        <v>0</v>
      </c>
      <c r="G22" s="355">
        <f t="shared" si="0"/>
        <v>3.6000000000000004E-2</v>
      </c>
      <c r="H22" s="355">
        <f>'F5'!H22*90%</f>
        <v>3.6000000000000004E-2</v>
      </c>
      <c r="I22" s="355">
        <f>'F5'!I22*90%</f>
        <v>0</v>
      </c>
      <c r="J22" s="355">
        <f>'F5'!J22*90%</f>
        <v>0</v>
      </c>
      <c r="K22" s="355">
        <f>'F5'!K22*90%</f>
        <v>0</v>
      </c>
      <c r="L22" s="343">
        <f t="shared" si="1"/>
        <v>3.6000000000000004E-2</v>
      </c>
      <c r="M22" s="355">
        <f>'F5'!M22*90%</f>
        <v>3.6000000000000004E-2</v>
      </c>
      <c r="N22" s="355">
        <f>'F5'!N22*90%</f>
        <v>0</v>
      </c>
      <c r="O22" s="355">
        <f>'F5'!O22*90%</f>
        <v>0</v>
      </c>
      <c r="P22" s="343">
        <f t="shared" si="2"/>
        <v>3.6000000000000004E-2</v>
      </c>
    </row>
    <row r="23" spans="2:16" x14ac:dyDescent="0.3">
      <c r="B23" s="63">
        <v>8</v>
      </c>
      <c r="C23" s="295" t="s">
        <v>949</v>
      </c>
      <c r="D23" s="355">
        <f>'F5'!D23*90%</f>
        <v>12.996</v>
      </c>
      <c r="E23" s="355">
        <f>'F5'!E23*90%</f>
        <v>0.28800000000000003</v>
      </c>
      <c r="F23" s="355">
        <f>'F5'!F23*90%</f>
        <v>0.98100000000000009</v>
      </c>
      <c r="G23" s="355">
        <f t="shared" si="0"/>
        <v>12.303000000000001</v>
      </c>
      <c r="H23" s="355">
        <f>'F5'!H23*90%</f>
        <v>12.303000000000001</v>
      </c>
      <c r="I23" s="355">
        <f>'F5'!I23*90%</f>
        <v>0.13500000000000001</v>
      </c>
      <c r="J23" s="355">
        <f>'F5'!J23*90%</f>
        <v>0</v>
      </c>
      <c r="K23" s="355">
        <f>'F5'!K23*90%</f>
        <v>0</v>
      </c>
      <c r="L23" s="343">
        <f t="shared" si="1"/>
        <v>12.438000000000001</v>
      </c>
      <c r="M23" s="355">
        <f>'F5'!M23*90%</f>
        <v>12.438000000000001</v>
      </c>
      <c r="N23" s="355">
        <f>'F5'!N23*90%</f>
        <v>0</v>
      </c>
      <c r="O23" s="355">
        <f>'F5'!O23*90%</f>
        <v>0</v>
      </c>
      <c r="P23" s="343">
        <f t="shared" si="2"/>
        <v>12.438000000000001</v>
      </c>
    </row>
    <row r="24" spans="2:16" x14ac:dyDescent="0.3">
      <c r="B24" s="63">
        <v>9</v>
      </c>
      <c r="C24" s="295" t="s">
        <v>950</v>
      </c>
      <c r="D24" s="355">
        <f>'F5'!D24*90%</f>
        <v>27.972000000000001</v>
      </c>
      <c r="E24" s="355">
        <f>'F5'!E24*90%</f>
        <v>6.5880000000000001</v>
      </c>
      <c r="F24" s="355">
        <f>'F5'!F24*90%</f>
        <v>0.46800000000000003</v>
      </c>
      <c r="G24" s="355">
        <f t="shared" si="0"/>
        <v>34.091999999999999</v>
      </c>
      <c r="H24" s="355">
        <f>'F5'!H24*90%</f>
        <v>34.092000000000006</v>
      </c>
      <c r="I24" s="355">
        <f>'F5'!I24*90%</f>
        <v>5.4359999999999999</v>
      </c>
      <c r="J24" s="355">
        <f>'F5'!J24*90%</f>
        <v>0</v>
      </c>
      <c r="K24" s="355">
        <f>'F5'!K24*90%</f>
        <v>0.11700000000000001</v>
      </c>
      <c r="L24" s="343">
        <f t="shared" si="1"/>
        <v>39.645000000000003</v>
      </c>
      <c r="M24" s="355">
        <f>'F5'!M24*90%</f>
        <v>39.645000000000003</v>
      </c>
      <c r="N24" s="355">
        <f>'F5'!N24*90%</f>
        <v>4.2967246500000007</v>
      </c>
      <c r="O24" s="355">
        <f>'F5'!O24*90%</f>
        <v>3.56464134E-2</v>
      </c>
      <c r="P24" s="343">
        <f>M24+N24-O24</f>
        <v>43.906078236600003</v>
      </c>
    </row>
    <row r="25" spans="2:16" x14ac:dyDescent="0.3">
      <c r="B25" s="63">
        <v>10</v>
      </c>
      <c r="C25" s="295" t="s">
        <v>951</v>
      </c>
      <c r="D25" s="355">
        <f>'F5'!D25*90%</f>
        <v>22.761000000000003</v>
      </c>
      <c r="E25" s="355">
        <f>'F5'!E25*90%</f>
        <v>0.76500000000000001</v>
      </c>
      <c r="F25" s="355">
        <f>'F5'!F25*90%</f>
        <v>9.0000000000000011E-3</v>
      </c>
      <c r="G25" s="355">
        <f t="shared" si="0"/>
        <v>23.517000000000003</v>
      </c>
      <c r="H25" s="355">
        <f>'F5'!H25*90%</f>
        <v>23.517000000000003</v>
      </c>
      <c r="I25" s="355">
        <f>'F5'!I25*90%</f>
        <v>0.92700000000000005</v>
      </c>
      <c r="J25" s="355">
        <f>'F5'!J25*90%</f>
        <v>0.108</v>
      </c>
      <c r="K25" s="355">
        <f>'F5'!K25*90%</f>
        <v>0</v>
      </c>
      <c r="L25" s="343">
        <f t="shared" si="1"/>
        <v>24.336000000000002</v>
      </c>
      <c r="M25" s="355">
        <f>'F5'!M25*90%</f>
        <v>24.336000000000002</v>
      </c>
      <c r="N25" s="355">
        <f>'F5'!N25*90%</f>
        <v>0.56720594430000004</v>
      </c>
      <c r="O25" s="355">
        <f>'F5'!O25*90%</f>
        <v>0.28676125529999996</v>
      </c>
      <c r="P25" s="343">
        <f>M25+N25-O25</f>
        <v>24.616444689000001</v>
      </c>
    </row>
    <row r="26" spans="2:16" s="1" customFormat="1" x14ac:dyDescent="0.3">
      <c r="B26" s="63">
        <v>11</v>
      </c>
      <c r="C26" s="37" t="s">
        <v>952</v>
      </c>
      <c r="D26" s="355">
        <f>'F5'!D26*90%</f>
        <v>43.641000000000005</v>
      </c>
      <c r="E26" s="355">
        <f>'F5'!E26*90%</f>
        <v>0.23400000000000001</v>
      </c>
      <c r="F26" s="355">
        <f>'F5'!F26*90%</f>
        <v>0.432</v>
      </c>
      <c r="G26" s="355">
        <f t="shared" si="0"/>
        <v>43.443000000000005</v>
      </c>
      <c r="H26" s="355">
        <f>'F5'!H26*90%</f>
        <v>43.443000000000005</v>
      </c>
      <c r="I26" s="355">
        <f>'F5'!I26*90%</f>
        <v>0.42299999999999999</v>
      </c>
      <c r="J26" s="355">
        <f>'F5'!J26*90%</f>
        <v>0.216</v>
      </c>
      <c r="K26" s="355">
        <f>'F5'!K26*90%</f>
        <v>0</v>
      </c>
      <c r="L26" s="343">
        <f t="shared" si="1"/>
        <v>43.650000000000006</v>
      </c>
      <c r="M26" s="355">
        <f>'F5'!M26*90%</f>
        <v>43.65</v>
      </c>
      <c r="N26" s="355">
        <f>'F5'!N26*90%</f>
        <v>0.30885310529999999</v>
      </c>
      <c r="O26" s="355">
        <f>'F5'!O26*90%</f>
        <v>0.19406546100000002</v>
      </c>
      <c r="P26" s="343">
        <f>M26+N26-O26</f>
        <v>43.7647876443</v>
      </c>
    </row>
    <row r="27" spans="2:16" s="1" customFormat="1" ht="16" x14ac:dyDescent="0.3">
      <c r="B27" s="59"/>
      <c r="C27" s="67" t="s">
        <v>145</v>
      </c>
      <c r="D27" s="357">
        <f t="shared" ref="D27:I27" si="3">SUM(D16:D26)</f>
        <v>2352.8970000000004</v>
      </c>
      <c r="E27" s="357">
        <f t="shared" si="3"/>
        <v>221.83199999999999</v>
      </c>
      <c r="F27" s="357">
        <f t="shared" si="3"/>
        <v>17.622</v>
      </c>
      <c r="G27" s="357">
        <f t="shared" si="3"/>
        <v>2557.1069999999995</v>
      </c>
      <c r="H27" s="357">
        <f t="shared" si="3"/>
        <v>2557.1069999999995</v>
      </c>
      <c r="I27" s="357">
        <f t="shared" si="3"/>
        <v>122.67900000000002</v>
      </c>
      <c r="J27" s="357">
        <f t="shared" ref="J27:O27" si="4">SUM(J16:J26)</f>
        <v>22.293000000000003</v>
      </c>
      <c r="K27" s="357">
        <f t="shared" si="4"/>
        <v>-5.6880000000000006</v>
      </c>
      <c r="L27" s="357">
        <f t="shared" si="4"/>
        <v>2651.8049999999994</v>
      </c>
      <c r="M27" s="357">
        <f t="shared" si="4"/>
        <v>2651.8049999999998</v>
      </c>
      <c r="N27" s="357">
        <f t="shared" si="4"/>
        <v>111.31331748300002</v>
      </c>
      <c r="O27" s="357">
        <f t="shared" si="4"/>
        <v>17.7310813014</v>
      </c>
      <c r="P27" s="343">
        <f>M27+N27-O27</f>
        <v>2745.3872361815997</v>
      </c>
    </row>
    <row r="28" spans="2:16" s="1" customFormat="1" x14ac:dyDescent="0.3">
      <c r="B28" s="283"/>
      <c r="C28" s="10"/>
      <c r="D28" s="536"/>
      <c r="E28" s="536"/>
      <c r="F28" s="536"/>
      <c r="G28" s="536"/>
      <c r="H28" s="536"/>
      <c r="I28" s="536"/>
      <c r="J28" s="536"/>
      <c r="K28" s="536"/>
      <c r="L28" s="536"/>
      <c r="M28" s="425"/>
      <c r="N28" s="425"/>
      <c r="O28" s="425"/>
      <c r="P28" s="536"/>
    </row>
    <row r="29" spans="2:16" s="1" customFormat="1" x14ac:dyDescent="0.3">
      <c r="B29" s="297" t="s">
        <v>765</v>
      </c>
      <c r="C29" s="298"/>
      <c r="D29" s="543"/>
      <c r="E29" s="543"/>
      <c r="F29" s="543"/>
      <c r="G29" s="536"/>
      <c r="H29" s="425"/>
      <c r="I29" s="512"/>
      <c r="J29" s="425"/>
      <c r="K29" s="512"/>
      <c r="L29" s="536"/>
      <c r="M29" s="425"/>
      <c r="N29" s="425"/>
      <c r="O29" s="425"/>
      <c r="P29" s="536"/>
    </row>
    <row r="30" spans="2:16" x14ac:dyDescent="0.3">
      <c r="B30" s="283"/>
      <c r="C30" s="10"/>
      <c r="D30" s="536"/>
      <c r="E30" s="536"/>
      <c r="F30" s="536"/>
      <c r="G30" s="536"/>
      <c r="H30" s="425"/>
      <c r="I30" s="512"/>
      <c r="J30" s="425"/>
      <c r="K30" s="512"/>
      <c r="L30" s="512"/>
      <c r="M30" s="425"/>
      <c r="N30" s="425"/>
      <c r="O30" s="425"/>
    </row>
    <row r="31" spans="2:16" x14ac:dyDescent="0.3">
      <c r="B31" s="283"/>
      <c r="C31" s="10"/>
      <c r="D31" s="536"/>
      <c r="E31" s="536"/>
      <c r="F31" s="536"/>
      <c r="G31" s="536"/>
      <c r="H31" s="425"/>
      <c r="I31" s="512"/>
      <c r="J31" s="425"/>
      <c r="K31" s="512"/>
      <c r="L31" s="512"/>
      <c r="M31" s="425"/>
      <c r="N31" s="425"/>
      <c r="O31" s="535" t="s">
        <v>16</v>
      </c>
    </row>
    <row r="32" spans="2:16" ht="15.75" customHeight="1" x14ac:dyDescent="0.3">
      <c r="B32" s="2351" t="s">
        <v>187</v>
      </c>
      <c r="C32" s="2351" t="s">
        <v>50</v>
      </c>
      <c r="D32" s="2192" t="s">
        <v>427</v>
      </c>
      <c r="E32" s="2192"/>
      <c r="F32" s="2192"/>
      <c r="G32" s="2192"/>
      <c r="H32" s="2192" t="s">
        <v>428</v>
      </c>
      <c r="I32" s="2192"/>
      <c r="J32" s="2192"/>
      <c r="K32" s="2192"/>
      <c r="L32" s="2192" t="s">
        <v>429</v>
      </c>
      <c r="M32" s="2192"/>
      <c r="N32" s="2192"/>
      <c r="O32" s="2192"/>
    </row>
    <row r="33" spans="1:18" ht="15.75" customHeight="1" x14ac:dyDescent="0.35">
      <c r="A33" s="733"/>
      <c r="B33" s="2351"/>
      <c r="C33" s="2351"/>
      <c r="D33" s="2357" t="s">
        <v>22</v>
      </c>
      <c r="E33" s="2359"/>
      <c r="F33" s="2359"/>
      <c r="G33" s="2359"/>
      <c r="H33" s="2357" t="s">
        <v>31</v>
      </c>
      <c r="I33" s="2359"/>
      <c r="J33" s="2359"/>
      <c r="K33" s="2359"/>
      <c r="L33" s="2357" t="s">
        <v>31</v>
      </c>
      <c r="M33" s="2359"/>
      <c r="N33" s="2359"/>
      <c r="O33" s="2359"/>
    </row>
    <row r="34" spans="1:18" s="35" customFormat="1" ht="42" x14ac:dyDescent="0.3">
      <c r="B34" s="2351"/>
      <c r="C34" s="2351"/>
      <c r="D34" s="488" t="s">
        <v>141</v>
      </c>
      <c r="E34" s="488" t="s">
        <v>142</v>
      </c>
      <c r="F34" s="488" t="s">
        <v>143</v>
      </c>
      <c r="G34" s="488" t="s">
        <v>144</v>
      </c>
      <c r="H34" s="488" t="s">
        <v>141</v>
      </c>
      <c r="I34" s="488" t="s">
        <v>142</v>
      </c>
      <c r="J34" s="488" t="s">
        <v>143</v>
      </c>
      <c r="K34" s="488" t="s">
        <v>144</v>
      </c>
      <c r="L34" s="488" t="s">
        <v>141</v>
      </c>
      <c r="M34" s="488" t="s">
        <v>142</v>
      </c>
      <c r="N34" s="488" t="s">
        <v>143</v>
      </c>
      <c r="O34" s="488" t="s">
        <v>144</v>
      </c>
    </row>
    <row r="35" spans="1:18" s="36" customFormat="1" x14ac:dyDescent="0.25">
      <c r="B35" s="282"/>
      <c r="C35" s="282"/>
      <c r="D35" s="488" t="s">
        <v>782</v>
      </c>
      <c r="E35" s="488" t="s">
        <v>583</v>
      </c>
      <c r="F35" s="488" t="s">
        <v>760</v>
      </c>
      <c r="G35" s="488" t="s">
        <v>783</v>
      </c>
      <c r="H35" s="488" t="s">
        <v>585</v>
      </c>
      <c r="I35" s="488" t="s">
        <v>761</v>
      </c>
      <c r="J35" s="488" t="s">
        <v>784</v>
      </c>
      <c r="K35" s="488" t="s">
        <v>785</v>
      </c>
      <c r="L35" s="488" t="s">
        <v>762</v>
      </c>
      <c r="M35" s="488" t="s">
        <v>763</v>
      </c>
      <c r="N35" s="488" t="s">
        <v>764</v>
      </c>
      <c r="O35" s="488" t="s">
        <v>786</v>
      </c>
    </row>
    <row r="36" spans="1:18" s="8" customFormat="1" x14ac:dyDescent="0.3">
      <c r="B36" s="63">
        <v>1</v>
      </c>
      <c r="C36" s="295" t="s">
        <v>942</v>
      </c>
      <c r="D36" s="355">
        <f>'F5'!D36*90%</f>
        <v>2.0699999999999998</v>
      </c>
      <c r="E36" s="355">
        <f>'F5'!E36*90%</f>
        <v>0</v>
      </c>
      <c r="F36" s="355">
        <f>'F5'!F36*90%</f>
        <v>0</v>
      </c>
      <c r="G36" s="355">
        <f>D36+E36-F36</f>
        <v>2.0699999999999998</v>
      </c>
      <c r="H36" s="355">
        <f>'F5'!H36*90%</f>
        <v>2.0699999999999998</v>
      </c>
      <c r="I36" s="355">
        <f>'F5'!I36*90%</f>
        <v>0</v>
      </c>
      <c r="J36" s="355">
        <f>'F5'!J36*90%</f>
        <v>0</v>
      </c>
      <c r="K36" s="355">
        <f>H36+I36-J36</f>
        <v>2.0699999999999998</v>
      </c>
      <c r="L36" s="355">
        <f>'F5'!L36*90%</f>
        <v>2.0699999999999998</v>
      </c>
      <c r="M36" s="355">
        <f>'F5'!M36*90%</f>
        <v>0</v>
      </c>
      <c r="N36" s="355">
        <f>'F5'!N36*90%</f>
        <v>0</v>
      </c>
      <c r="O36" s="355">
        <f>L36+M36-N36</f>
        <v>2.0699999999999998</v>
      </c>
    </row>
    <row r="37" spans="1:18" s="8" customFormat="1" x14ac:dyDescent="0.3">
      <c r="B37" s="63">
        <v>2</v>
      </c>
      <c r="C37" s="295" t="s">
        <v>943</v>
      </c>
      <c r="D37" s="355">
        <f>'F5'!D37*90%</f>
        <v>77.981899177799988</v>
      </c>
      <c r="E37" s="355">
        <f>'F5'!E37*90%</f>
        <v>2.8503705263597867</v>
      </c>
      <c r="F37" s="355">
        <f>'F5'!F37*90%</f>
        <v>4.0105988999999996E-3</v>
      </c>
      <c r="G37" s="355">
        <f t="shared" ref="G37:G46" si="5">D37+E37-F37</f>
        <v>80.828259105259775</v>
      </c>
      <c r="H37" s="355">
        <f>'F5'!H37*90%</f>
        <v>80.828259105259775</v>
      </c>
      <c r="I37" s="355">
        <f>'F5'!I37*90%</f>
        <v>19.090852926055646</v>
      </c>
      <c r="J37" s="355">
        <f>'F5'!J37*90%</f>
        <v>4.0105988999999996E-3</v>
      </c>
      <c r="K37" s="355">
        <f t="shared" ref="K37:K46" si="6">H37+I37-J37</f>
        <v>99.915101432415426</v>
      </c>
      <c r="L37" s="355">
        <f>'F5'!L37*90%</f>
        <v>99.915101432415412</v>
      </c>
      <c r="M37" s="355">
        <f>'F5'!M37*90%</f>
        <v>16.455925538472911</v>
      </c>
      <c r="N37" s="355">
        <f>'F5'!N37*90%</f>
        <v>4.0105988999999996E-3</v>
      </c>
      <c r="O37" s="355">
        <f t="shared" ref="O37:O46" si="7">L37+M37-N37</f>
        <v>116.36701637198833</v>
      </c>
    </row>
    <row r="38" spans="1:18" s="8" customFormat="1" ht="14.5" x14ac:dyDescent="0.3">
      <c r="B38" s="786">
        <v>3</v>
      </c>
      <c r="C38" s="295" t="s">
        <v>944</v>
      </c>
      <c r="D38" s="355">
        <f>'F5'!D38*90%</f>
        <v>1135.6663390875001</v>
      </c>
      <c r="E38" s="355">
        <f>'F5'!E38*90%</f>
        <v>37.537698948198113</v>
      </c>
      <c r="F38" s="355">
        <f>'F5'!F38*90%</f>
        <v>2.8568832245999998</v>
      </c>
      <c r="G38" s="355">
        <f t="shared" si="5"/>
        <v>1170.3471548110981</v>
      </c>
      <c r="H38" s="355">
        <f>'F5'!H38*90%</f>
        <v>1170.3471548110981</v>
      </c>
      <c r="I38" s="355">
        <f>'F5'!I38*90%</f>
        <v>251.41527502314202</v>
      </c>
      <c r="J38" s="355">
        <f>'F5'!J38*90%</f>
        <v>2.8568832245999998</v>
      </c>
      <c r="K38" s="355">
        <f t="shared" si="6"/>
        <v>1418.9055466096399</v>
      </c>
      <c r="L38" s="355">
        <f>'F5'!L38*90%</f>
        <v>1418.9055466096402</v>
      </c>
      <c r="M38" s="355">
        <f>'F5'!M38*90%</f>
        <v>216.71483516427222</v>
      </c>
      <c r="N38" s="355">
        <f>'F5'!N38*90%</f>
        <v>2.8568832245999998</v>
      </c>
      <c r="O38" s="355">
        <f t="shared" si="7"/>
        <v>1632.7634985493123</v>
      </c>
    </row>
    <row r="39" spans="1:18" s="8" customFormat="1" x14ac:dyDescent="0.3">
      <c r="B39" s="63">
        <v>4</v>
      </c>
      <c r="C39" s="295" t="s">
        <v>945</v>
      </c>
      <c r="D39" s="355">
        <f>'F5'!D39*90%</f>
        <v>1114.6024675368001</v>
      </c>
      <c r="E39" s="355">
        <f>'F5'!E39*90%</f>
        <v>57.439034117231166</v>
      </c>
      <c r="F39" s="355">
        <f>'F5'!F39*90%</f>
        <v>1.22992236</v>
      </c>
      <c r="G39" s="355">
        <f t="shared" si="5"/>
        <v>1170.8115792940312</v>
      </c>
      <c r="H39" s="355">
        <f>'F5'!H39*90%</f>
        <v>1170.8115792940312</v>
      </c>
      <c r="I39" s="355">
        <f>'F5'!I39*90%</f>
        <v>384.70793267258887</v>
      </c>
      <c r="J39" s="355">
        <f>'F5'!J39*90%</f>
        <v>1.22992236</v>
      </c>
      <c r="K39" s="355">
        <f t="shared" si="6"/>
        <v>1554.28958960662</v>
      </c>
      <c r="L39" s="355">
        <f>'F5'!L39*90%</f>
        <v>1554.2895896066202</v>
      </c>
      <c r="M39" s="355">
        <f>'F5'!M39*90%</f>
        <v>331.61038527931095</v>
      </c>
      <c r="N39" s="355">
        <f>'F5'!N39*90%</f>
        <v>1.22992236</v>
      </c>
      <c r="O39" s="355">
        <f t="shared" si="7"/>
        <v>1884.6700525259312</v>
      </c>
    </row>
    <row r="40" spans="1:18" s="8" customFormat="1" x14ac:dyDescent="0.3">
      <c r="B40" s="63">
        <v>5</v>
      </c>
      <c r="C40" s="295" t="s">
        <v>946</v>
      </c>
      <c r="D40" s="355">
        <f>'F5'!D40*90%</f>
        <v>144.23733098460002</v>
      </c>
      <c r="E40" s="355">
        <f>'F5'!E40*90%</f>
        <v>15.254475480430807</v>
      </c>
      <c r="F40" s="355">
        <f>'F5'!F40*90%</f>
        <v>13.123791988200001</v>
      </c>
      <c r="G40" s="355">
        <f t="shared" si="5"/>
        <v>146.36801447683084</v>
      </c>
      <c r="H40" s="355">
        <f>'F5'!H40*90%</f>
        <v>146.36801447683084</v>
      </c>
      <c r="I40" s="355">
        <f>'F5'!I40*90%</f>
        <v>102.16950574245003</v>
      </c>
      <c r="J40" s="355">
        <f>'F5'!J40*90%</f>
        <v>13.123791988200001</v>
      </c>
      <c r="K40" s="355">
        <f t="shared" si="6"/>
        <v>235.41372823108085</v>
      </c>
      <c r="L40" s="355">
        <f>'F5'!L40*90%</f>
        <v>235.41372823108085</v>
      </c>
      <c r="M40" s="355">
        <f>'F5'!M40*90%</f>
        <v>88.068028459098798</v>
      </c>
      <c r="N40" s="355">
        <f>'F5'!N40*90%</f>
        <v>13.123791988200001</v>
      </c>
      <c r="O40" s="355">
        <f t="shared" si="7"/>
        <v>310.3579647019796</v>
      </c>
    </row>
    <row r="41" spans="1:18" s="8" customFormat="1" x14ac:dyDescent="0.3">
      <c r="B41" s="63">
        <v>6</v>
      </c>
      <c r="C41" s="295" t="s">
        <v>947</v>
      </c>
      <c r="D41" s="355">
        <f>'F5'!D41*90%</f>
        <v>146.06788882500001</v>
      </c>
      <c r="E41" s="355">
        <f>'F5'!E41*90%</f>
        <v>10.006685605456763</v>
      </c>
      <c r="F41" s="355">
        <f>'F5'!F41*90%</f>
        <v>0</v>
      </c>
      <c r="G41" s="355">
        <f t="shared" si="5"/>
        <v>156.07457443045678</v>
      </c>
      <c r="H41" s="355">
        <f>'F5'!H41*90%</f>
        <v>156.07457443045678</v>
      </c>
      <c r="I41" s="355">
        <f>'F5'!I41*90%</f>
        <v>67.02151927420671</v>
      </c>
      <c r="J41" s="355">
        <f>'F5'!J41*90%</f>
        <v>0</v>
      </c>
      <c r="K41" s="355">
        <f t="shared" si="6"/>
        <v>223.09609370466347</v>
      </c>
      <c r="L41" s="355">
        <f>'F5'!L41*90%</f>
        <v>223.09609370466347</v>
      </c>
      <c r="M41" s="355">
        <f>'F5'!M41*90%</f>
        <v>57.771181566560969</v>
      </c>
      <c r="N41" s="355">
        <f>'F5'!N41*90%</f>
        <v>0</v>
      </c>
      <c r="O41" s="355">
        <f t="shared" si="7"/>
        <v>280.86727527122446</v>
      </c>
    </row>
    <row r="42" spans="1:18" s="8" customFormat="1" x14ac:dyDescent="0.3">
      <c r="B42" s="63">
        <v>7</v>
      </c>
      <c r="C42" s="296" t="s">
        <v>948</v>
      </c>
      <c r="D42" s="355">
        <f>'F5'!D42*90%</f>
        <v>3.6000000000000004E-2</v>
      </c>
      <c r="E42" s="355">
        <f>'F5'!E42*90%</f>
        <v>0</v>
      </c>
      <c r="F42" s="355">
        <f>'F5'!F42*90%</f>
        <v>0</v>
      </c>
      <c r="G42" s="355">
        <f t="shared" si="5"/>
        <v>3.6000000000000004E-2</v>
      </c>
      <c r="H42" s="355">
        <f>'F5'!H42*90%</f>
        <v>3.6000000000000004E-2</v>
      </c>
      <c r="I42" s="355">
        <f>'F5'!I42*90%</f>
        <v>0</v>
      </c>
      <c r="J42" s="355">
        <f>'F5'!J42*90%</f>
        <v>0</v>
      </c>
      <c r="K42" s="355">
        <f t="shared" si="6"/>
        <v>3.6000000000000004E-2</v>
      </c>
      <c r="L42" s="355">
        <f>'F5'!L42*90%</f>
        <v>3.6000000000000004E-2</v>
      </c>
      <c r="M42" s="355">
        <f>'F5'!M42*90%</f>
        <v>0</v>
      </c>
      <c r="N42" s="355">
        <f>'F5'!N42*90%</f>
        <v>0</v>
      </c>
      <c r="O42" s="355">
        <f t="shared" si="7"/>
        <v>3.6000000000000004E-2</v>
      </c>
    </row>
    <row r="43" spans="1:18" s="8" customFormat="1" x14ac:dyDescent="0.3">
      <c r="B43" s="63">
        <v>8</v>
      </c>
      <c r="C43" s="295" t="s">
        <v>949</v>
      </c>
      <c r="D43" s="355">
        <f>'F5'!D43*90%</f>
        <v>12.438000000000001</v>
      </c>
      <c r="E43" s="355">
        <f>'F5'!E43*90%</f>
        <v>0</v>
      </c>
      <c r="F43" s="355">
        <f>'F5'!F43*90%</f>
        <v>0</v>
      </c>
      <c r="G43" s="355">
        <f t="shared" si="5"/>
        <v>12.438000000000001</v>
      </c>
      <c r="H43" s="355">
        <f>'F5'!H43*90%</f>
        <v>12.438000000000001</v>
      </c>
      <c r="I43" s="355">
        <f>'F5'!I43*90%</f>
        <v>0</v>
      </c>
      <c r="J43" s="355">
        <f>'F5'!J43*90%</f>
        <v>0</v>
      </c>
      <c r="K43" s="355">
        <f t="shared" si="6"/>
        <v>12.438000000000001</v>
      </c>
      <c r="L43" s="355">
        <f>'F5'!L43*90%</f>
        <v>12.438000000000001</v>
      </c>
      <c r="M43" s="355">
        <f>'F5'!M43*90%</f>
        <v>0</v>
      </c>
      <c r="N43" s="355">
        <f>'F5'!N43*90%</f>
        <v>0</v>
      </c>
      <c r="O43" s="355">
        <f t="shared" si="7"/>
        <v>12.438000000000001</v>
      </c>
    </row>
    <row r="44" spans="1:18" s="8" customFormat="1" x14ac:dyDescent="0.3">
      <c r="B44" s="63">
        <v>9</v>
      </c>
      <c r="C44" s="295" t="s">
        <v>950</v>
      </c>
      <c r="D44" s="355">
        <f>'F5'!D44*90%</f>
        <v>43.906078236600003</v>
      </c>
      <c r="E44" s="355">
        <f>'F5'!E44*90%</f>
        <v>4.9827936803631561</v>
      </c>
      <c r="F44" s="355">
        <f>'F5'!F44*90%</f>
        <v>3.56464134E-2</v>
      </c>
      <c r="G44" s="355">
        <f t="shared" si="5"/>
        <v>48.853225503563159</v>
      </c>
      <c r="H44" s="355">
        <f>'F5'!H44*90%</f>
        <v>48.853225503563159</v>
      </c>
      <c r="I44" s="355">
        <f>'F5'!I44*90%</f>
        <v>33.373128311910321</v>
      </c>
      <c r="J44" s="355">
        <f>'F5'!J44*90%</f>
        <v>3.56464134E-2</v>
      </c>
      <c r="K44" s="355">
        <f t="shared" si="6"/>
        <v>82.190707402073485</v>
      </c>
      <c r="L44" s="355">
        <f>'F5'!L44*90%</f>
        <v>82.190707402073471</v>
      </c>
      <c r="M44" s="355">
        <f>'F5'!M44*90%</f>
        <v>28.766955390304055</v>
      </c>
      <c r="N44" s="355">
        <f>'F5'!N44*90%</f>
        <v>3.56464134E-2</v>
      </c>
      <c r="O44" s="355">
        <f t="shared" si="7"/>
        <v>110.92201637897753</v>
      </c>
    </row>
    <row r="45" spans="1:18" x14ac:dyDescent="0.3">
      <c r="B45" s="63">
        <v>10</v>
      </c>
      <c r="C45" s="295" t="s">
        <v>951</v>
      </c>
      <c r="D45" s="355">
        <f>'F5'!D45*90%</f>
        <v>24.616444689000001</v>
      </c>
      <c r="E45" s="355">
        <f>'F5'!E45*90%</f>
        <v>0.6577731702501477</v>
      </c>
      <c r="F45" s="355">
        <f>'F5'!F45*90%</f>
        <v>0.28676125529999996</v>
      </c>
      <c r="G45" s="355">
        <f t="shared" si="5"/>
        <v>24.98745660395015</v>
      </c>
      <c r="H45" s="355">
        <f>'F5'!H45*90%</f>
        <v>24.98745660395015</v>
      </c>
      <c r="I45" s="355">
        <f>'F5'!I45*90%</f>
        <v>4.4055503436558725</v>
      </c>
      <c r="J45" s="355">
        <f>'F5'!J45*90%</f>
        <v>0.28676125529999996</v>
      </c>
      <c r="K45" s="355">
        <f t="shared" si="6"/>
        <v>29.106245692306022</v>
      </c>
      <c r="L45" s="355">
        <f>'F5'!L45*90%</f>
        <v>29.106245692306025</v>
      </c>
      <c r="M45" s="355">
        <f>'F5'!M45*90%</f>
        <v>3.7974944698384121</v>
      </c>
      <c r="N45" s="355">
        <f>'F5'!N45*90%</f>
        <v>0.28676125529999996</v>
      </c>
      <c r="O45" s="355">
        <f t="shared" si="7"/>
        <v>32.616978906844437</v>
      </c>
    </row>
    <row r="46" spans="1:18" x14ac:dyDescent="0.3">
      <c r="B46" s="63">
        <v>11</v>
      </c>
      <c r="C46" s="37" t="s">
        <v>952</v>
      </c>
      <c r="D46" s="355">
        <f>'F5'!D46*90%</f>
        <v>43.7647876443</v>
      </c>
      <c r="E46" s="355">
        <f>'F5'!E46*90%</f>
        <v>0.35816847171004457</v>
      </c>
      <c r="F46" s="355">
        <f>'F5'!F46*90%</f>
        <v>0.19406546100000002</v>
      </c>
      <c r="G46" s="355">
        <f t="shared" si="5"/>
        <v>43.928890655010044</v>
      </c>
      <c r="H46" s="355">
        <f>'F5'!H46*90%</f>
        <v>43.928890655010051</v>
      </c>
      <c r="I46" s="355">
        <f>'F5'!I46*90%</f>
        <v>2.3988957059905736</v>
      </c>
      <c r="J46" s="355">
        <f>'F5'!J46*90%</f>
        <v>0.19406546100000002</v>
      </c>
      <c r="K46" s="355">
        <f t="shared" si="6"/>
        <v>46.133720900000625</v>
      </c>
      <c r="L46" s="355">
        <f>'F5'!L46*90%</f>
        <v>46.133720900000625</v>
      </c>
      <c r="M46" s="355">
        <f>'F5'!M46*90%</f>
        <v>2.0677991321417308</v>
      </c>
      <c r="N46" s="355">
        <f>'F5'!N46*90%</f>
        <v>0.19406546100000002</v>
      </c>
      <c r="O46" s="355">
        <f t="shared" si="7"/>
        <v>48.007454571142354</v>
      </c>
    </row>
    <row r="47" spans="1:18" s="1" customFormat="1" ht="16" x14ac:dyDescent="0.3">
      <c r="B47" s="59"/>
      <c r="C47" s="67" t="s">
        <v>145</v>
      </c>
      <c r="D47" s="357">
        <f t="shared" ref="D47:O47" si="8">SUM(D36:D46)</f>
        <v>2745.3872361816002</v>
      </c>
      <c r="E47" s="357">
        <f t="shared" si="8"/>
        <v>129.08700000000002</v>
      </c>
      <c r="F47" s="357">
        <f t="shared" si="8"/>
        <v>17.7310813014</v>
      </c>
      <c r="G47" s="357">
        <f t="shared" si="8"/>
        <v>2856.7431548802001</v>
      </c>
      <c r="H47" s="357">
        <f t="shared" si="8"/>
        <v>2856.7431548802001</v>
      </c>
      <c r="I47" s="357">
        <f t="shared" si="8"/>
        <v>864.58266000000003</v>
      </c>
      <c r="J47" s="357">
        <f t="shared" si="8"/>
        <v>17.7310813014</v>
      </c>
      <c r="K47" s="357">
        <f t="shared" si="8"/>
        <v>3703.5947335787996</v>
      </c>
      <c r="L47" s="357">
        <f t="shared" si="8"/>
        <v>3703.5947335788001</v>
      </c>
      <c r="M47" s="357">
        <f t="shared" si="8"/>
        <v>745.25260500000002</v>
      </c>
      <c r="N47" s="357">
        <f t="shared" si="8"/>
        <v>17.7310813014</v>
      </c>
      <c r="O47" s="357">
        <f t="shared" si="8"/>
        <v>4431.116257277401</v>
      </c>
      <c r="P47" s="357">
        <f>L47+M47-N47</f>
        <v>4431.1162572774001</v>
      </c>
    </row>
    <row r="48" spans="1:18" s="1" customFormat="1" ht="16" x14ac:dyDescent="0.3">
      <c r="B48" s="299"/>
      <c r="C48" s="299"/>
      <c r="D48" s="537"/>
      <c r="E48" s="537"/>
      <c r="F48" s="537"/>
      <c r="G48" s="537"/>
      <c r="H48" s="537"/>
      <c r="I48" s="537"/>
      <c r="J48" s="537"/>
      <c r="K48" s="537"/>
      <c r="L48" s="537"/>
      <c r="M48" s="537"/>
      <c r="N48" s="537"/>
      <c r="O48" s="537"/>
      <c r="P48" s="1020"/>
      <c r="Q48" s="39"/>
      <c r="R48" s="39"/>
    </row>
    <row r="49" spans="2:18" ht="16" x14ac:dyDescent="0.3">
      <c r="B49" s="299"/>
      <c r="C49" s="299"/>
      <c r="D49" s="537"/>
      <c r="E49" s="537"/>
      <c r="F49" s="537"/>
      <c r="G49" s="537"/>
      <c r="H49" s="537"/>
      <c r="I49" s="537"/>
      <c r="J49" s="537"/>
      <c r="K49" s="537"/>
      <c r="L49" s="537"/>
      <c r="M49" s="537"/>
      <c r="N49" s="537"/>
      <c r="O49" s="537"/>
    </row>
    <row r="50" spans="2:18" s="1" customFormat="1" ht="16" x14ac:dyDescent="0.3">
      <c r="D50" s="425"/>
      <c r="E50" s="425"/>
      <c r="F50" s="425"/>
      <c r="G50" s="425"/>
      <c r="H50" s="425"/>
      <c r="I50" s="425"/>
      <c r="J50" s="425"/>
      <c r="K50" s="425"/>
      <c r="L50" s="425"/>
      <c r="M50" s="425"/>
      <c r="N50" s="425"/>
      <c r="O50" s="425"/>
      <c r="P50" s="39"/>
      <c r="Q50" s="39"/>
      <c r="R50" s="39"/>
    </row>
    <row r="51" spans="2:18" x14ac:dyDescent="0.3">
      <c r="B51" s="283" t="s">
        <v>146</v>
      </c>
      <c r="C51" s="1"/>
      <c r="D51" s="425"/>
      <c r="E51" s="425"/>
      <c r="F51" s="425"/>
      <c r="G51" s="425"/>
      <c r="H51" s="425"/>
      <c r="I51" s="425"/>
      <c r="J51" s="425"/>
      <c r="K51" s="425"/>
      <c r="L51" s="425"/>
      <c r="M51" s="425"/>
      <c r="N51" s="425"/>
      <c r="O51" s="425"/>
    </row>
    <row r="52" spans="2:18" x14ac:dyDescent="0.3">
      <c r="B52" s="283"/>
      <c r="C52" s="1"/>
      <c r="D52" s="425"/>
      <c r="E52" s="425"/>
      <c r="F52" s="425"/>
      <c r="G52" s="425"/>
      <c r="H52" s="425"/>
      <c r="I52" s="425"/>
      <c r="J52" s="425"/>
      <c r="K52" s="425"/>
      <c r="L52" s="425"/>
      <c r="M52" s="425"/>
      <c r="N52" s="425"/>
      <c r="O52" s="425"/>
    </row>
    <row r="53" spans="2:18" x14ac:dyDescent="0.3">
      <c r="B53" s="1"/>
      <c r="C53" s="1"/>
      <c r="D53" s="534"/>
      <c r="E53" s="534"/>
      <c r="F53" s="534"/>
      <c r="G53" s="534"/>
      <c r="H53" s="425"/>
      <c r="I53" s="512"/>
      <c r="J53" s="425"/>
      <c r="K53" s="512"/>
      <c r="L53" s="512"/>
      <c r="M53" s="425"/>
      <c r="N53" s="425"/>
      <c r="O53" s="535" t="s">
        <v>16</v>
      </c>
    </row>
    <row r="54" spans="2:18" ht="15" customHeight="1" x14ac:dyDescent="0.3">
      <c r="B54" s="2351" t="s">
        <v>187</v>
      </c>
      <c r="C54" s="2351" t="s">
        <v>50</v>
      </c>
      <c r="D54" s="2354" t="s">
        <v>179</v>
      </c>
      <c r="E54" s="2355"/>
      <c r="F54" s="2355"/>
      <c r="G54" s="2356"/>
      <c r="H54" s="2354" t="s">
        <v>186</v>
      </c>
      <c r="I54" s="2355"/>
      <c r="J54" s="2355"/>
      <c r="K54" s="2356"/>
      <c r="L54" s="2190" t="s">
        <v>426</v>
      </c>
      <c r="M54" s="2197"/>
      <c r="N54" s="2197"/>
      <c r="O54" s="2191"/>
    </row>
    <row r="55" spans="2:18" x14ac:dyDescent="0.3">
      <c r="B55" s="2351"/>
      <c r="C55" s="2351"/>
      <c r="D55" s="2357" t="s">
        <v>12</v>
      </c>
      <c r="E55" s="2358"/>
      <c r="F55" s="2358"/>
      <c r="G55" s="2358"/>
      <c r="H55" s="2357" t="s">
        <v>12</v>
      </c>
      <c r="I55" s="2358"/>
      <c r="J55" s="2358"/>
      <c r="K55" s="2358"/>
      <c r="L55" s="2357" t="s">
        <v>12</v>
      </c>
      <c r="M55" s="2358"/>
      <c r="N55" s="2358"/>
      <c r="O55" s="2358"/>
    </row>
    <row r="56" spans="2:18" ht="56" x14ac:dyDescent="0.3">
      <c r="B56" s="2351"/>
      <c r="C56" s="2351"/>
      <c r="D56" s="488" t="s">
        <v>147</v>
      </c>
      <c r="E56" s="488" t="s">
        <v>142</v>
      </c>
      <c r="F56" s="539" t="s">
        <v>148</v>
      </c>
      <c r="G56" s="488" t="s">
        <v>149</v>
      </c>
      <c r="H56" s="488" t="s">
        <v>147</v>
      </c>
      <c r="I56" s="488" t="s">
        <v>142</v>
      </c>
      <c r="J56" s="539" t="s">
        <v>148</v>
      </c>
      <c r="K56" s="488" t="s">
        <v>149</v>
      </c>
      <c r="L56" s="488" t="s">
        <v>147</v>
      </c>
      <c r="M56" s="488" t="s">
        <v>142</v>
      </c>
      <c r="N56" s="539" t="s">
        <v>148</v>
      </c>
      <c r="O56" s="488" t="s">
        <v>149</v>
      </c>
    </row>
    <row r="57" spans="2:18" x14ac:dyDescent="0.3">
      <c r="B57" s="282"/>
      <c r="C57" s="282"/>
      <c r="D57" s="488" t="s">
        <v>73</v>
      </c>
      <c r="E57" s="488" t="s">
        <v>74</v>
      </c>
      <c r="F57" s="488" t="s">
        <v>690</v>
      </c>
      <c r="G57" s="488" t="s">
        <v>779</v>
      </c>
      <c r="H57" s="488" t="s">
        <v>411</v>
      </c>
      <c r="I57" s="488" t="s">
        <v>412</v>
      </c>
      <c r="J57" s="488" t="s">
        <v>581</v>
      </c>
      <c r="K57" s="488" t="s">
        <v>780</v>
      </c>
      <c r="L57" s="488" t="s">
        <v>668</v>
      </c>
      <c r="M57" s="488" t="s">
        <v>582</v>
      </c>
      <c r="N57" s="488" t="s">
        <v>759</v>
      </c>
      <c r="O57" s="488" t="s">
        <v>781</v>
      </c>
    </row>
    <row r="58" spans="2:18" x14ac:dyDescent="0.3">
      <c r="B58" s="63">
        <v>1</v>
      </c>
      <c r="C58" s="295" t="s">
        <v>942</v>
      </c>
      <c r="D58" s="355">
        <f>'F5'!D58*90%</f>
        <v>0</v>
      </c>
      <c r="E58" s="355">
        <f>'F5'!E58*90%</f>
        <v>0</v>
      </c>
      <c r="F58" s="355">
        <f>'F5'!F58*90%</f>
        <v>0</v>
      </c>
      <c r="G58" s="355">
        <f>D58+E58-F58</f>
        <v>0</v>
      </c>
      <c r="H58" s="355">
        <f>'F5'!H58*90%</f>
        <v>0</v>
      </c>
      <c r="I58" s="355">
        <f>'F5'!I58*90%</f>
        <v>0</v>
      </c>
      <c r="J58" s="355">
        <f>'F5'!J58*90%</f>
        <v>0</v>
      </c>
      <c r="K58" s="355">
        <f>H58+I58-J58</f>
        <v>0</v>
      </c>
      <c r="L58" s="355">
        <f>'F5'!L58*90%</f>
        <v>0</v>
      </c>
      <c r="M58" s="355">
        <f>'F5'!M58*90%</f>
        <v>0</v>
      </c>
      <c r="N58" s="355">
        <f>'F5'!N58*90%</f>
        <v>0</v>
      </c>
      <c r="O58" s="355">
        <f>L58+M58-N58</f>
        <v>0</v>
      </c>
    </row>
    <row r="59" spans="2:18" x14ac:dyDescent="0.3">
      <c r="B59" s="63">
        <v>2</v>
      </c>
      <c r="C59" s="295" t="s">
        <v>943</v>
      </c>
      <c r="D59" s="355">
        <f>'F5'!D59*90%</f>
        <v>29.538</v>
      </c>
      <c r="E59" s="355">
        <f>'F5'!E59*90%</f>
        <v>2.3400000000000003</v>
      </c>
      <c r="F59" s="355">
        <f>'F5'!F59*90%</f>
        <v>0</v>
      </c>
      <c r="G59" s="355">
        <f t="shared" ref="G59:G68" si="9">D59+E59-F59</f>
        <v>31.878</v>
      </c>
      <c r="H59" s="355">
        <f>'F5'!H59*90%</f>
        <v>31.878000000000004</v>
      </c>
      <c r="I59" s="355">
        <f>'F5'!I59*90%</f>
        <v>2.4120000000000004</v>
      </c>
      <c r="J59" s="355">
        <f>'F5'!J59*90%</f>
        <v>0</v>
      </c>
      <c r="K59" s="355">
        <f t="shared" ref="K59:K68" si="10">H59+I59-J59</f>
        <v>34.290000000000006</v>
      </c>
      <c r="L59" s="355">
        <f>'F5'!L59*90%</f>
        <v>34.29</v>
      </c>
      <c r="M59" s="355">
        <f>'F5'!M59*90%</f>
        <v>2.3040000000000003</v>
      </c>
      <c r="N59" s="355">
        <f>'F5'!N59*90%</f>
        <v>-0.19800000000000001</v>
      </c>
      <c r="O59" s="355">
        <f t="shared" ref="O59:O68" si="11">L59+M59-N59</f>
        <v>36.792000000000002</v>
      </c>
    </row>
    <row r="60" spans="2:18" x14ac:dyDescent="0.3">
      <c r="B60" s="63">
        <v>3</v>
      </c>
      <c r="C60" s="295" t="s">
        <v>944</v>
      </c>
      <c r="D60" s="355">
        <f>'F5'!D60*90%</f>
        <v>544.51800000000014</v>
      </c>
      <c r="E60" s="355">
        <f>'F5'!E60*90%</f>
        <v>36.261000000000003</v>
      </c>
      <c r="F60" s="355">
        <f>'F5'!F60*90%</f>
        <v>0.90900000000000003</v>
      </c>
      <c r="G60" s="355">
        <f t="shared" si="9"/>
        <v>579.87000000000012</v>
      </c>
      <c r="H60" s="355">
        <f>'F5'!H60*90%</f>
        <v>579.87000000000012</v>
      </c>
      <c r="I60" s="355">
        <f>'F5'!I60*90%</f>
        <v>36.864000000000004</v>
      </c>
      <c r="J60" s="355">
        <f>'F5'!J60*90%</f>
        <v>3.2850000000000001</v>
      </c>
      <c r="K60" s="355">
        <f t="shared" si="10"/>
        <v>613.44900000000018</v>
      </c>
      <c r="L60" s="355">
        <f>'F5'!L60*90%</f>
        <v>613.44900000000018</v>
      </c>
      <c r="M60" s="355">
        <f>'F5'!M60*90%</f>
        <v>37.242000000000004</v>
      </c>
      <c r="N60" s="355">
        <f>'F5'!N60*90%</f>
        <v>2.4390000000000001</v>
      </c>
      <c r="O60" s="355">
        <f t="shared" si="11"/>
        <v>648.25200000000018</v>
      </c>
    </row>
    <row r="61" spans="2:18" x14ac:dyDescent="0.3">
      <c r="B61" s="63">
        <v>4</v>
      </c>
      <c r="C61" s="295" t="s">
        <v>945</v>
      </c>
      <c r="D61" s="355">
        <f>'F5'!D61*90%</f>
        <v>334.56600000000003</v>
      </c>
      <c r="E61" s="355">
        <f>'F5'!E61*90%</f>
        <v>38.771999999999998</v>
      </c>
      <c r="F61" s="355">
        <f>'F5'!F61*90%</f>
        <v>1.0080000000000002</v>
      </c>
      <c r="G61" s="355">
        <f t="shared" si="9"/>
        <v>372.33000000000004</v>
      </c>
      <c r="H61" s="355">
        <f>'F5'!H61*90%</f>
        <v>372.33</v>
      </c>
      <c r="I61" s="355">
        <f>'F5'!I61*90%</f>
        <v>40.14</v>
      </c>
      <c r="J61" s="355">
        <f>'F5'!J61*90%</f>
        <v>1.179</v>
      </c>
      <c r="K61" s="355">
        <f t="shared" si="10"/>
        <v>411.291</v>
      </c>
      <c r="L61" s="355">
        <f>'F5'!L61*90%</f>
        <v>411.291</v>
      </c>
      <c r="M61" s="355">
        <f>'F5'!M61*90%</f>
        <v>40.734000000000002</v>
      </c>
      <c r="N61" s="355">
        <f>'F5'!N61*90%</f>
        <v>0.96300000000000008</v>
      </c>
      <c r="O61" s="355">
        <f t="shared" si="11"/>
        <v>451.06199999999995</v>
      </c>
    </row>
    <row r="62" spans="2:18" x14ac:dyDescent="0.3">
      <c r="B62" s="63">
        <v>5</v>
      </c>
      <c r="C62" s="295" t="s">
        <v>946</v>
      </c>
      <c r="D62" s="355">
        <f>'F5'!D62*90%</f>
        <v>95.184000000000026</v>
      </c>
      <c r="E62" s="355">
        <f>'F5'!E62*90%</f>
        <v>9.3149999999999995</v>
      </c>
      <c r="F62" s="355">
        <f>'F5'!F62*90%</f>
        <v>12.159000000000001</v>
      </c>
      <c r="G62" s="355">
        <f t="shared" si="9"/>
        <v>92.340000000000018</v>
      </c>
      <c r="H62" s="355">
        <f>'F5'!H62*90%</f>
        <v>92.34</v>
      </c>
      <c r="I62" s="355">
        <f>'F5'!I62*90%</f>
        <v>9.234</v>
      </c>
      <c r="J62" s="355">
        <f>'F5'!J62*90%</f>
        <v>14.904</v>
      </c>
      <c r="K62" s="355">
        <f t="shared" si="10"/>
        <v>86.67</v>
      </c>
      <c r="L62" s="355">
        <f>'F5'!L62*90%</f>
        <v>86.670000000000016</v>
      </c>
      <c r="M62" s="355">
        <f>'F5'!M62*90%</f>
        <v>8.1450000000000014</v>
      </c>
      <c r="N62" s="355">
        <f>'F5'!N62*90%</f>
        <v>11.727</v>
      </c>
      <c r="O62" s="355">
        <f t="shared" si="11"/>
        <v>83.088000000000008</v>
      </c>
    </row>
    <row r="63" spans="2:18" x14ac:dyDescent="0.3">
      <c r="B63" s="63">
        <v>6</v>
      </c>
      <c r="C63" s="295" t="s">
        <v>947</v>
      </c>
      <c r="D63" s="355">
        <f>'F5'!D63*90%</f>
        <v>35.028000000000006</v>
      </c>
      <c r="E63" s="355">
        <f>'F5'!E63*90%</f>
        <v>2.4480000000000004</v>
      </c>
      <c r="F63" s="355">
        <f>'F5'!F63*90%</f>
        <v>0</v>
      </c>
      <c r="G63" s="355">
        <f t="shared" si="9"/>
        <v>37.476000000000006</v>
      </c>
      <c r="H63" s="355">
        <f>'F5'!H63*90%</f>
        <v>37.475999999999999</v>
      </c>
      <c r="I63" s="355">
        <f>'F5'!I63*90%</f>
        <v>4.0590000000000002</v>
      </c>
      <c r="J63" s="355">
        <f>'F5'!J63*90%</f>
        <v>0</v>
      </c>
      <c r="K63" s="355">
        <f t="shared" si="10"/>
        <v>41.534999999999997</v>
      </c>
      <c r="L63" s="355">
        <f>'F5'!L63*90%</f>
        <v>41.534999999999997</v>
      </c>
      <c r="M63" s="355">
        <f>'F5'!M63*90%</f>
        <v>4.2480000000000002</v>
      </c>
      <c r="N63" s="355">
        <f>'F5'!N63*90%</f>
        <v>0</v>
      </c>
      <c r="O63" s="355">
        <f t="shared" si="11"/>
        <v>45.782999999999994</v>
      </c>
    </row>
    <row r="64" spans="2:18" x14ac:dyDescent="0.3">
      <c r="B64" s="63">
        <v>7</v>
      </c>
      <c r="C64" s="296" t="s">
        <v>948</v>
      </c>
      <c r="D64" s="355">
        <f>'F5'!D64*90%</f>
        <v>2.7E-2</v>
      </c>
      <c r="E64" s="355">
        <f>'F5'!E64*90%</f>
        <v>0</v>
      </c>
      <c r="F64" s="355">
        <f>'F5'!F64*90%</f>
        <v>0</v>
      </c>
      <c r="G64" s="355">
        <f t="shared" si="9"/>
        <v>2.7E-2</v>
      </c>
      <c r="H64" s="355">
        <f>'F5'!H64*90%</f>
        <v>2.7E-2</v>
      </c>
      <c r="I64" s="355">
        <f>'F5'!I64*90%</f>
        <v>0</v>
      </c>
      <c r="J64" s="355">
        <f>'F5'!J64*90%</f>
        <v>0</v>
      </c>
      <c r="K64" s="355">
        <f t="shared" si="10"/>
        <v>2.7E-2</v>
      </c>
      <c r="L64" s="355">
        <f>'F5'!L64*90%</f>
        <v>2.7E-2</v>
      </c>
      <c r="M64" s="355">
        <f>'F5'!M64*90%</f>
        <v>0</v>
      </c>
      <c r="N64" s="355">
        <f>'F5'!N64*90%</f>
        <v>0</v>
      </c>
      <c r="O64" s="355">
        <f t="shared" si="11"/>
        <v>2.7E-2</v>
      </c>
    </row>
    <row r="65" spans="2:30" x14ac:dyDescent="0.3">
      <c r="B65" s="63">
        <v>8</v>
      </c>
      <c r="C65" s="295" t="s">
        <v>949</v>
      </c>
      <c r="D65" s="355">
        <f>'F5'!D65*90%</f>
        <v>10.26</v>
      </c>
      <c r="E65" s="355">
        <f>'F5'!E65*90%</f>
        <v>0.30600000000000005</v>
      </c>
      <c r="F65" s="355">
        <f>'F5'!F65*90%</f>
        <v>0.88200000000000001</v>
      </c>
      <c r="G65" s="355">
        <f t="shared" si="9"/>
        <v>9.6839999999999993</v>
      </c>
      <c r="H65" s="355">
        <f>'F5'!H65*90%</f>
        <v>9.6839999999999993</v>
      </c>
      <c r="I65" s="355">
        <f>'F5'!I65*90%</f>
        <v>0.24300000000000002</v>
      </c>
      <c r="J65" s="355">
        <f>'F5'!J65*90%</f>
        <v>0</v>
      </c>
      <c r="K65" s="355">
        <f t="shared" si="10"/>
        <v>9.9269999999999996</v>
      </c>
      <c r="L65" s="355">
        <f>'F5'!L65*90%</f>
        <v>9.9269999999999996</v>
      </c>
      <c r="M65" s="355">
        <f>'F5'!M65*90%</f>
        <v>0.25200000000000006</v>
      </c>
      <c r="N65" s="355">
        <f>'F5'!N65*90%</f>
        <v>0</v>
      </c>
      <c r="O65" s="355">
        <f t="shared" si="11"/>
        <v>10.179</v>
      </c>
    </row>
    <row r="66" spans="2:30" x14ac:dyDescent="0.3">
      <c r="B66" s="63">
        <v>9</v>
      </c>
      <c r="C66" s="295" t="s">
        <v>950</v>
      </c>
      <c r="D66" s="355">
        <f>'F5'!D66*90%</f>
        <v>13.365000000000002</v>
      </c>
      <c r="E66" s="355">
        <f>'F5'!E66*90%</f>
        <v>1.1700000000000002</v>
      </c>
      <c r="F66" s="355">
        <f>'F5'!F66*90%</f>
        <v>0.42299999999999999</v>
      </c>
      <c r="G66" s="355">
        <f t="shared" si="9"/>
        <v>14.112000000000002</v>
      </c>
      <c r="H66" s="355">
        <f>'F5'!H66*90%</f>
        <v>14.112000000000002</v>
      </c>
      <c r="I66" s="355">
        <f>'F5'!I66*90%</f>
        <v>1.242</v>
      </c>
      <c r="J66" s="355">
        <f>'F5'!J66*90%</f>
        <v>0</v>
      </c>
      <c r="K66" s="355">
        <f t="shared" si="10"/>
        <v>15.354000000000003</v>
      </c>
      <c r="L66" s="355">
        <f>'F5'!L66*90%</f>
        <v>15.354000000000003</v>
      </c>
      <c r="M66" s="355">
        <f>'F5'!M66*90%</f>
        <v>1.5569999999999999</v>
      </c>
      <c r="N66" s="355">
        <f>'F5'!N66*90%</f>
        <v>3.6000000000000004E-2</v>
      </c>
      <c r="O66" s="355">
        <f t="shared" si="11"/>
        <v>16.875</v>
      </c>
    </row>
    <row r="67" spans="2:30" x14ac:dyDescent="0.3">
      <c r="B67" s="63">
        <v>10</v>
      </c>
      <c r="C67" s="295" t="s">
        <v>951</v>
      </c>
      <c r="D67" s="355">
        <f>'F5'!D67*90%</f>
        <v>21.258000000000003</v>
      </c>
      <c r="E67" s="355">
        <f>'F5'!E67*90%</f>
        <v>0</v>
      </c>
      <c r="F67" s="355">
        <f>'F5'!F67*90%</f>
        <v>9.0000000000000011E-3</v>
      </c>
      <c r="G67" s="355">
        <f t="shared" si="9"/>
        <v>21.249000000000002</v>
      </c>
      <c r="H67" s="355">
        <f>'F5'!H67*90%</f>
        <v>21.248999999999999</v>
      </c>
      <c r="I67" s="355">
        <f>'F5'!I67*90%</f>
        <v>0</v>
      </c>
      <c r="J67" s="355">
        <f>'F5'!J67*90%</f>
        <v>9.9000000000000005E-2</v>
      </c>
      <c r="K67" s="355">
        <f t="shared" si="10"/>
        <v>21.15</v>
      </c>
      <c r="L67" s="355">
        <f>'F5'!L67*90%</f>
        <v>21.150000000000002</v>
      </c>
      <c r="M67" s="355">
        <f>'F5'!M67*90%</f>
        <v>0.90900000000000003</v>
      </c>
      <c r="N67" s="355">
        <f>'F5'!N67*90%</f>
        <v>0.26100000000000001</v>
      </c>
      <c r="O67" s="355">
        <f t="shared" si="11"/>
        <v>21.798000000000002</v>
      </c>
    </row>
    <row r="68" spans="2:30" x14ac:dyDescent="0.3">
      <c r="B68" s="63">
        <v>11</v>
      </c>
      <c r="C68" s="37" t="s">
        <v>952</v>
      </c>
      <c r="D68" s="355">
        <f>'F5'!D68*90%</f>
        <v>24.039000000000001</v>
      </c>
      <c r="E68" s="355">
        <f>'F5'!E68*90%</f>
        <v>1.4400000000000002</v>
      </c>
      <c r="F68" s="355">
        <f>'F5'!F68*90%</f>
        <v>0.38700000000000001</v>
      </c>
      <c r="G68" s="355">
        <f t="shared" si="9"/>
        <v>25.092000000000002</v>
      </c>
      <c r="H68" s="355">
        <f>'F5'!H68*90%</f>
        <v>25.092000000000002</v>
      </c>
      <c r="I68" s="355">
        <f>'F5'!I68*90%</f>
        <v>1.4040000000000001</v>
      </c>
      <c r="J68" s="355">
        <f>'F5'!J68*90%</f>
        <v>0.19800000000000001</v>
      </c>
      <c r="K68" s="355">
        <f t="shared" si="10"/>
        <v>26.298000000000002</v>
      </c>
      <c r="L68" s="355">
        <f>'F5'!L68*90%</f>
        <v>26.298000000000002</v>
      </c>
      <c r="M68" s="355">
        <f>'F5'!M68*90%</f>
        <v>1.4220000000000002</v>
      </c>
      <c r="N68" s="355">
        <f>'F5'!N68*90%</f>
        <v>9.0000000000000011E-2</v>
      </c>
      <c r="O68" s="355">
        <f t="shared" si="11"/>
        <v>27.630000000000003</v>
      </c>
    </row>
    <row r="69" spans="2:30" ht="16" x14ac:dyDescent="0.3">
      <c r="B69" s="59"/>
      <c r="C69" s="67" t="s">
        <v>145</v>
      </c>
      <c r="D69" s="357">
        <f>SUM(D58:D68)</f>
        <v>1107.7830000000004</v>
      </c>
      <c r="E69" s="357">
        <f>SUM(E58:E68)</f>
        <v>92.051999999999992</v>
      </c>
      <c r="F69" s="357">
        <f t="shared" ref="F69:O69" si="12">SUM(F58:F68)</f>
        <v>15.777000000000001</v>
      </c>
      <c r="G69" s="357">
        <f t="shared" si="12"/>
        <v>1184.0580000000004</v>
      </c>
      <c r="H69" s="357">
        <f t="shared" si="12"/>
        <v>1184.0580000000004</v>
      </c>
      <c r="I69" s="357">
        <f t="shared" si="12"/>
        <v>95.597999999999985</v>
      </c>
      <c r="J69" s="357">
        <f t="shared" si="12"/>
        <v>19.665000000000003</v>
      </c>
      <c r="K69" s="357">
        <f t="shared" si="12"/>
        <v>1259.9910000000004</v>
      </c>
      <c r="L69" s="357">
        <f t="shared" si="12"/>
        <v>1259.9910000000004</v>
      </c>
      <c r="M69" s="357">
        <f t="shared" si="12"/>
        <v>96.813000000000002</v>
      </c>
      <c r="N69" s="357">
        <f t="shared" si="12"/>
        <v>15.318</v>
      </c>
      <c r="O69" s="357">
        <f t="shared" si="12"/>
        <v>1341.4860000000003</v>
      </c>
      <c r="P69" s="357">
        <f>L69+M69-N69</f>
        <v>1341.4860000000006</v>
      </c>
    </row>
    <row r="70" spans="2:30" ht="16" x14ac:dyDescent="0.3">
      <c r="B70" s="299"/>
      <c r="C70" s="300"/>
      <c r="D70" s="540"/>
      <c r="E70" s="540"/>
      <c r="F70" s="540"/>
      <c r="G70" s="540"/>
      <c r="H70" s="540"/>
      <c r="I70" s="540"/>
      <c r="J70" s="540"/>
      <c r="K70" s="540"/>
      <c r="L70" s="540"/>
      <c r="M70" s="540"/>
      <c r="N70" s="540"/>
      <c r="O70" s="540"/>
    </row>
    <row r="71" spans="2:30" ht="16" x14ac:dyDescent="0.3">
      <c r="B71" s="297" t="s">
        <v>766</v>
      </c>
      <c r="C71" s="301"/>
      <c r="D71" s="541"/>
      <c r="E71" s="541"/>
      <c r="F71" s="541"/>
      <c r="G71" s="541"/>
      <c r="H71" s="542"/>
      <c r="I71" s="542"/>
      <c r="J71" s="537"/>
      <c r="K71" s="537"/>
      <c r="L71" s="537"/>
      <c r="M71" s="537"/>
      <c r="N71" s="537"/>
      <c r="O71" s="537"/>
      <c r="P71" s="39"/>
      <c r="Q71" s="39"/>
      <c r="R71" s="39"/>
      <c r="S71" s="39"/>
      <c r="T71" s="39"/>
      <c r="U71" s="39"/>
      <c r="V71" s="39"/>
      <c r="W71" s="39"/>
      <c r="X71" s="39"/>
      <c r="Y71" s="39"/>
      <c r="Z71" s="39"/>
      <c r="AA71" s="39"/>
      <c r="AB71" s="39"/>
      <c r="AC71" s="39"/>
      <c r="AD71" s="39"/>
    </row>
    <row r="72" spans="2:30" ht="16" x14ac:dyDescent="0.3">
      <c r="B72" s="297" t="s">
        <v>778</v>
      </c>
      <c r="C72" s="301"/>
      <c r="D72" s="541"/>
      <c r="E72" s="541"/>
      <c r="F72" s="541"/>
      <c r="G72" s="541"/>
      <c r="H72" s="542"/>
      <c r="I72" s="542"/>
      <c r="J72" s="537"/>
      <c r="K72" s="537"/>
      <c r="L72" s="537"/>
      <c r="M72" s="537"/>
      <c r="N72" s="537"/>
      <c r="O72" s="537"/>
      <c r="P72" s="39"/>
      <c r="Q72" s="39"/>
      <c r="R72" s="39"/>
      <c r="S72" s="39"/>
      <c r="T72" s="39"/>
      <c r="U72" s="39"/>
      <c r="V72" s="39"/>
      <c r="W72" s="39"/>
      <c r="X72" s="39"/>
      <c r="Y72" s="39"/>
      <c r="Z72" s="39"/>
      <c r="AA72" s="39"/>
      <c r="AB72" s="39"/>
      <c r="AC72" s="39"/>
      <c r="AD72" s="39"/>
    </row>
    <row r="73" spans="2:30" ht="16" x14ac:dyDescent="0.3">
      <c r="B73" s="299"/>
      <c r="C73" s="300"/>
      <c r="D73" s="540"/>
      <c r="E73" s="540"/>
      <c r="F73" s="540"/>
      <c r="G73" s="540"/>
      <c r="H73" s="540"/>
      <c r="I73" s="540"/>
      <c r="J73" s="540"/>
      <c r="K73" s="540"/>
      <c r="L73" s="540"/>
      <c r="M73" s="540"/>
      <c r="N73" s="540"/>
      <c r="O73" s="540"/>
      <c r="P73" s="39"/>
      <c r="Q73" s="39"/>
      <c r="R73" s="39"/>
      <c r="S73" s="39"/>
      <c r="T73" s="39"/>
      <c r="U73" s="39"/>
      <c r="V73" s="39"/>
      <c r="W73" s="39"/>
      <c r="X73" s="39"/>
      <c r="Y73" s="39"/>
      <c r="Z73" s="39"/>
      <c r="AA73" s="39"/>
      <c r="AB73" s="39"/>
      <c r="AC73" s="39"/>
      <c r="AD73" s="39"/>
    </row>
    <row r="74" spans="2:30" ht="15" customHeight="1" x14ac:dyDescent="0.3">
      <c r="B74" s="299"/>
      <c r="C74" s="300"/>
      <c r="D74" s="536"/>
      <c r="E74" s="536"/>
      <c r="F74" s="536"/>
      <c r="G74" s="536"/>
      <c r="H74" s="425"/>
      <c r="I74" s="512"/>
      <c r="J74" s="425"/>
      <c r="K74" s="512"/>
      <c r="L74" s="512"/>
      <c r="M74" s="425"/>
      <c r="N74" s="425"/>
      <c r="O74" s="535" t="s">
        <v>16</v>
      </c>
    </row>
    <row r="75" spans="2:30" x14ac:dyDescent="0.3">
      <c r="B75" s="2351" t="s">
        <v>187</v>
      </c>
      <c r="C75" s="2351" t="s">
        <v>50</v>
      </c>
      <c r="D75" s="2192" t="s">
        <v>427</v>
      </c>
      <c r="E75" s="2192"/>
      <c r="F75" s="2192"/>
      <c r="G75" s="2192"/>
      <c r="H75" s="2192" t="s">
        <v>428</v>
      </c>
      <c r="I75" s="2192"/>
      <c r="J75" s="2192"/>
      <c r="K75" s="2192"/>
      <c r="L75" s="2192" t="s">
        <v>429</v>
      </c>
      <c r="M75" s="2192"/>
      <c r="N75" s="2192"/>
      <c r="O75" s="2192"/>
    </row>
    <row r="76" spans="2:30" ht="15" customHeight="1" x14ac:dyDescent="0.3">
      <c r="B76" s="2351"/>
      <c r="C76" s="2351"/>
      <c r="D76" s="2357" t="s">
        <v>22</v>
      </c>
      <c r="E76" s="2359"/>
      <c r="F76" s="2359"/>
      <c r="G76" s="2359"/>
      <c r="H76" s="2357" t="s">
        <v>31</v>
      </c>
      <c r="I76" s="2359"/>
      <c r="J76" s="2359"/>
      <c r="K76" s="2359"/>
      <c r="L76" s="2357" t="s">
        <v>31</v>
      </c>
      <c r="M76" s="2359"/>
      <c r="N76" s="2359"/>
      <c r="O76" s="2359"/>
    </row>
    <row r="77" spans="2:30" ht="56" x14ac:dyDescent="0.3">
      <c r="B77" s="2351"/>
      <c r="C77" s="2351"/>
      <c r="D77" s="488" t="s">
        <v>147</v>
      </c>
      <c r="E77" s="488" t="s">
        <v>142</v>
      </c>
      <c r="F77" s="539" t="s">
        <v>148</v>
      </c>
      <c r="G77" s="488" t="s">
        <v>149</v>
      </c>
      <c r="H77" s="488" t="s">
        <v>147</v>
      </c>
      <c r="I77" s="488" t="s">
        <v>142</v>
      </c>
      <c r="J77" s="539" t="s">
        <v>148</v>
      </c>
      <c r="K77" s="488" t="s">
        <v>149</v>
      </c>
      <c r="L77" s="488" t="s">
        <v>147</v>
      </c>
      <c r="M77" s="488" t="s">
        <v>142</v>
      </c>
      <c r="N77" s="539" t="s">
        <v>148</v>
      </c>
      <c r="O77" s="488" t="s">
        <v>149</v>
      </c>
    </row>
    <row r="78" spans="2:30" x14ac:dyDescent="0.3">
      <c r="B78" s="282"/>
      <c r="C78" s="282"/>
      <c r="D78" s="488" t="s">
        <v>782</v>
      </c>
      <c r="E78" s="488" t="s">
        <v>583</v>
      </c>
      <c r="F78" s="488" t="s">
        <v>760</v>
      </c>
      <c r="G78" s="488" t="s">
        <v>783</v>
      </c>
      <c r="H78" s="488" t="s">
        <v>585</v>
      </c>
      <c r="I78" s="488" t="s">
        <v>761</v>
      </c>
      <c r="J78" s="488" t="s">
        <v>784</v>
      </c>
      <c r="K78" s="488" t="s">
        <v>785</v>
      </c>
      <c r="L78" s="488" t="s">
        <v>762</v>
      </c>
      <c r="M78" s="488" t="s">
        <v>763</v>
      </c>
      <c r="N78" s="488" t="s">
        <v>764</v>
      </c>
      <c r="O78" s="488" t="s">
        <v>786</v>
      </c>
    </row>
    <row r="79" spans="2:30" x14ac:dyDescent="0.3">
      <c r="B79" s="63">
        <v>1</v>
      </c>
      <c r="C79" s="295" t="s">
        <v>942</v>
      </c>
      <c r="D79" s="355">
        <f>'F5'!D79*90%</f>
        <v>0</v>
      </c>
      <c r="E79" s="355">
        <f>'F5'!E79*90%</f>
        <v>0</v>
      </c>
      <c r="F79" s="355">
        <f>'F5'!F79*90%</f>
        <v>0</v>
      </c>
      <c r="G79" s="355">
        <f>D79+E79-F79</f>
        <v>0</v>
      </c>
      <c r="H79" s="355">
        <f>'F5'!H79*90%</f>
        <v>0</v>
      </c>
      <c r="I79" s="355">
        <f>'F5'!I79*90%</f>
        <v>0</v>
      </c>
      <c r="J79" s="355">
        <f>'F5'!J79*90%</f>
        <v>0</v>
      </c>
      <c r="K79" s="355">
        <f>H79+I79-J79</f>
        <v>0</v>
      </c>
      <c r="L79" s="355">
        <f>'F5'!L79*90%</f>
        <v>0</v>
      </c>
      <c r="M79" s="355">
        <f>'F5'!M79*90%</f>
        <v>0</v>
      </c>
      <c r="N79" s="355">
        <f>'F5'!N79*90%</f>
        <v>0</v>
      </c>
      <c r="O79" s="355">
        <f>L79+M79-N79</f>
        <v>0</v>
      </c>
    </row>
    <row r="80" spans="2:30" x14ac:dyDescent="0.3">
      <c r="B80" s="63">
        <v>2</v>
      </c>
      <c r="C80" s="295" t="s">
        <v>943</v>
      </c>
      <c r="D80" s="355">
        <f>'F5'!D80*90%</f>
        <v>36.792000000000002</v>
      </c>
      <c r="E80" s="355">
        <f>'F5'!E80*90%</f>
        <v>2.3040000000000003</v>
      </c>
      <c r="F80" s="355">
        <f>'F5'!F80*90%</f>
        <v>-0.19800000000000001</v>
      </c>
      <c r="G80" s="355">
        <f t="shared" ref="G80:G89" si="13">D80+E80-F80</f>
        <v>39.294000000000004</v>
      </c>
      <c r="H80" s="355">
        <f>'F5'!H80*90%</f>
        <v>39.294000000000004</v>
      </c>
      <c r="I80" s="355">
        <f>'F5'!I80*90%</f>
        <v>2.8005336540880914</v>
      </c>
      <c r="J80" s="355">
        <f>'F5'!J80*90%</f>
        <v>-0.19800000000000001</v>
      </c>
      <c r="K80" s="355">
        <f t="shared" ref="K80:K89" si="14">H80+I80-J80</f>
        <v>42.292533654088096</v>
      </c>
      <c r="L80" s="355">
        <f>'F5'!L80*90%</f>
        <v>42.292533654088096</v>
      </c>
      <c r="M80" s="355">
        <f>'F5'!M80*90%</f>
        <v>3.3961368253765394</v>
      </c>
      <c r="N80" s="355">
        <f>'F5'!N80*90%</f>
        <v>-0.19800000000000001</v>
      </c>
      <c r="O80" s="355">
        <f t="shared" ref="O80:O89" si="15">L80+M80-N80</f>
        <v>45.886670479464634</v>
      </c>
    </row>
    <row r="81" spans="2:16" x14ac:dyDescent="0.3">
      <c r="B81" s="63">
        <v>3</v>
      </c>
      <c r="C81" s="295" t="s">
        <v>944</v>
      </c>
      <c r="D81" s="355">
        <f>'F5'!D81*90%</f>
        <v>648.25200000000007</v>
      </c>
      <c r="E81" s="355">
        <f>'F5'!E81*90%</f>
        <v>38.656125424861308</v>
      </c>
      <c r="F81" s="355">
        <f>'F5'!F81*90%</f>
        <v>2.4390000000000001</v>
      </c>
      <c r="G81" s="355">
        <f t="shared" si="13"/>
        <v>684.46912542486143</v>
      </c>
      <c r="H81" s="355">
        <f>'F5'!H81*90%</f>
        <v>684.46912542486132</v>
      </c>
      <c r="I81" s="355">
        <f>'F5'!I81*90%</f>
        <v>45.268001018033296</v>
      </c>
      <c r="J81" s="355">
        <f>'F5'!J81*90%</f>
        <v>2.4390000000000001</v>
      </c>
      <c r="K81" s="355">
        <f t="shared" si="14"/>
        <v>727.29812644289461</v>
      </c>
      <c r="L81" s="355">
        <f>'F5'!L81*90%</f>
        <v>727.29812644289461</v>
      </c>
      <c r="M81" s="355">
        <f>'F5'!M81*90%</f>
        <v>54.895367903937974</v>
      </c>
      <c r="N81" s="355">
        <f>'F5'!N81*90%</f>
        <v>2.4390000000000001</v>
      </c>
      <c r="O81" s="355">
        <f t="shared" si="15"/>
        <v>779.75449434683264</v>
      </c>
    </row>
    <row r="82" spans="2:16" x14ac:dyDescent="0.3">
      <c r="B82" s="63">
        <v>4</v>
      </c>
      <c r="C82" s="295" t="s">
        <v>945</v>
      </c>
      <c r="D82" s="355">
        <f>'F5'!D82*90%</f>
        <v>451.06200000000001</v>
      </c>
      <c r="E82" s="355">
        <f>'F5'!E82*90%</f>
        <v>42.28072104227217</v>
      </c>
      <c r="F82" s="355">
        <f>'F5'!F82*90%</f>
        <v>0.96300000000000008</v>
      </c>
      <c r="G82" s="355">
        <f t="shared" si="13"/>
        <v>492.37972104227214</v>
      </c>
      <c r="H82" s="355">
        <f>'F5'!H82*90%</f>
        <v>492.37972104227219</v>
      </c>
      <c r="I82" s="355">
        <f>'F5'!I82*90%</f>
        <v>49.512559837510551</v>
      </c>
      <c r="J82" s="355">
        <f>'F5'!J82*90%</f>
        <v>0.96300000000000008</v>
      </c>
      <c r="K82" s="355">
        <f t="shared" si="14"/>
        <v>540.92928087978282</v>
      </c>
      <c r="L82" s="355">
        <f>'F5'!L82*90%</f>
        <v>540.92928087978271</v>
      </c>
      <c r="M82" s="355">
        <f>'F5'!M82*90%</f>
        <v>60.042637779899287</v>
      </c>
      <c r="N82" s="355">
        <f>'F5'!N82*90%</f>
        <v>0.96300000000000008</v>
      </c>
      <c r="O82" s="355">
        <f t="shared" si="15"/>
        <v>600.00891865968208</v>
      </c>
    </row>
    <row r="83" spans="2:16" x14ac:dyDescent="0.3">
      <c r="B83" s="63">
        <v>5</v>
      </c>
      <c r="C83" s="295" t="s">
        <v>946</v>
      </c>
      <c r="D83" s="355">
        <f>'F5'!D83*90%</f>
        <v>83.088000000000008</v>
      </c>
      <c r="E83" s="355">
        <f>'F5'!E83*90%</f>
        <v>8.4542758601980381</v>
      </c>
      <c r="F83" s="355">
        <f>'F5'!F83*90%</f>
        <v>11.727</v>
      </c>
      <c r="G83" s="355">
        <f t="shared" si="13"/>
        <v>79.815275860198042</v>
      </c>
      <c r="H83" s="355">
        <f>'F5'!H83*90%</f>
        <v>79.815275860198057</v>
      </c>
      <c r="I83" s="355">
        <f>'F5'!I83*90%</f>
        <v>9.9003240505848549</v>
      </c>
      <c r="J83" s="355">
        <f>'F5'!J83*90%</f>
        <v>11.727</v>
      </c>
      <c r="K83" s="355">
        <f t="shared" si="14"/>
        <v>77.988599910782909</v>
      </c>
      <c r="L83" s="355">
        <f>'F5'!L83*90%</f>
        <v>77.988599910782909</v>
      </c>
      <c r="M83" s="355">
        <f>'F5'!M83*90%</f>
        <v>12.005874324085033</v>
      </c>
      <c r="N83" s="355">
        <f>'F5'!N83*90%</f>
        <v>11.727</v>
      </c>
      <c r="O83" s="355">
        <f t="shared" si="15"/>
        <v>78.267474234867933</v>
      </c>
    </row>
    <row r="84" spans="2:16" x14ac:dyDescent="0.3">
      <c r="B84" s="63">
        <v>6</v>
      </c>
      <c r="C84" s="295" t="s">
        <v>947</v>
      </c>
      <c r="D84" s="355">
        <f>'F5'!D84*90%</f>
        <v>45.783000000000001</v>
      </c>
      <c r="E84" s="355">
        <f>'F5'!E84*90%</f>
        <v>4.4093018850977606</v>
      </c>
      <c r="F84" s="355">
        <f>'F5'!F84*90%</f>
        <v>0</v>
      </c>
      <c r="G84" s="355">
        <f t="shared" si="13"/>
        <v>50.192301885097763</v>
      </c>
      <c r="H84" s="355">
        <f>'F5'!H84*90%</f>
        <v>50.192301885097756</v>
      </c>
      <c r="I84" s="355">
        <f>'F5'!I84*90%</f>
        <v>5.1634839247249182</v>
      </c>
      <c r="J84" s="355">
        <f>'F5'!J84*90%</f>
        <v>0</v>
      </c>
      <c r="K84" s="355">
        <f t="shared" si="14"/>
        <v>55.355785809822677</v>
      </c>
      <c r="L84" s="355">
        <f>'F5'!L84*90%</f>
        <v>55.355785809822677</v>
      </c>
      <c r="M84" s="355">
        <f>'F5'!M84*90%</f>
        <v>6.2616272717879946</v>
      </c>
      <c r="N84" s="355">
        <f>'F5'!N84*90%</f>
        <v>0</v>
      </c>
      <c r="O84" s="355">
        <f t="shared" si="15"/>
        <v>61.617413081610671</v>
      </c>
    </row>
    <row r="85" spans="2:16" x14ac:dyDescent="0.3">
      <c r="B85" s="63">
        <v>7</v>
      </c>
      <c r="C85" s="296" t="s">
        <v>948</v>
      </c>
      <c r="D85" s="355">
        <f>'F5'!D85*90%</f>
        <v>2.7E-2</v>
      </c>
      <c r="E85" s="355">
        <f>'F5'!E85*90%</f>
        <v>0</v>
      </c>
      <c r="F85" s="355">
        <f>'F5'!F85*90%</f>
        <v>0</v>
      </c>
      <c r="G85" s="355">
        <f t="shared" si="13"/>
        <v>2.7E-2</v>
      </c>
      <c r="H85" s="355">
        <f>'F5'!H85*90%</f>
        <v>2.7E-2</v>
      </c>
      <c r="I85" s="355">
        <f>'F5'!I85*90%</f>
        <v>0</v>
      </c>
      <c r="J85" s="355">
        <f>'F5'!J85*90%</f>
        <v>0</v>
      </c>
      <c r="K85" s="355">
        <f t="shared" si="14"/>
        <v>2.7E-2</v>
      </c>
      <c r="L85" s="355">
        <f>'F5'!L85*90%</f>
        <v>2.7E-2</v>
      </c>
      <c r="M85" s="355">
        <f>'F5'!M85*90%</f>
        <v>0</v>
      </c>
      <c r="N85" s="355">
        <f>'F5'!N85*90%</f>
        <v>0</v>
      </c>
      <c r="O85" s="355">
        <f t="shared" si="15"/>
        <v>2.7E-2</v>
      </c>
    </row>
    <row r="86" spans="2:16" x14ac:dyDescent="0.3">
      <c r="B86" s="63">
        <v>8</v>
      </c>
      <c r="C86" s="295" t="s">
        <v>949</v>
      </c>
      <c r="D86" s="355">
        <f>'F5'!D86*90%</f>
        <v>10.178999999999998</v>
      </c>
      <c r="E86" s="355">
        <f>'F5'!E86*90%</f>
        <v>0.26156875589562989</v>
      </c>
      <c r="F86" s="355">
        <f>'F5'!F86*90%</f>
        <v>0</v>
      </c>
      <c r="G86" s="355">
        <f t="shared" si="13"/>
        <v>10.440568755895628</v>
      </c>
      <c r="H86" s="355">
        <f>'F5'!H86*90%</f>
        <v>10.440568755895629</v>
      </c>
      <c r="I86" s="355">
        <f>'F5'!I86*90%</f>
        <v>0.30630836841588505</v>
      </c>
      <c r="J86" s="355">
        <f>'F5'!J86*90%</f>
        <v>0</v>
      </c>
      <c r="K86" s="355">
        <f t="shared" si="14"/>
        <v>10.746877124311515</v>
      </c>
      <c r="L86" s="355">
        <f>'F5'!L86*90%</f>
        <v>10.746877124311515</v>
      </c>
      <c r="M86" s="355">
        <f>'F5'!M86*90%</f>
        <v>0.37145246527555903</v>
      </c>
      <c r="N86" s="355">
        <f>'F5'!N86*90%</f>
        <v>0</v>
      </c>
      <c r="O86" s="355">
        <f t="shared" si="15"/>
        <v>11.118329589587074</v>
      </c>
    </row>
    <row r="87" spans="2:16" x14ac:dyDescent="0.3">
      <c r="B87" s="63">
        <v>9</v>
      </c>
      <c r="C87" s="295" t="s">
        <v>950</v>
      </c>
      <c r="D87" s="355">
        <f>'F5'!D87*90%</f>
        <v>16.875000000000004</v>
      </c>
      <c r="E87" s="355">
        <f>'F5'!E87*90%</f>
        <v>1.6161212417837132</v>
      </c>
      <c r="F87" s="355">
        <f>'F5'!F87*90%</f>
        <v>3.6000000000000004E-2</v>
      </c>
      <c r="G87" s="355">
        <f t="shared" si="13"/>
        <v>18.455121241783715</v>
      </c>
      <c r="H87" s="355">
        <f>'F5'!H87*90%</f>
        <v>18.455121241783718</v>
      </c>
      <c r="I87" s="355">
        <f>'F5'!I87*90%</f>
        <v>1.892548133426718</v>
      </c>
      <c r="J87" s="355">
        <f>'F5'!J87*90%</f>
        <v>3.6000000000000004E-2</v>
      </c>
      <c r="K87" s="355">
        <f t="shared" si="14"/>
        <v>20.311669375210435</v>
      </c>
      <c r="L87" s="355">
        <f>'F5'!L87*90%</f>
        <v>20.311669375210435</v>
      </c>
      <c r="M87" s="355">
        <f>'F5'!M87*90%</f>
        <v>2.2950455890239896</v>
      </c>
      <c r="N87" s="355">
        <f>'F5'!N87*90%</f>
        <v>3.6000000000000004E-2</v>
      </c>
      <c r="O87" s="355">
        <f t="shared" si="15"/>
        <v>22.570714964234423</v>
      </c>
    </row>
    <row r="88" spans="2:16" x14ac:dyDescent="0.3">
      <c r="B88" s="63">
        <v>10</v>
      </c>
      <c r="C88" s="295" t="s">
        <v>951</v>
      </c>
      <c r="D88" s="355">
        <f>'F5'!D88*90%</f>
        <v>21.798000000000002</v>
      </c>
      <c r="E88" s="355">
        <f>'F5'!E88*90%</f>
        <v>0.94351586948066501</v>
      </c>
      <c r="F88" s="355">
        <f>'F5'!F88*90%</f>
        <v>0.26100000000000001</v>
      </c>
      <c r="G88" s="355">
        <f t="shared" si="13"/>
        <v>22.480515869480669</v>
      </c>
      <c r="H88" s="355">
        <f>'F5'!H88*90%</f>
        <v>22.480515869480669</v>
      </c>
      <c r="I88" s="355">
        <f>'F5'!I88*90%</f>
        <v>1.1048980432144424</v>
      </c>
      <c r="J88" s="355">
        <f>'F5'!J88*90%</f>
        <v>0.26100000000000001</v>
      </c>
      <c r="K88" s="355">
        <f t="shared" si="14"/>
        <v>23.324413912695114</v>
      </c>
      <c r="L88" s="355">
        <f>'F5'!L88*90%</f>
        <v>23.32441391269511</v>
      </c>
      <c r="M88" s="355">
        <f>'F5'!M88*90%</f>
        <v>1.3398821068868378</v>
      </c>
      <c r="N88" s="355">
        <f>'F5'!N88*90%</f>
        <v>0.26100000000000001</v>
      </c>
      <c r="O88" s="355">
        <f t="shared" si="15"/>
        <v>24.403296019581948</v>
      </c>
    </row>
    <row r="89" spans="2:16" x14ac:dyDescent="0.3">
      <c r="B89" s="63">
        <v>11</v>
      </c>
      <c r="C89" s="37" t="s">
        <v>952</v>
      </c>
      <c r="D89" s="355">
        <f>'F5'!D89*90%</f>
        <v>27.630000000000003</v>
      </c>
      <c r="E89" s="355">
        <f>'F5'!E89*90%</f>
        <v>1.4759951225539116</v>
      </c>
      <c r="F89" s="355">
        <f>'F5'!F89*90%</f>
        <v>9.0000000000000011E-2</v>
      </c>
      <c r="G89" s="355">
        <f t="shared" si="13"/>
        <v>29.015995122553914</v>
      </c>
      <c r="H89" s="355">
        <f>'F5'!H89*90%</f>
        <v>29.015995122553914</v>
      </c>
      <c r="I89" s="355">
        <f>'F5'!I89*90%</f>
        <v>1.7284543646324941</v>
      </c>
      <c r="J89" s="355">
        <f>'F5'!J89*90%</f>
        <v>9.0000000000000011E-2</v>
      </c>
      <c r="K89" s="355">
        <f t="shared" si="14"/>
        <v>30.654449487186408</v>
      </c>
      <c r="L89" s="355">
        <f>'F5'!L89*90%</f>
        <v>30.654449487186405</v>
      </c>
      <c r="M89" s="355">
        <f>'F5'!M89*90%</f>
        <v>2.096053196912083</v>
      </c>
      <c r="N89" s="355">
        <f>'F5'!N89*90%</f>
        <v>9.0000000000000011E-2</v>
      </c>
      <c r="O89" s="355">
        <f t="shared" si="15"/>
        <v>32.660502684098482</v>
      </c>
    </row>
    <row r="90" spans="2:16" ht="16" x14ac:dyDescent="0.3">
      <c r="B90" s="59"/>
      <c r="C90" s="67" t="s">
        <v>145</v>
      </c>
      <c r="D90" s="357">
        <f>SUM(D79:D89)</f>
        <v>1341.4860000000003</v>
      </c>
      <c r="E90" s="357">
        <f t="shared" ref="E90:O90" si="16">SUM(E79:E89)</f>
        <v>100.40162520214319</v>
      </c>
      <c r="F90" s="357">
        <f t="shared" si="16"/>
        <v>15.318</v>
      </c>
      <c r="G90" s="357">
        <f t="shared" si="16"/>
        <v>1426.5696252021432</v>
      </c>
      <c r="H90" s="357">
        <f t="shared" si="16"/>
        <v>1426.5696252021432</v>
      </c>
      <c r="I90" s="357">
        <f t="shared" si="16"/>
        <v>117.67711139463125</v>
      </c>
      <c r="J90" s="357">
        <f t="shared" si="16"/>
        <v>15.318</v>
      </c>
      <c r="K90" s="357">
        <f t="shared" si="16"/>
        <v>1528.9287365967746</v>
      </c>
      <c r="L90" s="357">
        <f t="shared" si="16"/>
        <v>1528.9287365967746</v>
      </c>
      <c r="M90" s="357">
        <f t="shared" si="16"/>
        <v>142.70407746318531</v>
      </c>
      <c r="N90" s="357">
        <f t="shared" si="16"/>
        <v>15.318</v>
      </c>
      <c r="O90" s="357">
        <f t="shared" si="16"/>
        <v>1656.3148140599601</v>
      </c>
      <c r="P90" s="357">
        <f>L90+M90-N90</f>
        <v>1656.3148140599599</v>
      </c>
    </row>
    <row r="91" spans="2:16" ht="16" x14ac:dyDescent="0.3">
      <c r="B91" s="299"/>
      <c r="C91" s="300"/>
      <c r="D91" s="540"/>
      <c r="E91" s="540"/>
      <c r="F91" s="540"/>
      <c r="G91" s="540"/>
      <c r="H91" s="540"/>
      <c r="I91" s="540"/>
      <c r="J91" s="540"/>
      <c r="K91" s="540"/>
      <c r="L91" s="540"/>
      <c r="M91" s="540"/>
      <c r="N91" s="540"/>
      <c r="O91" s="540"/>
    </row>
    <row r="92" spans="2:16" x14ac:dyDescent="0.3">
      <c r="B92" s="1"/>
      <c r="C92" s="1"/>
      <c r="D92" s="425"/>
      <c r="E92" s="425"/>
      <c r="F92" s="425"/>
      <c r="G92" s="425"/>
      <c r="H92" s="425"/>
      <c r="I92" s="425"/>
      <c r="J92" s="425"/>
      <c r="K92" s="425"/>
      <c r="L92" s="425"/>
      <c r="M92" s="425"/>
      <c r="N92" s="425"/>
      <c r="O92" s="425"/>
    </row>
    <row r="93" spans="2:16" x14ac:dyDescent="0.3">
      <c r="B93" s="283" t="s">
        <v>188</v>
      </c>
      <c r="C93" s="1"/>
      <c r="D93" s="425"/>
      <c r="E93" s="425"/>
      <c r="F93" s="425"/>
      <c r="G93" s="425"/>
      <c r="H93" s="425"/>
      <c r="I93" s="425"/>
      <c r="J93" s="425"/>
      <c r="K93" s="425"/>
      <c r="L93" s="425"/>
      <c r="M93" s="425"/>
      <c r="N93" s="425"/>
      <c r="O93" s="425"/>
    </row>
    <row r="94" spans="2:16" x14ac:dyDescent="0.3">
      <c r="B94" s="283"/>
      <c r="C94" s="1"/>
      <c r="D94" s="425"/>
      <c r="E94" s="425"/>
      <c r="F94" s="425"/>
      <c r="G94" s="425"/>
      <c r="H94" s="425"/>
      <c r="I94" s="425"/>
      <c r="J94" s="425"/>
      <c r="K94" s="425"/>
      <c r="L94" s="425"/>
      <c r="M94" s="425"/>
      <c r="N94" s="425"/>
      <c r="O94" s="425"/>
    </row>
    <row r="95" spans="2:16" x14ac:dyDescent="0.3">
      <c r="B95" s="1"/>
      <c r="C95" s="1"/>
      <c r="D95" s="534"/>
      <c r="E95" s="534"/>
      <c r="F95" s="534"/>
      <c r="G95" s="534"/>
      <c r="H95" s="425"/>
      <c r="I95" s="512"/>
      <c r="J95" s="425"/>
      <c r="K95" s="512"/>
      <c r="L95" s="512"/>
      <c r="M95" s="425"/>
      <c r="N95" s="425"/>
      <c r="O95" s="535" t="s">
        <v>16</v>
      </c>
    </row>
    <row r="96" spans="2:16" x14ac:dyDescent="0.3">
      <c r="B96" s="2351" t="s">
        <v>187</v>
      </c>
      <c r="C96" s="2351" t="s">
        <v>50</v>
      </c>
      <c r="D96" s="2354" t="s">
        <v>179</v>
      </c>
      <c r="E96" s="2355"/>
      <c r="F96" s="2355"/>
      <c r="G96" s="2356"/>
      <c r="H96" s="2354" t="s">
        <v>186</v>
      </c>
      <c r="I96" s="2355"/>
      <c r="J96" s="2355"/>
      <c r="K96" s="2355"/>
      <c r="L96" s="2356"/>
      <c r="M96" s="2190" t="s">
        <v>426</v>
      </c>
      <c r="N96" s="2197"/>
      <c r="O96" s="2197"/>
      <c r="P96" s="2191"/>
    </row>
    <row r="97" spans="2:17" ht="15" customHeight="1" x14ac:dyDescent="0.3">
      <c r="B97" s="2351"/>
      <c r="C97" s="2351"/>
      <c r="D97" s="2357" t="s">
        <v>12</v>
      </c>
      <c r="E97" s="2358"/>
      <c r="F97" s="2358"/>
      <c r="G97" s="2358"/>
      <c r="H97" s="2354" t="s">
        <v>12</v>
      </c>
      <c r="I97" s="2355"/>
      <c r="J97" s="2355"/>
      <c r="K97" s="2355"/>
      <c r="L97" s="2356"/>
      <c r="M97" s="2357" t="s">
        <v>12</v>
      </c>
      <c r="N97" s="2358"/>
      <c r="O97" s="2358"/>
      <c r="P97" s="2358"/>
    </row>
    <row r="98" spans="2:17" ht="42" x14ac:dyDescent="0.3">
      <c r="B98" s="2351"/>
      <c r="C98" s="2351"/>
      <c r="D98" s="488" t="s">
        <v>141</v>
      </c>
      <c r="E98" s="488" t="s">
        <v>142</v>
      </c>
      <c r="F98" s="539" t="s">
        <v>148</v>
      </c>
      <c r="G98" s="488" t="s">
        <v>144</v>
      </c>
      <c r="H98" s="488" t="s">
        <v>141</v>
      </c>
      <c r="I98" s="488" t="s">
        <v>142</v>
      </c>
      <c r="J98" s="539" t="s">
        <v>148</v>
      </c>
      <c r="K98" s="766" t="s">
        <v>1386</v>
      </c>
      <c r="L98" s="488" t="s">
        <v>144</v>
      </c>
      <c r="M98" s="488" t="s">
        <v>141</v>
      </c>
      <c r="N98" s="488" t="s">
        <v>142</v>
      </c>
      <c r="O98" s="539" t="s">
        <v>148</v>
      </c>
      <c r="P98" s="488" t="s">
        <v>144</v>
      </c>
    </row>
    <row r="99" spans="2:17" x14ac:dyDescent="0.3">
      <c r="B99" s="282"/>
      <c r="C99" s="282"/>
      <c r="D99" s="488" t="s">
        <v>73</v>
      </c>
      <c r="E99" s="488" t="s">
        <v>74</v>
      </c>
      <c r="F99" s="488" t="s">
        <v>690</v>
      </c>
      <c r="G99" s="488" t="s">
        <v>779</v>
      </c>
      <c r="H99" s="488" t="s">
        <v>411</v>
      </c>
      <c r="I99" s="488" t="s">
        <v>412</v>
      </c>
      <c r="J99" s="488" t="s">
        <v>581</v>
      </c>
      <c r="K99" s="766"/>
      <c r="L99" s="488" t="s">
        <v>780</v>
      </c>
      <c r="M99" s="488" t="s">
        <v>668</v>
      </c>
      <c r="N99" s="488" t="s">
        <v>582</v>
      </c>
      <c r="O99" s="488" t="s">
        <v>759</v>
      </c>
      <c r="P99" s="488" t="s">
        <v>781</v>
      </c>
    </row>
    <row r="100" spans="2:17" x14ac:dyDescent="0.3">
      <c r="B100" s="63">
        <v>1</v>
      </c>
      <c r="C100" s="295" t="s">
        <v>942</v>
      </c>
      <c r="D100" s="355">
        <f>'F5'!D100*90%</f>
        <v>2.0699999999999998</v>
      </c>
      <c r="E100" s="355">
        <f>'F5'!E100*90%</f>
        <v>0</v>
      </c>
      <c r="F100" s="355">
        <f>'F5'!F100*90%</f>
        <v>0</v>
      </c>
      <c r="G100" s="355">
        <f>D100+E100-F100</f>
        <v>2.0699999999999998</v>
      </c>
      <c r="H100" s="343">
        <f>G100</f>
        <v>2.0699999999999998</v>
      </c>
      <c r="I100" s="343">
        <f>I16-I58</f>
        <v>0</v>
      </c>
      <c r="J100" s="343">
        <f>J16-J58</f>
        <v>0</v>
      </c>
      <c r="K100" s="343">
        <f>K16</f>
        <v>0</v>
      </c>
      <c r="L100" s="355">
        <f>H100+I100-J100+K100</f>
        <v>2.0699999999999998</v>
      </c>
      <c r="M100" s="343">
        <f>L100</f>
        <v>2.0699999999999998</v>
      </c>
      <c r="N100" s="343">
        <f t="shared" ref="N100:O110" si="17">N16-M58</f>
        <v>0</v>
      </c>
      <c r="O100" s="343">
        <f t="shared" si="17"/>
        <v>0</v>
      </c>
      <c r="P100" s="355">
        <f>M100+N100-O100</f>
        <v>2.0699999999999998</v>
      </c>
    </row>
    <row r="101" spans="2:17" x14ac:dyDescent="0.3">
      <c r="B101" s="63">
        <v>2</v>
      </c>
      <c r="C101" s="295" t="s">
        <v>943</v>
      </c>
      <c r="D101" s="355">
        <f>'F5'!D101*90%</f>
        <v>42.677999999999997</v>
      </c>
      <c r="E101" s="355">
        <f>'F5'!E101*90%</f>
        <v>0.19799999999999979</v>
      </c>
      <c r="F101" s="355">
        <f>'F5'!F101*90%</f>
        <v>0</v>
      </c>
      <c r="G101" s="355">
        <f t="shared" ref="G101:G110" si="18">D101+E101-F101</f>
        <v>42.875999999999998</v>
      </c>
      <c r="H101" s="343">
        <f t="shared" ref="H101:H110" si="19">G101</f>
        <v>42.875999999999998</v>
      </c>
      <c r="I101" s="343">
        <f t="shared" ref="I101:J110" si="20">I17-I59</f>
        <v>-1.5930000000000004</v>
      </c>
      <c r="J101" s="343">
        <f t="shared" si="20"/>
        <v>0</v>
      </c>
      <c r="K101" s="343">
        <f t="shared" ref="K101:K110" si="21">K17</f>
        <v>-4.5000000000000005E-2</v>
      </c>
      <c r="L101" s="355">
        <f t="shared" ref="L101:L110" si="22">H101+I101-J101+K101</f>
        <v>41.237999999999992</v>
      </c>
      <c r="M101" s="343">
        <f t="shared" ref="M101:M110" si="23">L101</f>
        <v>41.237999999999992</v>
      </c>
      <c r="N101" s="343">
        <f t="shared" si="17"/>
        <v>0.15390977669999906</v>
      </c>
      <c r="O101" s="343">
        <f t="shared" si="17"/>
        <v>0.2020105989</v>
      </c>
      <c r="P101" s="355">
        <f t="shared" ref="P101:P110" si="24">M101+N101-O101</f>
        <v>41.189899177799987</v>
      </c>
    </row>
    <row r="102" spans="2:17" x14ac:dyDescent="0.3">
      <c r="B102" s="63">
        <v>3</v>
      </c>
      <c r="C102" s="295" t="s">
        <v>944</v>
      </c>
      <c r="D102" s="355">
        <f>'F5'!D102*90%</f>
        <v>465.99299999999971</v>
      </c>
      <c r="E102" s="355">
        <f>'F5'!E102*90%</f>
        <v>34.001999999999995</v>
      </c>
      <c r="F102" s="355">
        <f>'F5'!F102*90%</f>
        <v>9.9000000000000088E-2</v>
      </c>
      <c r="G102" s="355">
        <f t="shared" si="18"/>
        <v>499.89599999999973</v>
      </c>
      <c r="H102" s="343">
        <f t="shared" si="19"/>
        <v>499.89599999999973</v>
      </c>
      <c r="I102" s="343">
        <f t="shared" si="20"/>
        <v>-2.8710000000000022</v>
      </c>
      <c r="J102" s="343">
        <f t="shared" si="20"/>
        <v>0.39599999999999991</v>
      </c>
      <c r="K102" s="343">
        <f t="shared" si="21"/>
        <v>-3.9240000000000004</v>
      </c>
      <c r="L102" s="355">
        <f t="shared" si="22"/>
        <v>492.70499999999976</v>
      </c>
      <c r="M102" s="343">
        <f t="shared" si="23"/>
        <v>492.70499999999976</v>
      </c>
      <c r="N102" s="343">
        <f t="shared" si="17"/>
        <v>-4.8727776879000047</v>
      </c>
      <c r="O102" s="343">
        <f t="shared" si="17"/>
        <v>0.41788322459999971</v>
      </c>
      <c r="P102" s="355">
        <f t="shared" si="24"/>
        <v>487.41433908749974</v>
      </c>
    </row>
    <row r="103" spans="2:17" x14ac:dyDescent="0.3">
      <c r="B103" s="63">
        <v>4</v>
      </c>
      <c r="C103" s="295" t="s">
        <v>945</v>
      </c>
      <c r="D103" s="355">
        <f>'F5'!D103*90%</f>
        <v>584.43299999999988</v>
      </c>
      <c r="E103" s="355">
        <f>'F5'!E103*90%</f>
        <v>42.021000000000001</v>
      </c>
      <c r="F103" s="355">
        <f>'F5'!F103*90%</f>
        <v>0.11699999999999991</v>
      </c>
      <c r="G103" s="355">
        <f t="shared" si="18"/>
        <v>626.33699999999988</v>
      </c>
      <c r="H103" s="343">
        <f t="shared" si="19"/>
        <v>626.33699999999988</v>
      </c>
      <c r="I103" s="343">
        <f t="shared" si="20"/>
        <v>30.64500000000001</v>
      </c>
      <c r="J103" s="343">
        <f t="shared" si="20"/>
        <v>0.13500000000000001</v>
      </c>
      <c r="K103" s="343">
        <f t="shared" si="21"/>
        <v>-1.8360000000000001</v>
      </c>
      <c r="L103" s="355">
        <f t="shared" si="22"/>
        <v>655.01099999999985</v>
      </c>
      <c r="M103" s="343">
        <f t="shared" si="23"/>
        <v>655.01099999999985</v>
      </c>
      <c r="N103" s="343">
        <f t="shared" si="17"/>
        <v>8.796389896800008</v>
      </c>
      <c r="O103" s="343">
        <f t="shared" si="17"/>
        <v>0.26692235999999991</v>
      </c>
      <c r="P103" s="355">
        <f t="shared" si="24"/>
        <v>663.54046753679984</v>
      </c>
    </row>
    <row r="104" spans="2:17" x14ac:dyDescent="0.3">
      <c r="B104" s="63">
        <v>5</v>
      </c>
      <c r="C104" s="295" t="s">
        <v>946</v>
      </c>
      <c r="D104" s="355">
        <f>'F5'!D104*90%</f>
        <v>63.41399999999998</v>
      </c>
      <c r="E104" s="355">
        <f>'F5'!E104*90%</f>
        <v>1.1970000000000001</v>
      </c>
      <c r="F104" s="355">
        <f>'F5'!F104*90%</f>
        <v>1.4399999999999997</v>
      </c>
      <c r="G104" s="355">
        <f t="shared" si="18"/>
        <v>63.170999999999978</v>
      </c>
      <c r="H104" s="343">
        <f t="shared" si="19"/>
        <v>63.170999999999978</v>
      </c>
      <c r="I104" s="343">
        <f t="shared" si="20"/>
        <v>-3.5640000000000001</v>
      </c>
      <c r="J104" s="343">
        <f t="shared" si="20"/>
        <v>2.0700000000000003</v>
      </c>
      <c r="K104" s="343">
        <f t="shared" si="21"/>
        <v>0</v>
      </c>
      <c r="L104" s="355">
        <f t="shared" si="22"/>
        <v>57.536999999999978</v>
      </c>
      <c r="M104" s="343">
        <f t="shared" si="23"/>
        <v>57.536999999999978</v>
      </c>
      <c r="N104" s="343">
        <f t="shared" si="17"/>
        <v>5.0091229727999984</v>
      </c>
      <c r="O104" s="343">
        <f t="shared" si="17"/>
        <v>1.3967919882000004</v>
      </c>
      <c r="P104" s="355">
        <f t="shared" si="24"/>
        <v>61.149330984599978</v>
      </c>
    </row>
    <row r="105" spans="2:17" x14ac:dyDescent="0.3">
      <c r="B105" s="63">
        <v>6</v>
      </c>
      <c r="C105" s="295" t="s">
        <v>947</v>
      </c>
      <c r="D105" s="355">
        <f>'F5'!D105*90%</f>
        <v>48.068999999999996</v>
      </c>
      <c r="E105" s="355">
        <f>'F5'!E105*90%</f>
        <v>47.403000000000006</v>
      </c>
      <c r="F105" s="355">
        <f>'F5'!F105*90%</f>
        <v>0</v>
      </c>
      <c r="G105" s="355">
        <f t="shared" si="18"/>
        <v>95.472000000000008</v>
      </c>
      <c r="H105" s="343">
        <f t="shared" si="19"/>
        <v>95.472000000000008</v>
      </c>
      <c r="I105" s="343">
        <f t="shared" si="20"/>
        <v>0.43200000000000038</v>
      </c>
      <c r="J105" s="343">
        <f t="shared" si="20"/>
        <v>0</v>
      </c>
      <c r="K105" s="343">
        <f t="shared" si="21"/>
        <v>0</v>
      </c>
      <c r="L105" s="355">
        <f t="shared" si="22"/>
        <v>95.904000000000011</v>
      </c>
      <c r="M105" s="343">
        <f t="shared" si="23"/>
        <v>95.904000000000011</v>
      </c>
      <c r="N105" s="343">
        <f t="shared" si="17"/>
        <v>4.3808888250000004</v>
      </c>
      <c r="O105" s="343">
        <f t="shared" si="17"/>
        <v>0</v>
      </c>
      <c r="P105" s="355">
        <f t="shared" si="24"/>
        <v>100.28488882500001</v>
      </c>
    </row>
    <row r="106" spans="2:17" x14ac:dyDescent="0.3">
      <c r="B106" s="63">
        <v>7</v>
      </c>
      <c r="C106" s="296" t="s">
        <v>948</v>
      </c>
      <c r="D106" s="355">
        <f>'F5'!D106*90%</f>
        <v>9.0000000000000028E-3</v>
      </c>
      <c r="E106" s="355">
        <f>'F5'!E106*90%</f>
        <v>0</v>
      </c>
      <c r="F106" s="355">
        <f>'F5'!F106*90%</f>
        <v>0</v>
      </c>
      <c r="G106" s="355">
        <f t="shared" si="18"/>
        <v>9.0000000000000028E-3</v>
      </c>
      <c r="H106" s="343">
        <f t="shared" si="19"/>
        <v>9.0000000000000028E-3</v>
      </c>
      <c r="I106" s="343">
        <f t="shared" si="20"/>
        <v>0</v>
      </c>
      <c r="J106" s="343">
        <f t="shared" si="20"/>
        <v>0</v>
      </c>
      <c r="K106" s="343">
        <f t="shared" si="21"/>
        <v>0</v>
      </c>
      <c r="L106" s="355">
        <f t="shared" si="22"/>
        <v>9.0000000000000028E-3</v>
      </c>
      <c r="M106" s="343">
        <f t="shared" si="23"/>
        <v>9.0000000000000028E-3</v>
      </c>
      <c r="N106" s="343">
        <f t="shared" si="17"/>
        <v>0</v>
      </c>
      <c r="O106" s="343">
        <f t="shared" si="17"/>
        <v>0</v>
      </c>
      <c r="P106" s="355">
        <f t="shared" si="24"/>
        <v>9.0000000000000028E-3</v>
      </c>
    </row>
    <row r="107" spans="2:17" x14ac:dyDescent="0.3">
      <c r="B107" s="63">
        <v>8</v>
      </c>
      <c r="C107" s="295" t="s">
        <v>949</v>
      </c>
      <c r="D107" s="355">
        <f>'F5'!D107*90%</f>
        <v>2.7359999999999993</v>
      </c>
      <c r="E107" s="355">
        <f>'F5'!E107*90%</f>
        <v>-1.8000000000000016E-2</v>
      </c>
      <c r="F107" s="355">
        <f>'F5'!F107*90%</f>
        <v>9.9000000000000088E-2</v>
      </c>
      <c r="G107" s="355">
        <f t="shared" si="18"/>
        <v>2.6189999999999989</v>
      </c>
      <c r="H107" s="343">
        <f t="shared" si="19"/>
        <v>2.6189999999999989</v>
      </c>
      <c r="I107" s="343">
        <f t="shared" si="20"/>
        <v>-0.10800000000000001</v>
      </c>
      <c r="J107" s="343">
        <f t="shared" si="20"/>
        <v>0</v>
      </c>
      <c r="K107" s="343">
        <f t="shared" si="21"/>
        <v>0</v>
      </c>
      <c r="L107" s="355">
        <f t="shared" si="22"/>
        <v>2.5109999999999988</v>
      </c>
      <c r="M107" s="343">
        <f t="shared" si="23"/>
        <v>2.5109999999999988</v>
      </c>
      <c r="N107" s="343">
        <f t="shared" si="17"/>
        <v>-0.25200000000000006</v>
      </c>
      <c r="O107" s="343">
        <f t="shared" si="17"/>
        <v>0</v>
      </c>
      <c r="P107" s="355">
        <f t="shared" si="24"/>
        <v>2.2589999999999986</v>
      </c>
    </row>
    <row r="108" spans="2:17" x14ac:dyDescent="0.3">
      <c r="B108" s="63">
        <v>9</v>
      </c>
      <c r="C108" s="295" t="s">
        <v>950</v>
      </c>
      <c r="D108" s="355">
        <f>'F5'!D108*90%</f>
        <v>14.607000000000001</v>
      </c>
      <c r="E108" s="355">
        <f>'F5'!E108*90%</f>
        <v>5.4180000000000001</v>
      </c>
      <c r="F108" s="355">
        <f>'F5'!F108*90%</f>
        <v>4.500000000000004E-2</v>
      </c>
      <c r="G108" s="355">
        <f t="shared" si="18"/>
        <v>19.98</v>
      </c>
      <c r="H108" s="343">
        <f t="shared" si="19"/>
        <v>19.98</v>
      </c>
      <c r="I108" s="343">
        <f t="shared" si="20"/>
        <v>4.194</v>
      </c>
      <c r="J108" s="343">
        <f t="shared" si="20"/>
        <v>0</v>
      </c>
      <c r="K108" s="343">
        <f t="shared" si="21"/>
        <v>0.11700000000000001</v>
      </c>
      <c r="L108" s="355">
        <f t="shared" si="22"/>
        <v>24.291</v>
      </c>
      <c r="M108" s="343">
        <f t="shared" si="23"/>
        <v>24.291</v>
      </c>
      <c r="N108" s="343">
        <f t="shared" si="17"/>
        <v>2.7397246500000008</v>
      </c>
      <c r="O108" s="343">
        <f t="shared" si="17"/>
        <v>-3.5358660000000403E-4</v>
      </c>
      <c r="P108" s="355">
        <f t="shared" si="24"/>
        <v>27.031078236599999</v>
      </c>
    </row>
    <row r="109" spans="2:17" x14ac:dyDescent="0.3">
      <c r="B109" s="63">
        <v>10</v>
      </c>
      <c r="C109" s="295" t="s">
        <v>951</v>
      </c>
      <c r="D109" s="355">
        <f>'F5'!D109*90%</f>
        <v>1.5030000000000017</v>
      </c>
      <c r="E109" s="355">
        <f>'F5'!E109*90%</f>
        <v>0.76500000000000001</v>
      </c>
      <c r="F109" s="355">
        <f>'F5'!F109*90%</f>
        <v>0</v>
      </c>
      <c r="G109" s="355">
        <f t="shared" si="18"/>
        <v>2.2680000000000016</v>
      </c>
      <c r="H109" s="343">
        <f t="shared" si="19"/>
        <v>2.2680000000000016</v>
      </c>
      <c r="I109" s="343">
        <f t="shared" si="20"/>
        <v>0.92700000000000005</v>
      </c>
      <c r="J109" s="343">
        <f t="shared" si="20"/>
        <v>8.9999999999999941E-3</v>
      </c>
      <c r="K109" s="343">
        <f t="shared" si="21"/>
        <v>0</v>
      </c>
      <c r="L109" s="355">
        <f t="shared" si="22"/>
        <v>3.1860000000000017</v>
      </c>
      <c r="M109" s="343">
        <f t="shared" si="23"/>
        <v>3.1860000000000017</v>
      </c>
      <c r="N109" s="343">
        <f t="shared" si="17"/>
        <v>-0.34179405569999999</v>
      </c>
      <c r="O109" s="343">
        <f t="shared" si="17"/>
        <v>2.5761255299999952E-2</v>
      </c>
      <c r="P109" s="355">
        <f t="shared" si="24"/>
        <v>2.8184446890000019</v>
      </c>
    </row>
    <row r="110" spans="2:17" x14ac:dyDescent="0.3">
      <c r="B110" s="63">
        <v>11</v>
      </c>
      <c r="C110" s="37" t="s">
        <v>952</v>
      </c>
      <c r="D110" s="355">
        <f>'F5'!D110*90%</f>
        <v>19.602</v>
      </c>
      <c r="E110" s="355">
        <f>'F5'!E110*90%</f>
        <v>-1.2060000000000002</v>
      </c>
      <c r="F110" s="355">
        <f>'F5'!F110*90%</f>
        <v>4.4999999999999991E-2</v>
      </c>
      <c r="G110" s="355">
        <f t="shared" si="18"/>
        <v>18.350999999999999</v>
      </c>
      <c r="H110" s="343">
        <f t="shared" si="19"/>
        <v>18.350999999999999</v>
      </c>
      <c r="I110" s="343">
        <f t="shared" si="20"/>
        <v>-0.98100000000000009</v>
      </c>
      <c r="J110" s="343">
        <f t="shared" si="20"/>
        <v>1.7999999999999988E-2</v>
      </c>
      <c r="K110" s="343">
        <f t="shared" si="21"/>
        <v>0</v>
      </c>
      <c r="L110" s="355">
        <f t="shared" si="22"/>
        <v>17.351999999999997</v>
      </c>
      <c r="M110" s="343">
        <f t="shared" si="23"/>
        <v>17.351999999999997</v>
      </c>
      <c r="N110" s="343">
        <f t="shared" si="17"/>
        <v>-1.1131468947000003</v>
      </c>
      <c r="O110" s="343">
        <f t="shared" si="17"/>
        <v>0.10406546100000001</v>
      </c>
      <c r="P110" s="355">
        <f t="shared" si="24"/>
        <v>16.134787644299994</v>
      </c>
    </row>
    <row r="111" spans="2:17" ht="16" x14ac:dyDescent="0.3">
      <c r="B111" s="59"/>
      <c r="C111" s="67" t="s">
        <v>145</v>
      </c>
      <c r="D111" s="357">
        <f>SUM(D100:D110)</f>
        <v>1245.1139999999996</v>
      </c>
      <c r="E111" s="357">
        <f>SUM(E100:E110)</f>
        <v>129.78</v>
      </c>
      <c r="F111" s="357">
        <f t="shared" ref="F111:P111" si="25">SUM(F100:F110)</f>
        <v>1.8449999999999998</v>
      </c>
      <c r="G111" s="357">
        <f t="shared" si="25"/>
        <v>1373.0489999999995</v>
      </c>
      <c r="H111" s="357">
        <f t="shared" si="25"/>
        <v>1373.0489999999995</v>
      </c>
      <c r="I111" s="357">
        <f t="shared" si="25"/>
        <v>27.081000000000003</v>
      </c>
      <c r="J111" s="357">
        <f t="shared" si="25"/>
        <v>2.6279999999999997</v>
      </c>
      <c r="K111" s="357">
        <f t="shared" si="25"/>
        <v>-5.6880000000000006</v>
      </c>
      <c r="L111" s="357">
        <f t="shared" si="25"/>
        <v>1391.8139999999994</v>
      </c>
      <c r="M111" s="357">
        <f t="shared" si="25"/>
        <v>1391.8139999999994</v>
      </c>
      <c r="N111" s="357">
        <f t="shared" si="25"/>
        <v>14.500317483000002</v>
      </c>
      <c r="O111" s="357">
        <f t="shared" si="25"/>
        <v>2.4130813013999997</v>
      </c>
      <c r="P111" s="357">
        <f t="shared" si="25"/>
        <v>1403.9012361815999</v>
      </c>
      <c r="Q111" s="357">
        <f>M111+N111-O111</f>
        <v>1403.9012361815992</v>
      </c>
    </row>
    <row r="112" spans="2:17" ht="16" x14ac:dyDescent="0.3">
      <c r="B112" s="299"/>
      <c r="C112" s="300"/>
      <c r="D112" s="540"/>
      <c r="E112" s="540"/>
      <c r="F112" s="540"/>
      <c r="G112" s="540"/>
      <c r="H112" s="540"/>
      <c r="I112" s="540"/>
      <c r="J112" s="540"/>
      <c r="K112" s="540"/>
      <c r="L112" s="540"/>
      <c r="M112" s="537"/>
      <c r="N112" s="537"/>
      <c r="O112" s="537"/>
    </row>
    <row r="113" spans="2:30" ht="16" x14ac:dyDescent="0.3">
      <c r="B113" s="297" t="s">
        <v>767</v>
      </c>
      <c r="C113" s="302"/>
      <c r="D113" s="541"/>
      <c r="E113" s="541"/>
      <c r="F113" s="541"/>
      <c r="G113" s="540"/>
      <c r="H113" s="537"/>
      <c r="I113" s="537"/>
      <c r="J113" s="537"/>
      <c r="K113" s="537"/>
      <c r="L113" s="537"/>
      <c r="M113" s="537"/>
      <c r="N113" s="537"/>
      <c r="O113" s="537"/>
    </row>
    <row r="114" spans="2:30" ht="16" x14ac:dyDescent="0.3">
      <c r="B114" s="299"/>
      <c r="C114" s="300"/>
      <c r="D114" s="540"/>
      <c r="E114" s="540"/>
      <c r="F114" s="540"/>
      <c r="G114" s="540"/>
      <c r="H114" s="537"/>
      <c r="I114" s="537"/>
      <c r="J114" s="537"/>
      <c r="K114" s="537"/>
      <c r="L114" s="537"/>
      <c r="M114" s="537"/>
      <c r="N114" s="537"/>
      <c r="O114" s="537"/>
      <c r="P114" s="39"/>
      <c r="Q114" s="39"/>
      <c r="R114" s="39"/>
      <c r="S114" s="39"/>
      <c r="T114" s="39"/>
      <c r="U114" s="39"/>
      <c r="V114" s="39"/>
      <c r="W114" s="39"/>
      <c r="X114" s="39"/>
      <c r="Y114" s="39"/>
      <c r="Z114" s="39"/>
      <c r="AA114" s="39"/>
      <c r="AB114" s="39"/>
      <c r="AC114" s="39"/>
      <c r="AD114" s="39"/>
    </row>
    <row r="115" spans="2:30" ht="16" x14ac:dyDescent="0.3">
      <c r="B115" s="299"/>
      <c r="C115" s="300"/>
      <c r="D115" s="536"/>
      <c r="E115" s="536"/>
      <c r="F115" s="536"/>
      <c r="G115" s="536"/>
      <c r="H115" s="425"/>
      <c r="I115" s="512"/>
      <c r="J115" s="425"/>
      <c r="K115" s="512"/>
      <c r="L115" s="512"/>
      <c r="M115" s="425"/>
      <c r="N115" s="425"/>
      <c r="O115" s="535" t="s">
        <v>16</v>
      </c>
      <c r="P115" s="39"/>
      <c r="Q115" s="39"/>
      <c r="R115" s="39"/>
      <c r="S115" s="39"/>
      <c r="T115" s="39"/>
      <c r="U115" s="39"/>
      <c r="V115" s="39"/>
      <c r="W115" s="39"/>
      <c r="X115" s="39"/>
      <c r="Y115" s="39"/>
      <c r="Z115" s="39"/>
      <c r="AA115" s="39"/>
      <c r="AB115" s="39"/>
      <c r="AC115" s="39"/>
      <c r="AD115" s="39"/>
    </row>
    <row r="116" spans="2:30" ht="15" customHeight="1" x14ac:dyDescent="0.3">
      <c r="B116" s="2351" t="s">
        <v>187</v>
      </c>
      <c r="C116" s="2351" t="s">
        <v>50</v>
      </c>
      <c r="D116" s="2192" t="s">
        <v>427</v>
      </c>
      <c r="E116" s="2192"/>
      <c r="F116" s="2192"/>
      <c r="G116" s="2192"/>
      <c r="H116" s="2192" t="s">
        <v>428</v>
      </c>
      <c r="I116" s="2192"/>
      <c r="J116" s="2192"/>
      <c r="K116" s="2192"/>
      <c r="L116" s="2192" t="s">
        <v>429</v>
      </c>
      <c r="M116" s="2192"/>
      <c r="N116" s="2192"/>
      <c r="O116" s="2192"/>
    </row>
    <row r="117" spans="2:30" ht="15" customHeight="1" x14ac:dyDescent="0.3">
      <c r="B117" s="2351"/>
      <c r="C117" s="2351"/>
      <c r="D117" s="2357" t="s">
        <v>22</v>
      </c>
      <c r="E117" s="2359"/>
      <c r="F117" s="2359"/>
      <c r="G117" s="2359"/>
      <c r="H117" s="2357" t="s">
        <v>31</v>
      </c>
      <c r="I117" s="2359"/>
      <c r="J117" s="2359"/>
      <c r="K117" s="2359"/>
      <c r="L117" s="2357" t="s">
        <v>31</v>
      </c>
      <c r="M117" s="2359"/>
      <c r="N117" s="2359"/>
      <c r="O117" s="2359"/>
    </row>
    <row r="118" spans="2:30" ht="42" x14ac:dyDescent="0.3">
      <c r="B118" s="2351"/>
      <c r="C118" s="2351"/>
      <c r="D118" s="488" t="s">
        <v>141</v>
      </c>
      <c r="E118" s="488" t="s">
        <v>142</v>
      </c>
      <c r="F118" s="539" t="s">
        <v>148</v>
      </c>
      <c r="G118" s="488" t="s">
        <v>144</v>
      </c>
      <c r="H118" s="488" t="s">
        <v>141</v>
      </c>
      <c r="I118" s="488" t="s">
        <v>142</v>
      </c>
      <c r="J118" s="539" t="s">
        <v>148</v>
      </c>
      <c r="K118" s="488" t="s">
        <v>144</v>
      </c>
      <c r="L118" s="488" t="s">
        <v>141</v>
      </c>
      <c r="M118" s="488" t="s">
        <v>142</v>
      </c>
      <c r="N118" s="539" t="s">
        <v>148</v>
      </c>
      <c r="O118" s="488" t="s">
        <v>144</v>
      </c>
    </row>
    <row r="119" spans="2:30" x14ac:dyDescent="0.3">
      <c r="B119" s="282"/>
      <c r="C119" s="282"/>
      <c r="D119" s="488" t="s">
        <v>782</v>
      </c>
      <c r="E119" s="488" t="s">
        <v>583</v>
      </c>
      <c r="F119" s="488" t="s">
        <v>760</v>
      </c>
      <c r="G119" s="488" t="s">
        <v>783</v>
      </c>
      <c r="H119" s="488" t="s">
        <v>585</v>
      </c>
      <c r="I119" s="488" t="s">
        <v>761</v>
      </c>
      <c r="J119" s="488" t="s">
        <v>784</v>
      </c>
      <c r="K119" s="488" t="s">
        <v>785</v>
      </c>
      <c r="L119" s="488" t="s">
        <v>762</v>
      </c>
      <c r="M119" s="488" t="s">
        <v>763</v>
      </c>
      <c r="N119" s="488" t="s">
        <v>764</v>
      </c>
      <c r="O119" s="488" t="s">
        <v>786</v>
      </c>
    </row>
    <row r="120" spans="2:30" x14ac:dyDescent="0.3">
      <c r="B120" s="63">
        <v>1</v>
      </c>
      <c r="C120" s="295" t="s">
        <v>942</v>
      </c>
      <c r="D120" s="355">
        <f t="shared" ref="D120:D130" si="26">P100</f>
        <v>2.0699999999999998</v>
      </c>
      <c r="E120" s="355">
        <f>E36-E79</f>
        <v>0</v>
      </c>
      <c r="F120" s="355">
        <f>F36-F79</f>
        <v>0</v>
      </c>
      <c r="G120" s="355">
        <f>D120+E120-F120</f>
        <v>2.0699999999999998</v>
      </c>
      <c r="H120" s="343">
        <f>G120</f>
        <v>2.0699999999999998</v>
      </c>
      <c r="I120" s="355">
        <f t="shared" ref="I120:J130" si="27">I36-I79</f>
        <v>0</v>
      </c>
      <c r="J120" s="355">
        <f t="shared" si="27"/>
        <v>0</v>
      </c>
      <c r="K120" s="355">
        <f>H120+I120-J120</f>
        <v>2.0699999999999998</v>
      </c>
      <c r="L120" s="343">
        <f>K120</f>
        <v>2.0699999999999998</v>
      </c>
      <c r="M120" s="355">
        <f t="shared" ref="M120:N130" si="28">M36-M79</f>
        <v>0</v>
      </c>
      <c r="N120" s="355">
        <f t="shared" si="28"/>
        <v>0</v>
      </c>
      <c r="O120" s="355">
        <f>L120+M120-N120</f>
        <v>2.0699999999999998</v>
      </c>
    </row>
    <row r="121" spans="2:30" x14ac:dyDescent="0.3">
      <c r="B121" s="63">
        <v>2</v>
      </c>
      <c r="C121" s="295" t="s">
        <v>943</v>
      </c>
      <c r="D121" s="355">
        <f t="shared" si="26"/>
        <v>41.189899177799987</v>
      </c>
      <c r="E121" s="355">
        <f t="shared" ref="E121:F130" si="29">E37-E80</f>
        <v>0.54637052635978645</v>
      </c>
      <c r="F121" s="355">
        <f t="shared" si="29"/>
        <v>0.2020105989</v>
      </c>
      <c r="G121" s="355">
        <f t="shared" ref="G121:G130" si="30">D121+E121-F121</f>
        <v>41.534259105259771</v>
      </c>
      <c r="H121" s="343">
        <f t="shared" ref="H121:H130" si="31">G121</f>
        <v>41.534259105259771</v>
      </c>
      <c r="I121" s="355">
        <f t="shared" si="27"/>
        <v>16.290319271967554</v>
      </c>
      <c r="J121" s="355">
        <f t="shared" si="27"/>
        <v>0.2020105989</v>
      </c>
      <c r="K121" s="355">
        <f t="shared" ref="K121:K130" si="32">H121+I121-J121</f>
        <v>57.622567778327323</v>
      </c>
      <c r="L121" s="343">
        <f t="shared" ref="L121:L130" si="33">K121</f>
        <v>57.622567778327323</v>
      </c>
      <c r="M121" s="355">
        <f t="shared" si="28"/>
        <v>13.059788713096372</v>
      </c>
      <c r="N121" s="355">
        <f t="shared" si="28"/>
        <v>0.2020105989</v>
      </c>
      <c r="O121" s="355">
        <f t="shared" ref="O121:O130" si="34">L121+M121-N121</f>
        <v>70.480345892523687</v>
      </c>
    </row>
    <row r="122" spans="2:30" x14ac:dyDescent="0.3">
      <c r="B122" s="63">
        <v>3</v>
      </c>
      <c r="C122" s="295" t="s">
        <v>944</v>
      </c>
      <c r="D122" s="355">
        <f t="shared" si="26"/>
        <v>487.41433908749974</v>
      </c>
      <c r="E122" s="355">
        <f t="shared" si="29"/>
        <v>-1.1184264766631955</v>
      </c>
      <c r="F122" s="355">
        <f t="shared" si="29"/>
        <v>0.41788322459999971</v>
      </c>
      <c r="G122" s="355">
        <f t="shared" si="30"/>
        <v>485.87802938623651</v>
      </c>
      <c r="H122" s="343">
        <f t="shared" si="31"/>
        <v>485.87802938623651</v>
      </c>
      <c r="I122" s="355">
        <f t="shared" si="27"/>
        <v>206.14727400510873</v>
      </c>
      <c r="J122" s="355">
        <f t="shared" si="27"/>
        <v>0.41788322459999971</v>
      </c>
      <c r="K122" s="355">
        <f t="shared" si="32"/>
        <v>691.60742016674521</v>
      </c>
      <c r="L122" s="343">
        <f t="shared" si="33"/>
        <v>691.60742016674521</v>
      </c>
      <c r="M122" s="355">
        <f t="shared" si="28"/>
        <v>161.81946726033425</v>
      </c>
      <c r="N122" s="355">
        <f t="shared" si="28"/>
        <v>0.41788322459999971</v>
      </c>
      <c r="O122" s="355">
        <f t="shared" si="34"/>
        <v>853.00900420247945</v>
      </c>
    </row>
    <row r="123" spans="2:30" x14ac:dyDescent="0.3">
      <c r="B123" s="63">
        <v>4</v>
      </c>
      <c r="C123" s="295" t="s">
        <v>945</v>
      </c>
      <c r="D123" s="355">
        <f t="shared" si="26"/>
        <v>663.54046753679984</v>
      </c>
      <c r="E123" s="355">
        <f t="shared" si="29"/>
        <v>15.158313074958997</v>
      </c>
      <c r="F123" s="355">
        <f t="shared" si="29"/>
        <v>0.26692235999999991</v>
      </c>
      <c r="G123" s="355">
        <f t="shared" si="30"/>
        <v>678.43185825175885</v>
      </c>
      <c r="H123" s="343">
        <f t="shared" si="31"/>
        <v>678.43185825175885</v>
      </c>
      <c r="I123" s="355">
        <f t="shared" si="27"/>
        <v>335.19537283507833</v>
      </c>
      <c r="J123" s="355">
        <f t="shared" si="27"/>
        <v>0.26692235999999991</v>
      </c>
      <c r="K123" s="355">
        <f t="shared" si="32"/>
        <v>1013.3603087268372</v>
      </c>
      <c r="L123" s="343">
        <f t="shared" si="33"/>
        <v>1013.3603087268372</v>
      </c>
      <c r="M123" s="355">
        <f t="shared" si="28"/>
        <v>271.56774749941167</v>
      </c>
      <c r="N123" s="355">
        <f t="shared" si="28"/>
        <v>0.26692235999999991</v>
      </c>
      <c r="O123" s="355">
        <f t="shared" si="34"/>
        <v>1284.6611338662487</v>
      </c>
    </row>
    <row r="124" spans="2:30" x14ac:dyDescent="0.3">
      <c r="B124" s="63">
        <v>5</v>
      </c>
      <c r="C124" s="295" t="s">
        <v>946</v>
      </c>
      <c r="D124" s="355">
        <f t="shared" si="26"/>
        <v>61.149330984599978</v>
      </c>
      <c r="E124" s="355">
        <f t="shared" si="29"/>
        <v>6.8001996202327692</v>
      </c>
      <c r="F124" s="355">
        <f t="shared" si="29"/>
        <v>1.3967919882000004</v>
      </c>
      <c r="G124" s="355">
        <f t="shared" si="30"/>
        <v>66.552738616632752</v>
      </c>
      <c r="H124" s="343">
        <f t="shared" si="31"/>
        <v>66.552738616632752</v>
      </c>
      <c r="I124" s="355">
        <f t="shared" si="27"/>
        <v>92.269181691865171</v>
      </c>
      <c r="J124" s="355">
        <f t="shared" si="27"/>
        <v>1.3967919882000004</v>
      </c>
      <c r="K124" s="355">
        <f t="shared" si="32"/>
        <v>157.42512832029792</v>
      </c>
      <c r="L124" s="343">
        <f t="shared" si="33"/>
        <v>157.42512832029792</v>
      </c>
      <c r="M124" s="355">
        <f t="shared" si="28"/>
        <v>76.06215413501377</v>
      </c>
      <c r="N124" s="355">
        <f t="shared" si="28"/>
        <v>1.3967919882000004</v>
      </c>
      <c r="O124" s="355">
        <f t="shared" si="34"/>
        <v>232.09049046711169</v>
      </c>
    </row>
    <row r="125" spans="2:30" x14ac:dyDescent="0.3">
      <c r="B125" s="63">
        <v>6</v>
      </c>
      <c r="C125" s="295" t="s">
        <v>947</v>
      </c>
      <c r="D125" s="355">
        <f t="shared" si="26"/>
        <v>100.28488882500001</v>
      </c>
      <c r="E125" s="355">
        <f t="shared" si="29"/>
        <v>5.5973837203590024</v>
      </c>
      <c r="F125" s="355">
        <f t="shared" si="29"/>
        <v>0</v>
      </c>
      <c r="G125" s="355">
        <f t="shared" si="30"/>
        <v>105.88227254535902</v>
      </c>
      <c r="H125" s="343">
        <f t="shared" si="31"/>
        <v>105.88227254535902</v>
      </c>
      <c r="I125" s="355">
        <f t="shared" si="27"/>
        <v>61.858035349481796</v>
      </c>
      <c r="J125" s="355">
        <f t="shared" si="27"/>
        <v>0</v>
      </c>
      <c r="K125" s="355">
        <f t="shared" si="32"/>
        <v>167.74030789484081</v>
      </c>
      <c r="L125" s="343">
        <f t="shared" si="33"/>
        <v>167.74030789484081</v>
      </c>
      <c r="M125" s="355">
        <f t="shared" si="28"/>
        <v>51.509554294772975</v>
      </c>
      <c r="N125" s="355">
        <f t="shared" si="28"/>
        <v>0</v>
      </c>
      <c r="O125" s="355">
        <f t="shared" si="34"/>
        <v>219.24986218961379</v>
      </c>
    </row>
    <row r="126" spans="2:30" x14ac:dyDescent="0.3">
      <c r="B126" s="63">
        <v>7</v>
      </c>
      <c r="C126" s="296" t="s">
        <v>948</v>
      </c>
      <c r="D126" s="355">
        <f t="shared" si="26"/>
        <v>9.0000000000000028E-3</v>
      </c>
      <c r="E126" s="355">
        <f t="shared" si="29"/>
        <v>0</v>
      </c>
      <c r="F126" s="355">
        <f t="shared" si="29"/>
        <v>0</v>
      </c>
      <c r="G126" s="355">
        <f t="shared" si="30"/>
        <v>9.0000000000000028E-3</v>
      </c>
      <c r="H126" s="343">
        <f t="shared" si="31"/>
        <v>9.0000000000000028E-3</v>
      </c>
      <c r="I126" s="355">
        <f t="shared" si="27"/>
        <v>0</v>
      </c>
      <c r="J126" s="355">
        <f t="shared" si="27"/>
        <v>0</v>
      </c>
      <c r="K126" s="355">
        <f t="shared" si="32"/>
        <v>9.0000000000000028E-3</v>
      </c>
      <c r="L126" s="343">
        <f t="shared" si="33"/>
        <v>9.0000000000000028E-3</v>
      </c>
      <c r="M126" s="355">
        <f t="shared" si="28"/>
        <v>0</v>
      </c>
      <c r="N126" s="355">
        <f t="shared" si="28"/>
        <v>0</v>
      </c>
      <c r="O126" s="355">
        <f t="shared" si="34"/>
        <v>9.0000000000000028E-3</v>
      </c>
    </row>
    <row r="127" spans="2:30" x14ac:dyDescent="0.3">
      <c r="B127" s="63">
        <v>8</v>
      </c>
      <c r="C127" s="295" t="s">
        <v>949</v>
      </c>
      <c r="D127" s="355">
        <f t="shared" si="26"/>
        <v>2.2589999999999986</v>
      </c>
      <c r="E127" s="355">
        <f t="shared" si="29"/>
        <v>-0.26156875589562989</v>
      </c>
      <c r="F127" s="355">
        <f t="shared" si="29"/>
        <v>0</v>
      </c>
      <c r="G127" s="355">
        <f t="shared" si="30"/>
        <v>1.9974312441043687</v>
      </c>
      <c r="H127" s="343">
        <f t="shared" si="31"/>
        <v>1.9974312441043687</v>
      </c>
      <c r="I127" s="355">
        <f t="shared" si="27"/>
        <v>-0.30630836841588505</v>
      </c>
      <c r="J127" s="355">
        <f t="shared" si="27"/>
        <v>0</v>
      </c>
      <c r="K127" s="355">
        <f t="shared" si="32"/>
        <v>1.6911228756884835</v>
      </c>
      <c r="L127" s="343">
        <f t="shared" si="33"/>
        <v>1.6911228756884835</v>
      </c>
      <c r="M127" s="355">
        <f t="shared" si="28"/>
        <v>-0.37145246527555903</v>
      </c>
      <c r="N127" s="355">
        <f t="shared" si="28"/>
        <v>0</v>
      </c>
      <c r="O127" s="355">
        <f t="shared" si="34"/>
        <v>1.3196704104129244</v>
      </c>
    </row>
    <row r="128" spans="2:30" x14ac:dyDescent="0.3">
      <c r="B128" s="63">
        <v>9</v>
      </c>
      <c r="C128" s="295" t="s">
        <v>950</v>
      </c>
      <c r="D128" s="355">
        <f t="shared" si="26"/>
        <v>27.031078236599999</v>
      </c>
      <c r="E128" s="355">
        <f t="shared" si="29"/>
        <v>3.3666724385794429</v>
      </c>
      <c r="F128" s="355">
        <f t="shared" si="29"/>
        <v>-3.5358660000000403E-4</v>
      </c>
      <c r="G128" s="355">
        <f t="shared" si="30"/>
        <v>30.398104261779441</v>
      </c>
      <c r="H128" s="343">
        <f t="shared" si="31"/>
        <v>30.398104261779441</v>
      </c>
      <c r="I128" s="355">
        <f t="shared" si="27"/>
        <v>31.480580178483603</v>
      </c>
      <c r="J128" s="355">
        <f t="shared" si="27"/>
        <v>-3.5358660000000403E-4</v>
      </c>
      <c r="K128" s="355">
        <f t="shared" si="32"/>
        <v>61.879038026863043</v>
      </c>
      <c r="L128" s="343">
        <f t="shared" si="33"/>
        <v>61.879038026863043</v>
      </c>
      <c r="M128" s="355">
        <f t="shared" si="28"/>
        <v>26.471909801280066</v>
      </c>
      <c r="N128" s="355">
        <f t="shared" si="28"/>
        <v>-3.5358660000000403E-4</v>
      </c>
      <c r="O128" s="355">
        <f t="shared" si="34"/>
        <v>88.351301414743105</v>
      </c>
    </row>
    <row r="129" spans="2:16" x14ac:dyDescent="0.3">
      <c r="B129" s="63">
        <v>10</v>
      </c>
      <c r="C129" s="295" t="s">
        <v>951</v>
      </c>
      <c r="D129" s="355">
        <f t="shared" si="26"/>
        <v>2.8184446890000019</v>
      </c>
      <c r="E129" s="355">
        <f t="shared" si="29"/>
        <v>-0.28574269923051732</v>
      </c>
      <c r="F129" s="355">
        <f t="shared" si="29"/>
        <v>2.5761255299999952E-2</v>
      </c>
      <c r="G129" s="355">
        <f t="shared" si="30"/>
        <v>2.5069407344694845</v>
      </c>
      <c r="H129" s="343">
        <f t="shared" si="31"/>
        <v>2.5069407344694845</v>
      </c>
      <c r="I129" s="355">
        <f t="shared" si="27"/>
        <v>3.3006523004414303</v>
      </c>
      <c r="J129" s="355">
        <f t="shared" si="27"/>
        <v>2.5761255299999952E-2</v>
      </c>
      <c r="K129" s="355">
        <f t="shared" si="32"/>
        <v>5.7818317796109149</v>
      </c>
      <c r="L129" s="343">
        <f t="shared" si="33"/>
        <v>5.7818317796109149</v>
      </c>
      <c r="M129" s="355">
        <f t="shared" si="28"/>
        <v>2.4576123629515743</v>
      </c>
      <c r="N129" s="355">
        <f t="shared" si="28"/>
        <v>2.5761255299999952E-2</v>
      </c>
      <c r="O129" s="355">
        <f t="shared" si="34"/>
        <v>8.2136828872624896</v>
      </c>
    </row>
    <row r="130" spans="2:16" x14ac:dyDescent="0.3">
      <c r="B130" s="63">
        <v>11</v>
      </c>
      <c r="C130" s="37" t="s">
        <v>952</v>
      </c>
      <c r="D130" s="355">
        <f t="shared" si="26"/>
        <v>16.134787644299994</v>
      </c>
      <c r="E130" s="355">
        <f t="shared" si="29"/>
        <v>-1.117826650843867</v>
      </c>
      <c r="F130" s="355">
        <f t="shared" si="29"/>
        <v>0.10406546100000001</v>
      </c>
      <c r="G130" s="355">
        <f t="shared" si="30"/>
        <v>14.912895532456128</v>
      </c>
      <c r="H130" s="343">
        <f t="shared" si="31"/>
        <v>14.912895532456128</v>
      </c>
      <c r="I130" s="355">
        <f t="shared" si="27"/>
        <v>0.67044134135807942</v>
      </c>
      <c r="J130" s="355">
        <f t="shared" si="27"/>
        <v>0.10406546100000001</v>
      </c>
      <c r="K130" s="355">
        <f t="shared" si="32"/>
        <v>15.479271412814208</v>
      </c>
      <c r="L130" s="343">
        <f t="shared" si="33"/>
        <v>15.479271412814208</v>
      </c>
      <c r="M130" s="355">
        <f t="shared" si="28"/>
        <v>-2.8254064770352194E-2</v>
      </c>
      <c r="N130" s="355">
        <f t="shared" si="28"/>
        <v>0.10406546100000001</v>
      </c>
      <c r="O130" s="355">
        <f t="shared" si="34"/>
        <v>15.346951887043856</v>
      </c>
    </row>
    <row r="131" spans="2:16" ht="16" x14ac:dyDescent="0.3">
      <c r="B131" s="59"/>
      <c r="C131" s="67" t="s">
        <v>145</v>
      </c>
      <c r="D131" s="357">
        <f>SUM(D120:D130)</f>
        <v>1403.9012361815999</v>
      </c>
      <c r="E131" s="357">
        <f>SUM(E120:E130)</f>
        <v>28.685374797856785</v>
      </c>
      <c r="F131" s="357">
        <f t="shared" ref="F131:O131" si="35">SUM(F120:F130)</f>
        <v>2.4130813013999997</v>
      </c>
      <c r="G131" s="357">
        <f t="shared" si="35"/>
        <v>1430.1735296780562</v>
      </c>
      <c r="H131" s="357">
        <f t="shared" si="35"/>
        <v>1430.1735296780562</v>
      </c>
      <c r="I131" s="357">
        <f t="shared" si="35"/>
        <v>746.90554860536884</v>
      </c>
      <c r="J131" s="357">
        <f t="shared" si="35"/>
        <v>2.4130813013999997</v>
      </c>
      <c r="K131" s="357">
        <f t="shared" si="35"/>
        <v>2174.6659969820253</v>
      </c>
      <c r="L131" s="357">
        <f t="shared" si="35"/>
        <v>2174.6659969820253</v>
      </c>
      <c r="M131" s="357">
        <f t="shared" si="35"/>
        <v>602.54852753681473</v>
      </c>
      <c r="N131" s="357">
        <f t="shared" si="35"/>
        <v>2.4130813013999997</v>
      </c>
      <c r="O131" s="357">
        <f t="shared" si="35"/>
        <v>2774.8014432174396</v>
      </c>
      <c r="P131" s="357">
        <f>L131+M131-N131</f>
        <v>2774.80144321744</v>
      </c>
    </row>
  </sheetData>
  <mergeCells count="48">
    <mergeCell ref="B96:B98"/>
    <mergeCell ref="C96:C98"/>
    <mergeCell ref="D96:G96"/>
    <mergeCell ref="M96:P96"/>
    <mergeCell ref="D97:G97"/>
    <mergeCell ref="M97:P97"/>
    <mergeCell ref="H96:L96"/>
    <mergeCell ref="H97:L97"/>
    <mergeCell ref="B116:B118"/>
    <mergeCell ref="C116:C118"/>
    <mergeCell ref="D116:G116"/>
    <mergeCell ref="H116:K116"/>
    <mergeCell ref="L116:O116"/>
    <mergeCell ref="D117:G117"/>
    <mergeCell ref="H117:K117"/>
    <mergeCell ref="L117:O117"/>
    <mergeCell ref="D75:G75"/>
    <mergeCell ref="H75:K75"/>
    <mergeCell ref="L75:O75"/>
    <mergeCell ref="B75:B77"/>
    <mergeCell ref="C75:C77"/>
    <mergeCell ref="D76:G76"/>
    <mergeCell ref="H76:K76"/>
    <mergeCell ref="L76:O76"/>
    <mergeCell ref="B54:B56"/>
    <mergeCell ref="C54:C56"/>
    <mergeCell ref="D54:G54"/>
    <mergeCell ref="H54:K54"/>
    <mergeCell ref="L54:O54"/>
    <mergeCell ref="D55:G55"/>
    <mergeCell ref="H55:K55"/>
    <mergeCell ref="L55:O55"/>
    <mergeCell ref="M12:P12"/>
    <mergeCell ref="M13:P13"/>
    <mergeCell ref="B32:B34"/>
    <mergeCell ref="C32:C34"/>
    <mergeCell ref="D32:G32"/>
    <mergeCell ref="H32:K32"/>
    <mergeCell ref="L32:O32"/>
    <mergeCell ref="D33:G33"/>
    <mergeCell ref="H33:K33"/>
    <mergeCell ref="L33:O33"/>
    <mergeCell ref="B12:B14"/>
    <mergeCell ref="C12:C14"/>
    <mergeCell ref="D12:G12"/>
    <mergeCell ref="D13:G13"/>
    <mergeCell ref="H12:L12"/>
    <mergeCell ref="H13:L13"/>
  </mergeCells>
  <pageMargins left="0.27559055118110237" right="0.23622047244094491" top="0.23622047244094491" bottom="0.23622047244094491" header="0.23622047244094491" footer="0.23622047244094491"/>
  <pageSetup paperSize="9" scale="49" fitToHeight="2" orientation="landscape" r:id="rId1"/>
  <headerFooter alignWithMargins="0"/>
  <rowBreaks count="2" manualBreakCount="2">
    <brk id="49" max="15" man="1"/>
    <brk id="91"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1"/>
  <sheetViews>
    <sheetView showGridLines="0" view="pageBreakPreview" topLeftCell="F42" zoomScale="73" zoomScaleNormal="68" workbookViewId="0">
      <selection activeCell="A131" sqref="A131"/>
    </sheetView>
  </sheetViews>
  <sheetFormatPr defaultColWidth="9.1796875" defaultRowHeight="14" x14ac:dyDescent="0.3"/>
  <cols>
    <col min="1" max="1" width="4.1796875" style="119" customWidth="1"/>
    <col min="2" max="2" width="6.26953125" style="119" customWidth="1"/>
    <col min="3" max="3" width="36.1796875" style="119" customWidth="1"/>
    <col min="4" max="4" width="18.7265625" style="426" customWidth="1"/>
    <col min="5" max="5" width="20.7265625" style="426" customWidth="1"/>
    <col min="6" max="15" width="18.7265625" style="426" customWidth="1"/>
    <col min="16" max="19" width="18.7265625" style="119" customWidth="1"/>
    <col min="20" max="16384" width="9.1796875" style="119"/>
  </cols>
  <sheetData>
    <row r="1" spans="1:16" x14ac:dyDescent="0.3">
      <c r="B1" s="41"/>
    </row>
    <row r="2" spans="1:16" x14ac:dyDescent="0.3">
      <c r="B2" s="118"/>
      <c r="D2" s="527"/>
      <c r="E2" s="527"/>
      <c r="F2" s="523" t="s">
        <v>1027</v>
      </c>
      <c r="G2" s="527"/>
      <c r="H2" s="527"/>
      <c r="I2" s="527"/>
      <c r="J2" s="527"/>
      <c r="K2" s="527"/>
      <c r="L2" s="527"/>
      <c r="M2" s="527"/>
      <c r="N2" s="527"/>
      <c r="O2" s="527"/>
    </row>
    <row r="3" spans="1:16" x14ac:dyDescent="0.3">
      <c r="B3" s="118"/>
      <c r="D3" s="519"/>
      <c r="E3" s="519"/>
      <c r="F3" s="523" t="s">
        <v>848</v>
      </c>
      <c r="G3" s="519"/>
      <c r="H3" s="519"/>
      <c r="I3" s="519"/>
      <c r="J3" s="519"/>
      <c r="K3" s="519"/>
      <c r="L3" s="519"/>
      <c r="M3" s="519"/>
      <c r="N3" s="519"/>
      <c r="O3" s="519"/>
    </row>
    <row r="4" spans="1:16" x14ac:dyDescent="0.3">
      <c r="B4" s="19"/>
      <c r="D4" s="528"/>
      <c r="E4" s="529"/>
      <c r="F4" s="530" t="s">
        <v>674</v>
      </c>
      <c r="G4" s="529"/>
      <c r="H4" s="531"/>
      <c r="I4" s="527"/>
      <c r="J4" s="527"/>
      <c r="K4" s="527"/>
      <c r="L4" s="527"/>
      <c r="M4" s="527"/>
      <c r="N4" s="527"/>
      <c r="O4" s="527"/>
    </row>
    <row r="5" spans="1:16" x14ac:dyDescent="0.3">
      <c r="C5" s="41"/>
      <c r="E5" s="532"/>
      <c r="G5" s="532"/>
      <c r="H5" s="532"/>
    </row>
    <row r="6" spans="1:16" x14ac:dyDescent="0.3">
      <c r="C6" s="41"/>
      <c r="E6" s="532"/>
      <c r="G6" s="532"/>
      <c r="H6" s="532"/>
    </row>
    <row r="7" spans="1:16" x14ac:dyDescent="0.3">
      <c r="C7" s="41" t="s">
        <v>322</v>
      </c>
      <c r="E7" s="532"/>
      <c r="G7" s="532"/>
      <c r="H7" s="532"/>
    </row>
    <row r="8" spans="1:16" x14ac:dyDescent="0.3">
      <c r="C8" s="41"/>
      <c r="E8" s="532"/>
      <c r="G8" s="532"/>
      <c r="H8" s="532"/>
    </row>
    <row r="9" spans="1:16" x14ac:dyDescent="0.3">
      <c r="C9" s="41"/>
      <c r="E9" s="532"/>
      <c r="G9" s="532"/>
      <c r="H9" s="532"/>
    </row>
    <row r="10" spans="1:16" x14ac:dyDescent="0.3">
      <c r="A10" s="119" t="s">
        <v>139</v>
      </c>
      <c r="B10" s="283" t="s">
        <v>140</v>
      </c>
      <c r="C10" s="283"/>
      <c r="D10" s="533"/>
      <c r="E10" s="533"/>
      <c r="F10" s="533"/>
      <c r="G10" s="533"/>
      <c r="H10" s="425"/>
      <c r="I10" s="512"/>
      <c r="J10" s="425"/>
      <c r="K10" s="512"/>
      <c r="L10" s="512"/>
      <c r="M10" s="425"/>
      <c r="N10" s="425"/>
      <c r="O10" s="425"/>
    </row>
    <row r="11" spans="1:16" x14ac:dyDescent="0.3">
      <c r="B11" s="294"/>
      <c r="C11" s="10"/>
      <c r="D11" s="534"/>
      <c r="E11" s="534"/>
      <c r="F11" s="534"/>
      <c r="G11" s="534"/>
      <c r="H11" s="425"/>
      <c r="I11" s="512"/>
      <c r="J11" s="425"/>
      <c r="K11" s="512"/>
      <c r="L11" s="512"/>
      <c r="M11" s="425"/>
      <c r="N11" s="425"/>
      <c r="O11" s="535" t="s">
        <v>16</v>
      </c>
    </row>
    <row r="12" spans="1:16" ht="15.75" customHeight="1" x14ac:dyDescent="0.3">
      <c r="B12" s="2351" t="s">
        <v>187</v>
      </c>
      <c r="C12" s="2351" t="s">
        <v>50</v>
      </c>
      <c r="D12" s="2354" t="s">
        <v>179</v>
      </c>
      <c r="E12" s="2355"/>
      <c r="F12" s="2355"/>
      <c r="G12" s="2356"/>
      <c r="H12" s="2354" t="s">
        <v>186</v>
      </c>
      <c r="I12" s="2355"/>
      <c r="J12" s="2355"/>
      <c r="K12" s="2355"/>
      <c r="L12" s="2356"/>
      <c r="M12" s="2190" t="s">
        <v>426</v>
      </c>
      <c r="N12" s="2197"/>
      <c r="O12" s="2197"/>
      <c r="P12" s="2191"/>
    </row>
    <row r="13" spans="1:16" ht="15.75" customHeight="1" x14ac:dyDescent="0.3">
      <c r="B13" s="2351"/>
      <c r="C13" s="2351"/>
      <c r="D13" s="2357" t="s">
        <v>12</v>
      </c>
      <c r="E13" s="2358"/>
      <c r="F13" s="2358"/>
      <c r="G13" s="2358"/>
      <c r="H13" s="2354" t="s">
        <v>12</v>
      </c>
      <c r="I13" s="2355"/>
      <c r="J13" s="2355"/>
      <c r="K13" s="2355"/>
      <c r="L13" s="2356"/>
      <c r="M13" s="2357" t="s">
        <v>12</v>
      </c>
      <c r="N13" s="2358"/>
      <c r="O13" s="2358"/>
      <c r="P13" s="2358"/>
    </row>
    <row r="14" spans="1:16" s="35" customFormat="1" ht="42" x14ac:dyDescent="0.3">
      <c r="B14" s="2351"/>
      <c r="C14" s="2351"/>
      <c r="D14" s="488" t="s">
        <v>141</v>
      </c>
      <c r="E14" s="488" t="s">
        <v>142</v>
      </c>
      <c r="F14" s="488" t="s">
        <v>143</v>
      </c>
      <c r="G14" s="488" t="s">
        <v>144</v>
      </c>
      <c r="H14" s="488" t="s">
        <v>141</v>
      </c>
      <c r="I14" s="488" t="s">
        <v>142</v>
      </c>
      <c r="J14" s="488" t="s">
        <v>143</v>
      </c>
      <c r="K14" s="766" t="s">
        <v>1386</v>
      </c>
      <c r="L14" s="488" t="s">
        <v>144</v>
      </c>
      <c r="M14" s="488" t="s">
        <v>141</v>
      </c>
      <c r="N14" s="488" t="s">
        <v>142</v>
      </c>
      <c r="O14" s="488" t="s">
        <v>143</v>
      </c>
      <c r="P14" s="488" t="s">
        <v>144</v>
      </c>
    </row>
    <row r="15" spans="1:16" s="36" customFormat="1" x14ac:dyDescent="0.25">
      <c r="B15" s="282"/>
      <c r="C15" s="282"/>
      <c r="D15" s="488" t="s">
        <v>73</v>
      </c>
      <c r="E15" s="1066" t="s">
        <v>74</v>
      </c>
      <c r="F15" s="488" t="s">
        <v>690</v>
      </c>
      <c r="G15" s="488" t="s">
        <v>779</v>
      </c>
      <c r="H15" s="488" t="s">
        <v>411</v>
      </c>
      <c r="I15" s="488" t="s">
        <v>412</v>
      </c>
      <c r="J15" s="488" t="s">
        <v>581</v>
      </c>
      <c r="K15" s="766"/>
      <c r="L15" s="488" t="s">
        <v>780</v>
      </c>
      <c r="M15" s="488" t="s">
        <v>668</v>
      </c>
      <c r="N15" s="488" t="s">
        <v>582</v>
      </c>
      <c r="O15" s="488" t="s">
        <v>759</v>
      </c>
      <c r="P15" s="488" t="s">
        <v>781</v>
      </c>
    </row>
    <row r="16" spans="1:16" s="8" customFormat="1" x14ac:dyDescent="0.3">
      <c r="B16" s="63">
        <v>1</v>
      </c>
      <c r="C16" s="295" t="s">
        <v>942</v>
      </c>
      <c r="D16" s="355">
        <f>'F5'!D16*10%</f>
        <v>0.22999999999999998</v>
      </c>
      <c r="E16" s="355">
        <f>'F5'!E16*10%</f>
        <v>0</v>
      </c>
      <c r="F16" s="355">
        <f>'F5'!F16*10%</f>
        <v>0</v>
      </c>
      <c r="G16" s="355">
        <f>D16+E16-F16</f>
        <v>0.22999999999999998</v>
      </c>
      <c r="H16" s="343">
        <f>G16</f>
        <v>0.22999999999999998</v>
      </c>
      <c r="I16" s="343">
        <f>'F5'!I16*10%</f>
        <v>0</v>
      </c>
      <c r="J16" s="343">
        <f>'F5'!J16*10%</f>
        <v>0</v>
      </c>
      <c r="K16" s="343">
        <f>'F5'!K16*10%</f>
        <v>0</v>
      </c>
      <c r="L16" s="343">
        <f>H16+I16-J16+K16</f>
        <v>0.22999999999999998</v>
      </c>
      <c r="M16" s="343">
        <f>L16</f>
        <v>0.22999999999999998</v>
      </c>
      <c r="N16" s="343">
        <f>'F5'!N16*10%</f>
        <v>0</v>
      </c>
      <c r="O16" s="343">
        <f>'F5'!O16*10%</f>
        <v>0</v>
      </c>
      <c r="P16" s="343">
        <f>M16+N16-O16</f>
        <v>0.22999999999999998</v>
      </c>
    </row>
    <row r="17" spans="2:16" s="8" customFormat="1" x14ac:dyDescent="0.3">
      <c r="B17" s="63">
        <v>2</v>
      </c>
      <c r="C17" s="295" t="s">
        <v>943</v>
      </c>
      <c r="D17" s="355">
        <f>'F5'!D17*10%</f>
        <v>8.0239999999999991</v>
      </c>
      <c r="E17" s="355">
        <f>'F5'!E17*10%</f>
        <v>0.28199999999999997</v>
      </c>
      <c r="F17" s="355">
        <f>'F5'!F17*10%</f>
        <v>0</v>
      </c>
      <c r="G17" s="355">
        <f t="shared" ref="G17:G26" si="0">D17+E17-F17</f>
        <v>8.3059999999999992</v>
      </c>
      <c r="H17" s="343">
        <f t="shared" ref="H17:H26" si="1">G17</f>
        <v>8.3059999999999992</v>
      </c>
      <c r="I17" s="343">
        <f>'F5'!I17*10%</f>
        <v>9.1000000000000011E-2</v>
      </c>
      <c r="J17" s="343">
        <f>'F5'!J17*10%</f>
        <v>0</v>
      </c>
      <c r="K17" s="343">
        <f>'F5'!K17*10%</f>
        <v>-5.000000000000001E-3</v>
      </c>
      <c r="L17" s="343">
        <f t="shared" ref="L17:L26" si="2">H17+I17-J17+K17</f>
        <v>8.3919999999999977</v>
      </c>
      <c r="M17" s="343">
        <f t="shared" ref="M17:M26" si="3">L17</f>
        <v>8.3919999999999977</v>
      </c>
      <c r="N17" s="343">
        <f>'F5'!N17*10%</f>
        <v>0.27310108629999996</v>
      </c>
      <c r="O17" s="343">
        <f>'F5'!O17*10%</f>
        <v>4.4562209999999999E-4</v>
      </c>
      <c r="P17" s="343">
        <f t="shared" ref="P17:P26" si="4">M17+N17-O17</f>
        <v>8.6646554641999973</v>
      </c>
    </row>
    <row r="18" spans="2:16" s="8" customFormat="1" x14ac:dyDescent="0.3">
      <c r="B18" s="63">
        <v>3</v>
      </c>
      <c r="C18" s="295" t="s">
        <v>944</v>
      </c>
      <c r="D18" s="355">
        <f>'F5'!D18*10%</f>
        <v>112.27899999999998</v>
      </c>
      <c r="E18" s="355">
        <f>'F5'!E18*10%</f>
        <v>7.8069999999999995</v>
      </c>
      <c r="F18" s="355">
        <f>'F5'!F18*10%</f>
        <v>0.11200000000000002</v>
      </c>
      <c r="G18" s="355">
        <f t="shared" si="0"/>
        <v>119.97399999999999</v>
      </c>
      <c r="H18" s="343">
        <f t="shared" si="1"/>
        <v>119.97399999999999</v>
      </c>
      <c r="I18" s="343">
        <f>'F5'!I18*10%</f>
        <v>3.7770000000000006</v>
      </c>
      <c r="J18" s="343">
        <f>'F5'!J18*10%</f>
        <v>0.40900000000000003</v>
      </c>
      <c r="K18" s="343">
        <f>'F5'!K18*10%</f>
        <v>-0.43600000000000005</v>
      </c>
      <c r="L18" s="343">
        <f t="shared" si="2"/>
        <v>122.90599999999998</v>
      </c>
      <c r="M18" s="343">
        <f t="shared" si="3"/>
        <v>122.90599999999998</v>
      </c>
      <c r="N18" s="343">
        <f>'F5'!N18*10%</f>
        <v>3.5965802568999998</v>
      </c>
      <c r="O18" s="343">
        <f>'F5'!O18*10%</f>
        <v>0.3174314694</v>
      </c>
      <c r="P18" s="343">
        <f t="shared" si="4"/>
        <v>126.18514878749997</v>
      </c>
    </row>
    <row r="19" spans="2:16" s="8" customFormat="1" x14ac:dyDescent="0.3">
      <c r="B19" s="63">
        <v>4</v>
      </c>
      <c r="C19" s="295" t="s">
        <v>945</v>
      </c>
      <c r="D19" s="355">
        <f>'F5'!D19*10%</f>
        <v>102.11099999999999</v>
      </c>
      <c r="E19" s="355">
        <f>'F5'!E19*10%</f>
        <v>8.9770000000000003</v>
      </c>
      <c r="F19" s="355">
        <f>'F5'!F19*10%</f>
        <v>0.125</v>
      </c>
      <c r="G19" s="355">
        <f t="shared" si="0"/>
        <v>110.96299999999999</v>
      </c>
      <c r="H19" s="343">
        <f t="shared" si="1"/>
        <v>110.96299999999999</v>
      </c>
      <c r="I19" s="343">
        <f>'F5'!I19*10%</f>
        <v>7.8650000000000011</v>
      </c>
      <c r="J19" s="343">
        <f>'F5'!J19*10%</f>
        <v>0.14599999999999999</v>
      </c>
      <c r="K19" s="343">
        <f>'F5'!K19*10%</f>
        <v>-0.20400000000000001</v>
      </c>
      <c r="L19" s="343">
        <f t="shared" si="2"/>
        <v>118.47799999999999</v>
      </c>
      <c r="M19" s="343">
        <f t="shared" si="3"/>
        <v>118.47799999999999</v>
      </c>
      <c r="N19" s="343">
        <f>'F5'!N19*10%</f>
        <v>5.5033766552000012</v>
      </c>
      <c r="O19" s="343">
        <f>'F5'!O19*10%</f>
        <v>0.13665804000000001</v>
      </c>
      <c r="P19" s="343">
        <f t="shared" si="4"/>
        <v>123.84471861519999</v>
      </c>
    </row>
    <row r="20" spans="2:16" s="8" customFormat="1" x14ac:dyDescent="0.3">
      <c r="B20" s="63">
        <v>5</v>
      </c>
      <c r="C20" s="295" t="s">
        <v>946</v>
      </c>
      <c r="D20" s="355">
        <f>'F5'!D20*10%</f>
        <v>17.622</v>
      </c>
      <c r="E20" s="355">
        <f>'F5'!E20*10%</f>
        <v>1.1679999999999999</v>
      </c>
      <c r="F20" s="355">
        <f>'F5'!F20*10%</f>
        <v>1.5110000000000001</v>
      </c>
      <c r="G20" s="355">
        <f t="shared" si="0"/>
        <v>17.279</v>
      </c>
      <c r="H20" s="343">
        <f t="shared" si="1"/>
        <v>17.279</v>
      </c>
      <c r="I20" s="343">
        <f>'F5'!I20*10%</f>
        <v>0.63</v>
      </c>
      <c r="J20" s="343">
        <f>'F5'!J20*10%</f>
        <v>1.8860000000000001</v>
      </c>
      <c r="K20" s="343">
        <f>'F5'!K20*10%</f>
        <v>0</v>
      </c>
      <c r="L20" s="343">
        <f t="shared" si="2"/>
        <v>16.023</v>
      </c>
      <c r="M20" s="343">
        <f t="shared" si="3"/>
        <v>16.023</v>
      </c>
      <c r="N20" s="343">
        <f>'F5'!N20*10%</f>
        <v>1.4615692192</v>
      </c>
      <c r="O20" s="343">
        <f>'F5'!O20*10%</f>
        <v>1.4581991098</v>
      </c>
      <c r="P20" s="343">
        <f t="shared" si="4"/>
        <v>16.026370109400002</v>
      </c>
    </row>
    <row r="21" spans="2:16" s="8" customFormat="1" x14ac:dyDescent="0.3">
      <c r="B21" s="63">
        <v>6</v>
      </c>
      <c r="C21" s="295" t="s">
        <v>947</v>
      </c>
      <c r="D21" s="355">
        <f>'F5'!D21*10%</f>
        <v>9.2330000000000005</v>
      </c>
      <c r="E21" s="355">
        <f>'F5'!E21*10%</f>
        <v>5.5390000000000006</v>
      </c>
      <c r="F21" s="355">
        <f>'F5'!F21*10%</f>
        <v>0</v>
      </c>
      <c r="G21" s="355">
        <f t="shared" si="0"/>
        <v>14.772000000000002</v>
      </c>
      <c r="H21" s="343">
        <f t="shared" si="1"/>
        <v>14.772000000000002</v>
      </c>
      <c r="I21" s="343">
        <f>'F5'!I21*10%</f>
        <v>0.49900000000000005</v>
      </c>
      <c r="J21" s="343">
        <f>'F5'!J21*10%</f>
        <v>0</v>
      </c>
      <c r="K21" s="343">
        <f>'F5'!K21*10%</f>
        <v>0</v>
      </c>
      <c r="L21" s="343">
        <f t="shared" si="2"/>
        <v>15.271000000000003</v>
      </c>
      <c r="M21" s="343">
        <f t="shared" si="3"/>
        <v>15.271000000000003</v>
      </c>
      <c r="N21" s="343">
        <f>'F5'!N21*10%</f>
        <v>0.95876542500000006</v>
      </c>
      <c r="O21" s="343">
        <f>'F5'!O21*10%</f>
        <v>0</v>
      </c>
      <c r="P21" s="343">
        <f t="shared" si="4"/>
        <v>16.229765425000004</v>
      </c>
    </row>
    <row r="22" spans="2:16" s="8" customFormat="1" x14ac:dyDescent="0.3">
      <c r="B22" s="63">
        <v>7</v>
      </c>
      <c r="C22" s="296" t="s">
        <v>948</v>
      </c>
      <c r="D22" s="355">
        <f>'F5'!D22*10%</f>
        <v>4.0000000000000001E-3</v>
      </c>
      <c r="E22" s="355">
        <f>'F5'!E22*10%</f>
        <v>0</v>
      </c>
      <c r="F22" s="355">
        <f>'F5'!F22*10%</f>
        <v>0</v>
      </c>
      <c r="G22" s="355">
        <f t="shared" si="0"/>
        <v>4.0000000000000001E-3</v>
      </c>
      <c r="H22" s="343">
        <f t="shared" si="1"/>
        <v>4.0000000000000001E-3</v>
      </c>
      <c r="I22" s="343">
        <f>'F5'!I22*10%</f>
        <v>0</v>
      </c>
      <c r="J22" s="343">
        <f>'F5'!J22*10%</f>
        <v>0</v>
      </c>
      <c r="K22" s="343">
        <f>'F5'!K22*10%</f>
        <v>0</v>
      </c>
      <c r="L22" s="343">
        <f t="shared" si="2"/>
        <v>4.0000000000000001E-3</v>
      </c>
      <c r="M22" s="343">
        <f t="shared" si="3"/>
        <v>4.0000000000000001E-3</v>
      </c>
      <c r="N22" s="343">
        <f>'F5'!N22*10%</f>
        <v>0</v>
      </c>
      <c r="O22" s="343">
        <f>'F5'!O22*10%</f>
        <v>0</v>
      </c>
      <c r="P22" s="343">
        <f t="shared" si="4"/>
        <v>4.0000000000000001E-3</v>
      </c>
    </row>
    <row r="23" spans="2:16" x14ac:dyDescent="0.3">
      <c r="B23" s="63">
        <v>8</v>
      </c>
      <c r="C23" s="295" t="s">
        <v>949</v>
      </c>
      <c r="D23" s="355">
        <f>'F5'!D23*10%</f>
        <v>1.444</v>
      </c>
      <c r="E23" s="355">
        <f>'F5'!E23*10%</f>
        <v>3.2000000000000001E-2</v>
      </c>
      <c r="F23" s="355">
        <f>'F5'!F23*10%</f>
        <v>0.10900000000000001</v>
      </c>
      <c r="G23" s="355">
        <f t="shared" si="0"/>
        <v>1.367</v>
      </c>
      <c r="H23" s="343">
        <f t="shared" si="1"/>
        <v>1.367</v>
      </c>
      <c r="I23" s="343">
        <f>'F5'!I23*10%</f>
        <v>1.4999999999999999E-2</v>
      </c>
      <c r="J23" s="343">
        <f>'F5'!J23*10%</f>
        <v>0</v>
      </c>
      <c r="K23" s="343">
        <f>'F5'!K23*10%</f>
        <v>0</v>
      </c>
      <c r="L23" s="343">
        <f t="shared" si="2"/>
        <v>1.3819999999999999</v>
      </c>
      <c r="M23" s="343">
        <f t="shared" si="3"/>
        <v>1.3819999999999999</v>
      </c>
      <c r="N23" s="343">
        <f>'F5'!N23*10%</f>
        <v>0</v>
      </c>
      <c r="O23" s="343">
        <f>'F5'!O23*10%</f>
        <v>0</v>
      </c>
      <c r="P23" s="343">
        <f t="shared" si="4"/>
        <v>1.3819999999999999</v>
      </c>
    </row>
    <row r="24" spans="2:16" x14ac:dyDescent="0.3">
      <c r="B24" s="63">
        <v>9</v>
      </c>
      <c r="C24" s="295" t="s">
        <v>950</v>
      </c>
      <c r="D24" s="355">
        <f>'F5'!D24*10%</f>
        <v>3.1080000000000005</v>
      </c>
      <c r="E24" s="355">
        <f>'F5'!E24*10%</f>
        <v>0.7320000000000001</v>
      </c>
      <c r="F24" s="355">
        <f>'F5'!F24*10%</f>
        <v>5.2000000000000005E-2</v>
      </c>
      <c r="G24" s="355">
        <f t="shared" si="0"/>
        <v>3.7880000000000007</v>
      </c>
      <c r="H24" s="343">
        <f t="shared" si="1"/>
        <v>3.7880000000000007</v>
      </c>
      <c r="I24" s="343">
        <f>'F5'!I24*10%</f>
        <v>0.60400000000000009</v>
      </c>
      <c r="J24" s="343">
        <f>'F5'!J24*10%</f>
        <v>0</v>
      </c>
      <c r="K24" s="343">
        <f>'F5'!K24*10%</f>
        <v>1.3000000000000001E-2</v>
      </c>
      <c r="L24" s="343">
        <f t="shared" si="2"/>
        <v>4.4050000000000011</v>
      </c>
      <c r="M24" s="343">
        <f t="shared" si="3"/>
        <v>4.4050000000000011</v>
      </c>
      <c r="N24" s="343">
        <f>'F5'!N24*10%</f>
        <v>0.47741385000000003</v>
      </c>
      <c r="O24" s="343">
        <f>'F5'!O24*10%</f>
        <v>3.9607126000000001E-3</v>
      </c>
      <c r="P24" s="343">
        <f t="shared" si="4"/>
        <v>4.8784531374000011</v>
      </c>
    </row>
    <row r="25" spans="2:16" x14ac:dyDescent="0.3">
      <c r="B25" s="63">
        <v>10</v>
      </c>
      <c r="C25" s="295" t="s">
        <v>951</v>
      </c>
      <c r="D25" s="355">
        <f>'F5'!D25*10%</f>
        <v>2.5290000000000004</v>
      </c>
      <c r="E25" s="355">
        <f>'F5'!E25*10%</f>
        <v>8.5000000000000006E-2</v>
      </c>
      <c r="F25" s="355">
        <f>'F5'!F25*10%</f>
        <v>1E-3</v>
      </c>
      <c r="G25" s="355">
        <f t="shared" si="0"/>
        <v>2.6130000000000004</v>
      </c>
      <c r="H25" s="343">
        <f t="shared" si="1"/>
        <v>2.6130000000000004</v>
      </c>
      <c r="I25" s="343">
        <f>'F5'!I25*10%</f>
        <v>0.10300000000000001</v>
      </c>
      <c r="J25" s="343">
        <f>'F5'!J25*10%</f>
        <v>1.2E-2</v>
      </c>
      <c r="K25" s="343">
        <f>'F5'!K25*10%</f>
        <v>0</v>
      </c>
      <c r="L25" s="343">
        <f t="shared" si="2"/>
        <v>2.7040000000000006</v>
      </c>
      <c r="M25" s="343">
        <f t="shared" si="3"/>
        <v>2.7040000000000006</v>
      </c>
      <c r="N25" s="343">
        <f>'F5'!N25*10%</f>
        <v>6.3022882700000005E-2</v>
      </c>
      <c r="O25" s="343">
        <f>'F5'!O25*10%</f>
        <v>3.1862361700000001E-2</v>
      </c>
      <c r="P25" s="343">
        <f t="shared" si="4"/>
        <v>2.7351605210000005</v>
      </c>
    </row>
    <row r="26" spans="2:16" s="1" customFormat="1" x14ac:dyDescent="0.3">
      <c r="B26" s="63">
        <v>11</v>
      </c>
      <c r="C26" s="37" t="s">
        <v>952</v>
      </c>
      <c r="D26" s="355">
        <f>'F5'!D26*10%</f>
        <v>4.8490000000000002</v>
      </c>
      <c r="E26" s="355">
        <f>'F5'!E26*10%</f>
        <v>2.6000000000000002E-2</v>
      </c>
      <c r="F26" s="355">
        <f>'F5'!F26*10%</f>
        <v>4.8000000000000001E-2</v>
      </c>
      <c r="G26" s="355">
        <f t="shared" si="0"/>
        <v>4.827</v>
      </c>
      <c r="H26" s="343">
        <f t="shared" si="1"/>
        <v>4.827</v>
      </c>
      <c r="I26" s="343">
        <f>'F5'!I26*10%</f>
        <v>4.7E-2</v>
      </c>
      <c r="J26" s="343">
        <f>'F5'!J26*10%</f>
        <v>2.4E-2</v>
      </c>
      <c r="K26" s="343">
        <f>'F5'!K26*10%</f>
        <v>0</v>
      </c>
      <c r="L26" s="343">
        <f t="shared" si="2"/>
        <v>4.8499999999999996</v>
      </c>
      <c r="M26" s="343">
        <f t="shared" si="3"/>
        <v>4.8499999999999996</v>
      </c>
      <c r="N26" s="343">
        <f>'F5'!N26*10%</f>
        <v>3.4317011700000004E-2</v>
      </c>
      <c r="O26" s="343">
        <f>'F5'!O26*10%</f>
        <v>2.1562829000000006E-2</v>
      </c>
      <c r="P26" s="343">
        <f t="shared" si="4"/>
        <v>4.8627541826999998</v>
      </c>
    </row>
    <row r="27" spans="2:16" s="1" customFormat="1" ht="16" x14ac:dyDescent="0.3">
      <c r="B27" s="59"/>
      <c r="C27" s="67" t="s">
        <v>145</v>
      </c>
      <c r="D27" s="357">
        <f t="shared" ref="D27:P27" si="5">SUM(D16:D26)</f>
        <v>261.43299999999994</v>
      </c>
      <c r="E27" s="357">
        <f t="shared" si="5"/>
        <v>24.648</v>
      </c>
      <c r="F27" s="357">
        <f t="shared" si="5"/>
        <v>1.9580000000000002</v>
      </c>
      <c r="G27" s="357">
        <f t="shared" si="5"/>
        <v>284.12300000000005</v>
      </c>
      <c r="H27" s="357">
        <f t="shared" si="5"/>
        <v>284.12300000000005</v>
      </c>
      <c r="I27" s="357">
        <f t="shared" si="5"/>
        <v>13.631000000000006</v>
      </c>
      <c r="J27" s="357">
        <f t="shared" si="5"/>
        <v>2.4770000000000003</v>
      </c>
      <c r="K27" s="357">
        <f t="shared" si="5"/>
        <v>-0.63200000000000001</v>
      </c>
      <c r="L27" s="357">
        <f t="shared" si="5"/>
        <v>294.64500000000004</v>
      </c>
      <c r="M27" s="357">
        <f t="shared" si="5"/>
        <v>294.64500000000004</v>
      </c>
      <c r="N27" s="357">
        <f t="shared" si="5"/>
        <v>12.368146386999999</v>
      </c>
      <c r="O27" s="357">
        <f t="shared" si="5"/>
        <v>1.9701201446000001</v>
      </c>
      <c r="P27" s="357">
        <f t="shared" si="5"/>
        <v>305.04302624239995</v>
      </c>
    </row>
    <row r="28" spans="2:16" s="1" customFormat="1" x14ac:dyDescent="0.3">
      <c r="B28" s="283"/>
      <c r="C28" s="10"/>
      <c r="D28" s="536"/>
      <c r="E28" s="536"/>
      <c r="F28" s="536"/>
      <c r="G28" s="536"/>
      <c r="H28" s="425"/>
      <c r="I28" s="512"/>
      <c r="J28" s="425"/>
      <c r="K28" s="512"/>
      <c r="L28" s="512"/>
      <c r="M28" s="425"/>
      <c r="N28" s="425"/>
      <c r="O28" s="425"/>
    </row>
    <row r="29" spans="2:16" s="1" customFormat="1" x14ac:dyDescent="0.3">
      <c r="B29" s="297" t="s">
        <v>765</v>
      </c>
      <c r="C29" s="298"/>
      <c r="D29" s="543"/>
      <c r="E29" s="543"/>
      <c r="F29" s="543"/>
      <c r="G29" s="536"/>
      <c r="H29" s="425"/>
      <c r="I29" s="512"/>
      <c r="J29" s="425"/>
      <c r="K29" s="512"/>
      <c r="L29" s="512"/>
      <c r="M29" s="425"/>
      <c r="N29" s="425"/>
      <c r="O29" s="425"/>
    </row>
    <row r="30" spans="2:16" x14ac:dyDescent="0.3">
      <c r="B30" s="283"/>
      <c r="C30" s="10"/>
      <c r="D30" s="536"/>
      <c r="E30" s="536"/>
      <c r="F30" s="536"/>
      <c r="G30" s="536"/>
      <c r="H30" s="425"/>
      <c r="I30" s="512"/>
      <c r="J30" s="425"/>
      <c r="K30" s="512"/>
      <c r="L30" s="512"/>
      <c r="M30" s="425"/>
      <c r="N30" s="425"/>
      <c r="O30" s="425"/>
    </row>
    <row r="31" spans="2:16" x14ac:dyDescent="0.3">
      <c r="B31" s="283"/>
      <c r="C31" s="10"/>
      <c r="D31" s="536"/>
      <c r="E31" s="536"/>
      <c r="F31" s="536"/>
      <c r="G31" s="536"/>
      <c r="H31" s="425"/>
      <c r="I31" s="512"/>
      <c r="J31" s="425"/>
      <c r="K31" s="512"/>
      <c r="L31" s="512"/>
      <c r="M31" s="425"/>
      <c r="N31" s="425"/>
      <c r="O31" s="535" t="s">
        <v>16</v>
      </c>
    </row>
    <row r="32" spans="2:16" ht="15.75" customHeight="1" x14ac:dyDescent="0.3">
      <c r="B32" s="2351" t="s">
        <v>187</v>
      </c>
      <c r="C32" s="2351" t="s">
        <v>50</v>
      </c>
      <c r="D32" s="2192" t="s">
        <v>427</v>
      </c>
      <c r="E32" s="2192"/>
      <c r="F32" s="2192"/>
      <c r="G32" s="2192"/>
      <c r="H32" s="2192" t="s">
        <v>428</v>
      </c>
      <c r="I32" s="2192"/>
      <c r="J32" s="2192"/>
      <c r="K32" s="2192"/>
      <c r="L32" s="2192" t="s">
        <v>429</v>
      </c>
      <c r="M32" s="2192"/>
      <c r="N32" s="2192"/>
      <c r="O32" s="2192"/>
    </row>
    <row r="33" spans="1:18" ht="15.75" customHeight="1" x14ac:dyDescent="0.35">
      <c r="A33" s="733"/>
      <c r="B33" s="2351"/>
      <c r="C33" s="2351"/>
      <c r="D33" s="2357" t="s">
        <v>31</v>
      </c>
      <c r="E33" s="2359"/>
      <c r="F33" s="2359"/>
      <c r="G33" s="2359"/>
      <c r="H33" s="2357" t="s">
        <v>31</v>
      </c>
      <c r="I33" s="2359"/>
      <c r="J33" s="2359"/>
      <c r="K33" s="2359"/>
      <c r="L33" s="2357" t="s">
        <v>31</v>
      </c>
      <c r="M33" s="2359"/>
      <c r="N33" s="2359"/>
      <c r="O33" s="2359"/>
    </row>
    <row r="34" spans="1:18" s="35" customFormat="1" ht="42" x14ac:dyDescent="0.3">
      <c r="B34" s="2351"/>
      <c r="C34" s="2351"/>
      <c r="D34" s="488" t="s">
        <v>141</v>
      </c>
      <c r="E34" s="488" t="s">
        <v>142</v>
      </c>
      <c r="F34" s="488" t="s">
        <v>143</v>
      </c>
      <c r="G34" s="488" t="s">
        <v>144</v>
      </c>
      <c r="H34" s="488" t="s">
        <v>141</v>
      </c>
      <c r="I34" s="488" t="s">
        <v>142</v>
      </c>
      <c r="J34" s="488" t="s">
        <v>143</v>
      </c>
      <c r="K34" s="488" t="s">
        <v>144</v>
      </c>
      <c r="L34" s="488" t="s">
        <v>141</v>
      </c>
      <c r="M34" s="488" t="s">
        <v>142</v>
      </c>
      <c r="N34" s="488" t="s">
        <v>143</v>
      </c>
      <c r="O34" s="488" t="s">
        <v>144</v>
      </c>
    </row>
    <row r="35" spans="1:18" s="36" customFormat="1" x14ac:dyDescent="0.25">
      <c r="B35" s="282"/>
      <c r="C35" s="282"/>
      <c r="D35" s="488" t="s">
        <v>782</v>
      </c>
      <c r="E35" s="488" t="s">
        <v>583</v>
      </c>
      <c r="F35" s="488" t="s">
        <v>760</v>
      </c>
      <c r="G35" s="488" t="s">
        <v>783</v>
      </c>
      <c r="H35" s="488" t="s">
        <v>585</v>
      </c>
      <c r="I35" s="488" t="s">
        <v>761</v>
      </c>
      <c r="J35" s="488" t="s">
        <v>784</v>
      </c>
      <c r="K35" s="488" t="s">
        <v>785</v>
      </c>
      <c r="L35" s="488" t="s">
        <v>762</v>
      </c>
      <c r="M35" s="488" t="s">
        <v>763</v>
      </c>
      <c r="N35" s="488" t="s">
        <v>764</v>
      </c>
      <c r="O35" s="488" t="s">
        <v>786</v>
      </c>
    </row>
    <row r="36" spans="1:18" s="8" customFormat="1" x14ac:dyDescent="0.3">
      <c r="B36" s="63">
        <v>1</v>
      </c>
      <c r="C36" s="295" t="s">
        <v>942</v>
      </c>
      <c r="D36" s="355">
        <f t="shared" ref="D36:D46" si="6">P16</f>
        <v>0.22999999999999998</v>
      </c>
      <c r="E36" s="355">
        <f>'F5'!E36*10%</f>
        <v>0</v>
      </c>
      <c r="F36" s="355">
        <f>'F5'!F36*10%</f>
        <v>0</v>
      </c>
      <c r="G36" s="355">
        <f>D36+E36-F36</f>
        <v>0.22999999999999998</v>
      </c>
      <c r="H36" s="343">
        <f>G36</f>
        <v>0.22999999999999998</v>
      </c>
      <c r="I36" s="355">
        <f>'F5'!I36*10%</f>
        <v>0</v>
      </c>
      <c r="J36" s="355">
        <f>'F5'!J36*10%</f>
        <v>0</v>
      </c>
      <c r="K36" s="355">
        <f>H36+I36-J36</f>
        <v>0.22999999999999998</v>
      </c>
      <c r="L36" s="343">
        <f>K36</f>
        <v>0.22999999999999998</v>
      </c>
      <c r="M36" s="355">
        <f>'F5'!M36*10%</f>
        <v>0</v>
      </c>
      <c r="N36" s="355">
        <f>'F5'!N36*10%</f>
        <v>0</v>
      </c>
      <c r="O36" s="355">
        <f>L36+M36-N36</f>
        <v>0.22999999999999998</v>
      </c>
    </row>
    <row r="37" spans="1:18" s="8" customFormat="1" x14ac:dyDescent="0.3">
      <c r="B37" s="63">
        <v>2</v>
      </c>
      <c r="C37" s="295" t="s">
        <v>943</v>
      </c>
      <c r="D37" s="355">
        <f t="shared" si="6"/>
        <v>8.6646554641999973</v>
      </c>
      <c r="E37" s="355">
        <f>'F5'!E37*10%</f>
        <v>0.31670783626219856</v>
      </c>
      <c r="F37" s="355">
        <f>'F5'!F37*10%</f>
        <v>4.4562209999999999E-4</v>
      </c>
      <c r="G37" s="355">
        <f t="shared" ref="G37:G46" si="7">D37+E37-F37</f>
        <v>8.9809176783621947</v>
      </c>
      <c r="H37" s="343">
        <f t="shared" ref="H37:H46" si="8">G37</f>
        <v>8.9809176783621947</v>
      </c>
      <c r="I37" s="355">
        <f>'F5'!I37*10%</f>
        <v>2.1212058806728495</v>
      </c>
      <c r="J37" s="355">
        <f>'F5'!J37*10%</f>
        <v>4.4562209999999999E-4</v>
      </c>
      <c r="K37" s="355">
        <f t="shared" ref="K37:K46" si="9">H37+I37-J37</f>
        <v>11.101677936935044</v>
      </c>
      <c r="L37" s="343">
        <f t="shared" ref="L37:L46" si="10">K37</f>
        <v>11.101677936935044</v>
      </c>
      <c r="M37" s="355">
        <f>'F5'!M37*10%</f>
        <v>1.8284361709414345</v>
      </c>
      <c r="N37" s="355">
        <f>'F5'!N37*10%</f>
        <v>4.4562209999999999E-4</v>
      </c>
      <c r="O37" s="355">
        <f t="shared" ref="O37:O46" si="11">L37+M37-N37</f>
        <v>12.929668485776478</v>
      </c>
    </row>
    <row r="38" spans="1:18" s="8" customFormat="1" ht="14.5" x14ac:dyDescent="0.3">
      <c r="B38" s="786">
        <v>3</v>
      </c>
      <c r="C38" s="295" t="s">
        <v>944</v>
      </c>
      <c r="D38" s="355">
        <f t="shared" si="6"/>
        <v>126.18514878749997</v>
      </c>
      <c r="E38" s="355">
        <f>'F5'!E38*10%</f>
        <v>4.1708554386886787</v>
      </c>
      <c r="F38" s="355">
        <f>'F5'!F38*10%</f>
        <v>0.3174314694</v>
      </c>
      <c r="G38" s="355">
        <f t="shared" si="7"/>
        <v>130.03857275678865</v>
      </c>
      <c r="H38" s="343">
        <f t="shared" si="8"/>
        <v>130.03857275678865</v>
      </c>
      <c r="I38" s="355">
        <f>'F5'!I38*10%</f>
        <v>27.935030558126893</v>
      </c>
      <c r="J38" s="355">
        <f>'F5'!J38*10%</f>
        <v>0.3174314694</v>
      </c>
      <c r="K38" s="355">
        <f t="shared" si="9"/>
        <v>157.65617184551556</v>
      </c>
      <c r="L38" s="343">
        <f t="shared" si="10"/>
        <v>157.65617184551556</v>
      </c>
      <c r="M38" s="355">
        <f>'F5'!M38*10%</f>
        <v>24.079426129363583</v>
      </c>
      <c r="N38" s="355">
        <f>'F5'!N38*10%</f>
        <v>0.3174314694</v>
      </c>
      <c r="O38" s="355">
        <f t="shared" si="11"/>
        <v>181.41816650547915</v>
      </c>
    </row>
    <row r="39" spans="1:18" s="8" customFormat="1" x14ac:dyDescent="0.3">
      <c r="B39" s="63">
        <v>4</v>
      </c>
      <c r="C39" s="295" t="s">
        <v>945</v>
      </c>
      <c r="D39" s="355">
        <f t="shared" si="6"/>
        <v>123.84471861519999</v>
      </c>
      <c r="E39" s="355">
        <f>'F5'!E39*10%</f>
        <v>6.3821149019145746</v>
      </c>
      <c r="F39" s="355">
        <f>'F5'!F39*10%</f>
        <v>0.13665804000000001</v>
      </c>
      <c r="G39" s="355">
        <f t="shared" si="7"/>
        <v>130.09017547711457</v>
      </c>
      <c r="H39" s="343">
        <f t="shared" si="8"/>
        <v>130.09017547711457</v>
      </c>
      <c r="I39" s="355">
        <f>'F5'!I39*10%</f>
        <v>42.745325852509879</v>
      </c>
      <c r="J39" s="355">
        <f>'F5'!J39*10%</f>
        <v>0.13665804000000001</v>
      </c>
      <c r="K39" s="355">
        <f t="shared" si="9"/>
        <v>172.69884328962445</v>
      </c>
      <c r="L39" s="343">
        <f t="shared" si="10"/>
        <v>172.69884328962445</v>
      </c>
      <c r="M39" s="355">
        <f>'F5'!M39*10%</f>
        <v>36.845598364367881</v>
      </c>
      <c r="N39" s="355">
        <f>'F5'!N39*10%</f>
        <v>0.13665804000000001</v>
      </c>
      <c r="O39" s="355">
        <f t="shared" si="11"/>
        <v>209.40778361399234</v>
      </c>
    </row>
    <row r="40" spans="1:18" s="8" customFormat="1" x14ac:dyDescent="0.3">
      <c r="B40" s="63">
        <v>5</v>
      </c>
      <c r="C40" s="295" t="s">
        <v>946</v>
      </c>
      <c r="D40" s="355">
        <f t="shared" si="6"/>
        <v>16.026370109400002</v>
      </c>
      <c r="E40" s="355">
        <f>'F5'!E40*10%</f>
        <v>1.6949417200478676</v>
      </c>
      <c r="F40" s="355">
        <f>'F5'!F40*10%</f>
        <v>1.4581991098</v>
      </c>
      <c r="G40" s="355">
        <f t="shared" si="7"/>
        <v>16.263112719647872</v>
      </c>
      <c r="H40" s="343">
        <f t="shared" si="8"/>
        <v>16.263112719647872</v>
      </c>
      <c r="I40" s="355">
        <f>'F5'!I40*10%</f>
        <v>11.352167304716671</v>
      </c>
      <c r="J40" s="355">
        <f>'F5'!J40*10%</f>
        <v>1.4581991098</v>
      </c>
      <c r="K40" s="355">
        <f t="shared" si="9"/>
        <v>26.157080914564546</v>
      </c>
      <c r="L40" s="343">
        <f t="shared" si="10"/>
        <v>26.157080914564546</v>
      </c>
      <c r="M40" s="355">
        <f>'F5'!M40*10%</f>
        <v>9.7853364954554234</v>
      </c>
      <c r="N40" s="355">
        <f>'F5'!N40*10%</f>
        <v>1.4581991098</v>
      </c>
      <c r="O40" s="355">
        <f t="shared" si="11"/>
        <v>34.484218300219972</v>
      </c>
    </row>
    <row r="41" spans="1:18" s="8" customFormat="1" x14ac:dyDescent="0.3">
      <c r="B41" s="63">
        <v>6</v>
      </c>
      <c r="C41" s="295" t="s">
        <v>947</v>
      </c>
      <c r="D41" s="355">
        <f t="shared" si="6"/>
        <v>16.229765425000004</v>
      </c>
      <c r="E41" s="355">
        <f>'F5'!E41*10%</f>
        <v>1.1118539561618626</v>
      </c>
      <c r="F41" s="355">
        <f>'F5'!F41*10%</f>
        <v>0</v>
      </c>
      <c r="G41" s="355">
        <f t="shared" si="7"/>
        <v>17.341619381161866</v>
      </c>
      <c r="H41" s="343">
        <f t="shared" si="8"/>
        <v>17.341619381161866</v>
      </c>
      <c r="I41" s="355">
        <f>'F5'!I41*10%</f>
        <v>7.4468354749118566</v>
      </c>
      <c r="J41" s="355">
        <f>'F5'!J41*10%</f>
        <v>0</v>
      </c>
      <c r="K41" s="355">
        <f t="shared" si="9"/>
        <v>24.788454856073724</v>
      </c>
      <c r="L41" s="343">
        <f t="shared" si="10"/>
        <v>24.788454856073724</v>
      </c>
      <c r="M41" s="355">
        <f>'F5'!M41*10%</f>
        <v>6.4190201740623296</v>
      </c>
      <c r="N41" s="355">
        <f>'F5'!N41*10%</f>
        <v>0</v>
      </c>
      <c r="O41" s="355">
        <f t="shared" si="11"/>
        <v>31.207475030136052</v>
      </c>
    </row>
    <row r="42" spans="1:18" s="8" customFormat="1" x14ac:dyDescent="0.3">
      <c r="B42" s="63">
        <v>7</v>
      </c>
      <c r="C42" s="296" t="s">
        <v>948</v>
      </c>
      <c r="D42" s="355">
        <f t="shared" si="6"/>
        <v>4.0000000000000001E-3</v>
      </c>
      <c r="E42" s="355">
        <f>'F5'!E42*10%</f>
        <v>0</v>
      </c>
      <c r="F42" s="355">
        <f>'F5'!F42*10%</f>
        <v>0</v>
      </c>
      <c r="G42" s="355">
        <f t="shared" si="7"/>
        <v>4.0000000000000001E-3</v>
      </c>
      <c r="H42" s="343">
        <f t="shared" si="8"/>
        <v>4.0000000000000001E-3</v>
      </c>
      <c r="I42" s="355">
        <f>'F5'!I42*10%</f>
        <v>0</v>
      </c>
      <c r="J42" s="355">
        <f>'F5'!J42*10%</f>
        <v>0</v>
      </c>
      <c r="K42" s="355">
        <f t="shared" si="9"/>
        <v>4.0000000000000001E-3</v>
      </c>
      <c r="L42" s="343">
        <f t="shared" si="10"/>
        <v>4.0000000000000001E-3</v>
      </c>
      <c r="M42" s="355">
        <f>'F5'!M42*10%</f>
        <v>0</v>
      </c>
      <c r="N42" s="355">
        <f>'F5'!N42*10%</f>
        <v>0</v>
      </c>
      <c r="O42" s="355">
        <f t="shared" si="11"/>
        <v>4.0000000000000001E-3</v>
      </c>
    </row>
    <row r="43" spans="1:18" s="8" customFormat="1" x14ac:dyDescent="0.3">
      <c r="B43" s="63">
        <v>8</v>
      </c>
      <c r="C43" s="295" t="s">
        <v>949</v>
      </c>
      <c r="D43" s="355">
        <f t="shared" si="6"/>
        <v>1.3819999999999999</v>
      </c>
      <c r="E43" s="355">
        <f>'F5'!E43*10%</f>
        <v>0</v>
      </c>
      <c r="F43" s="355">
        <f>'F5'!F43*10%</f>
        <v>0</v>
      </c>
      <c r="G43" s="355">
        <f t="shared" si="7"/>
        <v>1.3819999999999999</v>
      </c>
      <c r="H43" s="343">
        <f t="shared" si="8"/>
        <v>1.3819999999999999</v>
      </c>
      <c r="I43" s="355">
        <f>'F5'!I43*10%</f>
        <v>0</v>
      </c>
      <c r="J43" s="355">
        <f>'F5'!J43*10%</f>
        <v>0</v>
      </c>
      <c r="K43" s="355">
        <f t="shared" si="9"/>
        <v>1.3819999999999999</v>
      </c>
      <c r="L43" s="343">
        <f t="shared" si="10"/>
        <v>1.3819999999999999</v>
      </c>
      <c r="M43" s="355">
        <f>'F5'!M43*10%</f>
        <v>0</v>
      </c>
      <c r="N43" s="355">
        <f>'F5'!N43*10%</f>
        <v>0</v>
      </c>
      <c r="O43" s="355">
        <f t="shared" si="11"/>
        <v>1.3819999999999999</v>
      </c>
    </row>
    <row r="44" spans="1:18" x14ac:dyDescent="0.3">
      <c r="B44" s="63">
        <v>9</v>
      </c>
      <c r="C44" s="295" t="s">
        <v>950</v>
      </c>
      <c r="D44" s="355">
        <f t="shared" si="6"/>
        <v>4.8784531374000011</v>
      </c>
      <c r="E44" s="355">
        <f>'F5'!E44*10%</f>
        <v>0.55364374226257285</v>
      </c>
      <c r="F44" s="355">
        <f>'F5'!F44*10%</f>
        <v>3.9607126000000001E-3</v>
      </c>
      <c r="G44" s="355">
        <f t="shared" si="7"/>
        <v>5.4281361670625738</v>
      </c>
      <c r="H44" s="343">
        <f t="shared" si="8"/>
        <v>5.4281361670625738</v>
      </c>
      <c r="I44" s="355">
        <f>'F5'!I44*10%</f>
        <v>3.7081253679900357</v>
      </c>
      <c r="J44" s="355">
        <f>'F5'!J44*10%</f>
        <v>3.9607126000000001E-3</v>
      </c>
      <c r="K44" s="355">
        <f t="shared" si="9"/>
        <v>9.1323008224526099</v>
      </c>
      <c r="L44" s="343">
        <f t="shared" si="10"/>
        <v>9.1323008224526099</v>
      </c>
      <c r="M44" s="355">
        <f>'F5'!M44*10%</f>
        <v>3.1963283767004507</v>
      </c>
      <c r="N44" s="355">
        <f>'F5'!N44*10%</f>
        <v>3.9607126000000001E-3</v>
      </c>
      <c r="O44" s="355">
        <f t="shared" si="11"/>
        <v>12.32466848655306</v>
      </c>
    </row>
    <row r="45" spans="1:18" x14ac:dyDescent="0.3">
      <c r="B45" s="63">
        <v>10</v>
      </c>
      <c r="C45" s="295" t="s">
        <v>951</v>
      </c>
      <c r="D45" s="355">
        <f t="shared" si="6"/>
        <v>2.7351605210000005</v>
      </c>
      <c r="E45" s="355">
        <f>'F5'!E45*10%</f>
        <v>7.3085907805571962E-2</v>
      </c>
      <c r="F45" s="355">
        <f>'F5'!F45*10%</f>
        <v>3.1862361700000001E-2</v>
      </c>
      <c r="G45" s="355">
        <f t="shared" si="7"/>
        <v>2.7763840671055724</v>
      </c>
      <c r="H45" s="343">
        <f t="shared" si="8"/>
        <v>2.7763840671055724</v>
      </c>
      <c r="I45" s="355">
        <f>'F5'!I45*10%</f>
        <v>0.48950559373954139</v>
      </c>
      <c r="J45" s="355">
        <f>'F5'!J45*10%</f>
        <v>3.1862361700000001E-2</v>
      </c>
      <c r="K45" s="355">
        <f t="shared" si="9"/>
        <v>3.2340272991451138</v>
      </c>
      <c r="L45" s="343">
        <f t="shared" si="10"/>
        <v>3.2340272991451138</v>
      </c>
      <c r="M45" s="355">
        <f>'F5'!M45*10%</f>
        <v>0.42194382998204577</v>
      </c>
      <c r="N45" s="355">
        <f>'F5'!N45*10%</f>
        <v>3.1862361700000001E-2</v>
      </c>
      <c r="O45" s="355">
        <f t="shared" si="11"/>
        <v>3.6241087674271597</v>
      </c>
    </row>
    <row r="46" spans="1:18" s="1" customFormat="1" x14ac:dyDescent="0.3">
      <c r="B46" s="63">
        <v>11</v>
      </c>
      <c r="C46" s="37" t="s">
        <v>952</v>
      </c>
      <c r="D46" s="355">
        <f t="shared" si="6"/>
        <v>4.8627541826999998</v>
      </c>
      <c r="E46" s="355">
        <f>'F5'!E46*10%</f>
        <v>3.9796496856671623E-2</v>
      </c>
      <c r="F46" s="355">
        <f>'F5'!F46*10%</f>
        <v>2.1562829000000006E-2</v>
      </c>
      <c r="G46" s="355">
        <f t="shared" si="7"/>
        <v>4.8809878505566715</v>
      </c>
      <c r="H46" s="343">
        <f t="shared" si="8"/>
        <v>4.8809878505566715</v>
      </c>
      <c r="I46" s="355">
        <f>'F5'!I46*10%</f>
        <v>0.26654396733228597</v>
      </c>
      <c r="J46" s="355">
        <f>'F5'!J46*10%</f>
        <v>2.1562829000000006E-2</v>
      </c>
      <c r="K46" s="355">
        <f t="shared" si="9"/>
        <v>5.1259689888889577</v>
      </c>
      <c r="L46" s="343">
        <f t="shared" si="10"/>
        <v>5.1259689888889577</v>
      </c>
      <c r="M46" s="355">
        <f>'F5'!M46*10%</f>
        <v>0.22975545912685896</v>
      </c>
      <c r="N46" s="355">
        <f>'F5'!N46*10%</f>
        <v>2.1562829000000006E-2</v>
      </c>
      <c r="O46" s="355">
        <f t="shared" si="11"/>
        <v>5.3341616190158172</v>
      </c>
    </row>
    <row r="47" spans="1:18" s="1" customFormat="1" ht="16" x14ac:dyDescent="0.3">
      <c r="B47" s="59"/>
      <c r="C47" s="67" t="s">
        <v>145</v>
      </c>
      <c r="D47" s="357">
        <f>SUM(D36:D46)</f>
        <v>305.04302624239995</v>
      </c>
      <c r="E47" s="357">
        <f t="shared" ref="E47:O47" si="12">SUM(E36:E46)</f>
        <v>14.343</v>
      </c>
      <c r="F47" s="357">
        <f t="shared" si="12"/>
        <v>1.9701201446000001</v>
      </c>
      <c r="G47" s="357">
        <f t="shared" si="12"/>
        <v>317.41590609780008</v>
      </c>
      <c r="H47" s="357">
        <f t="shared" si="12"/>
        <v>317.41590609780008</v>
      </c>
      <c r="I47" s="357">
        <f t="shared" si="12"/>
        <v>96.06474</v>
      </c>
      <c r="J47" s="357">
        <f t="shared" si="12"/>
        <v>1.9701201446000001</v>
      </c>
      <c r="K47" s="357">
        <f t="shared" si="12"/>
        <v>411.51052595320004</v>
      </c>
      <c r="L47" s="357">
        <f t="shared" si="12"/>
        <v>411.51052595320004</v>
      </c>
      <c r="M47" s="357">
        <f t="shared" si="12"/>
        <v>82.805845000000005</v>
      </c>
      <c r="N47" s="357">
        <f t="shared" si="12"/>
        <v>1.9701201446000001</v>
      </c>
      <c r="O47" s="357">
        <f t="shared" si="12"/>
        <v>492.34625080860008</v>
      </c>
      <c r="P47" s="357"/>
    </row>
    <row r="48" spans="1:18" s="1" customFormat="1" ht="16" x14ac:dyDescent="0.3">
      <c r="B48" s="299"/>
      <c r="C48" s="299"/>
      <c r="D48" s="537"/>
      <c r="E48" s="537"/>
      <c r="F48" s="537"/>
      <c r="G48" s="537"/>
      <c r="H48" s="537"/>
      <c r="I48" s="537"/>
      <c r="J48" s="537"/>
      <c r="K48" s="537"/>
      <c r="L48" s="537"/>
      <c r="M48" s="537"/>
      <c r="N48" s="425"/>
      <c r="O48" s="425"/>
      <c r="P48" s="39"/>
      <c r="Q48" s="39"/>
      <c r="R48" s="39"/>
    </row>
    <row r="49" spans="2:18" ht="16" x14ac:dyDescent="0.3">
      <c r="B49" s="299"/>
      <c r="C49" s="299"/>
      <c r="D49" s="537"/>
      <c r="E49" s="537"/>
      <c r="F49" s="537"/>
      <c r="G49" s="537"/>
      <c r="H49" s="537"/>
      <c r="I49" s="537"/>
      <c r="J49" s="537"/>
      <c r="K49" s="537"/>
      <c r="L49" s="537"/>
      <c r="M49" s="537"/>
      <c r="N49" s="425"/>
      <c r="O49" s="425"/>
    </row>
    <row r="50" spans="2:18" s="1" customFormat="1" ht="16" x14ac:dyDescent="0.3">
      <c r="D50" s="425"/>
      <c r="E50" s="425"/>
      <c r="F50" s="425"/>
      <c r="G50" s="425"/>
      <c r="H50" s="425"/>
      <c r="I50" s="425"/>
      <c r="J50" s="425"/>
      <c r="K50" s="425"/>
      <c r="L50" s="425"/>
      <c r="M50" s="425"/>
      <c r="N50" s="425"/>
      <c r="O50" s="425"/>
      <c r="P50" s="39"/>
      <c r="Q50" s="39"/>
      <c r="R50" s="39"/>
    </row>
    <row r="51" spans="2:18" x14ac:dyDescent="0.3">
      <c r="B51" s="283" t="s">
        <v>146</v>
      </c>
      <c r="C51" s="1"/>
      <c r="D51" s="425"/>
      <c r="E51" s="425"/>
      <c r="F51" s="425"/>
      <c r="G51" s="425"/>
      <c r="H51" s="425"/>
      <c r="I51" s="425"/>
      <c r="J51" s="425"/>
      <c r="K51" s="425"/>
      <c r="L51" s="425"/>
      <c r="M51" s="425"/>
      <c r="N51" s="425"/>
      <c r="O51" s="425"/>
    </row>
    <row r="52" spans="2:18" x14ac:dyDescent="0.3">
      <c r="B52" s="283"/>
      <c r="C52" s="1"/>
      <c r="D52" s="425"/>
      <c r="E52" s="425"/>
      <c r="F52" s="425"/>
      <c r="G52" s="425"/>
      <c r="H52" s="425"/>
      <c r="I52" s="425"/>
      <c r="J52" s="425"/>
      <c r="K52" s="425"/>
      <c r="L52" s="425"/>
      <c r="M52" s="425"/>
      <c r="N52" s="425"/>
      <c r="O52" s="425"/>
    </row>
    <row r="53" spans="2:18" x14ac:dyDescent="0.3">
      <c r="B53" s="1"/>
      <c r="C53" s="1"/>
      <c r="D53" s="534"/>
      <c r="E53" s="534"/>
      <c r="F53" s="534"/>
      <c r="G53" s="534"/>
      <c r="H53" s="425"/>
      <c r="I53" s="512"/>
      <c r="J53" s="425"/>
      <c r="K53" s="512"/>
      <c r="L53" s="512"/>
      <c r="M53" s="425"/>
      <c r="N53" s="425"/>
      <c r="O53" s="535" t="s">
        <v>16</v>
      </c>
    </row>
    <row r="54" spans="2:18" ht="15" customHeight="1" x14ac:dyDescent="0.3">
      <c r="B54" s="2351" t="s">
        <v>187</v>
      </c>
      <c r="C54" s="2351" t="s">
        <v>50</v>
      </c>
      <c r="D54" s="2354" t="s">
        <v>179</v>
      </c>
      <c r="E54" s="2355"/>
      <c r="F54" s="2355"/>
      <c r="G54" s="2356"/>
      <c r="H54" s="2354" t="s">
        <v>186</v>
      </c>
      <c r="I54" s="2355"/>
      <c r="J54" s="2355"/>
      <c r="K54" s="2356"/>
      <c r="L54" s="2190" t="s">
        <v>426</v>
      </c>
      <c r="M54" s="2197"/>
      <c r="N54" s="2197"/>
      <c r="O54" s="2191"/>
    </row>
    <row r="55" spans="2:18" x14ac:dyDescent="0.3">
      <c r="B55" s="2351"/>
      <c r="C55" s="2351"/>
      <c r="D55" s="2357" t="s">
        <v>12</v>
      </c>
      <c r="E55" s="2358"/>
      <c r="F55" s="2358"/>
      <c r="G55" s="2358"/>
      <c r="H55" s="2357" t="s">
        <v>12</v>
      </c>
      <c r="I55" s="2358"/>
      <c r="J55" s="2358"/>
      <c r="K55" s="2358"/>
      <c r="L55" s="2357" t="s">
        <v>12</v>
      </c>
      <c r="M55" s="2358"/>
      <c r="N55" s="2358"/>
      <c r="O55" s="2358"/>
    </row>
    <row r="56" spans="2:18" ht="56" x14ac:dyDescent="0.3">
      <c r="B56" s="2351"/>
      <c r="C56" s="2351"/>
      <c r="D56" s="488" t="s">
        <v>147</v>
      </c>
      <c r="E56" s="488" t="s">
        <v>142</v>
      </c>
      <c r="F56" s="539" t="s">
        <v>148</v>
      </c>
      <c r="G56" s="488" t="s">
        <v>149</v>
      </c>
      <c r="H56" s="488" t="s">
        <v>147</v>
      </c>
      <c r="I56" s="488" t="s">
        <v>142</v>
      </c>
      <c r="J56" s="539" t="s">
        <v>148</v>
      </c>
      <c r="K56" s="488" t="s">
        <v>149</v>
      </c>
      <c r="L56" s="488" t="s">
        <v>147</v>
      </c>
      <c r="M56" s="488" t="s">
        <v>142</v>
      </c>
      <c r="N56" s="539" t="s">
        <v>148</v>
      </c>
      <c r="O56" s="488" t="s">
        <v>149</v>
      </c>
    </row>
    <row r="57" spans="2:18" x14ac:dyDescent="0.3">
      <c r="B57" s="282"/>
      <c r="C57" s="282"/>
      <c r="D57" s="488" t="s">
        <v>73</v>
      </c>
      <c r="E57" s="488" t="s">
        <v>74</v>
      </c>
      <c r="F57" s="488" t="s">
        <v>690</v>
      </c>
      <c r="G57" s="488" t="s">
        <v>779</v>
      </c>
      <c r="H57" s="488" t="s">
        <v>411</v>
      </c>
      <c r="I57" s="488" t="s">
        <v>412</v>
      </c>
      <c r="J57" s="488" t="s">
        <v>581</v>
      </c>
      <c r="K57" s="488" t="s">
        <v>780</v>
      </c>
      <c r="L57" s="488" t="s">
        <v>668</v>
      </c>
      <c r="M57" s="488" t="s">
        <v>582</v>
      </c>
      <c r="N57" s="488" t="s">
        <v>759</v>
      </c>
      <c r="O57" s="488" t="s">
        <v>781</v>
      </c>
    </row>
    <row r="58" spans="2:18" x14ac:dyDescent="0.3">
      <c r="B58" s="63">
        <v>1</v>
      </c>
      <c r="C58" s="295" t="s">
        <v>942</v>
      </c>
      <c r="D58" s="355">
        <f>10%*'F5'!D58</f>
        <v>0</v>
      </c>
      <c r="E58" s="355">
        <f>10%*'F5'!E58</f>
        <v>0</v>
      </c>
      <c r="F58" s="355">
        <f>10%*'F5'!F58</f>
        <v>0</v>
      </c>
      <c r="G58" s="355">
        <f>D58+E58-F58</f>
        <v>0</v>
      </c>
      <c r="H58" s="343">
        <f>G58</f>
        <v>0</v>
      </c>
      <c r="I58" s="355">
        <f>10%*'F5'!I58</f>
        <v>0</v>
      </c>
      <c r="J58" s="355">
        <f>10%*'F5'!J58</f>
        <v>0</v>
      </c>
      <c r="K58" s="355">
        <f>H58+I58-J58</f>
        <v>0</v>
      </c>
      <c r="L58" s="343">
        <f>K58</f>
        <v>0</v>
      </c>
      <c r="M58" s="355">
        <f>10%*'F5'!M58</f>
        <v>0</v>
      </c>
      <c r="N58" s="355">
        <f>10%*'F5'!N58</f>
        <v>0</v>
      </c>
      <c r="O58" s="355">
        <f>L58+M58-N58</f>
        <v>0</v>
      </c>
    </row>
    <row r="59" spans="2:18" x14ac:dyDescent="0.3">
      <c r="B59" s="63">
        <v>2</v>
      </c>
      <c r="C59" s="295" t="s">
        <v>943</v>
      </c>
      <c r="D59" s="355">
        <f>10%*'F5'!D59</f>
        <v>3.282</v>
      </c>
      <c r="E59" s="355">
        <f>10%*'F5'!E59</f>
        <v>0.26</v>
      </c>
      <c r="F59" s="355">
        <f>10%*'F5'!F59</f>
        <v>0</v>
      </c>
      <c r="G59" s="355">
        <f t="shared" ref="G59:G68" si="13">D59+E59-F59</f>
        <v>3.5419999999999998</v>
      </c>
      <c r="H59" s="343">
        <f t="shared" ref="H59:H68" si="14">G59</f>
        <v>3.5419999999999998</v>
      </c>
      <c r="I59" s="355">
        <f>10%*'F5'!I59</f>
        <v>0.26800000000000002</v>
      </c>
      <c r="J59" s="355">
        <f>10%*'F5'!J59</f>
        <v>0</v>
      </c>
      <c r="K59" s="355">
        <f t="shared" ref="K59:K68" si="15">H59+I59-J59</f>
        <v>3.8099999999999996</v>
      </c>
      <c r="L59" s="343">
        <f t="shared" ref="L59:L68" si="16">K59</f>
        <v>3.8099999999999996</v>
      </c>
      <c r="M59" s="355">
        <f>10%*'F5'!M59</f>
        <v>0.25600000000000001</v>
      </c>
      <c r="N59" s="355">
        <f>10%*'F5'!N59</f>
        <v>-2.2000000000000002E-2</v>
      </c>
      <c r="O59" s="355">
        <f t="shared" ref="O59:O68" si="17">L59+M59-N59</f>
        <v>4.0880000000000001</v>
      </c>
    </row>
    <row r="60" spans="2:18" x14ac:dyDescent="0.3">
      <c r="B60" s="63">
        <v>3</v>
      </c>
      <c r="C60" s="295" t="s">
        <v>944</v>
      </c>
      <c r="D60" s="355">
        <f>10%*'F5'!D60</f>
        <v>60.50200000000001</v>
      </c>
      <c r="E60" s="355">
        <f>10%*'F5'!E60</f>
        <v>4.0289999999999999</v>
      </c>
      <c r="F60" s="355">
        <f>10%*'F5'!F60</f>
        <v>0.10100000000000001</v>
      </c>
      <c r="G60" s="355">
        <f t="shared" si="13"/>
        <v>64.430000000000007</v>
      </c>
      <c r="H60" s="343">
        <f t="shared" si="14"/>
        <v>64.430000000000007</v>
      </c>
      <c r="I60" s="355">
        <f>10%*'F5'!I60</f>
        <v>4.0960000000000001</v>
      </c>
      <c r="J60" s="355">
        <f>10%*'F5'!J60</f>
        <v>0.36499999999999999</v>
      </c>
      <c r="K60" s="355">
        <f t="shared" si="15"/>
        <v>68.161000000000016</v>
      </c>
      <c r="L60" s="343">
        <f t="shared" si="16"/>
        <v>68.161000000000016</v>
      </c>
      <c r="M60" s="355">
        <f>10%*'F5'!M60</f>
        <v>4.1380000000000008</v>
      </c>
      <c r="N60" s="355">
        <f>10%*'F5'!N60</f>
        <v>0.27100000000000002</v>
      </c>
      <c r="O60" s="355">
        <f t="shared" si="17"/>
        <v>72.02800000000002</v>
      </c>
    </row>
    <row r="61" spans="2:18" x14ac:dyDescent="0.3">
      <c r="B61" s="63">
        <v>4</v>
      </c>
      <c r="C61" s="295" t="s">
        <v>945</v>
      </c>
      <c r="D61" s="355">
        <f>10%*'F5'!D61</f>
        <v>37.173999999999999</v>
      </c>
      <c r="E61" s="355">
        <f>10%*'F5'!E61</f>
        <v>4.3079999999999998</v>
      </c>
      <c r="F61" s="355">
        <f>10%*'F5'!F61</f>
        <v>0.11200000000000002</v>
      </c>
      <c r="G61" s="355">
        <f t="shared" si="13"/>
        <v>41.37</v>
      </c>
      <c r="H61" s="343">
        <f t="shared" si="14"/>
        <v>41.37</v>
      </c>
      <c r="I61" s="355">
        <f>10%*'F5'!I61</f>
        <v>4.46</v>
      </c>
      <c r="J61" s="355">
        <f>10%*'F5'!J61</f>
        <v>0.13100000000000001</v>
      </c>
      <c r="K61" s="355">
        <f t="shared" si="15"/>
        <v>45.698999999999998</v>
      </c>
      <c r="L61" s="343">
        <f t="shared" si="16"/>
        <v>45.698999999999998</v>
      </c>
      <c r="M61" s="355">
        <f>10%*'F5'!M61</f>
        <v>4.5259999999999998</v>
      </c>
      <c r="N61" s="355">
        <f>10%*'F5'!N61</f>
        <v>0.10700000000000001</v>
      </c>
      <c r="O61" s="355">
        <f t="shared" si="17"/>
        <v>50.117999999999995</v>
      </c>
    </row>
    <row r="62" spans="2:18" x14ac:dyDescent="0.3">
      <c r="B62" s="63">
        <v>5</v>
      </c>
      <c r="C62" s="295" t="s">
        <v>946</v>
      </c>
      <c r="D62" s="355">
        <f>10%*'F5'!D62</f>
        <v>10.576000000000002</v>
      </c>
      <c r="E62" s="355">
        <f>10%*'F5'!E62</f>
        <v>1.0349999999999999</v>
      </c>
      <c r="F62" s="355">
        <f>10%*'F5'!F62</f>
        <v>1.351</v>
      </c>
      <c r="G62" s="355">
        <f t="shared" si="13"/>
        <v>10.260000000000002</v>
      </c>
      <c r="H62" s="343">
        <f t="shared" si="14"/>
        <v>10.260000000000002</v>
      </c>
      <c r="I62" s="355">
        <f>10%*'F5'!I62</f>
        <v>1.026</v>
      </c>
      <c r="J62" s="355">
        <f>10%*'F5'!J62</f>
        <v>1.6559999999999999</v>
      </c>
      <c r="K62" s="355">
        <f t="shared" si="15"/>
        <v>9.6300000000000008</v>
      </c>
      <c r="L62" s="343">
        <f t="shared" si="16"/>
        <v>9.6300000000000008</v>
      </c>
      <c r="M62" s="355">
        <f>10%*'F5'!M62</f>
        <v>0.90500000000000014</v>
      </c>
      <c r="N62" s="355">
        <f>10%*'F5'!N62</f>
        <v>1.3029999999999999</v>
      </c>
      <c r="O62" s="355">
        <f t="shared" si="17"/>
        <v>9.2319999999999993</v>
      </c>
    </row>
    <row r="63" spans="2:18" x14ac:dyDescent="0.3">
      <c r="B63" s="63">
        <v>6</v>
      </c>
      <c r="C63" s="295" t="s">
        <v>947</v>
      </c>
      <c r="D63" s="355">
        <f>10%*'F5'!D63</f>
        <v>3.8920000000000003</v>
      </c>
      <c r="E63" s="355">
        <f>10%*'F5'!E63</f>
        <v>0.27200000000000002</v>
      </c>
      <c r="F63" s="355">
        <f>10%*'F5'!F63</f>
        <v>0</v>
      </c>
      <c r="G63" s="355">
        <f t="shared" si="13"/>
        <v>4.1640000000000006</v>
      </c>
      <c r="H63" s="343">
        <f t="shared" si="14"/>
        <v>4.1640000000000006</v>
      </c>
      <c r="I63" s="355">
        <f>10%*'F5'!I63</f>
        <v>0.45100000000000001</v>
      </c>
      <c r="J63" s="355">
        <f>10%*'F5'!J63</f>
        <v>0</v>
      </c>
      <c r="K63" s="355">
        <f t="shared" si="15"/>
        <v>4.6150000000000002</v>
      </c>
      <c r="L63" s="343">
        <f t="shared" si="16"/>
        <v>4.6150000000000002</v>
      </c>
      <c r="M63" s="355">
        <f>10%*'F5'!M63</f>
        <v>0.47199999999999998</v>
      </c>
      <c r="N63" s="355">
        <f>10%*'F5'!N63</f>
        <v>0</v>
      </c>
      <c r="O63" s="355">
        <f t="shared" si="17"/>
        <v>5.0869999999999997</v>
      </c>
    </row>
    <row r="64" spans="2:18" x14ac:dyDescent="0.3">
      <c r="B64" s="63">
        <v>7</v>
      </c>
      <c r="C64" s="296" t="s">
        <v>948</v>
      </c>
      <c r="D64" s="355">
        <f>10%*'F5'!D64</f>
        <v>3.0000000000000001E-3</v>
      </c>
      <c r="E64" s="355">
        <f>10%*'F5'!E64</f>
        <v>0</v>
      </c>
      <c r="F64" s="355">
        <f>10%*'F5'!F64</f>
        <v>0</v>
      </c>
      <c r="G64" s="355">
        <f t="shared" si="13"/>
        <v>3.0000000000000001E-3</v>
      </c>
      <c r="H64" s="343">
        <f t="shared" si="14"/>
        <v>3.0000000000000001E-3</v>
      </c>
      <c r="I64" s="355">
        <f>10%*'F5'!I64</f>
        <v>0</v>
      </c>
      <c r="J64" s="355">
        <f>10%*'F5'!J64</f>
        <v>0</v>
      </c>
      <c r="K64" s="355">
        <f t="shared" si="15"/>
        <v>3.0000000000000001E-3</v>
      </c>
      <c r="L64" s="343">
        <f t="shared" si="16"/>
        <v>3.0000000000000001E-3</v>
      </c>
      <c r="M64" s="355">
        <f>10%*'F5'!M64</f>
        <v>0</v>
      </c>
      <c r="N64" s="355">
        <f>10%*'F5'!N64</f>
        <v>0</v>
      </c>
      <c r="O64" s="355">
        <f t="shared" si="17"/>
        <v>3.0000000000000001E-3</v>
      </c>
    </row>
    <row r="65" spans="2:30" x14ac:dyDescent="0.3">
      <c r="B65" s="63">
        <v>8</v>
      </c>
      <c r="C65" s="295" t="s">
        <v>949</v>
      </c>
      <c r="D65" s="355">
        <f>10%*'F5'!D65</f>
        <v>1.1400000000000001</v>
      </c>
      <c r="E65" s="355">
        <f>10%*'F5'!E65</f>
        <v>3.4000000000000002E-2</v>
      </c>
      <c r="F65" s="355">
        <f>10%*'F5'!F65</f>
        <v>9.8000000000000004E-2</v>
      </c>
      <c r="G65" s="355">
        <f t="shared" si="13"/>
        <v>1.0760000000000001</v>
      </c>
      <c r="H65" s="343">
        <f t="shared" si="14"/>
        <v>1.0760000000000001</v>
      </c>
      <c r="I65" s="355">
        <f>10%*'F5'!I65</f>
        <v>2.7000000000000003E-2</v>
      </c>
      <c r="J65" s="355">
        <f>10%*'F5'!J65</f>
        <v>0</v>
      </c>
      <c r="K65" s="355">
        <f t="shared" si="15"/>
        <v>1.103</v>
      </c>
      <c r="L65" s="343">
        <f t="shared" si="16"/>
        <v>1.103</v>
      </c>
      <c r="M65" s="355">
        <f>10%*'F5'!M65</f>
        <v>2.8000000000000004E-2</v>
      </c>
      <c r="N65" s="355">
        <f>10%*'F5'!N65</f>
        <v>0</v>
      </c>
      <c r="O65" s="355">
        <f t="shared" si="17"/>
        <v>1.131</v>
      </c>
    </row>
    <row r="66" spans="2:30" x14ac:dyDescent="0.3">
      <c r="B66" s="63">
        <v>9</v>
      </c>
      <c r="C66" s="295" t="s">
        <v>950</v>
      </c>
      <c r="D66" s="355">
        <f>10%*'F5'!D66</f>
        <v>1.4850000000000003</v>
      </c>
      <c r="E66" s="355">
        <f>10%*'F5'!E66</f>
        <v>0.13</v>
      </c>
      <c r="F66" s="355">
        <f>10%*'F5'!F66</f>
        <v>4.7E-2</v>
      </c>
      <c r="G66" s="355">
        <f t="shared" si="13"/>
        <v>1.5680000000000003</v>
      </c>
      <c r="H66" s="343">
        <f t="shared" si="14"/>
        <v>1.5680000000000003</v>
      </c>
      <c r="I66" s="355">
        <f>10%*'F5'!I66</f>
        <v>0.13799999999999998</v>
      </c>
      <c r="J66" s="355">
        <f>10%*'F5'!J66</f>
        <v>0</v>
      </c>
      <c r="K66" s="355">
        <f t="shared" si="15"/>
        <v>1.7060000000000002</v>
      </c>
      <c r="L66" s="343">
        <f t="shared" si="16"/>
        <v>1.7060000000000002</v>
      </c>
      <c r="M66" s="355">
        <f>10%*'F5'!M66</f>
        <v>0.17300000000000001</v>
      </c>
      <c r="N66" s="355">
        <f>10%*'F5'!N66</f>
        <v>4.0000000000000001E-3</v>
      </c>
      <c r="O66" s="355">
        <f t="shared" si="17"/>
        <v>1.8750000000000002</v>
      </c>
    </row>
    <row r="67" spans="2:30" x14ac:dyDescent="0.3">
      <c r="B67" s="63">
        <v>10</v>
      </c>
      <c r="C67" s="295" t="s">
        <v>951</v>
      </c>
      <c r="D67" s="355">
        <f>10%*'F5'!D67</f>
        <v>2.3620000000000001</v>
      </c>
      <c r="E67" s="355">
        <f>10%*'F5'!E67</f>
        <v>0</v>
      </c>
      <c r="F67" s="355">
        <f>10%*'F5'!F67</f>
        <v>1E-3</v>
      </c>
      <c r="G67" s="355">
        <f t="shared" si="13"/>
        <v>2.3610000000000002</v>
      </c>
      <c r="H67" s="343">
        <f t="shared" si="14"/>
        <v>2.3610000000000002</v>
      </c>
      <c r="I67" s="355">
        <f>10%*'F5'!I67</f>
        <v>0</v>
      </c>
      <c r="J67" s="355">
        <f>10%*'F5'!J67</f>
        <v>1.1000000000000001E-2</v>
      </c>
      <c r="K67" s="355">
        <f t="shared" si="15"/>
        <v>2.35</v>
      </c>
      <c r="L67" s="343">
        <f t="shared" si="16"/>
        <v>2.35</v>
      </c>
      <c r="M67" s="355">
        <f>10%*'F5'!M67</f>
        <v>0.10100000000000001</v>
      </c>
      <c r="N67" s="355">
        <f>10%*'F5'!N67</f>
        <v>2.8999999999999998E-2</v>
      </c>
      <c r="O67" s="355">
        <f t="shared" si="17"/>
        <v>2.4220000000000002</v>
      </c>
    </row>
    <row r="68" spans="2:30" x14ac:dyDescent="0.3">
      <c r="B68" s="63">
        <v>11</v>
      </c>
      <c r="C68" s="37" t="s">
        <v>952</v>
      </c>
      <c r="D68" s="355">
        <f>10%*'F5'!D68</f>
        <v>2.6710000000000003</v>
      </c>
      <c r="E68" s="355">
        <f>10%*'F5'!E68</f>
        <v>0.16000000000000003</v>
      </c>
      <c r="F68" s="355">
        <f>10%*'F5'!F68</f>
        <v>4.3000000000000003E-2</v>
      </c>
      <c r="G68" s="355">
        <f t="shared" si="13"/>
        <v>2.7880000000000003</v>
      </c>
      <c r="H68" s="343">
        <f t="shared" si="14"/>
        <v>2.7880000000000003</v>
      </c>
      <c r="I68" s="355">
        <f>10%*'F5'!I68</f>
        <v>0.15600000000000003</v>
      </c>
      <c r="J68" s="355">
        <f>10%*'F5'!J68</f>
        <v>2.2000000000000002E-2</v>
      </c>
      <c r="K68" s="355">
        <f t="shared" si="15"/>
        <v>2.9220000000000006</v>
      </c>
      <c r="L68" s="343">
        <f t="shared" si="16"/>
        <v>2.9220000000000006</v>
      </c>
      <c r="M68" s="355">
        <f>10%*'F5'!M68</f>
        <v>0.15800000000000003</v>
      </c>
      <c r="N68" s="355">
        <f>10%*'F5'!N68</f>
        <v>1.0000000000000002E-2</v>
      </c>
      <c r="O68" s="355">
        <f t="shared" si="17"/>
        <v>3.0700000000000007</v>
      </c>
    </row>
    <row r="69" spans="2:30" ht="16" x14ac:dyDescent="0.3">
      <c r="B69" s="59"/>
      <c r="C69" s="67" t="s">
        <v>145</v>
      </c>
      <c r="D69" s="357">
        <f>SUM(D58:D68)</f>
        <v>123.087</v>
      </c>
      <c r="E69" s="357">
        <f t="shared" ref="E69:O69" si="18">SUM(E58:E68)</f>
        <v>10.228000000000002</v>
      </c>
      <c r="F69" s="357">
        <f t="shared" si="18"/>
        <v>1.7529999999999999</v>
      </c>
      <c r="G69" s="357">
        <f t="shared" si="18"/>
        <v>131.56200000000001</v>
      </c>
      <c r="H69" s="357">
        <f t="shared" si="18"/>
        <v>131.56200000000001</v>
      </c>
      <c r="I69" s="357">
        <f t="shared" si="18"/>
        <v>10.622</v>
      </c>
      <c r="J69" s="357">
        <f t="shared" si="18"/>
        <v>2.1850000000000001</v>
      </c>
      <c r="K69" s="357">
        <f t="shared" si="18"/>
        <v>139.999</v>
      </c>
      <c r="L69" s="357">
        <f t="shared" si="18"/>
        <v>139.999</v>
      </c>
      <c r="M69" s="357">
        <f t="shared" si="18"/>
        <v>10.757000000000001</v>
      </c>
      <c r="N69" s="357">
        <f t="shared" si="18"/>
        <v>1.702</v>
      </c>
      <c r="O69" s="357">
        <f t="shared" si="18"/>
        <v>149.05399999999997</v>
      </c>
    </row>
    <row r="70" spans="2:30" ht="16" x14ac:dyDescent="0.3">
      <c r="B70" s="299"/>
      <c r="C70" s="300"/>
      <c r="D70" s="540"/>
      <c r="E70" s="540"/>
      <c r="F70" s="540"/>
      <c r="G70" s="540"/>
      <c r="H70" s="537"/>
      <c r="I70" s="537"/>
      <c r="J70" s="537"/>
      <c r="K70" s="537"/>
      <c r="L70" s="537"/>
      <c r="M70" s="537"/>
      <c r="N70" s="537"/>
      <c r="O70" s="537"/>
    </row>
    <row r="71" spans="2:30" ht="16" x14ac:dyDescent="0.3">
      <c r="B71" s="297" t="s">
        <v>766</v>
      </c>
      <c r="C71" s="301"/>
      <c r="D71" s="541"/>
      <c r="E71" s="541"/>
      <c r="F71" s="541"/>
      <c r="G71" s="541"/>
      <c r="H71" s="542"/>
      <c r="I71" s="542"/>
      <c r="J71" s="537"/>
      <c r="K71" s="537"/>
      <c r="L71" s="537"/>
      <c r="M71" s="537"/>
      <c r="N71" s="537"/>
      <c r="O71" s="537"/>
      <c r="P71" s="39"/>
      <c r="Q71" s="39"/>
      <c r="R71" s="39"/>
      <c r="S71" s="39"/>
      <c r="T71" s="39"/>
      <c r="U71" s="39"/>
      <c r="V71" s="39"/>
      <c r="W71" s="39"/>
      <c r="X71" s="39"/>
      <c r="Y71" s="39"/>
      <c r="Z71" s="39"/>
      <c r="AA71" s="39"/>
      <c r="AB71" s="39"/>
      <c r="AC71" s="39"/>
      <c r="AD71" s="39"/>
    </row>
    <row r="72" spans="2:30" ht="16" x14ac:dyDescent="0.3">
      <c r="B72" s="297" t="s">
        <v>778</v>
      </c>
      <c r="C72" s="301"/>
      <c r="D72" s="541"/>
      <c r="E72" s="541"/>
      <c r="F72" s="541"/>
      <c r="G72" s="541"/>
      <c r="H72" s="542"/>
      <c r="I72" s="542"/>
      <c r="J72" s="537"/>
      <c r="K72" s="537"/>
      <c r="L72" s="537"/>
      <c r="M72" s="537"/>
      <c r="N72" s="537"/>
      <c r="O72" s="537"/>
      <c r="P72" s="39"/>
      <c r="Q72" s="39"/>
      <c r="R72" s="39"/>
      <c r="S72" s="39"/>
      <c r="T72" s="39"/>
      <c r="U72" s="39"/>
      <c r="V72" s="39"/>
      <c r="W72" s="39"/>
      <c r="X72" s="39"/>
      <c r="Y72" s="39"/>
      <c r="Z72" s="39"/>
      <c r="AA72" s="39"/>
      <c r="AB72" s="39"/>
      <c r="AC72" s="39"/>
      <c r="AD72" s="39"/>
    </row>
    <row r="73" spans="2:30" ht="16" x14ac:dyDescent="0.3">
      <c r="B73" s="299"/>
      <c r="C73" s="300"/>
      <c r="D73" s="540"/>
      <c r="E73" s="540"/>
      <c r="F73" s="540"/>
      <c r="G73" s="540"/>
      <c r="H73" s="537"/>
      <c r="I73" s="537"/>
      <c r="J73" s="537"/>
      <c r="K73" s="537"/>
      <c r="L73" s="537"/>
      <c r="M73" s="537"/>
      <c r="N73" s="537"/>
      <c r="O73" s="537"/>
      <c r="P73" s="39"/>
      <c r="Q73" s="39"/>
      <c r="R73" s="39"/>
      <c r="S73" s="39"/>
      <c r="T73" s="39"/>
      <c r="U73" s="39"/>
      <c r="V73" s="39"/>
      <c r="W73" s="39"/>
      <c r="X73" s="39"/>
      <c r="Y73" s="39"/>
      <c r="Z73" s="39"/>
      <c r="AA73" s="39"/>
      <c r="AB73" s="39"/>
      <c r="AC73" s="39"/>
      <c r="AD73" s="39"/>
    </row>
    <row r="74" spans="2:30" ht="15" customHeight="1" x14ac:dyDescent="0.3">
      <c r="B74" s="299"/>
      <c r="C74" s="300"/>
      <c r="D74" s="536"/>
      <c r="E74" s="536"/>
      <c r="F74" s="536"/>
      <c r="G74" s="536"/>
      <c r="H74" s="425"/>
      <c r="I74" s="512"/>
      <c r="J74" s="425"/>
      <c r="K74" s="512"/>
      <c r="L74" s="512"/>
      <c r="M74" s="425"/>
      <c r="N74" s="425"/>
      <c r="O74" s="535" t="s">
        <v>16</v>
      </c>
    </row>
    <row r="75" spans="2:30" x14ac:dyDescent="0.3">
      <c r="B75" s="2351" t="s">
        <v>187</v>
      </c>
      <c r="C75" s="2351" t="s">
        <v>50</v>
      </c>
      <c r="D75" s="2192" t="s">
        <v>427</v>
      </c>
      <c r="E75" s="2192"/>
      <c r="F75" s="2192"/>
      <c r="G75" s="2192"/>
      <c r="H75" s="2192" t="s">
        <v>428</v>
      </c>
      <c r="I75" s="2192"/>
      <c r="J75" s="2192"/>
      <c r="K75" s="2192"/>
      <c r="L75" s="2192" t="s">
        <v>429</v>
      </c>
      <c r="M75" s="2192"/>
      <c r="N75" s="2192"/>
      <c r="O75" s="2192"/>
    </row>
    <row r="76" spans="2:30" ht="15" customHeight="1" x14ac:dyDescent="0.3">
      <c r="B76" s="2351"/>
      <c r="C76" s="2351"/>
      <c r="D76" s="2357" t="s">
        <v>22</v>
      </c>
      <c r="E76" s="2359"/>
      <c r="F76" s="2359"/>
      <c r="G76" s="2359"/>
      <c r="H76" s="2357" t="s">
        <v>31</v>
      </c>
      <c r="I76" s="2359"/>
      <c r="J76" s="2359"/>
      <c r="K76" s="2359"/>
      <c r="L76" s="2357" t="s">
        <v>31</v>
      </c>
      <c r="M76" s="2359"/>
      <c r="N76" s="2359"/>
      <c r="O76" s="2359"/>
    </row>
    <row r="77" spans="2:30" ht="56" x14ac:dyDescent="0.3">
      <c r="B77" s="2351"/>
      <c r="C77" s="2351"/>
      <c r="D77" s="488" t="s">
        <v>147</v>
      </c>
      <c r="E77" s="488" t="s">
        <v>142</v>
      </c>
      <c r="F77" s="539" t="s">
        <v>148</v>
      </c>
      <c r="G77" s="488" t="s">
        <v>149</v>
      </c>
      <c r="H77" s="488" t="s">
        <v>147</v>
      </c>
      <c r="I77" s="488" t="s">
        <v>142</v>
      </c>
      <c r="J77" s="539" t="s">
        <v>148</v>
      </c>
      <c r="K77" s="488" t="s">
        <v>149</v>
      </c>
      <c r="L77" s="488" t="s">
        <v>147</v>
      </c>
      <c r="M77" s="488" t="s">
        <v>142</v>
      </c>
      <c r="N77" s="539" t="s">
        <v>148</v>
      </c>
      <c r="O77" s="488" t="s">
        <v>149</v>
      </c>
    </row>
    <row r="78" spans="2:30" x14ac:dyDescent="0.3">
      <c r="B78" s="282"/>
      <c r="C78" s="282"/>
      <c r="D78" s="488" t="s">
        <v>782</v>
      </c>
      <c r="E78" s="488" t="s">
        <v>583</v>
      </c>
      <c r="F78" s="488" t="s">
        <v>760</v>
      </c>
      <c r="G78" s="488" t="s">
        <v>783</v>
      </c>
      <c r="H78" s="488" t="s">
        <v>585</v>
      </c>
      <c r="I78" s="488" t="s">
        <v>761</v>
      </c>
      <c r="J78" s="488" t="s">
        <v>784</v>
      </c>
      <c r="K78" s="488" t="s">
        <v>785</v>
      </c>
      <c r="L78" s="488" t="s">
        <v>762</v>
      </c>
      <c r="M78" s="488" t="s">
        <v>763</v>
      </c>
      <c r="N78" s="488" t="s">
        <v>764</v>
      </c>
      <c r="O78" s="488" t="s">
        <v>786</v>
      </c>
    </row>
    <row r="79" spans="2:30" x14ac:dyDescent="0.3">
      <c r="B79" s="63">
        <v>1</v>
      </c>
      <c r="C79" s="295" t="s">
        <v>942</v>
      </c>
      <c r="D79" s="355">
        <f>O58</f>
        <v>0</v>
      </c>
      <c r="E79" s="355">
        <f>10%*'F5'!E79</f>
        <v>0</v>
      </c>
      <c r="F79" s="355">
        <f>10%*'F5'!F79</f>
        <v>0</v>
      </c>
      <c r="G79" s="355">
        <f>D79+E79-F79</f>
        <v>0</v>
      </c>
      <c r="H79" s="355">
        <f>G79</f>
        <v>0</v>
      </c>
      <c r="I79" s="355">
        <f>10%*'F5'!I79</f>
        <v>0</v>
      </c>
      <c r="J79" s="355">
        <f>10%*'F5'!J79</f>
        <v>0</v>
      </c>
      <c r="K79" s="355">
        <f>H79+I79-J79</f>
        <v>0</v>
      </c>
      <c r="L79" s="355">
        <f>K79</f>
        <v>0</v>
      </c>
      <c r="M79" s="355">
        <f>10%*'F5'!M79</f>
        <v>0</v>
      </c>
      <c r="N79" s="355">
        <f>10%*'F5'!N79</f>
        <v>0</v>
      </c>
      <c r="O79" s="355">
        <f>L79+M79-N79</f>
        <v>0</v>
      </c>
    </row>
    <row r="80" spans="2:30" x14ac:dyDescent="0.3">
      <c r="B80" s="63">
        <v>2</v>
      </c>
      <c r="C80" s="295" t="s">
        <v>943</v>
      </c>
      <c r="D80" s="355">
        <f t="shared" ref="D80:D89" si="19">O59</f>
        <v>4.0880000000000001</v>
      </c>
      <c r="E80" s="355">
        <f>10%*'F5'!E80</f>
        <v>0.25600000000000001</v>
      </c>
      <c r="F80" s="355">
        <f>10%*'F5'!F80</f>
        <v>-2.2000000000000002E-2</v>
      </c>
      <c r="G80" s="355">
        <f t="shared" ref="G80:G89" si="20">D80+E80-F80</f>
        <v>4.3660000000000005</v>
      </c>
      <c r="H80" s="355">
        <f t="shared" ref="H80:H89" si="21">G80</f>
        <v>4.3660000000000005</v>
      </c>
      <c r="I80" s="355">
        <f>10%*'F5'!I80</f>
        <v>0.31117040600978796</v>
      </c>
      <c r="J80" s="355">
        <f>10%*'F5'!J80</f>
        <v>-2.2000000000000002E-2</v>
      </c>
      <c r="K80" s="355">
        <f t="shared" ref="K80:K89" si="22">H80+I80-J80</f>
        <v>4.699170406009789</v>
      </c>
      <c r="L80" s="355">
        <f t="shared" ref="L80:L89" si="23">K80</f>
        <v>4.699170406009789</v>
      </c>
      <c r="M80" s="355">
        <f>10%*'F5'!M80</f>
        <v>0.37734853615294883</v>
      </c>
      <c r="N80" s="355">
        <f>10%*'F5'!N80</f>
        <v>-2.2000000000000002E-2</v>
      </c>
      <c r="O80" s="355">
        <f t="shared" ref="O80:O89" si="24">L80+M80-N80</f>
        <v>5.0985189421627384</v>
      </c>
    </row>
    <row r="81" spans="2:16" x14ac:dyDescent="0.3">
      <c r="B81" s="63">
        <v>3</v>
      </c>
      <c r="C81" s="295" t="s">
        <v>944</v>
      </c>
      <c r="D81" s="355">
        <f t="shared" si="19"/>
        <v>72.02800000000002</v>
      </c>
      <c r="E81" s="355">
        <f>10%*'F5'!E81</f>
        <v>4.2951250472068123</v>
      </c>
      <c r="F81" s="355">
        <f>10%*'F5'!F81</f>
        <v>0.27100000000000002</v>
      </c>
      <c r="G81" s="355">
        <f t="shared" si="20"/>
        <v>76.052125047206829</v>
      </c>
      <c r="H81" s="355">
        <f t="shared" si="21"/>
        <v>76.052125047206829</v>
      </c>
      <c r="I81" s="355">
        <f>10%*'F5'!I81</f>
        <v>5.0297778908925892</v>
      </c>
      <c r="J81" s="355">
        <f>10%*'F5'!J81</f>
        <v>0.27100000000000002</v>
      </c>
      <c r="K81" s="355">
        <f t="shared" si="22"/>
        <v>80.810902938099417</v>
      </c>
      <c r="L81" s="355">
        <f t="shared" si="23"/>
        <v>80.810902938099417</v>
      </c>
      <c r="M81" s="355">
        <f>10%*'F5'!M81</f>
        <v>6.0994853226597749</v>
      </c>
      <c r="N81" s="355">
        <f>10%*'F5'!N81</f>
        <v>0.27100000000000002</v>
      </c>
      <c r="O81" s="355">
        <f t="shared" si="24"/>
        <v>86.639388260759191</v>
      </c>
    </row>
    <row r="82" spans="2:16" x14ac:dyDescent="0.3">
      <c r="B82" s="63">
        <v>4</v>
      </c>
      <c r="C82" s="295" t="s">
        <v>945</v>
      </c>
      <c r="D82" s="355">
        <f t="shared" si="19"/>
        <v>50.117999999999995</v>
      </c>
      <c r="E82" s="355">
        <f>10%*'F5'!E82</f>
        <v>4.6978578935857973</v>
      </c>
      <c r="F82" s="355">
        <f>10%*'F5'!F82</f>
        <v>0.10700000000000001</v>
      </c>
      <c r="G82" s="355">
        <f t="shared" si="20"/>
        <v>54.708857893585794</v>
      </c>
      <c r="H82" s="355">
        <f t="shared" si="21"/>
        <v>54.708857893585794</v>
      </c>
      <c r="I82" s="355">
        <f>10%*'F5'!I82</f>
        <v>5.5013955375011729</v>
      </c>
      <c r="J82" s="355">
        <f>10%*'F5'!J82</f>
        <v>0.10700000000000001</v>
      </c>
      <c r="K82" s="355">
        <f t="shared" si="22"/>
        <v>60.103253431086969</v>
      </c>
      <c r="L82" s="355">
        <f t="shared" si="23"/>
        <v>60.103253431086969</v>
      </c>
      <c r="M82" s="355">
        <f>10%*'F5'!M82</f>
        <v>6.6714041977665879</v>
      </c>
      <c r="N82" s="355">
        <f>10%*'F5'!N82</f>
        <v>0.10700000000000001</v>
      </c>
      <c r="O82" s="355">
        <f t="shared" si="24"/>
        <v>66.667657628853561</v>
      </c>
    </row>
    <row r="83" spans="2:16" x14ac:dyDescent="0.3">
      <c r="B83" s="63">
        <v>5</v>
      </c>
      <c r="C83" s="295" t="s">
        <v>946</v>
      </c>
      <c r="D83" s="355">
        <f t="shared" si="19"/>
        <v>9.2319999999999993</v>
      </c>
      <c r="E83" s="355">
        <f>10%*'F5'!E83</f>
        <v>0.93936398446644864</v>
      </c>
      <c r="F83" s="355">
        <f>10%*'F5'!F83</f>
        <v>1.3029999999999999</v>
      </c>
      <c r="G83" s="355">
        <f t="shared" si="20"/>
        <v>8.8683639844664484</v>
      </c>
      <c r="H83" s="355">
        <f t="shared" si="21"/>
        <v>8.8683639844664484</v>
      </c>
      <c r="I83" s="355">
        <f>10%*'F5'!I83</f>
        <v>1.1000360056205396</v>
      </c>
      <c r="J83" s="355">
        <f>10%*'F5'!J83</f>
        <v>1.3029999999999999</v>
      </c>
      <c r="K83" s="355">
        <f t="shared" si="22"/>
        <v>8.6653999900869891</v>
      </c>
      <c r="L83" s="355">
        <f t="shared" si="23"/>
        <v>8.6653999900869891</v>
      </c>
      <c r="M83" s="355">
        <f>10%*'F5'!M83</f>
        <v>1.3339860360094482</v>
      </c>
      <c r="N83" s="355">
        <f>10%*'F5'!N83</f>
        <v>1.3029999999999999</v>
      </c>
      <c r="O83" s="355">
        <f t="shared" si="24"/>
        <v>8.6963860260964374</v>
      </c>
    </row>
    <row r="84" spans="2:16" x14ac:dyDescent="0.3">
      <c r="B84" s="63">
        <v>6</v>
      </c>
      <c r="C84" s="295" t="s">
        <v>947</v>
      </c>
      <c r="D84" s="355">
        <f t="shared" si="19"/>
        <v>5.0869999999999997</v>
      </c>
      <c r="E84" s="355">
        <f>10%*'F5'!E84</f>
        <v>0.48992243167752902</v>
      </c>
      <c r="F84" s="355">
        <f>10%*'F5'!F84</f>
        <v>0</v>
      </c>
      <c r="G84" s="355">
        <f t="shared" si="20"/>
        <v>5.576922431677529</v>
      </c>
      <c r="H84" s="355">
        <f t="shared" si="21"/>
        <v>5.576922431677529</v>
      </c>
      <c r="I84" s="355">
        <f>10%*'F5'!I84</f>
        <v>0.57372043608054646</v>
      </c>
      <c r="J84" s="355">
        <f>10%*'F5'!J84</f>
        <v>0</v>
      </c>
      <c r="K84" s="355">
        <f t="shared" si="22"/>
        <v>6.1506428677580756</v>
      </c>
      <c r="L84" s="355">
        <f t="shared" si="23"/>
        <v>6.1506428677580756</v>
      </c>
      <c r="M84" s="355">
        <f>10%*'F5'!M84</f>
        <v>0.69573636353199941</v>
      </c>
      <c r="N84" s="355">
        <f>10%*'F5'!N84</f>
        <v>0</v>
      </c>
      <c r="O84" s="355">
        <f t="shared" si="24"/>
        <v>6.8463792312900749</v>
      </c>
    </row>
    <row r="85" spans="2:16" x14ac:dyDescent="0.3">
      <c r="B85" s="63">
        <v>7</v>
      </c>
      <c r="C85" s="296" t="s">
        <v>948</v>
      </c>
      <c r="D85" s="355">
        <f t="shared" si="19"/>
        <v>3.0000000000000001E-3</v>
      </c>
      <c r="E85" s="355">
        <f>10%*'F5'!E85</f>
        <v>0</v>
      </c>
      <c r="F85" s="355">
        <f>10%*'F5'!F85</f>
        <v>0</v>
      </c>
      <c r="G85" s="355">
        <f t="shared" si="20"/>
        <v>3.0000000000000001E-3</v>
      </c>
      <c r="H85" s="355">
        <f t="shared" si="21"/>
        <v>3.0000000000000001E-3</v>
      </c>
      <c r="I85" s="355">
        <f>10%*'F5'!I85</f>
        <v>0</v>
      </c>
      <c r="J85" s="355">
        <f>10%*'F5'!J85</f>
        <v>0</v>
      </c>
      <c r="K85" s="355">
        <f t="shared" si="22"/>
        <v>3.0000000000000001E-3</v>
      </c>
      <c r="L85" s="355">
        <f t="shared" si="23"/>
        <v>3.0000000000000001E-3</v>
      </c>
      <c r="M85" s="355">
        <f>10%*'F5'!M85</f>
        <v>0</v>
      </c>
      <c r="N85" s="355">
        <f>10%*'F5'!N85</f>
        <v>0</v>
      </c>
      <c r="O85" s="355">
        <f t="shared" si="24"/>
        <v>3.0000000000000001E-3</v>
      </c>
    </row>
    <row r="86" spans="2:16" x14ac:dyDescent="0.3">
      <c r="B86" s="63">
        <v>8</v>
      </c>
      <c r="C86" s="295" t="s">
        <v>949</v>
      </c>
      <c r="D86" s="355">
        <f t="shared" si="19"/>
        <v>1.131</v>
      </c>
      <c r="E86" s="355">
        <f>10%*'F5'!E86</f>
        <v>2.9063195099514435E-2</v>
      </c>
      <c r="F86" s="355">
        <f>10%*'F5'!F86</f>
        <v>0</v>
      </c>
      <c r="G86" s="355">
        <f t="shared" si="20"/>
        <v>1.1600631950995144</v>
      </c>
      <c r="H86" s="355">
        <f t="shared" si="21"/>
        <v>1.1600631950995144</v>
      </c>
      <c r="I86" s="355">
        <f>10%*'F5'!I86</f>
        <v>3.4034263157320561E-2</v>
      </c>
      <c r="J86" s="355">
        <f>10%*'F5'!J86</f>
        <v>0</v>
      </c>
      <c r="K86" s="355">
        <f t="shared" si="22"/>
        <v>1.1940974582568349</v>
      </c>
      <c r="L86" s="355">
        <f t="shared" si="23"/>
        <v>1.1940974582568349</v>
      </c>
      <c r="M86" s="355">
        <f>10%*'F5'!M86</f>
        <v>4.1272496141728787E-2</v>
      </c>
      <c r="N86" s="355">
        <f>10%*'F5'!N86</f>
        <v>0</v>
      </c>
      <c r="O86" s="355">
        <f t="shared" si="24"/>
        <v>1.2353699543985637</v>
      </c>
    </row>
    <row r="87" spans="2:16" x14ac:dyDescent="0.3">
      <c r="B87" s="63">
        <v>9</v>
      </c>
      <c r="C87" s="295" t="s">
        <v>950</v>
      </c>
      <c r="D87" s="355">
        <f t="shared" si="19"/>
        <v>1.8750000000000002</v>
      </c>
      <c r="E87" s="355">
        <f>10%*'F5'!E87</f>
        <v>0.17956902686485704</v>
      </c>
      <c r="F87" s="355">
        <f>10%*'F5'!F87</f>
        <v>4.0000000000000001E-3</v>
      </c>
      <c r="G87" s="355">
        <f t="shared" si="20"/>
        <v>2.0505690268648573</v>
      </c>
      <c r="H87" s="355">
        <f t="shared" si="21"/>
        <v>2.0505690268648573</v>
      </c>
      <c r="I87" s="355">
        <f>10%*'F5'!I87</f>
        <v>0.21028312593630202</v>
      </c>
      <c r="J87" s="355">
        <f>10%*'F5'!J87</f>
        <v>4.0000000000000001E-3</v>
      </c>
      <c r="K87" s="355">
        <f t="shared" si="22"/>
        <v>2.2568521528011591</v>
      </c>
      <c r="L87" s="355">
        <f t="shared" si="23"/>
        <v>2.2568521528011591</v>
      </c>
      <c r="M87" s="355">
        <f>10%*'F5'!M87</f>
        <v>0.25500506544710999</v>
      </c>
      <c r="N87" s="355">
        <f>10%*'F5'!N87</f>
        <v>4.0000000000000001E-3</v>
      </c>
      <c r="O87" s="355">
        <f t="shared" si="24"/>
        <v>2.5078572182482692</v>
      </c>
    </row>
    <row r="88" spans="2:16" x14ac:dyDescent="0.3">
      <c r="B88" s="63">
        <v>10</v>
      </c>
      <c r="C88" s="295" t="s">
        <v>951</v>
      </c>
      <c r="D88" s="355">
        <f t="shared" si="19"/>
        <v>2.4220000000000002</v>
      </c>
      <c r="E88" s="355">
        <f>10%*'F5'!E88</f>
        <v>0.10483509660896279</v>
      </c>
      <c r="F88" s="355">
        <f>10%*'F5'!F88</f>
        <v>2.8999999999999998E-2</v>
      </c>
      <c r="G88" s="355">
        <f t="shared" si="20"/>
        <v>2.4978350966089629</v>
      </c>
      <c r="H88" s="355">
        <f t="shared" si="21"/>
        <v>2.4978350966089629</v>
      </c>
      <c r="I88" s="355">
        <f>10%*'F5'!I88</f>
        <v>0.12276644924604917</v>
      </c>
      <c r="J88" s="355">
        <f>10%*'F5'!J88</f>
        <v>2.8999999999999998E-2</v>
      </c>
      <c r="K88" s="355">
        <f t="shared" si="22"/>
        <v>2.5916015458550121</v>
      </c>
      <c r="L88" s="355">
        <f t="shared" si="23"/>
        <v>2.5916015458550121</v>
      </c>
      <c r="M88" s="355">
        <f>10%*'F5'!M88</f>
        <v>0.14887578965409309</v>
      </c>
      <c r="N88" s="355">
        <f>10%*'F5'!N88</f>
        <v>2.8999999999999998E-2</v>
      </c>
      <c r="O88" s="355">
        <f t="shared" si="24"/>
        <v>2.7114773355091053</v>
      </c>
    </row>
    <row r="89" spans="2:16" x14ac:dyDescent="0.3">
      <c r="B89" s="63">
        <v>11</v>
      </c>
      <c r="C89" s="37" t="s">
        <v>952</v>
      </c>
      <c r="D89" s="355">
        <f t="shared" si="19"/>
        <v>3.0700000000000007</v>
      </c>
      <c r="E89" s="355">
        <f>10%*'F5'!E89</f>
        <v>0.16399945806154573</v>
      </c>
      <c r="F89" s="355">
        <f>10%*'F5'!F89</f>
        <v>1.0000000000000002E-2</v>
      </c>
      <c r="G89" s="355">
        <f t="shared" si="20"/>
        <v>3.2239994580615465</v>
      </c>
      <c r="H89" s="355">
        <f t="shared" si="21"/>
        <v>3.2239994580615465</v>
      </c>
      <c r="I89" s="355">
        <f>10%*'F5'!I89</f>
        <v>0.19205048495916602</v>
      </c>
      <c r="J89" s="355">
        <f>10%*'F5'!J89</f>
        <v>1.0000000000000002E-2</v>
      </c>
      <c r="K89" s="355">
        <f t="shared" si="22"/>
        <v>3.406049943020713</v>
      </c>
      <c r="L89" s="355">
        <f t="shared" si="23"/>
        <v>3.406049943020713</v>
      </c>
      <c r="M89" s="355">
        <f>10%*'F5'!M89</f>
        <v>0.2328947996568981</v>
      </c>
      <c r="N89" s="355">
        <f>10%*'F5'!N89</f>
        <v>1.0000000000000002E-2</v>
      </c>
      <c r="O89" s="355">
        <f t="shared" si="24"/>
        <v>3.6289447426776111</v>
      </c>
    </row>
    <row r="90" spans="2:16" ht="16" x14ac:dyDescent="0.3">
      <c r="B90" s="59"/>
      <c r="C90" s="67" t="s">
        <v>145</v>
      </c>
      <c r="D90" s="357">
        <f>SUM(D79:D89)</f>
        <v>149.05399999999997</v>
      </c>
      <c r="E90" s="357">
        <f t="shared" ref="E90:O90" si="25">SUM(E79:E89)</f>
        <v>11.155736133571468</v>
      </c>
      <c r="F90" s="357">
        <f t="shared" si="25"/>
        <v>1.702</v>
      </c>
      <c r="G90" s="357">
        <f t="shared" si="25"/>
        <v>158.50773613357146</v>
      </c>
      <c r="H90" s="357">
        <f t="shared" si="25"/>
        <v>158.50773613357146</v>
      </c>
      <c r="I90" s="357">
        <f t="shared" si="25"/>
        <v>13.075234599403473</v>
      </c>
      <c r="J90" s="357">
        <f t="shared" si="25"/>
        <v>1.702</v>
      </c>
      <c r="K90" s="357">
        <f t="shared" si="25"/>
        <v>169.88097073297499</v>
      </c>
      <c r="L90" s="357">
        <f t="shared" si="25"/>
        <v>169.88097073297499</v>
      </c>
      <c r="M90" s="357">
        <f t="shared" si="25"/>
        <v>15.856008607020593</v>
      </c>
      <c r="N90" s="357">
        <f t="shared" si="25"/>
        <v>1.702</v>
      </c>
      <c r="O90" s="357">
        <f t="shared" si="25"/>
        <v>184.03497933999554</v>
      </c>
    </row>
    <row r="91" spans="2:16" ht="16" x14ac:dyDescent="0.3">
      <c r="B91" s="299"/>
      <c r="C91" s="300"/>
      <c r="D91" s="540"/>
      <c r="E91" s="540"/>
      <c r="F91" s="540"/>
      <c r="G91" s="540"/>
      <c r="H91" s="537"/>
      <c r="I91" s="537"/>
      <c r="J91" s="537"/>
      <c r="K91" s="537"/>
      <c r="L91" s="537"/>
      <c r="M91" s="537"/>
      <c r="N91" s="537"/>
      <c r="O91" s="537"/>
    </row>
    <row r="92" spans="2:16" x14ac:dyDescent="0.3">
      <c r="B92" s="1"/>
      <c r="C92" s="1"/>
      <c r="D92" s="425"/>
      <c r="E92" s="425"/>
      <c r="F92" s="425"/>
      <c r="G92" s="425"/>
      <c r="H92" s="425"/>
      <c r="I92" s="425"/>
      <c r="J92" s="425"/>
      <c r="K92" s="425"/>
      <c r="L92" s="425"/>
      <c r="M92" s="425"/>
      <c r="N92" s="425"/>
      <c r="O92" s="425"/>
    </row>
    <row r="93" spans="2:16" x14ac:dyDescent="0.3">
      <c r="B93" s="283" t="s">
        <v>188</v>
      </c>
      <c r="C93" s="1"/>
      <c r="D93" s="425"/>
      <c r="E93" s="425"/>
      <c r="F93" s="425"/>
      <c r="G93" s="425"/>
      <c r="H93" s="425"/>
      <c r="I93" s="425"/>
      <c r="J93" s="425"/>
      <c r="K93" s="425"/>
      <c r="L93" s="425"/>
      <c r="M93" s="425"/>
      <c r="N93" s="425"/>
      <c r="O93" s="425"/>
    </row>
    <row r="94" spans="2:16" x14ac:dyDescent="0.3">
      <c r="B94" s="283"/>
      <c r="C94" s="1"/>
      <c r="D94" s="425"/>
      <c r="E94" s="425"/>
      <c r="F94" s="425"/>
      <c r="G94" s="425"/>
      <c r="H94" s="425"/>
      <c r="I94" s="425"/>
      <c r="J94" s="425"/>
      <c r="K94" s="425"/>
      <c r="L94" s="425"/>
      <c r="M94" s="425"/>
      <c r="N94" s="425"/>
      <c r="O94" s="425"/>
    </row>
    <row r="95" spans="2:16" x14ac:dyDescent="0.3">
      <c r="B95" s="1"/>
      <c r="C95" s="1"/>
      <c r="D95" s="534"/>
      <c r="E95" s="534"/>
      <c r="F95" s="534"/>
      <c r="G95" s="534"/>
      <c r="H95" s="425"/>
      <c r="I95" s="512"/>
      <c r="J95" s="425"/>
      <c r="K95" s="512"/>
      <c r="L95" s="512"/>
      <c r="M95" s="425"/>
      <c r="N95" s="425"/>
      <c r="O95" s="535" t="s">
        <v>16</v>
      </c>
    </row>
    <row r="96" spans="2:16" x14ac:dyDescent="0.3">
      <c r="B96" s="2351" t="s">
        <v>187</v>
      </c>
      <c r="C96" s="2351" t="s">
        <v>50</v>
      </c>
      <c r="D96" s="2354" t="s">
        <v>179</v>
      </c>
      <c r="E96" s="2355"/>
      <c r="F96" s="2355"/>
      <c r="G96" s="2356"/>
      <c r="H96" s="2354" t="s">
        <v>186</v>
      </c>
      <c r="I96" s="2355"/>
      <c r="J96" s="2355"/>
      <c r="K96" s="2355"/>
      <c r="L96" s="2356"/>
      <c r="M96" s="2190" t="s">
        <v>426</v>
      </c>
      <c r="N96" s="2197"/>
      <c r="O96" s="2197"/>
      <c r="P96" s="2191"/>
    </row>
    <row r="97" spans="2:16" ht="15" customHeight="1" x14ac:dyDescent="0.3">
      <c r="B97" s="2351"/>
      <c r="C97" s="2351"/>
      <c r="D97" s="2357" t="s">
        <v>12</v>
      </c>
      <c r="E97" s="2358"/>
      <c r="F97" s="2358"/>
      <c r="G97" s="2358"/>
      <c r="H97" s="2354" t="s">
        <v>12</v>
      </c>
      <c r="I97" s="2355"/>
      <c r="J97" s="2355"/>
      <c r="K97" s="2355"/>
      <c r="L97" s="2356"/>
      <c r="M97" s="2357" t="s">
        <v>12</v>
      </c>
      <c r="N97" s="2358"/>
      <c r="O97" s="2358"/>
      <c r="P97" s="2358"/>
    </row>
    <row r="98" spans="2:16" ht="42" x14ac:dyDescent="0.3">
      <c r="B98" s="2351"/>
      <c r="C98" s="2351"/>
      <c r="D98" s="488" t="s">
        <v>141</v>
      </c>
      <c r="E98" s="488" t="s">
        <v>142</v>
      </c>
      <c r="F98" s="488" t="s">
        <v>143</v>
      </c>
      <c r="G98" s="488" t="s">
        <v>144</v>
      </c>
      <c r="H98" s="488" t="s">
        <v>141</v>
      </c>
      <c r="I98" s="488" t="s">
        <v>142</v>
      </c>
      <c r="J98" s="488" t="s">
        <v>143</v>
      </c>
      <c r="K98" s="766" t="s">
        <v>1386</v>
      </c>
      <c r="L98" s="488" t="s">
        <v>144</v>
      </c>
      <c r="M98" s="488" t="s">
        <v>141</v>
      </c>
      <c r="N98" s="488" t="s">
        <v>142</v>
      </c>
      <c r="O98" s="488" t="s">
        <v>143</v>
      </c>
      <c r="P98" s="488" t="s">
        <v>144</v>
      </c>
    </row>
    <row r="99" spans="2:16" x14ac:dyDescent="0.3">
      <c r="B99" s="282"/>
      <c r="C99" s="282"/>
      <c r="D99" s="488" t="s">
        <v>73</v>
      </c>
      <c r="E99" s="488" t="s">
        <v>74</v>
      </c>
      <c r="F99" s="488" t="s">
        <v>690</v>
      </c>
      <c r="G99" s="488" t="s">
        <v>779</v>
      </c>
      <c r="H99" s="488" t="s">
        <v>411</v>
      </c>
      <c r="I99" s="488" t="s">
        <v>412</v>
      </c>
      <c r="J99" s="488" t="s">
        <v>581</v>
      </c>
      <c r="K99" s="766"/>
      <c r="L99" s="488" t="s">
        <v>780</v>
      </c>
      <c r="M99" s="488" t="s">
        <v>668</v>
      </c>
      <c r="N99" s="488" t="s">
        <v>582</v>
      </c>
      <c r="O99" s="488" t="s">
        <v>759</v>
      </c>
      <c r="P99" s="488" t="s">
        <v>781</v>
      </c>
    </row>
    <row r="100" spans="2:16" x14ac:dyDescent="0.3">
      <c r="B100" s="63">
        <v>1</v>
      </c>
      <c r="C100" s="295" t="s">
        <v>942</v>
      </c>
      <c r="D100" s="355">
        <f>D16-D58</f>
        <v>0.22999999999999998</v>
      </c>
      <c r="E100" s="355">
        <f>E16-E58</f>
        <v>0</v>
      </c>
      <c r="F100" s="355">
        <f>F16-F58</f>
        <v>0</v>
      </c>
      <c r="G100" s="355">
        <f>D100+E100-F100</f>
        <v>0.22999999999999998</v>
      </c>
      <c r="H100" s="343">
        <f>G100</f>
        <v>0.22999999999999998</v>
      </c>
      <c r="I100" s="355">
        <f t="shared" ref="I100:J110" si="26">I16-I58</f>
        <v>0</v>
      </c>
      <c r="J100" s="355">
        <f t="shared" si="26"/>
        <v>0</v>
      </c>
      <c r="K100" s="355">
        <f>K16</f>
        <v>0</v>
      </c>
      <c r="L100" s="355">
        <f>H100+I100-J100+K100</f>
        <v>0.22999999999999998</v>
      </c>
      <c r="M100" s="343">
        <f>L100</f>
        <v>0.22999999999999998</v>
      </c>
      <c r="N100" s="355">
        <f t="shared" ref="N100:O110" si="27">N16-M58</f>
        <v>0</v>
      </c>
      <c r="O100" s="355">
        <f t="shared" si="27"/>
        <v>0</v>
      </c>
      <c r="P100" s="355">
        <f>M100+N100-O100</f>
        <v>0.22999999999999998</v>
      </c>
    </row>
    <row r="101" spans="2:16" x14ac:dyDescent="0.3">
      <c r="B101" s="63">
        <v>2</v>
      </c>
      <c r="C101" s="295" t="s">
        <v>943</v>
      </c>
      <c r="D101" s="355">
        <f t="shared" ref="D101:F110" si="28">D17-D59</f>
        <v>4.7419999999999991</v>
      </c>
      <c r="E101" s="355">
        <f t="shared" si="28"/>
        <v>2.1999999999999964E-2</v>
      </c>
      <c r="F101" s="355">
        <f t="shared" si="28"/>
        <v>0</v>
      </c>
      <c r="G101" s="355">
        <f t="shared" ref="G101:G110" si="29">D101+E101-F101</f>
        <v>4.7639999999999993</v>
      </c>
      <c r="H101" s="343">
        <f t="shared" ref="H101:H110" si="30">G101</f>
        <v>4.7639999999999993</v>
      </c>
      <c r="I101" s="355">
        <f t="shared" si="26"/>
        <v>-0.17699999999999999</v>
      </c>
      <c r="J101" s="355">
        <f t="shared" si="26"/>
        <v>0</v>
      </c>
      <c r="K101" s="355">
        <f t="shared" ref="K101:K110" si="31">K17</f>
        <v>-5.000000000000001E-3</v>
      </c>
      <c r="L101" s="355">
        <f t="shared" ref="L101:L110" si="32">H101+I101-J101+K101</f>
        <v>4.5819999999999999</v>
      </c>
      <c r="M101" s="343">
        <f t="shared" ref="M101:M110" si="33">L101</f>
        <v>4.5819999999999999</v>
      </c>
      <c r="N101" s="355">
        <f t="shared" si="27"/>
        <v>1.7101086299999957E-2</v>
      </c>
      <c r="O101" s="355">
        <f t="shared" si="27"/>
        <v>2.2445622100000003E-2</v>
      </c>
      <c r="P101" s="355">
        <f t="shared" ref="P101:P110" si="34">M101+N101-O101</f>
        <v>4.5766554641999999</v>
      </c>
    </row>
    <row r="102" spans="2:16" x14ac:dyDescent="0.3">
      <c r="B102" s="63">
        <v>3</v>
      </c>
      <c r="C102" s="295" t="s">
        <v>944</v>
      </c>
      <c r="D102" s="355">
        <f t="shared" si="28"/>
        <v>51.776999999999973</v>
      </c>
      <c r="E102" s="355">
        <f t="shared" si="28"/>
        <v>3.7779999999999996</v>
      </c>
      <c r="F102" s="355">
        <f t="shared" si="28"/>
        <v>1.100000000000001E-2</v>
      </c>
      <c r="G102" s="355">
        <f t="shared" si="29"/>
        <v>55.543999999999969</v>
      </c>
      <c r="H102" s="343">
        <f t="shared" si="30"/>
        <v>55.543999999999969</v>
      </c>
      <c r="I102" s="355">
        <f t="shared" si="26"/>
        <v>-0.31899999999999951</v>
      </c>
      <c r="J102" s="355">
        <f t="shared" si="26"/>
        <v>4.4000000000000039E-2</v>
      </c>
      <c r="K102" s="355">
        <f t="shared" si="31"/>
        <v>-0.43600000000000005</v>
      </c>
      <c r="L102" s="355">
        <f t="shared" si="32"/>
        <v>54.744999999999969</v>
      </c>
      <c r="M102" s="343">
        <f t="shared" si="33"/>
        <v>54.744999999999969</v>
      </c>
      <c r="N102" s="355">
        <f t="shared" si="27"/>
        <v>-0.54141974310000096</v>
      </c>
      <c r="O102" s="355">
        <f t="shared" si="27"/>
        <v>4.6431469399999981E-2</v>
      </c>
      <c r="P102" s="355">
        <f t="shared" si="34"/>
        <v>54.15714878749997</v>
      </c>
    </row>
    <row r="103" spans="2:16" x14ac:dyDescent="0.3">
      <c r="B103" s="63">
        <v>4</v>
      </c>
      <c r="C103" s="295" t="s">
        <v>945</v>
      </c>
      <c r="D103" s="355">
        <f t="shared" si="28"/>
        <v>64.936999999999983</v>
      </c>
      <c r="E103" s="355">
        <f t="shared" si="28"/>
        <v>4.6690000000000005</v>
      </c>
      <c r="F103" s="355">
        <f t="shared" si="28"/>
        <v>1.2999999999999984E-2</v>
      </c>
      <c r="G103" s="355">
        <f t="shared" si="29"/>
        <v>69.592999999999975</v>
      </c>
      <c r="H103" s="343">
        <f t="shared" si="30"/>
        <v>69.592999999999975</v>
      </c>
      <c r="I103" s="355">
        <f t="shared" si="26"/>
        <v>3.4050000000000011</v>
      </c>
      <c r="J103" s="355">
        <f t="shared" si="26"/>
        <v>1.4999999999999986E-2</v>
      </c>
      <c r="K103" s="355">
        <f t="shared" si="31"/>
        <v>-0.20400000000000001</v>
      </c>
      <c r="L103" s="355">
        <f t="shared" si="32"/>
        <v>72.778999999999982</v>
      </c>
      <c r="M103" s="343">
        <f t="shared" si="33"/>
        <v>72.778999999999982</v>
      </c>
      <c r="N103" s="355">
        <f t="shared" si="27"/>
        <v>0.97737665520000139</v>
      </c>
      <c r="O103" s="355">
        <f t="shared" si="27"/>
        <v>2.9658039999999997E-2</v>
      </c>
      <c r="P103" s="355">
        <f t="shared" si="34"/>
        <v>73.726718615199985</v>
      </c>
    </row>
    <row r="104" spans="2:16" x14ac:dyDescent="0.3">
      <c r="B104" s="63">
        <v>5</v>
      </c>
      <c r="C104" s="295" t="s">
        <v>946</v>
      </c>
      <c r="D104" s="355">
        <f t="shared" si="28"/>
        <v>7.0459999999999976</v>
      </c>
      <c r="E104" s="355">
        <f t="shared" si="28"/>
        <v>0.13300000000000001</v>
      </c>
      <c r="F104" s="355">
        <f t="shared" si="28"/>
        <v>0.16000000000000014</v>
      </c>
      <c r="G104" s="355">
        <f t="shared" si="29"/>
        <v>7.0189999999999975</v>
      </c>
      <c r="H104" s="343">
        <f t="shared" si="30"/>
        <v>7.0189999999999975</v>
      </c>
      <c r="I104" s="355">
        <f t="shared" si="26"/>
        <v>-0.39600000000000002</v>
      </c>
      <c r="J104" s="355">
        <f t="shared" si="26"/>
        <v>0.2300000000000002</v>
      </c>
      <c r="K104" s="355">
        <f t="shared" si="31"/>
        <v>0</v>
      </c>
      <c r="L104" s="355">
        <f t="shared" si="32"/>
        <v>6.3929999999999971</v>
      </c>
      <c r="M104" s="343">
        <f t="shared" si="33"/>
        <v>6.3929999999999971</v>
      </c>
      <c r="N104" s="355">
        <f t="shared" si="27"/>
        <v>0.55656921919999991</v>
      </c>
      <c r="O104" s="355">
        <f t="shared" si="27"/>
        <v>0.15519910980000007</v>
      </c>
      <c r="P104" s="355">
        <f t="shared" si="34"/>
        <v>6.7943701093999973</v>
      </c>
    </row>
    <row r="105" spans="2:16" x14ac:dyDescent="0.3">
      <c r="B105" s="63">
        <v>6</v>
      </c>
      <c r="C105" s="295" t="s">
        <v>947</v>
      </c>
      <c r="D105" s="355">
        <f t="shared" si="28"/>
        <v>5.3410000000000002</v>
      </c>
      <c r="E105" s="355">
        <f t="shared" si="28"/>
        <v>5.2670000000000003</v>
      </c>
      <c r="F105" s="355">
        <f t="shared" si="28"/>
        <v>0</v>
      </c>
      <c r="G105" s="355">
        <f t="shared" si="29"/>
        <v>10.608000000000001</v>
      </c>
      <c r="H105" s="343">
        <f t="shared" si="30"/>
        <v>10.608000000000001</v>
      </c>
      <c r="I105" s="355">
        <f t="shared" si="26"/>
        <v>4.8000000000000043E-2</v>
      </c>
      <c r="J105" s="355">
        <f t="shared" si="26"/>
        <v>0</v>
      </c>
      <c r="K105" s="355">
        <f t="shared" si="31"/>
        <v>0</v>
      </c>
      <c r="L105" s="355">
        <f t="shared" si="32"/>
        <v>10.656000000000001</v>
      </c>
      <c r="M105" s="343">
        <f t="shared" si="33"/>
        <v>10.656000000000001</v>
      </c>
      <c r="N105" s="355">
        <f t="shared" si="27"/>
        <v>0.48676542500000008</v>
      </c>
      <c r="O105" s="355">
        <f t="shared" si="27"/>
        <v>0</v>
      </c>
      <c r="P105" s="355">
        <f t="shared" si="34"/>
        <v>11.142765425</v>
      </c>
    </row>
    <row r="106" spans="2:16" x14ac:dyDescent="0.3">
      <c r="B106" s="63">
        <v>7</v>
      </c>
      <c r="C106" s="296" t="s">
        <v>948</v>
      </c>
      <c r="D106" s="355">
        <f t="shared" si="28"/>
        <v>1E-3</v>
      </c>
      <c r="E106" s="355">
        <f t="shared" si="28"/>
        <v>0</v>
      </c>
      <c r="F106" s="355">
        <f t="shared" si="28"/>
        <v>0</v>
      </c>
      <c r="G106" s="355">
        <f t="shared" si="29"/>
        <v>1E-3</v>
      </c>
      <c r="H106" s="343">
        <f t="shared" si="30"/>
        <v>1E-3</v>
      </c>
      <c r="I106" s="355">
        <f t="shared" si="26"/>
        <v>0</v>
      </c>
      <c r="J106" s="355">
        <f t="shared" si="26"/>
        <v>0</v>
      </c>
      <c r="K106" s="355">
        <f t="shared" si="31"/>
        <v>0</v>
      </c>
      <c r="L106" s="355">
        <f t="shared" si="32"/>
        <v>1E-3</v>
      </c>
      <c r="M106" s="343">
        <f t="shared" si="33"/>
        <v>1E-3</v>
      </c>
      <c r="N106" s="355">
        <f t="shared" si="27"/>
        <v>0</v>
      </c>
      <c r="O106" s="355">
        <f t="shared" si="27"/>
        <v>0</v>
      </c>
      <c r="P106" s="355">
        <f t="shared" si="34"/>
        <v>1E-3</v>
      </c>
    </row>
    <row r="107" spans="2:16" x14ac:dyDescent="0.3">
      <c r="B107" s="63">
        <v>8</v>
      </c>
      <c r="C107" s="295" t="s">
        <v>949</v>
      </c>
      <c r="D107" s="355">
        <f t="shared" si="28"/>
        <v>0.30399999999999983</v>
      </c>
      <c r="E107" s="355">
        <f t="shared" si="28"/>
        <v>-2.0000000000000018E-3</v>
      </c>
      <c r="F107" s="355">
        <f t="shared" si="28"/>
        <v>1.100000000000001E-2</v>
      </c>
      <c r="G107" s="355">
        <f t="shared" si="29"/>
        <v>0.29099999999999981</v>
      </c>
      <c r="H107" s="343">
        <f t="shared" si="30"/>
        <v>0.29099999999999981</v>
      </c>
      <c r="I107" s="355">
        <f t="shared" si="26"/>
        <v>-1.2000000000000004E-2</v>
      </c>
      <c r="J107" s="355">
        <f t="shared" si="26"/>
        <v>0</v>
      </c>
      <c r="K107" s="355">
        <f t="shared" si="31"/>
        <v>0</v>
      </c>
      <c r="L107" s="355">
        <f t="shared" si="32"/>
        <v>0.2789999999999998</v>
      </c>
      <c r="M107" s="343">
        <f t="shared" si="33"/>
        <v>0.2789999999999998</v>
      </c>
      <c r="N107" s="355">
        <f t="shared" si="27"/>
        <v>-2.8000000000000004E-2</v>
      </c>
      <c r="O107" s="355">
        <f t="shared" si="27"/>
        <v>0</v>
      </c>
      <c r="P107" s="355">
        <f t="shared" si="34"/>
        <v>0.25099999999999978</v>
      </c>
    </row>
    <row r="108" spans="2:16" x14ac:dyDescent="0.3">
      <c r="B108" s="63">
        <v>9</v>
      </c>
      <c r="C108" s="295" t="s">
        <v>950</v>
      </c>
      <c r="D108" s="355">
        <f t="shared" si="28"/>
        <v>1.6230000000000002</v>
      </c>
      <c r="E108" s="355">
        <f t="shared" si="28"/>
        <v>0.60200000000000009</v>
      </c>
      <c r="F108" s="355">
        <f t="shared" si="28"/>
        <v>5.0000000000000044E-3</v>
      </c>
      <c r="G108" s="355">
        <f t="shared" si="29"/>
        <v>2.2200000000000006</v>
      </c>
      <c r="H108" s="343">
        <f t="shared" si="30"/>
        <v>2.2200000000000006</v>
      </c>
      <c r="I108" s="355">
        <f t="shared" si="26"/>
        <v>0.46600000000000008</v>
      </c>
      <c r="J108" s="355">
        <f t="shared" si="26"/>
        <v>0</v>
      </c>
      <c r="K108" s="355">
        <f t="shared" si="31"/>
        <v>1.3000000000000001E-2</v>
      </c>
      <c r="L108" s="355">
        <f t="shared" si="32"/>
        <v>2.6990000000000007</v>
      </c>
      <c r="M108" s="343">
        <f t="shared" si="33"/>
        <v>2.6990000000000007</v>
      </c>
      <c r="N108" s="355">
        <f t="shared" si="27"/>
        <v>0.30441384999999999</v>
      </c>
      <c r="O108" s="355">
        <f t="shared" si="27"/>
        <v>-3.9287399999999965E-5</v>
      </c>
      <c r="P108" s="355">
        <f t="shared" si="34"/>
        <v>3.0034531374000006</v>
      </c>
    </row>
    <row r="109" spans="2:16" x14ac:dyDescent="0.3">
      <c r="B109" s="63">
        <v>10</v>
      </c>
      <c r="C109" s="295" t="s">
        <v>951</v>
      </c>
      <c r="D109" s="355">
        <f t="shared" si="28"/>
        <v>0.16700000000000026</v>
      </c>
      <c r="E109" s="355">
        <f t="shared" si="28"/>
        <v>8.5000000000000006E-2</v>
      </c>
      <c r="F109" s="355">
        <f t="shared" si="28"/>
        <v>0</v>
      </c>
      <c r="G109" s="355">
        <f t="shared" si="29"/>
        <v>0.25200000000000028</v>
      </c>
      <c r="H109" s="343">
        <f t="shared" si="30"/>
        <v>0.25200000000000028</v>
      </c>
      <c r="I109" s="355">
        <f t="shared" si="26"/>
        <v>0.10300000000000001</v>
      </c>
      <c r="J109" s="355">
        <f t="shared" si="26"/>
        <v>9.9999999999999915E-4</v>
      </c>
      <c r="K109" s="355">
        <f t="shared" si="31"/>
        <v>0</v>
      </c>
      <c r="L109" s="355">
        <f t="shared" si="32"/>
        <v>0.35400000000000031</v>
      </c>
      <c r="M109" s="343">
        <f t="shared" si="33"/>
        <v>0.35400000000000031</v>
      </c>
      <c r="N109" s="355">
        <f t="shared" si="27"/>
        <v>-3.7977117300000002E-2</v>
      </c>
      <c r="O109" s="355">
        <f t="shared" si="27"/>
        <v>2.8623617000000032E-3</v>
      </c>
      <c r="P109" s="355">
        <f t="shared" si="34"/>
        <v>0.31316052100000036</v>
      </c>
    </row>
    <row r="110" spans="2:16" x14ac:dyDescent="0.3">
      <c r="B110" s="63">
        <v>11</v>
      </c>
      <c r="C110" s="37" t="s">
        <v>952</v>
      </c>
      <c r="D110" s="355">
        <f t="shared" si="28"/>
        <v>2.1779999999999999</v>
      </c>
      <c r="E110" s="355">
        <f t="shared" si="28"/>
        <v>-0.13400000000000004</v>
      </c>
      <c r="F110" s="355">
        <f t="shared" si="28"/>
        <v>4.9999999999999975E-3</v>
      </c>
      <c r="G110" s="355">
        <f t="shared" si="29"/>
        <v>2.0390000000000001</v>
      </c>
      <c r="H110" s="343">
        <f t="shared" si="30"/>
        <v>2.0390000000000001</v>
      </c>
      <c r="I110" s="355">
        <f t="shared" si="26"/>
        <v>-0.10900000000000003</v>
      </c>
      <c r="J110" s="355">
        <f t="shared" si="26"/>
        <v>1.9999999999999983E-3</v>
      </c>
      <c r="K110" s="355">
        <f t="shared" si="31"/>
        <v>0</v>
      </c>
      <c r="L110" s="355">
        <f t="shared" si="32"/>
        <v>1.9280000000000002</v>
      </c>
      <c r="M110" s="343">
        <f t="shared" si="33"/>
        <v>1.9280000000000002</v>
      </c>
      <c r="N110" s="355">
        <f t="shared" si="27"/>
        <v>-0.12368298830000002</v>
      </c>
      <c r="O110" s="355">
        <f t="shared" si="27"/>
        <v>1.1562829000000004E-2</v>
      </c>
      <c r="P110" s="355">
        <f t="shared" si="34"/>
        <v>1.7927541827000002</v>
      </c>
    </row>
    <row r="111" spans="2:16" ht="16" x14ac:dyDescent="0.3">
      <c r="B111" s="59"/>
      <c r="C111" s="67" t="s">
        <v>145</v>
      </c>
      <c r="D111" s="357">
        <f>SUM(D100:D110)</f>
        <v>138.34599999999995</v>
      </c>
      <c r="E111" s="357">
        <f t="shared" ref="E111:P111" si="35">SUM(E100:E110)</f>
        <v>14.42</v>
      </c>
      <c r="F111" s="357">
        <f t="shared" si="35"/>
        <v>0.20500000000000015</v>
      </c>
      <c r="G111" s="357">
        <f t="shared" si="35"/>
        <v>152.56099999999995</v>
      </c>
      <c r="H111" s="357">
        <f t="shared" si="35"/>
        <v>152.56099999999995</v>
      </c>
      <c r="I111" s="357">
        <f t="shared" si="35"/>
        <v>3.0090000000000021</v>
      </c>
      <c r="J111" s="357">
        <f t="shared" si="35"/>
        <v>0.29200000000000026</v>
      </c>
      <c r="K111" s="357">
        <f t="shared" si="35"/>
        <v>-0.63200000000000001</v>
      </c>
      <c r="L111" s="357">
        <f t="shared" si="35"/>
        <v>154.64599999999999</v>
      </c>
      <c r="M111" s="357">
        <f t="shared" si="35"/>
        <v>154.64599999999999</v>
      </c>
      <c r="N111" s="357">
        <f t="shared" si="35"/>
        <v>1.6111463870000002</v>
      </c>
      <c r="O111" s="357">
        <f t="shared" si="35"/>
        <v>0.26812014460000005</v>
      </c>
      <c r="P111" s="357">
        <f t="shared" si="35"/>
        <v>155.98902624239994</v>
      </c>
    </row>
    <row r="112" spans="2:16" ht="16" x14ac:dyDescent="0.3">
      <c r="B112" s="299"/>
      <c r="C112" s="300"/>
      <c r="D112" s="540"/>
      <c r="E112" s="540"/>
      <c r="F112" s="540"/>
      <c r="G112" s="540"/>
      <c r="H112" s="537"/>
      <c r="I112" s="537"/>
      <c r="J112" s="537"/>
      <c r="K112" s="537"/>
      <c r="L112" s="537"/>
      <c r="M112" s="537"/>
      <c r="N112" s="537"/>
      <c r="O112" s="537"/>
    </row>
    <row r="113" spans="2:30 16384:16384" ht="16" x14ac:dyDescent="0.3">
      <c r="B113" s="297" t="s">
        <v>767</v>
      </c>
      <c r="C113" s="302"/>
      <c r="D113" s="541"/>
      <c r="E113" s="541"/>
      <c r="F113" s="541"/>
      <c r="G113" s="540"/>
      <c r="H113" s="537"/>
      <c r="I113" s="537"/>
      <c r="J113" s="537"/>
      <c r="K113" s="537"/>
      <c r="L113" s="537"/>
      <c r="M113" s="537"/>
      <c r="N113" s="537"/>
      <c r="O113" s="537"/>
    </row>
    <row r="114" spans="2:30 16384:16384" ht="16" x14ac:dyDescent="0.3">
      <c r="B114" s="299"/>
      <c r="C114" s="300"/>
      <c r="D114" s="540"/>
      <c r="E114" s="540"/>
      <c r="F114" s="540"/>
      <c r="G114" s="540"/>
      <c r="H114" s="537"/>
      <c r="I114" s="537"/>
      <c r="J114" s="537"/>
      <c r="K114" s="537"/>
      <c r="L114" s="537"/>
      <c r="M114" s="537"/>
      <c r="N114" s="537"/>
      <c r="O114" s="537"/>
      <c r="P114" s="39"/>
      <c r="Q114" s="39"/>
      <c r="R114" s="39"/>
      <c r="S114" s="39"/>
      <c r="T114" s="39"/>
      <c r="U114" s="39"/>
      <c r="V114" s="39"/>
      <c r="W114" s="39"/>
      <c r="X114" s="39"/>
      <c r="Y114" s="39"/>
      <c r="Z114" s="39"/>
      <c r="AA114" s="39"/>
      <c r="AB114" s="39"/>
      <c r="AC114" s="39"/>
      <c r="AD114" s="39"/>
    </row>
    <row r="115" spans="2:30 16384:16384" ht="16" x14ac:dyDescent="0.3">
      <c r="B115" s="299"/>
      <c r="C115" s="300"/>
      <c r="D115" s="536"/>
      <c r="E115" s="536"/>
      <c r="F115" s="536"/>
      <c r="G115" s="536"/>
      <c r="H115" s="425"/>
      <c r="I115" s="512"/>
      <c r="J115" s="425"/>
      <c r="K115" s="512"/>
      <c r="L115" s="512"/>
      <c r="M115" s="425"/>
      <c r="N115" s="425"/>
      <c r="O115" s="535" t="s">
        <v>16</v>
      </c>
      <c r="P115" s="39"/>
      <c r="Q115" s="39"/>
      <c r="R115" s="39"/>
      <c r="S115" s="39"/>
      <c r="T115" s="39"/>
      <c r="U115" s="39"/>
      <c r="V115" s="39"/>
      <c r="W115" s="39"/>
      <c r="X115" s="39"/>
      <c r="Y115" s="39"/>
      <c r="Z115" s="39"/>
      <c r="AA115" s="39"/>
      <c r="AB115" s="39"/>
      <c r="AC115" s="39"/>
      <c r="AD115" s="39"/>
    </row>
    <row r="116" spans="2:30 16384:16384" ht="15" customHeight="1" x14ac:dyDescent="0.3">
      <c r="B116" s="2351" t="s">
        <v>187</v>
      </c>
      <c r="C116" s="2351" t="s">
        <v>50</v>
      </c>
      <c r="D116" s="2192" t="s">
        <v>427</v>
      </c>
      <c r="E116" s="2192"/>
      <c r="F116" s="2192"/>
      <c r="G116" s="2192"/>
      <c r="H116" s="2192" t="s">
        <v>428</v>
      </c>
      <c r="I116" s="2192"/>
      <c r="J116" s="2192"/>
      <c r="K116" s="2192"/>
      <c r="L116" s="2192" t="s">
        <v>429</v>
      </c>
      <c r="M116" s="2192"/>
      <c r="N116" s="2192"/>
      <c r="O116" s="2192"/>
    </row>
    <row r="117" spans="2:30 16384:16384" ht="15" customHeight="1" x14ac:dyDescent="0.3">
      <c r="B117" s="2351"/>
      <c r="C117" s="2351"/>
      <c r="D117" s="2357" t="s">
        <v>22</v>
      </c>
      <c r="E117" s="2359"/>
      <c r="F117" s="2359"/>
      <c r="G117" s="2359"/>
      <c r="H117" s="2357" t="s">
        <v>31</v>
      </c>
      <c r="I117" s="2359"/>
      <c r="J117" s="2359"/>
      <c r="K117" s="2359"/>
      <c r="L117" s="2357" t="s">
        <v>31</v>
      </c>
      <c r="M117" s="2359"/>
      <c r="N117" s="2359"/>
      <c r="O117" s="2359"/>
    </row>
    <row r="118" spans="2:30 16384:16384" ht="42" x14ac:dyDescent="0.3">
      <c r="B118" s="2351"/>
      <c r="C118" s="2351"/>
      <c r="D118" s="488" t="s">
        <v>141</v>
      </c>
      <c r="E118" s="488" t="s">
        <v>142</v>
      </c>
      <c r="F118" s="539" t="s">
        <v>148</v>
      </c>
      <c r="G118" s="488" t="s">
        <v>144</v>
      </c>
      <c r="H118" s="488" t="s">
        <v>141</v>
      </c>
      <c r="I118" s="488" t="s">
        <v>142</v>
      </c>
      <c r="J118" s="539" t="s">
        <v>148</v>
      </c>
      <c r="K118" s="488" t="s">
        <v>144</v>
      </c>
      <c r="L118" s="488" t="s">
        <v>141</v>
      </c>
      <c r="M118" s="488" t="s">
        <v>142</v>
      </c>
      <c r="N118" s="539" t="s">
        <v>148</v>
      </c>
      <c r="O118" s="488" t="s">
        <v>144</v>
      </c>
    </row>
    <row r="119" spans="2:30 16384:16384" x14ac:dyDescent="0.3">
      <c r="B119" s="282"/>
      <c r="C119" s="282"/>
      <c r="D119" s="488" t="s">
        <v>782</v>
      </c>
      <c r="E119" s="488" t="s">
        <v>583</v>
      </c>
      <c r="F119" s="488" t="s">
        <v>760</v>
      </c>
      <c r="G119" s="488" t="s">
        <v>783</v>
      </c>
      <c r="H119" s="488" t="s">
        <v>585</v>
      </c>
      <c r="I119" s="488" t="s">
        <v>761</v>
      </c>
      <c r="J119" s="488" t="s">
        <v>784</v>
      </c>
      <c r="K119" s="488" t="s">
        <v>785</v>
      </c>
      <c r="L119" s="488" t="s">
        <v>762</v>
      </c>
      <c r="M119" s="488" t="s">
        <v>763</v>
      </c>
      <c r="N119" s="488" t="s">
        <v>764</v>
      </c>
      <c r="O119" s="488" t="s">
        <v>786</v>
      </c>
    </row>
    <row r="120" spans="2:30 16384:16384" x14ac:dyDescent="0.3">
      <c r="B120" s="63">
        <v>1</v>
      </c>
      <c r="C120" s="295" t="s">
        <v>942</v>
      </c>
      <c r="D120" s="355">
        <f t="shared" ref="D120:D130" si="36">P100</f>
        <v>0.22999999999999998</v>
      </c>
      <c r="E120" s="355">
        <f>E36-E79</f>
        <v>0</v>
      </c>
      <c r="F120" s="355">
        <f>F36-F79</f>
        <v>0</v>
      </c>
      <c r="G120" s="355">
        <f>D120+E120-F120</f>
        <v>0.22999999999999998</v>
      </c>
      <c r="H120" s="343">
        <f>G120</f>
        <v>0.22999999999999998</v>
      </c>
      <c r="I120" s="355">
        <f t="shared" ref="I120:J130" si="37">I36-I79</f>
        <v>0</v>
      </c>
      <c r="J120" s="355">
        <f t="shared" si="37"/>
        <v>0</v>
      </c>
      <c r="K120" s="355">
        <f>H120+I120-J120</f>
        <v>0.22999999999999998</v>
      </c>
      <c r="L120" s="343">
        <f>K120</f>
        <v>0.22999999999999998</v>
      </c>
      <c r="M120" s="355">
        <f t="shared" ref="M120:N130" si="38">M36-M79</f>
        <v>0</v>
      </c>
      <c r="N120" s="355">
        <f t="shared" si="38"/>
        <v>0</v>
      </c>
      <c r="O120" s="355">
        <f>L120+M120-N120</f>
        <v>0.22999999999999998</v>
      </c>
    </row>
    <row r="121" spans="2:30 16384:16384" x14ac:dyDescent="0.3">
      <c r="B121" s="63">
        <v>2</v>
      </c>
      <c r="C121" s="295" t="s">
        <v>943</v>
      </c>
      <c r="D121" s="355">
        <f t="shared" si="36"/>
        <v>4.5766554641999999</v>
      </c>
      <c r="E121" s="355">
        <f t="shared" ref="E121:F130" si="39">E37-E80</f>
        <v>6.0707836262198556E-2</v>
      </c>
      <c r="F121" s="355">
        <f t="shared" si="39"/>
        <v>2.2445622100000003E-2</v>
      </c>
      <c r="G121" s="355">
        <f t="shared" ref="G121:G130" si="40">D121+E121-F121</f>
        <v>4.6149176783621986</v>
      </c>
      <c r="H121" s="343">
        <f t="shared" ref="H121:H130" si="41">G121</f>
        <v>4.6149176783621986</v>
      </c>
      <c r="I121" s="355">
        <f t="shared" si="37"/>
        <v>1.8100354746630616</v>
      </c>
      <c r="J121" s="355">
        <f t="shared" si="37"/>
        <v>2.2445622100000003E-2</v>
      </c>
      <c r="K121" s="355">
        <f t="shared" ref="K121:K130" si="42">H121+I121-J121</f>
        <v>6.4025075309252601</v>
      </c>
      <c r="L121" s="343">
        <f t="shared" ref="L121:L130" si="43">K121</f>
        <v>6.4025075309252601</v>
      </c>
      <c r="M121" s="355">
        <f t="shared" si="38"/>
        <v>1.4510876347884856</v>
      </c>
      <c r="N121" s="355">
        <f t="shared" si="38"/>
        <v>2.2445622100000003E-2</v>
      </c>
      <c r="O121" s="355">
        <f t="shared" ref="O121:O130" si="44">L121+M121-N121</f>
        <v>7.831149543613745</v>
      </c>
    </row>
    <row r="122" spans="2:30 16384:16384" x14ac:dyDescent="0.3">
      <c r="B122" s="63">
        <v>3</v>
      </c>
      <c r="C122" s="295" t="s">
        <v>944</v>
      </c>
      <c r="D122" s="355">
        <f t="shared" si="36"/>
        <v>54.15714878749997</v>
      </c>
      <c r="E122" s="355">
        <f t="shared" si="39"/>
        <v>-0.12426960851813362</v>
      </c>
      <c r="F122" s="355">
        <f t="shared" si="39"/>
        <v>4.6431469399999981E-2</v>
      </c>
      <c r="G122" s="355">
        <f t="shared" si="40"/>
        <v>53.986447709581839</v>
      </c>
      <c r="H122" s="343">
        <f t="shared" si="41"/>
        <v>53.986447709581839</v>
      </c>
      <c r="I122" s="355">
        <f t="shared" si="37"/>
        <v>22.905252667234304</v>
      </c>
      <c r="J122" s="355">
        <f t="shared" si="37"/>
        <v>4.6431469399999981E-2</v>
      </c>
      <c r="K122" s="355">
        <f t="shared" si="42"/>
        <v>76.845268907416141</v>
      </c>
      <c r="L122" s="343">
        <f t="shared" si="43"/>
        <v>76.845268907416141</v>
      </c>
      <c r="M122" s="355">
        <f t="shared" si="38"/>
        <v>17.979940806703809</v>
      </c>
      <c r="N122" s="355">
        <f t="shared" si="38"/>
        <v>4.6431469399999981E-2</v>
      </c>
      <c r="O122" s="355">
        <f t="shared" si="44"/>
        <v>94.778778244719945</v>
      </c>
    </row>
    <row r="123" spans="2:30 16384:16384" x14ac:dyDescent="0.3">
      <c r="B123" s="63">
        <v>4</v>
      </c>
      <c r="C123" s="295" t="s">
        <v>945</v>
      </c>
      <c r="D123" s="355">
        <f t="shared" si="36"/>
        <v>73.726718615199985</v>
      </c>
      <c r="E123" s="355">
        <f t="shared" si="39"/>
        <v>1.6842570083287773</v>
      </c>
      <c r="F123" s="355">
        <f t="shared" si="39"/>
        <v>2.9658039999999997E-2</v>
      </c>
      <c r="G123" s="355">
        <f t="shared" si="40"/>
        <v>75.381317583528755</v>
      </c>
      <c r="H123" s="343">
        <f t="shared" si="41"/>
        <v>75.381317583528755</v>
      </c>
      <c r="I123" s="355">
        <f t="shared" si="37"/>
        <v>37.243930315008704</v>
      </c>
      <c r="J123" s="355">
        <f t="shared" si="37"/>
        <v>2.9658039999999997E-2</v>
      </c>
      <c r="K123" s="355">
        <f t="shared" si="42"/>
        <v>112.59558985853745</v>
      </c>
      <c r="L123" s="343">
        <f t="shared" si="43"/>
        <v>112.59558985853745</v>
      </c>
      <c r="M123" s="355">
        <f t="shared" si="38"/>
        <v>30.174194166601293</v>
      </c>
      <c r="N123" s="355">
        <f t="shared" si="38"/>
        <v>2.9658039999999997E-2</v>
      </c>
      <c r="O123" s="355">
        <f t="shared" si="44"/>
        <v>142.74012598513875</v>
      </c>
    </row>
    <row r="124" spans="2:30 16384:16384" x14ac:dyDescent="0.3">
      <c r="B124" s="63">
        <v>5</v>
      </c>
      <c r="C124" s="295" t="s">
        <v>946</v>
      </c>
      <c r="D124" s="355">
        <f t="shared" si="36"/>
        <v>6.7943701093999973</v>
      </c>
      <c r="E124" s="355">
        <f t="shared" si="39"/>
        <v>0.75557773558141894</v>
      </c>
      <c r="F124" s="355">
        <f t="shared" si="39"/>
        <v>0.15519910980000007</v>
      </c>
      <c r="G124" s="355">
        <f t="shared" si="40"/>
        <v>7.3947487351814161</v>
      </c>
      <c r="H124" s="343">
        <f t="shared" si="41"/>
        <v>7.3947487351814161</v>
      </c>
      <c r="I124" s="355">
        <f t="shared" si="37"/>
        <v>10.252131299096131</v>
      </c>
      <c r="J124" s="355">
        <f t="shared" si="37"/>
        <v>0.15519910980000007</v>
      </c>
      <c r="K124" s="355">
        <f t="shared" si="42"/>
        <v>17.491680924477546</v>
      </c>
      <c r="L124" s="343">
        <f t="shared" si="43"/>
        <v>17.491680924477546</v>
      </c>
      <c r="M124" s="355">
        <f t="shared" si="38"/>
        <v>8.4513504594459761</v>
      </c>
      <c r="N124" s="355">
        <f t="shared" si="38"/>
        <v>0.15519910980000007</v>
      </c>
      <c r="O124" s="355">
        <f t="shared" si="44"/>
        <v>25.78783227412352</v>
      </c>
    </row>
    <row r="125" spans="2:30 16384:16384" x14ac:dyDescent="0.3">
      <c r="B125" s="63">
        <v>6</v>
      </c>
      <c r="C125" s="295" t="s">
        <v>947</v>
      </c>
      <c r="D125" s="355">
        <f t="shared" si="36"/>
        <v>11.142765425</v>
      </c>
      <c r="E125" s="355">
        <f t="shared" si="39"/>
        <v>0.62193152448433353</v>
      </c>
      <c r="F125" s="355">
        <f t="shared" si="39"/>
        <v>0</v>
      </c>
      <c r="G125" s="355">
        <f t="shared" si="40"/>
        <v>11.764696949484334</v>
      </c>
      <c r="H125" s="343">
        <f t="shared" si="41"/>
        <v>11.764696949484334</v>
      </c>
      <c r="I125" s="355">
        <f t="shared" si="37"/>
        <v>6.87311503883131</v>
      </c>
      <c r="J125" s="355">
        <f t="shared" si="37"/>
        <v>0</v>
      </c>
      <c r="K125" s="355">
        <f t="shared" si="42"/>
        <v>18.637811988315644</v>
      </c>
      <c r="L125" s="343">
        <f t="shared" si="43"/>
        <v>18.637811988315644</v>
      </c>
      <c r="M125" s="355">
        <f t="shared" si="38"/>
        <v>5.7232838105303303</v>
      </c>
      <c r="N125" s="355">
        <f t="shared" si="38"/>
        <v>0</v>
      </c>
      <c r="O125" s="355">
        <f t="shared" si="44"/>
        <v>24.361095798845973</v>
      </c>
    </row>
    <row r="126" spans="2:30 16384:16384" x14ac:dyDescent="0.3">
      <c r="B126" s="63">
        <v>7</v>
      </c>
      <c r="C126" s="296" t="s">
        <v>948</v>
      </c>
      <c r="D126" s="355">
        <f t="shared" si="36"/>
        <v>1E-3</v>
      </c>
      <c r="E126" s="355">
        <f t="shared" si="39"/>
        <v>0</v>
      </c>
      <c r="F126" s="355">
        <f t="shared" si="39"/>
        <v>0</v>
      </c>
      <c r="G126" s="355">
        <f t="shared" si="40"/>
        <v>1E-3</v>
      </c>
      <c r="H126" s="343">
        <f t="shared" si="41"/>
        <v>1E-3</v>
      </c>
      <c r="I126" s="355">
        <f t="shared" si="37"/>
        <v>0</v>
      </c>
      <c r="J126" s="355">
        <f t="shared" si="37"/>
        <v>0</v>
      </c>
      <c r="K126" s="355">
        <f t="shared" si="42"/>
        <v>1E-3</v>
      </c>
      <c r="L126" s="343">
        <f t="shared" si="43"/>
        <v>1E-3</v>
      </c>
      <c r="M126" s="355">
        <f t="shared" si="38"/>
        <v>0</v>
      </c>
      <c r="N126" s="355">
        <f t="shared" si="38"/>
        <v>0</v>
      </c>
      <c r="O126" s="355">
        <f t="shared" si="44"/>
        <v>1E-3</v>
      </c>
      <c r="XFD126" s="456">
        <f>MIN(G126:XFC126)</f>
        <v>0</v>
      </c>
    </row>
    <row r="127" spans="2:30 16384:16384" x14ac:dyDescent="0.3">
      <c r="B127" s="63">
        <v>8</v>
      </c>
      <c r="C127" s="295" t="s">
        <v>949</v>
      </c>
      <c r="D127" s="355">
        <f t="shared" si="36"/>
        <v>0.25099999999999978</v>
      </c>
      <c r="E127" s="355">
        <f t="shared" si="39"/>
        <v>-2.9063195099514435E-2</v>
      </c>
      <c r="F127" s="355">
        <f t="shared" si="39"/>
        <v>0</v>
      </c>
      <c r="G127" s="355">
        <f t="shared" si="40"/>
        <v>0.22193680490048534</v>
      </c>
      <c r="H127" s="343">
        <f t="shared" si="41"/>
        <v>0.22193680490048534</v>
      </c>
      <c r="I127" s="355">
        <f t="shared" si="37"/>
        <v>-3.4034263157320561E-2</v>
      </c>
      <c r="J127" s="355">
        <f t="shared" si="37"/>
        <v>0</v>
      </c>
      <c r="K127" s="355">
        <f t="shared" si="42"/>
        <v>0.18790254174316479</v>
      </c>
      <c r="L127" s="343">
        <f t="shared" si="43"/>
        <v>0.18790254174316479</v>
      </c>
      <c r="M127" s="355">
        <f t="shared" si="38"/>
        <v>-4.1272496141728787E-2</v>
      </c>
      <c r="N127" s="355">
        <f t="shared" si="38"/>
        <v>0</v>
      </c>
      <c r="O127" s="355">
        <f t="shared" si="44"/>
        <v>0.146630045601436</v>
      </c>
      <c r="XFD127" s="456">
        <f>MIN(G127:XFC127)</f>
        <v>-4.1272496141728787E-2</v>
      </c>
    </row>
    <row r="128" spans="2:30 16384:16384" x14ac:dyDescent="0.3">
      <c r="B128" s="63">
        <v>9</v>
      </c>
      <c r="C128" s="295" t="s">
        <v>950</v>
      </c>
      <c r="D128" s="355">
        <f t="shared" si="36"/>
        <v>3.0034531374000006</v>
      </c>
      <c r="E128" s="355">
        <f t="shared" si="39"/>
        <v>0.37407471539771581</v>
      </c>
      <c r="F128" s="355">
        <f t="shared" si="39"/>
        <v>-3.9287399999999965E-5</v>
      </c>
      <c r="G128" s="355">
        <f t="shared" si="40"/>
        <v>3.3775671401977165</v>
      </c>
      <c r="H128" s="343">
        <f t="shared" si="41"/>
        <v>3.3775671401977165</v>
      </c>
      <c r="I128" s="355">
        <f t="shared" si="37"/>
        <v>3.4978422420537338</v>
      </c>
      <c r="J128" s="355">
        <f t="shared" si="37"/>
        <v>-3.9287399999999965E-5</v>
      </c>
      <c r="K128" s="355">
        <f t="shared" si="42"/>
        <v>6.8754486696514503</v>
      </c>
      <c r="L128" s="343">
        <f t="shared" si="43"/>
        <v>6.8754486696514503</v>
      </c>
      <c r="M128" s="355">
        <f t="shared" si="38"/>
        <v>2.9413233112533406</v>
      </c>
      <c r="N128" s="355">
        <f t="shared" si="38"/>
        <v>-3.9287399999999965E-5</v>
      </c>
      <c r="O128" s="355">
        <f t="shared" si="44"/>
        <v>9.8168112683047912</v>
      </c>
      <c r="XFD128" s="456">
        <f>MIN(G128:XFC128)</f>
        <v>-3.9287399999999965E-5</v>
      </c>
    </row>
    <row r="129" spans="2:15 16384:16384" x14ac:dyDescent="0.3">
      <c r="B129" s="63">
        <v>10</v>
      </c>
      <c r="C129" s="295" t="s">
        <v>951</v>
      </c>
      <c r="D129" s="355">
        <f t="shared" si="36"/>
        <v>0.31316052100000036</v>
      </c>
      <c r="E129" s="355">
        <f t="shared" si="39"/>
        <v>-3.1749188803390824E-2</v>
      </c>
      <c r="F129" s="355">
        <f t="shared" si="39"/>
        <v>2.8623617000000032E-3</v>
      </c>
      <c r="G129" s="355">
        <f t="shared" si="40"/>
        <v>0.27854897049660954</v>
      </c>
      <c r="H129" s="343">
        <f t="shared" si="41"/>
        <v>0.27854897049660954</v>
      </c>
      <c r="I129" s="355">
        <f t="shared" si="37"/>
        <v>0.36673914449349221</v>
      </c>
      <c r="J129" s="355">
        <f t="shared" si="37"/>
        <v>2.8623617000000032E-3</v>
      </c>
      <c r="K129" s="355">
        <f t="shared" si="42"/>
        <v>0.64242575329010176</v>
      </c>
      <c r="L129" s="343">
        <f t="shared" si="43"/>
        <v>0.64242575329010176</v>
      </c>
      <c r="M129" s="355">
        <f t="shared" si="38"/>
        <v>0.27306804032795268</v>
      </c>
      <c r="N129" s="355">
        <f t="shared" si="38"/>
        <v>2.8623617000000032E-3</v>
      </c>
      <c r="O129" s="355">
        <f t="shared" si="44"/>
        <v>0.91263143191805451</v>
      </c>
      <c r="XFD129" s="456">
        <f>MIN(G129:XFC129)</f>
        <v>2.8623617000000032E-3</v>
      </c>
    </row>
    <row r="130" spans="2:15 16384:16384" x14ac:dyDescent="0.3">
      <c r="B130" s="63">
        <v>11</v>
      </c>
      <c r="C130" s="37" t="s">
        <v>952</v>
      </c>
      <c r="D130" s="355">
        <f t="shared" si="36"/>
        <v>1.7927541827000002</v>
      </c>
      <c r="E130" s="355">
        <f t="shared" si="39"/>
        <v>-0.1242029612048741</v>
      </c>
      <c r="F130" s="355">
        <f t="shared" si="39"/>
        <v>1.1562829000000004E-2</v>
      </c>
      <c r="G130" s="355">
        <f t="shared" si="40"/>
        <v>1.6569883924951261</v>
      </c>
      <c r="H130" s="343">
        <f t="shared" si="41"/>
        <v>1.6569883924951261</v>
      </c>
      <c r="I130" s="355">
        <f t="shared" si="37"/>
        <v>7.4493482373119951E-2</v>
      </c>
      <c r="J130" s="355">
        <f t="shared" si="37"/>
        <v>1.1562829000000004E-2</v>
      </c>
      <c r="K130" s="355">
        <f t="shared" si="42"/>
        <v>1.7199190458682461</v>
      </c>
      <c r="L130" s="343">
        <f t="shared" si="43"/>
        <v>1.7199190458682461</v>
      </c>
      <c r="M130" s="355">
        <f t="shared" si="38"/>
        <v>-3.1393405300391419E-3</v>
      </c>
      <c r="N130" s="355">
        <f t="shared" si="38"/>
        <v>1.1562829000000004E-2</v>
      </c>
      <c r="O130" s="355">
        <f t="shared" si="44"/>
        <v>1.705216876338207</v>
      </c>
      <c r="XFD130" s="456">
        <f>MIN(G130:XFC130)</f>
        <v>-3.1393405300391419E-3</v>
      </c>
    </row>
    <row r="131" spans="2:15 16384:16384" ht="16" x14ac:dyDescent="0.3">
      <c r="B131" s="59"/>
      <c r="C131" s="67" t="s">
        <v>145</v>
      </c>
      <c r="D131" s="357">
        <f>SUM(D120:D130)</f>
        <v>155.98902624239994</v>
      </c>
      <c r="E131" s="357">
        <f t="shared" ref="E131:O131" si="45">SUM(E120:E130)</f>
        <v>3.1872638664285309</v>
      </c>
      <c r="F131" s="357">
        <f t="shared" si="45"/>
        <v>0.26812014460000005</v>
      </c>
      <c r="G131" s="357">
        <f t="shared" si="45"/>
        <v>158.90816996422851</v>
      </c>
      <c r="H131" s="357">
        <f t="shared" si="45"/>
        <v>158.90816996422851</v>
      </c>
      <c r="I131" s="357">
        <f t="shared" si="45"/>
        <v>82.989505400596542</v>
      </c>
      <c r="J131" s="357">
        <f t="shared" si="45"/>
        <v>0.26812014460000005</v>
      </c>
      <c r="K131" s="357">
        <f t="shared" si="45"/>
        <v>241.62955522022503</v>
      </c>
      <c r="L131" s="357">
        <f t="shared" si="45"/>
        <v>241.62955522022503</v>
      </c>
      <c r="M131" s="357">
        <f t="shared" si="45"/>
        <v>66.949836392979421</v>
      </c>
      <c r="N131" s="357">
        <f t="shared" si="45"/>
        <v>0.26812014460000005</v>
      </c>
      <c r="O131" s="357">
        <f t="shared" si="45"/>
        <v>308.31127146860439</v>
      </c>
    </row>
  </sheetData>
  <mergeCells count="48">
    <mergeCell ref="B96:B98"/>
    <mergeCell ref="C96:C98"/>
    <mergeCell ref="D96:G96"/>
    <mergeCell ref="M96:P96"/>
    <mergeCell ref="D97:G97"/>
    <mergeCell ref="M97:P97"/>
    <mergeCell ref="H96:L96"/>
    <mergeCell ref="H97:L97"/>
    <mergeCell ref="B116:B118"/>
    <mergeCell ref="C116:C118"/>
    <mergeCell ref="D116:G116"/>
    <mergeCell ref="H116:K116"/>
    <mergeCell ref="L116:O116"/>
    <mergeCell ref="D117:G117"/>
    <mergeCell ref="H117:K117"/>
    <mergeCell ref="L117:O117"/>
    <mergeCell ref="D75:G75"/>
    <mergeCell ref="H75:K75"/>
    <mergeCell ref="L75:O75"/>
    <mergeCell ref="B75:B77"/>
    <mergeCell ref="C75:C77"/>
    <mergeCell ref="D76:G76"/>
    <mergeCell ref="H76:K76"/>
    <mergeCell ref="L76:O76"/>
    <mergeCell ref="B54:B56"/>
    <mergeCell ref="C54:C56"/>
    <mergeCell ref="D54:G54"/>
    <mergeCell ref="H54:K54"/>
    <mergeCell ref="L54:O54"/>
    <mergeCell ref="D55:G55"/>
    <mergeCell ref="H55:K55"/>
    <mergeCell ref="L55:O55"/>
    <mergeCell ref="B32:B34"/>
    <mergeCell ref="C32:C34"/>
    <mergeCell ref="D32:G32"/>
    <mergeCell ref="H32:K32"/>
    <mergeCell ref="L32:O32"/>
    <mergeCell ref="D33:G33"/>
    <mergeCell ref="H33:K33"/>
    <mergeCell ref="L33:O33"/>
    <mergeCell ref="B12:B14"/>
    <mergeCell ref="C12:C14"/>
    <mergeCell ref="D12:G12"/>
    <mergeCell ref="M12:P12"/>
    <mergeCell ref="D13:G13"/>
    <mergeCell ref="M13:P13"/>
    <mergeCell ref="H12:L12"/>
    <mergeCell ref="H13:L13"/>
  </mergeCells>
  <pageMargins left="0.27559055118110237" right="0.23622047244094491" top="0.23622047244094491" bottom="0.23622047244094491" header="0.23622047244094491" footer="0.23622047244094491"/>
  <pageSetup paperSize="9" scale="48" fitToHeight="2" orientation="landscape" r:id="rId1"/>
  <headerFooter alignWithMargins="0">
    <oddHeader>&amp;F</oddHeader>
  </headerFooter>
  <rowBreaks count="2" manualBreakCount="2">
    <brk id="47" max="15" man="1"/>
    <brk id="91"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56"/>
  <sheetViews>
    <sheetView view="pageBreakPreview" zoomScale="73" zoomScaleNormal="100" zoomScaleSheetLayoutView="100" workbookViewId="0">
      <selection activeCell="A42" sqref="A42"/>
    </sheetView>
  </sheetViews>
  <sheetFormatPr defaultColWidth="9.1796875" defaultRowHeight="14" x14ac:dyDescent="0.3"/>
  <cols>
    <col min="1" max="1" width="7.54296875" style="658" customWidth="1"/>
    <col min="2" max="2" width="23.7265625" style="658" customWidth="1"/>
    <col min="3" max="10" width="11.1796875" style="658" bestFit="1" customWidth="1"/>
    <col min="11" max="15" width="11.1796875" style="658" customWidth="1"/>
    <col min="16" max="16384" width="9.1796875" style="658"/>
  </cols>
  <sheetData>
    <row r="2" spans="1:15" x14ac:dyDescent="0.3">
      <c r="A2" s="2360" t="s">
        <v>1027</v>
      </c>
      <c r="B2" s="2360"/>
      <c r="C2" s="2360"/>
      <c r="D2" s="2360"/>
      <c r="E2" s="2360"/>
      <c r="F2" s="2360"/>
      <c r="G2" s="699"/>
      <c r="H2" s="699"/>
      <c r="I2" s="699"/>
      <c r="J2" s="699"/>
      <c r="K2" s="699"/>
      <c r="L2" s="699"/>
      <c r="M2" s="699"/>
      <c r="N2" s="699"/>
      <c r="O2" s="699"/>
    </row>
    <row r="3" spans="1:15" x14ac:dyDescent="0.3">
      <c r="A3" s="2361" t="s">
        <v>1319</v>
      </c>
      <c r="B3" s="2361"/>
      <c r="C3" s="2361"/>
      <c r="D3" s="2361"/>
      <c r="E3" s="2361"/>
      <c r="F3" s="2361"/>
      <c r="G3" s="700"/>
      <c r="H3" s="700"/>
      <c r="I3" s="700"/>
      <c r="J3" s="700"/>
      <c r="K3" s="700"/>
      <c r="L3" s="700"/>
      <c r="M3" s="700"/>
      <c r="N3" s="700"/>
      <c r="O3" s="700"/>
    </row>
    <row r="4" spans="1:15" x14ac:dyDescent="0.3">
      <c r="A4" s="2361" t="s">
        <v>1297</v>
      </c>
      <c r="B4" s="2361"/>
      <c r="C4" s="2361"/>
      <c r="D4" s="2361"/>
      <c r="E4" s="2361"/>
      <c r="F4" s="2361"/>
      <c r="G4" s="700"/>
      <c r="H4" s="700"/>
      <c r="I4" s="700"/>
      <c r="J4" s="700"/>
      <c r="K4" s="700"/>
      <c r="L4" s="700"/>
      <c r="M4" s="700"/>
      <c r="N4" s="700"/>
      <c r="O4" s="700"/>
    </row>
    <row r="5" spans="1:15" x14ac:dyDescent="0.3">
      <c r="A5" s="701"/>
      <c r="B5" s="701"/>
      <c r="C5" s="701"/>
      <c r="D5" s="701"/>
      <c r="E5" s="701"/>
      <c r="F5" s="701"/>
      <c r="G5" s="702"/>
      <c r="H5" s="702"/>
      <c r="I5" s="702"/>
      <c r="J5" s="702"/>
      <c r="K5" s="702"/>
      <c r="L5" s="702"/>
      <c r="M5" s="702"/>
      <c r="N5" s="702"/>
      <c r="O5" s="702"/>
    </row>
    <row r="6" spans="1:15" x14ac:dyDescent="0.3">
      <c r="A6" s="703" t="s">
        <v>1298</v>
      </c>
      <c r="B6" s="701"/>
      <c r="C6" s="701"/>
      <c r="D6" s="701"/>
      <c r="E6" s="701"/>
      <c r="F6" s="701"/>
      <c r="G6" s="702"/>
      <c r="H6" s="702"/>
      <c r="I6" s="702"/>
      <c r="J6" s="702"/>
      <c r="K6" s="702"/>
      <c r="L6" s="702"/>
      <c r="M6" s="702"/>
      <c r="N6" s="702"/>
      <c r="O6" s="702"/>
    </row>
    <row r="7" spans="1:15" x14ac:dyDescent="0.3">
      <c r="A7" s="703"/>
      <c r="B7" s="701"/>
      <c r="C7" s="701"/>
      <c r="D7" s="701"/>
      <c r="E7" s="701"/>
      <c r="F7" s="704"/>
      <c r="G7" s="704"/>
      <c r="H7" s="702"/>
      <c r="I7" s="702"/>
      <c r="J7" s="725"/>
      <c r="K7" s="704"/>
      <c r="L7" s="704"/>
      <c r="M7" s="704"/>
      <c r="N7" s="704"/>
      <c r="O7" s="704" t="s">
        <v>400</v>
      </c>
    </row>
    <row r="8" spans="1:15" x14ac:dyDescent="0.3">
      <c r="A8" s="705" t="s">
        <v>11</v>
      </c>
      <c r="B8" s="705" t="s">
        <v>1299</v>
      </c>
      <c r="C8" s="706" t="s">
        <v>1300</v>
      </c>
      <c r="D8" s="706" t="s">
        <v>1301</v>
      </c>
      <c r="E8" s="706" t="s">
        <v>1288</v>
      </c>
      <c r="F8" s="706" t="s">
        <v>1289</v>
      </c>
      <c r="G8" s="707" t="s">
        <v>1290</v>
      </c>
      <c r="H8" s="707" t="s">
        <v>177</v>
      </c>
      <c r="I8" s="707" t="s">
        <v>178</v>
      </c>
      <c r="J8" s="707" t="s">
        <v>179</v>
      </c>
      <c r="K8" s="707" t="s">
        <v>186</v>
      </c>
      <c r="L8" s="707" t="s">
        <v>426</v>
      </c>
      <c r="M8" s="707" t="s">
        <v>427</v>
      </c>
      <c r="N8" s="707" t="s">
        <v>428</v>
      </c>
      <c r="O8" s="707" t="s">
        <v>429</v>
      </c>
    </row>
    <row r="9" spans="1:15" x14ac:dyDescent="0.3">
      <c r="A9" s="708">
        <v>1</v>
      </c>
      <c r="B9" s="709" t="s">
        <v>1302</v>
      </c>
      <c r="C9" s="710">
        <v>1838.8440000000001</v>
      </c>
      <c r="D9" s="710">
        <f t="shared" ref="D9:J9" si="0">C15</f>
        <v>1953.528</v>
      </c>
      <c r="E9" s="710">
        <f t="shared" si="0"/>
        <v>2039.59889395</v>
      </c>
      <c r="F9" s="710">
        <f t="shared" si="0"/>
        <v>2184.5888939500001</v>
      </c>
      <c r="G9" s="710">
        <f t="shared" si="0"/>
        <v>2298.2446491999999</v>
      </c>
      <c r="H9" s="710">
        <v>2389.92</v>
      </c>
      <c r="I9" s="710">
        <f t="shared" si="0"/>
        <v>2446.1</v>
      </c>
      <c r="J9" s="710">
        <f t="shared" si="0"/>
        <v>2598.1099999999997</v>
      </c>
      <c r="K9" s="710">
        <f>J15</f>
        <v>2821.99</v>
      </c>
      <c r="L9" s="710">
        <f>K15</f>
        <v>2933.52</v>
      </c>
      <c r="M9" s="710">
        <f>L15</f>
        <v>3036.7987985539999</v>
      </c>
      <c r="N9" s="710">
        <f>M15</f>
        <v>3160.5275971079996</v>
      </c>
      <c r="O9" s="710">
        <f>N15</f>
        <v>4101.4737956620002</v>
      </c>
    </row>
    <row r="10" spans="1:15" hidden="1" x14ac:dyDescent="0.3">
      <c r="A10" s="708"/>
      <c r="B10" s="709" t="s">
        <v>28</v>
      </c>
      <c r="C10" s="710">
        <v>126.25</v>
      </c>
      <c r="D10" s="710"/>
      <c r="E10" s="710"/>
      <c r="F10" s="710"/>
      <c r="G10" s="710"/>
      <c r="H10" s="710"/>
      <c r="I10" s="710"/>
      <c r="J10" s="710"/>
      <c r="K10" s="710"/>
      <c r="L10" s="710"/>
      <c r="M10" s="710"/>
      <c r="N10" s="710"/>
      <c r="O10" s="710"/>
    </row>
    <row r="11" spans="1:15" hidden="1" x14ac:dyDescent="0.3">
      <c r="A11" s="708"/>
      <c r="B11" s="709" t="s">
        <v>562</v>
      </c>
      <c r="C11" s="710">
        <v>0.83</v>
      </c>
      <c r="D11" s="710"/>
      <c r="E11" s="710"/>
      <c r="F11" s="710"/>
      <c r="G11" s="710"/>
      <c r="H11" s="710"/>
      <c r="I11" s="710"/>
      <c r="J11" s="710"/>
      <c r="K11" s="710"/>
      <c r="L11" s="710"/>
      <c r="M11" s="710"/>
      <c r="N11" s="710"/>
      <c r="O11" s="710"/>
    </row>
    <row r="12" spans="1:15" x14ac:dyDescent="0.3">
      <c r="A12" s="708">
        <v>2</v>
      </c>
      <c r="B12" s="709" t="s">
        <v>1303</v>
      </c>
      <c r="C12" s="710">
        <v>127.074</v>
      </c>
      <c r="D12" s="710">
        <v>101.274</v>
      </c>
      <c r="E12" s="710">
        <v>152.53</v>
      </c>
      <c r="F12" s="710">
        <v>124.61999999999999</v>
      </c>
      <c r="G12" s="711">
        <f>119.93</f>
        <v>119.93</v>
      </c>
      <c r="H12" s="712">
        <v>94.97</v>
      </c>
      <c r="I12" s="713">
        <v>191.52</v>
      </c>
      <c r="J12" s="713">
        <f>'F4'!E45*0+Grant!D8</f>
        <v>243.46000000000004</v>
      </c>
      <c r="K12" s="713">
        <f>'F4'!H45</f>
        <v>136.30000000000001</v>
      </c>
      <c r="L12" s="713">
        <f>'F4'!K45</f>
        <v>122.98</v>
      </c>
      <c r="M12" s="713">
        <f>'F4'!P45</f>
        <v>143.42999999999998</v>
      </c>
      <c r="N12" s="713">
        <f>'F4'!S45</f>
        <v>960.64740000000006</v>
      </c>
      <c r="O12" s="713">
        <f>'F4'!U45</f>
        <v>828.05844999999999</v>
      </c>
    </row>
    <row r="13" spans="1:15" x14ac:dyDescent="0.3">
      <c r="A13" s="708">
        <v>3</v>
      </c>
      <c r="B13" s="709" t="s">
        <v>1304</v>
      </c>
      <c r="C13" s="710">
        <v>12.39</v>
      </c>
      <c r="D13" s="710">
        <v>15.203106049999999</v>
      </c>
      <c r="E13" s="714">
        <f>(8.3631099+0.89701/2)*0+7.54</f>
        <v>7.54</v>
      </c>
      <c r="F13" s="710">
        <v>11.216520899999999</v>
      </c>
      <c r="G13" s="711">
        <v>12.77</v>
      </c>
      <c r="H13" s="715">
        <v>38.79</v>
      </c>
      <c r="I13" s="715">
        <v>39.51</v>
      </c>
      <c r="J13" s="715">
        <f>'F5'!F27</f>
        <v>19.580000000000002</v>
      </c>
      <c r="K13" s="715">
        <f>'F5'!J27</f>
        <v>24.77</v>
      </c>
      <c r="L13" s="715">
        <f>'F5'!O27</f>
        <v>19.701201446000002</v>
      </c>
      <c r="M13" s="715">
        <f>'F5'!F47</f>
        <v>19.701201446000002</v>
      </c>
      <c r="N13" s="715">
        <f>'F5'!J47</f>
        <v>19.701201446000002</v>
      </c>
      <c r="O13" s="715">
        <f>'F5'!N47</f>
        <v>19.701201446000002</v>
      </c>
    </row>
    <row r="14" spans="1:15" x14ac:dyDescent="0.3">
      <c r="A14" s="708"/>
      <c r="B14" s="709" t="s">
        <v>1305</v>
      </c>
      <c r="C14" s="710"/>
      <c r="D14" s="710"/>
      <c r="E14" s="714"/>
      <c r="F14" s="710">
        <v>-0.25227614999999998</v>
      </c>
      <c r="G14" s="711">
        <v>3.5464300000000004E-2</v>
      </c>
      <c r="H14" s="715"/>
      <c r="I14" s="715"/>
      <c r="J14" s="715"/>
      <c r="K14" s="715"/>
      <c r="L14" s="715"/>
      <c r="M14" s="715"/>
      <c r="N14" s="715"/>
      <c r="O14" s="715"/>
    </row>
    <row r="15" spans="1:15" x14ac:dyDescent="0.3">
      <c r="A15" s="708">
        <v>4</v>
      </c>
      <c r="B15" s="709" t="s">
        <v>1306</v>
      </c>
      <c r="C15" s="710">
        <f>C9+C12-C13-C14</f>
        <v>1953.528</v>
      </c>
      <c r="D15" s="710">
        <f t="shared" ref="D15:O15" si="1">D9+D12-D13-D14</f>
        <v>2039.59889395</v>
      </c>
      <c r="E15" s="710">
        <f t="shared" si="1"/>
        <v>2184.5888939500001</v>
      </c>
      <c r="F15" s="710">
        <f t="shared" si="1"/>
        <v>2298.2446491999999</v>
      </c>
      <c r="G15" s="710">
        <f t="shared" si="1"/>
        <v>2405.3691848999997</v>
      </c>
      <c r="H15" s="710">
        <f t="shared" si="1"/>
        <v>2446.1</v>
      </c>
      <c r="I15" s="710">
        <f t="shared" si="1"/>
        <v>2598.1099999999997</v>
      </c>
      <c r="J15" s="710">
        <f t="shared" si="1"/>
        <v>2821.99</v>
      </c>
      <c r="K15" s="710">
        <f t="shared" si="1"/>
        <v>2933.52</v>
      </c>
      <c r="L15" s="710">
        <f t="shared" si="1"/>
        <v>3036.7987985539999</v>
      </c>
      <c r="M15" s="710">
        <f t="shared" si="1"/>
        <v>3160.5275971079996</v>
      </c>
      <c r="N15" s="710">
        <f t="shared" si="1"/>
        <v>4101.4737956620002</v>
      </c>
      <c r="O15" s="710">
        <f t="shared" si="1"/>
        <v>4909.831044216</v>
      </c>
    </row>
    <row r="16" spans="1:15" x14ac:dyDescent="0.3">
      <c r="A16" s="708">
        <v>5</v>
      </c>
      <c r="B16" s="709" t="s">
        <v>1307</v>
      </c>
      <c r="C16" s="710">
        <f t="shared" ref="C16:J16" si="2">AVERAGE(C9,C15)</f>
        <v>1896.1860000000001</v>
      </c>
      <c r="D16" s="710">
        <f t="shared" si="2"/>
        <v>1996.563446975</v>
      </c>
      <c r="E16" s="710">
        <f t="shared" si="2"/>
        <v>2112.0938939500002</v>
      </c>
      <c r="F16" s="710">
        <f t="shared" si="2"/>
        <v>2241.416771575</v>
      </c>
      <c r="G16" s="710">
        <f t="shared" si="2"/>
        <v>2351.8069170499998</v>
      </c>
      <c r="H16" s="710">
        <f t="shared" si="2"/>
        <v>2418.0100000000002</v>
      </c>
      <c r="I16" s="710">
        <f t="shared" si="2"/>
        <v>2522.1049999999996</v>
      </c>
      <c r="J16" s="710">
        <f t="shared" si="2"/>
        <v>2710.0499999999997</v>
      </c>
      <c r="K16" s="710">
        <f>AVERAGE(K9,K15)</f>
        <v>2877.7550000000001</v>
      </c>
      <c r="L16" s="710">
        <f>AVERAGE(L9,L15)</f>
        <v>2985.1593992769999</v>
      </c>
      <c r="M16" s="710">
        <f>AVERAGE(M9,M15)</f>
        <v>3098.6631978309997</v>
      </c>
      <c r="N16" s="710">
        <f>AVERAGE(N9,N15)</f>
        <v>3631.0006963850001</v>
      </c>
      <c r="O16" s="710">
        <f>AVERAGE(O9,O15)</f>
        <v>4505.6524199390005</v>
      </c>
    </row>
    <row r="17" spans="1:16" x14ac:dyDescent="0.3">
      <c r="A17" s="716"/>
      <c r="B17" s="717"/>
      <c r="C17" s="718"/>
      <c r="D17" s="718"/>
      <c r="E17" s="719"/>
      <c r="F17" s="719"/>
      <c r="G17" s="720"/>
      <c r="H17" s="720"/>
      <c r="I17" s="720"/>
      <c r="J17" s="720"/>
      <c r="K17" s="720"/>
      <c r="L17" s="721"/>
      <c r="M17" s="721"/>
      <c r="N17" s="721"/>
      <c r="O17" s="721"/>
    </row>
    <row r="18" spans="1:16" x14ac:dyDescent="0.3">
      <c r="A18" s="716"/>
      <c r="B18" s="717"/>
      <c r="C18" s="718"/>
      <c r="D18" s="718"/>
      <c r="E18" s="719"/>
      <c r="F18" s="719"/>
      <c r="G18" s="720"/>
      <c r="H18" s="720"/>
      <c r="I18" s="720"/>
      <c r="J18" s="720"/>
      <c r="K18" s="720"/>
      <c r="L18" s="721"/>
      <c r="M18" s="721"/>
      <c r="N18" s="721"/>
      <c r="O18" s="721"/>
    </row>
    <row r="19" spans="1:16" x14ac:dyDescent="0.3">
      <c r="A19" s="703" t="s">
        <v>1308</v>
      </c>
      <c r="B19" s="717"/>
      <c r="C19" s="718"/>
      <c r="D19" s="718"/>
      <c r="E19" s="719"/>
      <c r="F19" s="719"/>
      <c r="G19" s="721"/>
      <c r="H19" s="721"/>
      <c r="I19" s="721"/>
      <c r="J19" s="721"/>
      <c r="K19" s="721"/>
      <c r="L19" s="721"/>
      <c r="M19" s="721"/>
      <c r="N19" s="721"/>
      <c r="O19" s="721"/>
    </row>
    <row r="20" spans="1:16" x14ac:dyDescent="0.3">
      <c r="A20" s="703"/>
      <c r="B20" s="717"/>
      <c r="C20" s="1436"/>
      <c r="D20" s="1436"/>
      <c r="E20" s="1436"/>
      <c r="F20" s="1436"/>
      <c r="G20" s="1436"/>
      <c r="H20" s="1436"/>
      <c r="I20" s="1436"/>
      <c r="J20" s="1093"/>
      <c r="K20" s="1093"/>
      <c r="L20" s="704"/>
      <c r="M20" s="704"/>
      <c r="N20" s="704"/>
      <c r="O20" s="704" t="s">
        <v>400</v>
      </c>
    </row>
    <row r="21" spans="1:16" x14ac:dyDescent="0.3">
      <c r="A21" s="705" t="s">
        <v>11</v>
      </c>
      <c r="B21" s="705" t="s">
        <v>1299</v>
      </c>
      <c r="C21" s="706" t="s">
        <v>1300</v>
      </c>
      <c r="D21" s="706" t="s">
        <v>1301</v>
      </c>
      <c r="E21" s="722" t="s">
        <v>1288</v>
      </c>
      <c r="F21" s="722" t="s">
        <v>1289</v>
      </c>
      <c r="G21" s="707" t="s">
        <v>1290</v>
      </c>
      <c r="H21" s="707" t="s">
        <v>177</v>
      </c>
      <c r="I21" s="707" t="s">
        <v>178</v>
      </c>
      <c r="J21" s="707" t="s">
        <v>179</v>
      </c>
      <c r="K21" s="707" t="s">
        <v>186</v>
      </c>
      <c r="L21" s="707" t="s">
        <v>426</v>
      </c>
      <c r="M21" s="707" t="s">
        <v>427</v>
      </c>
      <c r="N21" s="707" t="s">
        <v>428</v>
      </c>
      <c r="O21" s="707" t="s">
        <v>429</v>
      </c>
    </row>
    <row r="22" spans="1:16" x14ac:dyDescent="0.3">
      <c r="A22" s="708">
        <v>1</v>
      </c>
      <c r="B22" s="709" t="s">
        <v>1309</v>
      </c>
      <c r="C22" s="710">
        <v>1851.3827611000002</v>
      </c>
      <c r="D22" s="710">
        <f>C23</f>
        <v>1961.5101995500002</v>
      </c>
      <c r="E22" s="710">
        <v>2037.2327524500001</v>
      </c>
      <c r="F22" s="710">
        <v>2179.7045918499998</v>
      </c>
      <c r="G22" s="710">
        <v>2292.4551101500001</v>
      </c>
      <c r="H22" s="710">
        <v>2402.06</v>
      </c>
      <c r="I22" s="715">
        <f>H23</f>
        <v>2459.35</v>
      </c>
      <c r="J22" s="715">
        <f>'F5'!D27</f>
        <v>2614.329999999999</v>
      </c>
      <c r="K22" s="715">
        <f>J23</f>
        <v>2841.2299999999996</v>
      </c>
      <c r="L22" s="715">
        <f>K23</f>
        <v>2946.4500000000003</v>
      </c>
      <c r="M22" s="715">
        <f>L23</f>
        <v>3050.4302624240004</v>
      </c>
      <c r="N22" s="715">
        <f>M23</f>
        <v>3174.1590609780001</v>
      </c>
      <c r="O22" s="715">
        <f>N23</f>
        <v>4115.1052595319998</v>
      </c>
    </row>
    <row r="23" spans="1:16" x14ac:dyDescent="0.3">
      <c r="A23" s="708">
        <v>2</v>
      </c>
      <c r="B23" s="709" t="s">
        <v>1310</v>
      </c>
      <c r="C23" s="710">
        <v>1961.5101995500002</v>
      </c>
      <c r="D23" s="710">
        <v>2037.2327527999998</v>
      </c>
      <c r="E23" s="710">
        <v>2179.7045918499998</v>
      </c>
      <c r="F23" s="710">
        <v>2292.4551101500001</v>
      </c>
      <c r="G23" s="711">
        <f>H22</f>
        <v>2402.06</v>
      </c>
      <c r="H23" s="715">
        <v>2459.35</v>
      </c>
      <c r="I23" s="715">
        <v>2614.34</v>
      </c>
      <c r="J23" s="715">
        <f>'F5'!G27</f>
        <v>2841.2299999999996</v>
      </c>
      <c r="K23" s="715">
        <f>'F5'!L27</f>
        <v>2946.4500000000003</v>
      </c>
      <c r="L23" s="715">
        <f>'F5'!P27</f>
        <v>3050.4302624240004</v>
      </c>
      <c r="M23" s="715">
        <f>'F5'!G47</f>
        <v>3174.1590609780001</v>
      </c>
      <c r="N23" s="715">
        <f>'F5'!K47</f>
        <v>4115.1052595319998</v>
      </c>
      <c r="O23" s="715">
        <f>'F5'!O47</f>
        <v>4923.4625080859996</v>
      </c>
      <c r="P23" s="723"/>
    </row>
    <row r="24" spans="1:16" x14ac:dyDescent="0.3">
      <c r="A24" s="708">
        <v>3</v>
      </c>
      <c r="B24" s="709" t="s">
        <v>1311</v>
      </c>
      <c r="C24" s="710">
        <f>AVERAGE(C22,C23)</f>
        <v>1906.4464803250003</v>
      </c>
      <c r="D24" s="710">
        <f t="shared" ref="D24:J24" si="3">AVERAGE(D22,D23)</f>
        <v>1999.371476175</v>
      </c>
      <c r="E24" s="710">
        <f t="shared" si="3"/>
        <v>2108.4686721500002</v>
      </c>
      <c r="F24" s="710">
        <f t="shared" si="3"/>
        <v>2236.079851</v>
      </c>
      <c r="G24" s="710">
        <f t="shared" si="3"/>
        <v>2347.2575550749998</v>
      </c>
      <c r="H24" s="710">
        <f t="shared" si="3"/>
        <v>2430.7049999999999</v>
      </c>
      <c r="I24" s="710">
        <f t="shared" si="3"/>
        <v>2536.8450000000003</v>
      </c>
      <c r="J24" s="710">
        <f t="shared" si="3"/>
        <v>2727.7799999999993</v>
      </c>
      <c r="K24" s="710">
        <f>AVERAGE(K22,K23)</f>
        <v>2893.84</v>
      </c>
      <c r="L24" s="710">
        <f>AVERAGE(L22,L23)</f>
        <v>2998.4401312120003</v>
      </c>
      <c r="M24" s="710">
        <f>AVERAGE(M22,M23)</f>
        <v>3112.2946617010002</v>
      </c>
      <c r="N24" s="710">
        <f>AVERAGE(N22,N23)</f>
        <v>3644.6321602549997</v>
      </c>
      <c r="O24" s="710">
        <f>AVERAGE(O22,O23)</f>
        <v>4519.2838838089992</v>
      </c>
    </row>
    <row r="25" spans="1:16" x14ac:dyDescent="0.3">
      <c r="A25" s="708">
        <v>4</v>
      </c>
      <c r="B25" s="709" t="s">
        <v>1312</v>
      </c>
      <c r="C25" s="710">
        <v>91.160447700000006</v>
      </c>
      <c r="D25" s="710">
        <v>96.526377600000004</v>
      </c>
      <c r="E25" s="710">
        <v>99.552933800000005</v>
      </c>
      <c r="F25" s="710">
        <v>106.10000000000001</v>
      </c>
      <c r="G25" s="715">
        <v>107.77000000000001</v>
      </c>
      <c r="H25" s="715">
        <v>105.77560434519572</v>
      </c>
      <c r="I25" s="715">
        <v>103.37042769999999</v>
      </c>
      <c r="J25" s="715">
        <f>'F5'!E69</f>
        <v>100.67999999999999</v>
      </c>
      <c r="K25" s="715">
        <f>'F5'!I69</f>
        <v>104.66000000000001</v>
      </c>
      <c r="L25" s="715">
        <f>'F5'!M69</f>
        <v>105.99000000000001</v>
      </c>
      <c r="M25" s="715">
        <f>M24*M26</f>
        <v>110.01457316419767</v>
      </c>
      <c r="N25" s="715">
        <f>N24*N26</f>
        <v>128.83184114444308</v>
      </c>
      <c r="O25" s="715">
        <f>O24*O26</f>
        <v>159.74936229635495</v>
      </c>
      <c r="P25" s="723"/>
    </row>
    <row r="26" spans="1:16" ht="28" x14ac:dyDescent="0.3">
      <c r="A26" s="708">
        <v>5</v>
      </c>
      <c r="B26" s="709" t="s">
        <v>1313</v>
      </c>
      <c r="C26" s="724">
        <f>C25/C24</f>
        <v>4.7816945631990404E-2</v>
      </c>
      <c r="D26" s="724">
        <f t="shared" ref="D26:L26" si="4">D25/D24</f>
        <v>4.8278360850013094E-2</v>
      </c>
      <c r="E26" s="724">
        <f t="shared" si="4"/>
        <v>4.7215751941187788E-2</v>
      </c>
      <c r="F26" s="724">
        <f t="shared" si="4"/>
        <v>4.7449110528208951E-2</v>
      </c>
      <c r="G26" s="724">
        <f t="shared" si="4"/>
        <v>4.5913155020841562E-2</v>
      </c>
      <c r="H26" s="724">
        <f t="shared" si="4"/>
        <v>4.3516430148946794E-2</v>
      </c>
      <c r="I26" s="724">
        <f t="shared" si="4"/>
        <v>4.074763247261854E-2</v>
      </c>
      <c r="J26" s="724">
        <f t="shared" si="4"/>
        <v>3.6909134900908441E-2</v>
      </c>
      <c r="K26" s="724">
        <f t="shared" si="4"/>
        <v>3.6166477759654994E-2</v>
      </c>
      <c r="L26" s="724">
        <f t="shared" si="4"/>
        <v>3.5348379611354043E-2</v>
      </c>
      <c r="M26" s="724">
        <f>L26</f>
        <v>3.5348379611354043E-2</v>
      </c>
      <c r="N26" s="724">
        <f>M26</f>
        <v>3.5348379611354043E-2</v>
      </c>
      <c r="O26" s="724">
        <f>N26</f>
        <v>3.5348379611354043E-2</v>
      </c>
    </row>
    <row r="27" spans="1:16" x14ac:dyDescent="0.3">
      <c r="A27" s="708">
        <v>6</v>
      </c>
      <c r="B27" s="709" t="s">
        <v>1537</v>
      </c>
      <c r="C27" s="710">
        <f>C16</f>
        <v>1896.1860000000001</v>
      </c>
      <c r="D27" s="710">
        <f t="shared" ref="D27:O27" si="5">D16</f>
        <v>1996.563446975</v>
      </c>
      <c r="E27" s="710">
        <f t="shared" si="5"/>
        <v>2112.0938939500002</v>
      </c>
      <c r="F27" s="710">
        <f t="shared" si="5"/>
        <v>2241.416771575</v>
      </c>
      <c r="G27" s="710">
        <f t="shared" si="5"/>
        <v>2351.8069170499998</v>
      </c>
      <c r="H27" s="710">
        <f t="shared" si="5"/>
        <v>2418.0100000000002</v>
      </c>
      <c r="I27" s="710">
        <f t="shared" si="5"/>
        <v>2522.1049999999996</v>
      </c>
      <c r="J27" s="710">
        <f t="shared" si="5"/>
        <v>2710.0499999999997</v>
      </c>
      <c r="K27" s="710">
        <f t="shared" si="5"/>
        <v>2877.7550000000001</v>
      </c>
      <c r="L27" s="710">
        <f t="shared" si="5"/>
        <v>2985.1593992769999</v>
      </c>
      <c r="M27" s="710">
        <f t="shared" si="5"/>
        <v>3098.6631978309997</v>
      </c>
      <c r="N27" s="710">
        <f t="shared" si="5"/>
        <v>3631.0006963850001</v>
      </c>
      <c r="O27" s="710">
        <f t="shared" si="5"/>
        <v>4505.6524199390005</v>
      </c>
    </row>
    <row r="28" spans="1:16" x14ac:dyDescent="0.3">
      <c r="A28" s="708">
        <v>7</v>
      </c>
      <c r="B28" s="709" t="s">
        <v>1314</v>
      </c>
      <c r="C28" s="710">
        <f>C27*C26</f>
        <v>90.66982287014136</v>
      </c>
      <c r="D28" s="710">
        <f t="shared" ref="D28:O28" si="6">D27*D26</f>
        <v>96.390810553005039</v>
      </c>
      <c r="E28" s="710">
        <f t="shared" si="6"/>
        <v>99.7241013732406</v>
      </c>
      <c r="F28" s="710">
        <f t="shared" si="6"/>
        <v>106.35323213424346</v>
      </c>
      <c r="G28" s="710">
        <f t="shared" si="6"/>
        <v>107.97887556160411</v>
      </c>
      <c r="H28" s="710">
        <f t="shared" si="6"/>
        <v>105.22316326445485</v>
      </c>
      <c r="I28" s="710">
        <f t="shared" si="6"/>
        <v>102.76980759735356</v>
      </c>
      <c r="J28" s="710">
        <f t="shared" si="6"/>
        <v>100.02560103820691</v>
      </c>
      <c r="K28" s="710">
        <f t="shared" si="6"/>
        <v>104.07826220523596</v>
      </c>
      <c r="L28" s="710">
        <f t="shared" si="6"/>
        <v>105.52054764604499</v>
      </c>
      <c r="M28" s="710">
        <f t="shared" si="6"/>
        <v>109.53272300466243</v>
      </c>
      <c r="N28" s="710">
        <f t="shared" si="6"/>
        <v>128.34999098490786</v>
      </c>
      <c r="O28" s="710">
        <f t="shared" si="6"/>
        <v>159.26751213681976</v>
      </c>
    </row>
    <row r="29" spans="1:16" hidden="1" x14ac:dyDescent="0.3">
      <c r="H29" s="725">
        <f>0.9*H28</f>
        <v>94.700846938009377</v>
      </c>
      <c r="I29" s="725">
        <f t="shared" ref="I29:O29" si="7">0.9*I28</f>
        <v>92.49282683761821</v>
      </c>
      <c r="J29" s="725">
        <f t="shared" si="7"/>
        <v>90.023040934386231</v>
      </c>
      <c r="K29" s="725">
        <f t="shared" si="7"/>
        <v>93.67043598471237</v>
      </c>
      <c r="L29" s="725">
        <f t="shared" si="7"/>
        <v>94.968492881440497</v>
      </c>
      <c r="M29" s="725">
        <f t="shared" si="7"/>
        <v>98.579450704196191</v>
      </c>
      <c r="N29" s="725">
        <f t="shared" si="7"/>
        <v>115.51499188641708</v>
      </c>
      <c r="O29" s="725">
        <f t="shared" si="7"/>
        <v>143.34076092313779</v>
      </c>
    </row>
    <row r="30" spans="1:16" hidden="1" x14ac:dyDescent="0.3">
      <c r="B30" s="658" t="s">
        <v>1315</v>
      </c>
      <c r="H30" s="726">
        <f>H25/H22</f>
        <v>4.4035371450003628E-2</v>
      </c>
    </row>
    <row r="31" spans="1:16" hidden="1" x14ac:dyDescent="0.3"/>
    <row r="32" spans="1:16" hidden="1" x14ac:dyDescent="0.3">
      <c r="C32" s="725">
        <f t="shared" ref="C32:I32" si="8">C9-C22</f>
        <v>-12.538761100000102</v>
      </c>
      <c r="D32" s="725">
        <f t="shared" si="8"/>
        <v>-7.9821995500001321</v>
      </c>
      <c r="E32" s="725">
        <f t="shared" si="8"/>
        <v>2.3661414999999124</v>
      </c>
      <c r="F32" s="725">
        <f t="shared" si="8"/>
        <v>4.8843021000002409</v>
      </c>
      <c r="G32" s="725">
        <f t="shared" si="8"/>
        <v>5.789539049999803</v>
      </c>
      <c r="H32" s="725">
        <f t="shared" si="8"/>
        <v>-12.139999999999873</v>
      </c>
      <c r="I32" s="725">
        <f t="shared" si="8"/>
        <v>-13.25</v>
      </c>
      <c r="J32" s="727"/>
      <c r="K32" s="727"/>
      <c r="L32" s="727"/>
      <c r="M32" s="727"/>
      <c r="N32" s="727"/>
      <c r="O32" s="727"/>
    </row>
    <row r="33" spans="1:15" ht="14.5" hidden="1" x14ac:dyDescent="0.35">
      <c r="A33" s="787"/>
      <c r="C33" s="725">
        <f t="shared" ref="C33:H33" si="9">C15-C23</f>
        <v>-7.9821995500001321</v>
      </c>
      <c r="D33" s="725">
        <f t="shared" si="9"/>
        <v>2.3661411500002032</v>
      </c>
      <c r="E33" s="725">
        <f t="shared" si="9"/>
        <v>4.8843021000002409</v>
      </c>
      <c r="F33" s="725">
        <f t="shared" si="9"/>
        <v>5.789539049999803</v>
      </c>
      <c r="G33" s="725">
        <f t="shared" si="9"/>
        <v>3.3091848999997637</v>
      </c>
      <c r="H33" s="725">
        <f t="shared" si="9"/>
        <v>-13.25</v>
      </c>
    </row>
    <row r="34" spans="1:15" hidden="1" x14ac:dyDescent="0.3"/>
    <row r="35" spans="1:15" hidden="1" x14ac:dyDescent="0.3">
      <c r="C35" s="725">
        <f>C37-C15</f>
        <v>-0.17800000000011096</v>
      </c>
      <c r="D35" s="725">
        <f>D37-D15</f>
        <v>-8.8939500001288252E-3</v>
      </c>
      <c r="E35" s="725">
        <f>E37-E15</f>
        <v>-1.2688939499998924</v>
      </c>
      <c r="F35" s="725">
        <f>F37-F15</f>
        <v>-1.5246492000001126</v>
      </c>
      <c r="G35" s="725">
        <f>G37-G15</f>
        <v>-1.4891848999996</v>
      </c>
      <c r="H35" s="725"/>
    </row>
    <row r="36" spans="1:15" hidden="1" x14ac:dyDescent="0.3">
      <c r="C36" s="725">
        <f>C38-C15</f>
        <v>-3.7180000000000746</v>
      </c>
      <c r="D36" s="725">
        <f>D38-D15</f>
        <v>-14.308893950000083</v>
      </c>
      <c r="E36" s="725">
        <f>E38-E15</f>
        <v>-15.438893949999965</v>
      </c>
      <c r="F36" s="725">
        <f>F38-F15</f>
        <v>-15.444649199999731</v>
      </c>
      <c r="G36" s="725">
        <f>G38-G15</f>
        <v>-15.449184899999636</v>
      </c>
      <c r="H36" s="725"/>
    </row>
    <row r="37" spans="1:15" hidden="1" x14ac:dyDescent="0.3">
      <c r="A37" s="658" t="s">
        <v>1316</v>
      </c>
      <c r="B37" s="658" t="s">
        <v>1317</v>
      </c>
      <c r="C37" s="658">
        <v>1953.35</v>
      </c>
      <c r="D37" s="658">
        <v>2039.59</v>
      </c>
      <c r="E37" s="658">
        <v>2183.3200000000002</v>
      </c>
      <c r="F37" s="658">
        <v>2296.7199999999998</v>
      </c>
      <c r="G37" s="658">
        <v>2403.88</v>
      </c>
    </row>
    <row r="38" spans="1:15" ht="14.5" hidden="1" x14ac:dyDescent="0.35">
      <c r="B38" s="787" t="s">
        <v>1318</v>
      </c>
      <c r="C38" s="658">
        <v>1949.81</v>
      </c>
      <c r="D38" s="658">
        <v>2025.29</v>
      </c>
      <c r="E38" s="658">
        <v>2169.15</v>
      </c>
      <c r="F38" s="658">
        <v>2282.8000000000002</v>
      </c>
      <c r="G38" s="658">
        <v>2389.92</v>
      </c>
    </row>
    <row r="39" spans="1:15" hidden="1" x14ac:dyDescent="0.3"/>
    <row r="40" spans="1:15" hidden="1" x14ac:dyDescent="0.3">
      <c r="C40" s="658">
        <f>C37-C38</f>
        <v>3.5399999999999636</v>
      </c>
      <c r="D40" s="658">
        <f>D37-D38</f>
        <v>14.299999999999955</v>
      </c>
      <c r="E40" s="658">
        <f>E37-E38</f>
        <v>14.170000000000073</v>
      </c>
      <c r="F40" s="658">
        <f>F37-F38</f>
        <v>13.919999999999618</v>
      </c>
      <c r="G40" s="658">
        <f>G37-G38</f>
        <v>13.960000000000036</v>
      </c>
    </row>
    <row r="41" spans="1:15" x14ac:dyDescent="0.3">
      <c r="J41" s="1568"/>
      <c r="L41" s="1568"/>
    </row>
    <row r="42" spans="1:15" x14ac:dyDescent="0.3">
      <c r="J42" s="425"/>
      <c r="K42" s="725"/>
      <c r="L42" s="725"/>
      <c r="M42" s="725"/>
      <c r="N42" s="725"/>
      <c r="O42" s="725"/>
    </row>
    <row r="43" spans="1:15" x14ac:dyDescent="0.3">
      <c r="J43" s="425"/>
      <c r="K43" s="425"/>
      <c r="L43" s="425"/>
      <c r="M43" s="425"/>
      <c r="N43" s="425"/>
      <c r="O43" s="425"/>
    </row>
    <row r="44" spans="1:15" x14ac:dyDescent="0.3">
      <c r="J44" s="425"/>
    </row>
    <row r="45" spans="1:15" x14ac:dyDescent="0.3">
      <c r="J45" s="425"/>
      <c r="K45" s="425"/>
      <c r="L45" s="425"/>
      <c r="M45" s="425"/>
      <c r="N45" s="425"/>
      <c r="O45" s="425"/>
    </row>
    <row r="46" spans="1:15" x14ac:dyDescent="0.3">
      <c r="J46" s="725"/>
      <c r="K46" s="725"/>
      <c r="L46" s="725"/>
      <c r="M46" s="725"/>
      <c r="N46" s="725"/>
      <c r="O46" s="725"/>
    </row>
    <row r="48" spans="1:15" x14ac:dyDescent="0.3">
      <c r="J48" s="725"/>
      <c r="K48" s="725"/>
      <c r="L48" s="725"/>
      <c r="M48" s="725"/>
      <c r="N48" s="725"/>
      <c r="O48" s="725"/>
    </row>
    <row r="49" spans="2:15" x14ac:dyDescent="0.3">
      <c r="J49" s="725"/>
      <c r="K49" s="725"/>
      <c r="L49" s="725"/>
      <c r="M49" s="725"/>
      <c r="N49" s="725"/>
      <c r="O49" s="725"/>
    </row>
    <row r="50" spans="2:15" x14ac:dyDescent="0.3">
      <c r="J50" s="725"/>
      <c r="K50" s="725"/>
      <c r="L50" s="725"/>
      <c r="M50" s="725"/>
      <c r="N50" s="725"/>
      <c r="O50" s="725"/>
    </row>
    <row r="51" spans="2:15" x14ac:dyDescent="0.3">
      <c r="J51" s="1320"/>
      <c r="K51" s="1320"/>
      <c r="L51" s="1320"/>
      <c r="M51" s="1320"/>
      <c r="N51" s="1320"/>
      <c r="O51" s="1320"/>
    </row>
    <row r="52" spans="2:15" x14ac:dyDescent="0.3">
      <c r="J52" s="725"/>
      <c r="K52" s="725"/>
      <c r="L52" s="725"/>
      <c r="M52" s="725"/>
      <c r="N52" s="725"/>
      <c r="O52" s="725"/>
    </row>
    <row r="53" spans="2:15" x14ac:dyDescent="0.3">
      <c r="B53" s="1625"/>
      <c r="C53" s="1625"/>
      <c r="D53" s="1625"/>
      <c r="E53" s="1625"/>
      <c r="F53" s="1625"/>
      <c r="G53" s="1625"/>
      <c r="H53" s="1625"/>
      <c r="I53" s="1625"/>
      <c r="J53" s="1626"/>
      <c r="K53" s="1626"/>
      <c r="L53" s="1626"/>
      <c r="M53" s="1626"/>
      <c r="N53" s="1626"/>
      <c r="O53" s="1626"/>
    </row>
    <row r="54" spans="2:15" x14ac:dyDescent="0.3">
      <c r="J54" s="725"/>
      <c r="K54" s="725"/>
      <c r="L54" s="725"/>
      <c r="M54" s="725"/>
      <c r="N54" s="725"/>
      <c r="O54" s="725"/>
    </row>
    <row r="55" spans="2:15" x14ac:dyDescent="0.3">
      <c r="J55" s="725"/>
      <c r="K55" s="725"/>
      <c r="L55" s="725"/>
      <c r="M55" s="725"/>
      <c r="N55" s="725"/>
      <c r="O55" s="725"/>
    </row>
    <row r="56" spans="2:15" x14ac:dyDescent="0.3">
      <c r="J56" s="725"/>
      <c r="K56" s="725"/>
      <c r="L56" s="725"/>
      <c r="M56" s="725"/>
      <c r="N56" s="725"/>
    </row>
  </sheetData>
  <mergeCells count="3">
    <mergeCell ref="A2:F2"/>
    <mergeCell ref="A3:F3"/>
    <mergeCell ref="A4:F4"/>
  </mergeCells>
  <pageMargins left="0.70866141732283472" right="0.70866141732283472" top="0.74803149606299213" bottom="0.74803149606299213" header="0.31496062992125984" footer="0.31496062992125984"/>
  <pageSetup paperSize="9" scale="74" fitToHeight="0" orientation="landscape" r:id="rId1"/>
  <rowBreaks count="1" manualBreakCount="1">
    <brk id="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9"/>
  <sheetViews>
    <sheetView zoomScaleNormal="100" zoomScaleSheetLayoutView="95" workbookViewId="0">
      <selection activeCell="A6" sqref="A6"/>
    </sheetView>
  </sheetViews>
  <sheetFormatPr defaultRowHeight="12.5" x14ac:dyDescent="0.25"/>
  <cols>
    <col min="3" max="3" width="30.90625" bestFit="1" customWidth="1"/>
    <col min="4" max="4" width="11.453125" customWidth="1"/>
    <col min="5" max="5" width="10.08984375" customWidth="1"/>
    <col min="6" max="6" width="10.7265625" customWidth="1"/>
    <col min="7" max="7" width="11.1796875" customWidth="1"/>
    <col min="8" max="8" width="10.81640625" customWidth="1"/>
    <col min="9" max="9" width="11.54296875" customWidth="1"/>
  </cols>
  <sheetData>
    <row r="2" spans="1:9" ht="29" x14ac:dyDescent="0.25">
      <c r="B2" s="778" t="s">
        <v>1397</v>
      </c>
      <c r="C2" s="778" t="s">
        <v>50</v>
      </c>
      <c r="D2" s="778" t="s">
        <v>1398</v>
      </c>
      <c r="E2" s="778" t="s">
        <v>1403</v>
      </c>
      <c r="F2" s="778" t="s">
        <v>1404</v>
      </c>
      <c r="G2" s="778" t="s">
        <v>1405</v>
      </c>
      <c r="H2" s="778" t="s">
        <v>1407</v>
      </c>
      <c r="I2" s="780" t="s">
        <v>1406</v>
      </c>
    </row>
    <row r="3" spans="1:9" s="1019" customFormat="1" x14ac:dyDescent="0.25">
      <c r="A3"/>
      <c r="B3" s="776">
        <v>1</v>
      </c>
      <c r="C3" s="410" t="s">
        <v>1399</v>
      </c>
      <c r="D3" s="502">
        <v>7.76</v>
      </c>
      <c r="E3" s="502">
        <v>6.29</v>
      </c>
      <c r="F3" s="502">
        <f>77143777/10^7</f>
        <v>7.7143777</v>
      </c>
      <c r="G3" s="502">
        <f>F3</f>
        <v>7.7143777</v>
      </c>
      <c r="H3" s="502">
        <f>G3</f>
        <v>7.7143777</v>
      </c>
      <c r="I3" s="502">
        <f>H3</f>
        <v>7.7143777</v>
      </c>
    </row>
    <row r="4" spans="1:9" s="1019" customFormat="1" x14ac:dyDescent="0.25">
      <c r="A4"/>
      <c r="B4" s="776">
        <v>2</v>
      </c>
      <c r="C4" s="1397" t="s">
        <v>1693</v>
      </c>
      <c r="D4" s="502">
        <f>37.99</f>
        <v>37.99</v>
      </c>
      <c r="E4" s="502">
        <v>0</v>
      </c>
      <c r="F4" s="502">
        <v>0</v>
      </c>
      <c r="G4" s="502">
        <v>0</v>
      </c>
      <c r="H4" s="502">
        <v>301.84469999999999</v>
      </c>
      <c r="I4" s="502">
        <v>228.4701</v>
      </c>
    </row>
    <row r="5" spans="1:9" s="1019" customFormat="1" x14ac:dyDescent="0.25">
      <c r="A5"/>
      <c r="B5" s="776">
        <v>3</v>
      </c>
      <c r="C5" s="410" t="s">
        <v>1533</v>
      </c>
      <c r="D5" s="502">
        <f>18.47+37.59</f>
        <v>56.06</v>
      </c>
      <c r="E5" s="502">
        <f>F4.2!Q55</f>
        <v>6.46</v>
      </c>
      <c r="F5" s="502">
        <f>F4.2!R55</f>
        <v>10.46</v>
      </c>
      <c r="G5" s="502">
        <f>F4.2!S55</f>
        <v>7.5</v>
      </c>
      <c r="H5" s="502">
        <f>F4.2!T55</f>
        <v>7.5</v>
      </c>
      <c r="I5" s="502">
        <f>F4.2!U55</f>
        <v>7.5</v>
      </c>
    </row>
    <row r="6" spans="1:9" s="1019" customFormat="1" x14ac:dyDescent="0.25">
      <c r="A6"/>
      <c r="B6" s="776">
        <v>4</v>
      </c>
      <c r="C6" s="410" t="s">
        <v>1400</v>
      </c>
      <c r="D6" s="502">
        <f t="shared" ref="D6:I6" si="0">((D8-SUM(D3:D5))*70%)</f>
        <v>99.155000000000015</v>
      </c>
      <c r="E6" s="502">
        <f t="shared" si="0"/>
        <v>86.484999999999999</v>
      </c>
      <c r="F6" s="502">
        <f t="shared" si="0"/>
        <v>73.363935609999999</v>
      </c>
      <c r="G6" s="502">
        <f t="shared" si="0"/>
        <v>89.750935609999985</v>
      </c>
      <c r="H6" s="502">
        <f t="shared" si="0"/>
        <v>450.51182561000002</v>
      </c>
      <c r="I6" s="502">
        <f t="shared" si="0"/>
        <v>409.06178060999997</v>
      </c>
    </row>
    <row r="7" spans="1:9" s="1019" customFormat="1" x14ac:dyDescent="0.25">
      <c r="A7"/>
      <c r="B7" s="776">
        <v>5</v>
      </c>
      <c r="C7" s="410" t="s">
        <v>1401</v>
      </c>
      <c r="D7" s="502">
        <f t="shared" ref="D7:I7" si="1">((D8-SUM(D3:D5))*30%)</f>
        <v>42.495000000000012</v>
      </c>
      <c r="E7" s="502">
        <f t="shared" si="1"/>
        <v>37.065000000000005</v>
      </c>
      <c r="F7" s="502">
        <f t="shared" si="1"/>
        <v>31.441686690000001</v>
      </c>
      <c r="G7" s="502">
        <f t="shared" si="1"/>
        <v>38.464686689999994</v>
      </c>
      <c r="H7" s="502">
        <f t="shared" si="1"/>
        <v>193.07649669000003</v>
      </c>
      <c r="I7" s="502">
        <f t="shared" si="1"/>
        <v>175.31219168999999</v>
      </c>
    </row>
    <row r="8" spans="1:9" s="1019" customFormat="1" ht="14.5" x14ac:dyDescent="0.35">
      <c r="A8"/>
      <c r="B8" s="410"/>
      <c r="C8" s="779" t="s">
        <v>1402</v>
      </c>
      <c r="D8" s="777">
        <f>'F4'!E45</f>
        <v>243.46000000000004</v>
      </c>
      <c r="E8" s="777">
        <f>'F4'!H45</f>
        <v>136.30000000000001</v>
      </c>
      <c r="F8" s="777">
        <f>'F4'!K45</f>
        <v>122.98</v>
      </c>
      <c r="G8" s="1041">
        <f>'F4'!P45</f>
        <v>143.42999999999998</v>
      </c>
      <c r="H8" s="1041">
        <f>'F4'!S45</f>
        <v>960.64740000000006</v>
      </c>
      <c r="I8" s="1041">
        <f>'F4'!U45</f>
        <v>828.05844999999999</v>
      </c>
    </row>
    <row r="9" spans="1:9" x14ac:dyDescent="0.25">
      <c r="D9" s="1019"/>
      <c r="E9" s="1019"/>
      <c r="F9" s="1019"/>
    </row>
    <row r="10" spans="1:9" x14ac:dyDescent="0.25">
      <c r="D10" s="1019"/>
      <c r="E10" s="1019"/>
      <c r="F10" s="1019"/>
    </row>
    <row r="11" spans="1:9" x14ac:dyDescent="0.25">
      <c r="D11" s="781"/>
      <c r="E11" s="782"/>
    </row>
    <row r="12" spans="1:9" x14ac:dyDescent="0.25">
      <c r="D12" s="781"/>
      <c r="E12" s="782"/>
    </row>
    <row r="16" spans="1:9" ht="14" x14ac:dyDescent="0.3">
      <c r="E16" s="129"/>
    </row>
    <row r="34" spans="1:2" ht="14.5" x14ac:dyDescent="0.35">
      <c r="A34" s="791"/>
    </row>
    <row r="39" spans="1:2" ht="13" x14ac:dyDescent="0.3">
      <c r="B39" s="794"/>
    </row>
  </sheetData>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262"/>
  <sheetViews>
    <sheetView showGridLines="0" view="pageBreakPreview" topLeftCell="H48" zoomScale="84" zoomScaleNormal="75" zoomScaleSheetLayoutView="100" workbookViewId="0">
      <selection activeCell="P8" sqref="P8"/>
    </sheetView>
  </sheetViews>
  <sheetFormatPr defaultColWidth="9.1796875" defaultRowHeight="14" x14ac:dyDescent="0.25"/>
  <cols>
    <col min="1" max="1" width="6.81640625" style="15" customWidth="1"/>
    <col min="2" max="2" width="7.26953125" style="68" bestFit="1" customWidth="1"/>
    <col min="3" max="3" width="65.54296875" style="15" bestFit="1" customWidth="1"/>
    <col min="4" max="4" width="12.81640625" style="375" bestFit="1" customWidth="1"/>
    <col min="5" max="5" width="22.08984375" style="375" bestFit="1" customWidth="1"/>
    <col min="6" max="6" width="20.453125" style="375" bestFit="1" customWidth="1"/>
    <col min="7" max="7" width="21.81640625" style="375" customWidth="1"/>
    <col min="8" max="8" width="24.90625" style="375" bestFit="1" customWidth="1"/>
    <col min="9" max="9" width="20.453125" style="375" bestFit="1" customWidth="1"/>
    <col min="10" max="10" width="12.81640625" style="375" bestFit="1" customWidth="1"/>
    <col min="11" max="11" width="24.90625" style="375" bestFit="1" customWidth="1"/>
    <col min="12" max="12" width="20.453125" style="375" bestFit="1" customWidth="1"/>
    <col min="13" max="13" width="12.1796875" style="375" bestFit="1" customWidth="1"/>
    <col min="14" max="14" width="24.7265625" style="375" bestFit="1" customWidth="1"/>
    <col min="15" max="15" width="31.26953125" style="375" bestFit="1" customWidth="1"/>
    <col min="16" max="16" width="12.1796875" style="375" bestFit="1" customWidth="1"/>
    <col min="17" max="17" width="19.26953125" style="375" bestFit="1" customWidth="1"/>
    <col min="18" max="18" width="12.1796875" style="375" bestFit="1" customWidth="1"/>
    <col min="19" max="19" width="19.26953125" style="375" bestFit="1" customWidth="1"/>
    <col min="20" max="20" width="12.453125" style="375" customWidth="1"/>
    <col min="21" max="16384" width="9.1796875" style="15"/>
  </cols>
  <sheetData>
    <row r="2" spans="2:23" x14ac:dyDescent="0.25">
      <c r="C2" s="16"/>
      <c r="D2" s="544"/>
      <c r="E2" s="544"/>
      <c r="F2" s="544"/>
      <c r="G2" s="523" t="s">
        <v>1027</v>
      </c>
      <c r="H2" s="486"/>
      <c r="I2" s="486"/>
      <c r="J2" s="486"/>
      <c r="K2" s="486"/>
      <c r="L2" s="486"/>
      <c r="M2" s="486"/>
      <c r="N2" s="486"/>
      <c r="O2" s="486"/>
    </row>
    <row r="3" spans="2:23" s="119" customFormat="1" x14ac:dyDescent="0.3">
      <c r="B3" s="40"/>
      <c r="C3" s="18"/>
      <c r="D3" s="487"/>
      <c r="E3" s="487"/>
      <c r="F3" s="487"/>
      <c r="G3" s="523" t="s">
        <v>848</v>
      </c>
      <c r="H3" s="527"/>
      <c r="I3" s="527"/>
      <c r="J3" s="527"/>
      <c r="K3" s="527"/>
      <c r="L3" s="527"/>
      <c r="M3" s="527"/>
      <c r="N3" s="527"/>
      <c r="O3" s="527"/>
      <c r="P3" s="426"/>
      <c r="Q3" s="426"/>
      <c r="R3" s="426"/>
      <c r="S3" s="426"/>
      <c r="T3" s="426"/>
    </row>
    <row r="4" spans="2:23" s="119" customFormat="1" x14ac:dyDescent="0.3">
      <c r="B4" s="40"/>
      <c r="C4" s="118"/>
      <c r="D4" s="531"/>
      <c r="E4" s="531"/>
      <c r="F4" s="531"/>
      <c r="G4" s="530" t="s">
        <v>325</v>
      </c>
      <c r="H4" s="545"/>
      <c r="I4" s="545"/>
      <c r="J4" s="527"/>
      <c r="K4" s="527"/>
      <c r="L4" s="527"/>
      <c r="M4" s="527"/>
      <c r="N4" s="527"/>
      <c r="O4" s="527"/>
      <c r="P4" s="426"/>
      <c r="Q4" s="426"/>
      <c r="R4" s="426"/>
      <c r="S4" s="426"/>
      <c r="T4" s="426"/>
    </row>
    <row r="5" spans="2:23" s="119" customFormat="1" x14ac:dyDescent="0.3">
      <c r="B5" s="40"/>
      <c r="C5" s="118"/>
      <c r="D5" s="531"/>
      <c r="E5" s="531"/>
      <c r="F5" s="531"/>
      <c r="G5" s="527"/>
      <c r="H5" s="546"/>
      <c r="I5" s="545"/>
      <c r="J5" s="527"/>
      <c r="K5" s="527"/>
      <c r="L5" s="527"/>
      <c r="M5" s="527"/>
      <c r="N5" s="527"/>
      <c r="O5" s="527"/>
      <c r="P5" s="426"/>
      <c r="Q5" s="426"/>
      <c r="R5" s="426"/>
      <c r="S5" s="426"/>
      <c r="T5" s="426"/>
    </row>
    <row r="6" spans="2:23" s="119" customFormat="1" x14ac:dyDescent="0.3">
      <c r="B6" s="40"/>
      <c r="C6" s="172" t="s">
        <v>327</v>
      </c>
      <c r="D6" s="563"/>
      <c r="E6" s="563"/>
      <c r="F6" s="563"/>
      <c r="G6" s="527"/>
      <c r="H6" s="546"/>
      <c r="I6" s="545"/>
      <c r="J6" s="527"/>
      <c r="K6" s="527"/>
      <c r="L6" s="527"/>
      <c r="M6" s="527"/>
      <c r="N6" s="527"/>
      <c r="O6" s="527"/>
      <c r="P6" s="426"/>
      <c r="Q6" s="426"/>
      <c r="R6" s="426"/>
      <c r="S6" s="426"/>
      <c r="T6" s="426"/>
    </row>
    <row r="7" spans="2:23" s="119" customFormat="1" x14ac:dyDescent="0.3">
      <c r="B7" s="40"/>
      <c r="C7" s="172"/>
      <c r="D7" s="563"/>
      <c r="E7" s="531"/>
      <c r="F7" s="563"/>
      <c r="G7" s="527"/>
      <c r="H7" s="546"/>
      <c r="I7" s="545"/>
      <c r="J7" s="527"/>
      <c r="K7" s="527"/>
      <c r="L7" s="527"/>
      <c r="M7" s="527"/>
      <c r="N7" s="527"/>
      <c r="O7" s="527"/>
      <c r="P7" s="426"/>
      <c r="Q7" s="426"/>
      <c r="R7" s="426"/>
      <c r="S7" s="426"/>
      <c r="T7" s="426"/>
    </row>
    <row r="8" spans="2:23" s="119" customFormat="1" x14ac:dyDescent="0.3">
      <c r="B8" s="40"/>
      <c r="C8" s="172" t="s">
        <v>248</v>
      </c>
      <c r="D8" s="563"/>
      <c r="E8" s="563"/>
      <c r="F8" s="563"/>
      <c r="G8" s="563"/>
      <c r="H8" s="527"/>
      <c r="I8" s="527"/>
      <c r="J8" s="527"/>
      <c r="K8" s="546"/>
      <c r="L8" s="546"/>
      <c r="M8" s="545"/>
      <c r="N8" s="527"/>
      <c r="O8" s="527"/>
      <c r="P8" s="527"/>
      <c r="Q8" s="527"/>
      <c r="R8" s="527"/>
      <c r="S8" s="527"/>
      <c r="T8" s="527"/>
    </row>
    <row r="9" spans="2:23" s="119" customFormat="1" x14ac:dyDescent="0.3">
      <c r="B9" s="40"/>
      <c r="C9" s="118"/>
      <c r="D9" s="531"/>
      <c r="E9" s="1040"/>
      <c r="F9" s="531"/>
      <c r="G9" s="531"/>
      <c r="H9" s="527"/>
      <c r="I9" s="527"/>
      <c r="J9" s="527"/>
      <c r="K9" s="546"/>
      <c r="L9" s="546"/>
      <c r="M9" s="545"/>
      <c r="N9" s="527"/>
      <c r="O9" s="527"/>
      <c r="P9" s="527"/>
      <c r="Q9" s="527"/>
      <c r="R9" s="516" t="s">
        <v>16</v>
      </c>
      <c r="S9" s="527"/>
      <c r="T9" s="527"/>
    </row>
    <row r="10" spans="2:23" ht="15" customHeight="1" x14ac:dyDescent="0.25">
      <c r="B10" s="2180" t="s">
        <v>190</v>
      </c>
      <c r="C10" s="2177" t="s">
        <v>38</v>
      </c>
      <c r="D10" s="2263" t="s">
        <v>804</v>
      </c>
      <c r="E10" s="2264"/>
      <c r="F10" s="2265"/>
      <c r="G10" s="2263" t="s">
        <v>186</v>
      </c>
      <c r="H10" s="2264"/>
      <c r="I10" s="2265"/>
      <c r="J10" s="2263" t="s">
        <v>426</v>
      </c>
      <c r="K10" s="2264"/>
      <c r="L10" s="2265"/>
      <c r="M10" s="2263" t="s">
        <v>427</v>
      </c>
      <c r="N10" s="2264"/>
      <c r="O10" s="2265"/>
      <c r="P10" s="2263" t="s">
        <v>428</v>
      </c>
      <c r="Q10" s="2265"/>
      <c r="R10" s="2263" t="s">
        <v>429</v>
      </c>
      <c r="S10" s="2265"/>
      <c r="T10" s="2261" t="s">
        <v>39</v>
      </c>
      <c r="U10" s="23"/>
    </row>
    <row r="11" spans="2:23" ht="45.65" customHeight="1" x14ac:dyDescent="0.25">
      <c r="B11" s="2180"/>
      <c r="C11" s="2218"/>
      <c r="D11" s="517" t="s">
        <v>404</v>
      </c>
      <c r="E11" s="1024" t="s">
        <v>1413</v>
      </c>
      <c r="F11" s="1024" t="s">
        <v>406</v>
      </c>
      <c r="G11" s="517" t="s">
        <v>404</v>
      </c>
      <c r="H11" s="1024" t="s">
        <v>405</v>
      </c>
      <c r="I11" s="1024" t="s">
        <v>406</v>
      </c>
      <c r="J11" s="517" t="s">
        <v>404</v>
      </c>
      <c r="K11" s="1024" t="s">
        <v>405</v>
      </c>
      <c r="L11" s="1024" t="s">
        <v>406</v>
      </c>
      <c r="M11" s="1024" t="s">
        <v>404</v>
      </c>
      <c r="N11" s="1024" t="s">
        <v>72</v>
      </c>
      <c r="O11" s="1024" t="s">
        <v>409</v>
      </c>
      <c r="P11" s="1024" t="s">
        <v>404</v>
      </c>
      <c r="Q11" s="1024" t="s">
        <v>805</v>
      </c>
      <c r="R11" s="1024" t="s">
        <v>404</v>
      </c>
      <c r="S11" s="1024" t="s">
        <v>805</v>
      </c>
      <c r="T11" s="2261"/>
      <c r="U11" s="24"/>
    </row>
    <row r="12" spans="2:23" x14ac:dyDescent="0.25">
      <c r="B12" s="1021"/>
      <c r="C12" s="1021"/>
      <c r="D12" s="1024" t="s">
        <v>73</v>
      </c>
      <c r="E12" s="1024" t="s">
        <v>74</v>
      </c>
      <c r="F12" s="1024" t="s">
        <v>806</v>
      </c>
      <c r="G12" s="1024" t="s">
        <v>411</v>
      </c>
      <c r="H12" s="1024" t="s">
        <v>412</v>
      </c>
      <c r="I12" s="1024" t="s">
        <v>439</v>
      </c>
      <c r="J12" s="1024" t="s">
        <v>668</v>
      </c>
      <c r="K12" s="1024" t="s">
        <v>582</v>
      </c>
      <c r="L12" s="1024" t="s">
        <v>675</v>
      </c>
      <c r="M12" s="1024" t="s">
        <v>782</v>
      </c>
      <c r="N12" s="1024" t="s">
        <v>583</v>
      </c>
      <c r="O12" s="1024" t="s">
        <v>844</v>
      </c>
      <c r="P12" s="1024" t="s">
        <v>585</v>
      </c>
      <c r="Q12" s="1024" t="s">
        <v>761</v>
      </c>
      <c r="R12" s="1024" t="s">
        <v>784</v>
      </c>
      <c r="S12" s="1024" t="s">
        <v>762</v>
      </c>
      <c r="T12" s="2262"/>
      <c r="U12" s="24"/>
    </row>
    <row r="13" spans="2:23" x14ac:dyDescent="0.3">
      <c r="B13" s="69">
        <v>1</v>
      </c>
      <c r="C13" s="27" t="s">
        <v>242</v>
      </c>
      <c r="D13" s="547">
        <v>0</v>
      </c>
      <c r="E13" s="547">
        <v>0</v>
      </c>
      <c r="F13" s="547">
        <f>E13-D13</f>
        <v>0</v>
      </c>
      <c r="G13" s="548">
        <v>0</v>
      </c>
      <c r="H13" s="390"/>
      <c r="I13" s="390">
        <f>H13-G13</f>
        <v>0</v>
      </c>
      <c r="J13" s="390"/>
      <c r="K13" s="390"/>
      <c r="L13" s="390">
        <f>K13-J13</f>
        <v>0</v>
      </c>
      <c r="M13" s="390"/>
      <c r="N13" s="390"/>
      <c r="O13" s="390">
        <f>N13-M13</f>
        <v>0</v>
      </c>
      <c r="P13" s="390"/>
      <c r="Q13" s="390"/>
      <c r="R13" s="390"/>
      <c r="S13" s="428"/>
      <c r="T13" s="428"/>
      <c r="U13" s="24"/>
    </row>
    <row r="14" spans="2:23" x14ac:dyDescent="0.3">
      <c r="B14" s="69">
        <f>B13+1</f>
        <v>2</v>
      </c>
      <c r="C14" s="27" t="s">
        <v>243</v>
      </c>
      <c r="D14" s="547">
        <v>0</v>
      </c>
      <c r="E14" s="547">
        <v>0</v>
      </c>
      <c r="F14" s="547">
        <f t="shared" ref="F14:F25" si="0">E14-D14</f>
        <v>0</v>
      </c>
      <c r="G14" s="548">
        <v>0</v>
      </c>
      <c r="H14" s="390"/>
      <c r="I14" s="390">
        <f t="shared" ref="I14:I25" si="1">H14-G14</f>
        <v>0</v>
      </c>
      <c r="J14" s="390"/>
      <c r="K14" s="390"/>
      <c r="L14" s="390">
        <f t="shared" ref="L14:L25" si="2">K14-J14</f>
        <v>0</v>
      </c>
      <c r="M14" s="390"/>
      <c r="N14" s="390"/>
      <c r="O14" s="390">
        <f t="shared" ref="O14:O25" si="3">N14-M14</f>
        <v>0</v>
      </c>
      <c r="P14" s="390"/>
      <c r="Q14" s="390"/>
      <c r="R14" s="390"/>
      <c r="S14" s="428"/>
      <c r="T14" s="428"/>
      <c r="U14" s="24"/>
    </row>
    <row r="15" spans="2:23" x14ac:dyDescent="0.3">
      <c r="B15" s="69">
        <f t="shared" ref="B15:B20" si="4">B14+1</f>
        <v>3</v>
      </c>
      <c r="C15" s="27" t="s">
        <v>244</v>
      </c>
      <c r="D15" s="547">
        <f>D13-D14</f>
        <v>0</v>
      </c>
      <c r="E15" s="547">
        <f>E13-E14</f>
        <v>0</v>
      </c>
      <c r="F15" s="547">
        <f t="shared" si="0"/>
        <v>0</v>
      </c>
      <c r="G15" s="547">
        <f>G13-G14</f>
        <v>0</v>
      </c>
      <c r="H15" s="547">
        <f>E19</f>
        <v>0</v>
      </c>
      <c r="I15" s="390">
        <f t="shared" si="1"/>
        <v>0</v>
      </c>
      <c r="J15" s="390">
        <v>0</v>
      </c>
      <c r="K15" s="547">
        <f>I19</f>
        <v>0</v>
      </c>
      <c r="L15" s="390">
        <f t="shared" si="2"/>
        <v>0</v>
      </c>
      <c r="M15" s="390"/>
      <c r="N15" s="547">
        <f>N13-N14</f>
        <v>0</v>
      </c>
      <c r="O15" s="390">
        <f t="shared" si="3"/>
        <v>0</v>
      </c>
      <c r="P15" s="390"/>
      <c r="Q15" s="547">
        <f>Q13-Q14</f>
        <v>0</v>
      </c>
      <c r="R15" s="390"/>
      <c r="S15" s="547">
        <f>Q19</f>
        <v>277.53389425160293</v>
      </c>
      <c r="T15" s="428"/>
      <c r="U15" s="24"/>
      <c r="W15" s="409"/>
    </row>
    <row r="16" spans="2:23" x14ac:dyDescent="0.3">
      <c r="B16" s="69">
        <f t="shared" si="4"/>
        <v>4</v>
      </c>
      <c r="C16" s="27" t="s">
        <v>245</v>
      </c>
      <c r="D16" s="547">
        <f>27.66*90%</f>
        <v>24.894000000000002</v>
      </c>
      <c r="E16" s="547">
        <f>'F 5.3'!$J$13*70%*90%</f>
        <v>12.335400000000002</v>
      </c>
      <c r="F16" s="547">
        <f t="shared" si="0"/>
        <v>-12.5586</v>
      </c>
      <c r="G16" s="548">
        <f>27.66*90%</f>
        <v>24.894000000000002</v>
      </c>
      <c r="H16" s="547">
        <f>'F 5.3'!K13*70%*90%</f>
        <v>15.605099999999998</v>
      </c>
      <c r="I16" s="390">
        <f t="shared" si="1"/>
        <v>-9.2889000000000035</v>
      </c>
      <c r="J16" s="548">
        <f>27.66*90%</f>
        <v>24.894000000000002</v>
      </c>
      <c r="K16" s="547">
        <f>'F 5.3'!L13*70%*90%</f>
        <v>12.411756910980001</v>
      </c>
      <c r="L16" s="390">
        <f t="shared" si="2"/>
        <v>-12.482243089020001</v>
      </c>
      <c r="M16" s="548">
        <f>27.66*90%</f>
        <v>24.894000000000002</v>
      </c>
      <c r="N16" s="547">
        <f>'F 5.3'!M13*90%*70%</f>
        <v>12.411756910980001</v>
      </c>
      <c r="O16" s="390">
        <f t="shared" si="3"/>
        <v>-12.482243089020001</v>
      </c>
      <c r="P16" s="548">
        <f>27.66*90%</f>
        <v>24.894000000000002</v>
      </c>
      <c r="Q16" s="547">
        <f>'F 5.3'!N13*90%*70%</f>
        <v>12.411756910980001</v>
      </c>
      <c r="R16" s="548">
        <f>27.66*90%</f>
        <v>24.894000000000002</v>
      </c>
      <c r="S16" s="547">
        <f>'F 5.3'!O13*90%*70%</f>
        <v>12.411756910980001</v>
      </c>
      <c r="T16" s="428"/>
      <c r="U16" s="24"/>
    </row>
    <row r="17" spans="2:23" x14ac:dyDescent="0.3">
      <c r="B17" s="69">
        <f>B16+1</f>
        <v>5</v>
      </c>
      <c r="C17" s="27" t="s">
        <v>440</v>
      </c>
      <c r="D17" s="547">
        <f>90.15*90%</f>
        <v>81.135000000000005</v>
      </c>
      <c r="E17" s="547">
        <f>Grant!D6*90%</f>
        <v>89.239500000000021</v>
      </c>
      <c r="F17" s="547">
        <f t="shared" si="0"/>
        <v>8.1045000000000158</v>
      </c>
      <c r="G17" s="548">
        <f>45.14*90%</f>
        <v>40.626000000000005</v>
      </c>
      <c r="H17" s="547">
        <f>Grant!E6*90%</f>
        <v>77.836500000000001</v>
      </c>
      <c r="I17" s="390">
        <f t="shared" si="1"/>
        <v>37.210499999999996</v>
      </c>
      <c r="J17" s="390">
        <f>40.63*90%</f>
        <v>36.567</v>
      </c>
      <c r="K17" s="547">
        <f>Grant!F6*90%</f>
        <v>66.027542049000004</v>
      </c>
      <c r="L17" s="390">
        <f t="shared" si="2"/>
        <v>29.460542049000004</v>
      </c>
      <c r="M17" s="390">
        <f>40.78*90%</f>
        <v>36.702000000000005</v>
      </c>
      <c r="N17" s="547">
        <f>Grant!G6*90%</f>
        <v>80.775842048999991</v>
      </c>
      <c r="O17" s="390">
        <f t="shared" si="3"/>
        <v>44.073842048999985</v>
      </c>
      <c r="P17" s="390">
        <f>40.71*90%</f>
        <v>36.639000000000003</v>
      </c>
      <c r="Q17" s="547">
        <f>Grant!H6*90%</f>
        <v>405.460643049</v>
      </c>
      <c r="R17" s="390">
        <f>40.64*90%</f>
        <v>36.576000000000001</v>
      </c>
      <c r="S17" s="547">
        <f>Grant!I6*90%</f>
        <v>368.15560254899998</v>
      </c>
      <c r="T17" s="428"/>
      <c r="U17" s="1566"/>
      <c r="W17" s="1566"/>
    </row>
    <row r="18" spans="2:23" s="242" customFormat="1" x14ac:dyDescent="0.3">
      <c r="B18" s="161">
        <f t="shared" si="4"/>
        <v>6</v>
      </c>
      <c r="C18" s="1630" t="s">
        <v>254</v>
      </c>
      <c r="D18" s="509">
        <f>62.5*90%</f>
        <v>56.25</v>
      </c>
      <c r="E18" s="509">
        <f>MAX(MIN('F 5.3'!J28*90%,E15-E16+E17),0)</f>
        <v>76.904100000000014</v>
      </c>
      <c r="F18" s="509">
        <f t="shared" si="0"/>
        <v>20.654100000000014</v>
      </c>
      <c r="G18" s="1631">
        <f>17.49*90%</f>
        <v>15.741</v>
      </c>
      <c r="H18" s="509">
        <f>MAX(MIN('F 5.3'!K28*90%,H15-H16+H17),0)</f>
        <v>62.231400000000001</v>
      </c>
      <c r="I18" s="395">
        <f t="shared" si="1"/>
        <v>46.490400000000001</v>
      </c>
      <c r="J18" s="395">
        <f>12.97*90%</f>
        <v>11.673</v>
      </c>
      <c r="K18" s="509">
        <f>MAX(MIN('F 5.3'!L28*90%,K15-K16+K17),0)</f>
        <v>53.615785138020001</v>
      </c>
      <c r="L18" s="395">
        <f t="shared" si="2"/>
        <v>41.94278513802</v>
      </c>
      <c r="M18" s="395">
        <f>13.12*90%</f>
        <v>11.808</v>
      </c>
      <c r="N18" s="509">
        <f>MAX(MIN('F 5.3'!M28*90%,N15-N16+N17),0)</f>
        <v>68.364085138019988</v>
      </c>
      <c r="O18" s="395">
        <f t="shared" si="3"/>
        <v>56.556085138019988</v>
      </c>
      <c r="P18" s="395">
        <f>13.05*90%</f>
        <v>11.745000000000001</v>
      </c>
      <c r="Q18" s="509">
        <f>MAX(MIN('F 5.3'!N28*90%,Q15-Q16+Q17),0)</f>
        <v>115.51499188641708</v>
      </c>
      <c r="R18" s="395">
        <f>12.98*90%</f>
        <v>11.682</v>
      </c>
      <c r="S18" s="509">
        <f>MAX(MIN('F 5.3'!O28*90%,S15-S16+S17),0)</f>
        <v>143.34076092313779</v>
      </c>
      <c r="T18" s="374"/>
      <c r="U18" s="43"/>
    </row>
    <row r="19" spans="2:23" x14ac:dyDescent="0.3">
      <c r="B19" s="69">
        <f t="shared" si="4"/>
        <v>7</v>
      </c>
      <c r="C19" s="27" t="s">
        <v>246</v>
      </c>
      <c r="D19" s="547">
        <f>IF(D15-D16+D17-D18&gt;0,D15-D16+D17-D18,0)</f>
        <v>0</v>
      </c>
      <c r="E19" s="547">
        <f>IF((E15-E16+E17-E18)&lt;0,0,(E15-E16+E17-E18))</f>
        <v>0</v>
      </c>
      <c r="F19" s="547">
        <f t="shared" si="0"/>
        <v>0</v>
      </c>
      <c r="G19" s="547">
        <f>IF((G15-G16+G17-G18)&lt;0,0,(G15-G16+G17-G18))</f>
        <v>0</v>
      </c>
      <c r="H19" s="547">
        <f>IF((H15-H16+H17-H18)&lt;0,0,(H15-H16+H17-H18))</f>
        <v>0</v>
      </c>
      <c r="I19" s="390">
        <f t="shared" si="1"/>
        <v>0</v>
      </c>
      <c r="J19" s="547">
        <f>IF((J15-J16+J17-J18)&lt;0,0,(J15-J16+J17-J18))</f>
        <v>0</v>
      </c>
      <c r="K19" s="547">
        <f>IF((K15-K16+K17-K18)&lt;0,0,(K15-K16+K17-K18))</f>
        <v>0</v>
      </c>
      <c r="L19" s="390">
        <f t="shared" si="2"/>
        <v>0</v>
      </c>
      <c r="M19" s="547">
        <f>IF((M15-M16+M17-M18)&lt;0,0,(M15-M16+M17-M18))</f>
        <v>3.5527136788005009E-15</v>
      </c>
      <c r="N19" s="547">
        <f>IF((N15-N16+N17-N18)&lt;0,0,(N15-N16+N17-N18))</f>
        <v>0</v>
      </c>
      <c r="O19" s="390">
        <f t="shared" si="3"/>
        <v>-3.5527136788005009E-15</v>
      </c>
      <c r="P19" s="547">
        <f>IF((P15-P16+P17-P18)&lt;0,0,(P15-P16+P17-P18))</f>
        <v>0</v>
      </c>
      <c r="Q19" s="547">
        <f>IF((Q15-Q16+Q17-Q18)&lt;0,0,(Q15-Q16+Q17-Q18))</f>
        <v>277.53389425160293</v>
      </c>
      <c r="R19" s="547">
        <f>IF((R15-R16+R17-R18)&lt;0,0,(R15-R16+R17-R18))</f>
        <v>0</v>
      </c>
      <c r="S19" s="547">
        <f>IF((S15-S16+S17-S18)&lt;0,0,(S15-S16+S17-S18))</f>
        <v>489.93697896648513</v>
      </c>
      <c r="T19" s="428"/>
      <c r="U19" s="24"/>
      <c r="W19" s="634"/>
    </row>
    <row r="20" spans="2:23" x14ac:dyDescent="0.3">
      <c r="B20" s="69">
        <f t="shared" si="4"/>
        <v>8</v>
      </c>
      <c r="C20" s="27" t="s">
        <v>247</v>
      </c>
      <c r="D20" s="547"/>
      <c r="E20" s="547"/>
      <c r="F20" s="547"/>
      <c r="G20" s="547"/>
      <c r="H20" s="547"/>
      <c r="I20" s="390"/>
      <c r="J20" s="390"/>
      <c r="K20" s="547"/>
      <c r="L20" s="390"/>
      <c r="M20" s="390"/>
      <c r="N20" s="547"/>
      <c r="O20" s="390"/>
      <c r="P20" s="390"/>
      <c r="Q20" s="547"/>
      <c r="R20" s="390"/>
      <c r="S20" s="547"/>
      <c r="T20" s="428"/>
      <c r="U20" s="24"/>
    </row>
    <row r="21" spans="2:23" x14ac:dyDescent="0.3">
      <c r="B21" s="69">
        <v>9</v>
      </c>
      <c r="C21" s="27" t="s">
        <v>441</v>
      </c>
      <c r="D21" s="547">
        <f>AVERAGE(D15,D19)</f>
        <v>0</v>
      </c>
      <c r="E21" s="547">
        <f>AVERAGE(E15,E19)</f>
        <v>0</v>
      </c>
      <c r="F21" s="547">
        <f t="shared" si="0"/>
        <v>0</v>
      </c>
      <c r="G21" s="547">
        <f>AVERAGE(G15,G19)</f>
        <v>0</v>
      </c>
      <c r="H21" s="547">
        <f>AVERAGE(H15,H19)</f>
        <v>0</v>
      </c>
      <c r="I21" s="390">
        <f t="shared" si="1"/>
        <v>0</v>
      </c>
      <c r="J21" s="547">
        <f>AVERAGE(J15,J19)</f>
        <v>0</v>
      </c>
      <c r="K21" s="547">
        <f>AVERAGE(K15,K19)</f>
        <v>0</v>
      </c>
      <c r="L21" s="390">
        <f t="shared" si="2"/>
        <v>0</v>
      </c>
      <c r="M21" s="547">
        <f t="shared" ref="M21:S21" si="5">AVERAGE(M15,M19)</f>
        <v>3.5527136788005009E-15</v>
      </c>
      <c r="N21" s="547">
        <f t="shared" si="5"/>
        <v>0</v>
      </c>
      <c r="O21" s="547">
        <f t="shared" si="5"/>
        <v>-1.7763568394002505E-15</v>
      </c>
      <c r="P21" s="547">
        <f t="shared" si="5"/>
        <v>0</v>
      </c>
      <c r="Q21" s="547">
        <f t="shared" si="5"/>
        <v>138.76694712580147</v>
      </c>
      <c r="R21" s="547">
        <f t="shared" si="5"/>
        <v>0</v>
      </c>
      <c r="S21" s="547">
        <f t="shared" si="5"/>
        <v>383.73543660904403</v>
      </c>
      <c r="T21" s="428"/>
      <c r="U21" s="24"/>
    </row>
    <row r="22" spans="2:23" s="559" customFormat="1" x14ac:dyDescent="0.3">
      <c r="B22" s="562">
        <v>10</v>
      </c>
      <c r="C22" s="560" t="s">
        <v>442</v>
      </c>
      <c r="D22" s="1033">
        <v>0.11269999999999999</v>
      </c>
      <c r="E22" s="1033">
        <f>E88</f>
        <v>0.10631780709177285</v>
      </c>
      <c r="F22" s="556">
        <f t="shared" si="0"/>
        <v>-6.3821929082271411E-3</v>
      </c>
      <c r="G22" s="1033">
        <v>0.11269999999999999</v>
      </c>
      <c r="H22" s="1033">
        <f>H88</f>
        <v>0.10576017100304506</v>
      </c>
      <c r="I22" s="555">
        <f t="shared" si="1"/>
        <v>-6.9398289969549304E-3</v>
      </c>
      <c r="J22" s="1033">
        <v>0.11269999999999999</v>
      </c>
      <c r="K22" s="1033">
        <f>K88</f>
        <v>0.1043582831035825</v>
      </c>
      <c r="L22" s="555">
        <f t="shared" si="2"/>
        <v>-8.3417168964174948E-3</v>
      </c>
      <c r="M22" s="1033">
        <v>0.11269999999999999</v>
      </c>
      <c r="N22" s="1033">
        <f>N88</f>
        <v>0.10493701491105045</v>
      </c>
      <c r="O22" s="555">
        <f t="shared" si="3"/>
        <v>-7.7629850889495422E-3</v>
      </c>
      <c r="P22" s="1033">
        <v>0.11269999999999999</v>
      </c>
      <c r="Q22" s="1033">
        <f>N22</f>
        <v>0.10493701491105045</v>
      </c>
      <c r="R22" s="1033">
        <v>0.11269999999999999</v>
      </c>
      <c r="S22" s="1033">
        <f>Q22</f>
        <v>0.10493701491105045</v>
      </c>
      <c r="T22" s="557"/>
      <c r="U22" s="558"/>
    </row>
    <row r="23" spans="2:23" x14ac:dyDescent="0.3">
      <c r="B23" s="69">
        <v>11</v>
      </c>
      <c r="C23" s="27" t="s">
        <v>45</v>
      </c>
      <c r="D23" s="1034">
        <f>D22*D21</f>
        <v>0</v>
      </c>
      <c r="E23" s="1034">
        <f>E22*E21</f>
        <v>0</v>
      </c>
      <c r="F23" s="547">
        <f t="shared" si="0"/>
        <v>0</v>
      </c>
      <c r="G23" s="1034">
        <f>G22*G21</f>
        <v>0</v>
      </c>
      <c r="H23" s="1034">
        <f>H22*H21</f>
        <v>0</v>
      </c>
      <c r="I23" s="390">
        <f t="shared" si="1"/>
        <v>0</v>
      </c>
      <c r="J23" s="390"/>
      <c r="K23" s="1034">
        <f>K22*K21</f>
        <v>0</v>
      </c>
      <c r="L23" s="390">
        <f t="shared" si="2"/>
        <v>0</v>
      </c>
      <c r="M23" s="390"/>
      <c r="N23" s="1034">
        <f>N22*N21</f>
        <v>0</v>
      </c>
      <c r="O23" s="390">
        <f t="shared" si="3"/>
        <v>0</v>
      </c>
      <c r="P23" s="390"/>
      <c r="Q23" s="1034">
        <f>Q22*Q21</f>
        <v>14.561789199701177</v>
      </c>
      <c r="R23" s="390"/>
      <c r="S23" s="1034">
        <f>S22*S21</f>
        <v>40.268051233341708</v>
      </c>
      <c r="T23" s="428"/>
      <c r="U23" s="24"/>
    </row>
    <row r="24" spans="2:23" x14ac:dyDescent="0.3">
      <c r="B24" s="69">
        <v>12</v>
      </c>
      <c r="C24" s="27" t="s">
        <v>249</v>
      </c>
      <c r="D24" s="547"/>
      <c r="E24" s="547"/>
      <c r="F24" s="547">
        <f t="shared" si="0"/>
        <v>0</v>
      </c>
      <c r="G24" s="548"/>
      <c r="H24" s="547"/>
      <c r="I24" s="390">
        <f t="shared" si="1"/>
        <v>0</v>
      </c>
      <c r="J24" s="390"/>
      <c r="K24" s="547"/>
      <c r="L24" s="390">
        <f t="shared" si="2"/>
        <v>0</v>
      </c>
      <c r="M24" s="390"/>
      <c r="N24" s="547"/>
      <c r="O24" s="390">
        <f t="shared" si="3"/>
        <v>0</v>
      </c>
      <c r="P24" s="390"/>
      <c r="Q24" s="547"/>
      <c r="R24" s="390"/>
      <c r="S24" s="547"/>
      <c r="T24" s="428"/>
      <c r="U24" s="24"/>
    </row>
    <row r="25" spans="2:23" x14ac:dyDescent="0.3">
      <c r="B25" s="70">
        <v>13</v>
      </c>
      <c r="C25" s="26" t="s">
        <v>443</v>
      </c>
      <c r="D25" s="549">
        <v>0</v>
      </c>
      <c r="E25" s="549">
        <f>E23+E24</f>
        <v>0</v>
      </c>
      <c r="F25" s="550">
        <f t="shared" si="0"/>
        <v>0</v>
      </c>
      <c r="G25" s="549"/>
      <c r="H25" s="549">
        <f>H23+H24</f>
        <v>0</v>
      </c>
      <c r="I25" s="390">
        <f t="shared" si="1"/>
        <v>0</v>
      </c>
      <c r="J25" s="364"/>
      <c r="K25" s="549">
        <f>K23+K24</f>
        <v>0</v>
      </c>
      <c r="L25" s="390">
        <f t="shared" si="2"/>
        <v>0</v>
      </c>
      <c r="M25" s="364"/>
      <c r="N25" s="549">
        <f>N23+N24</f>
        <v>0</v>
      </c>
      <c r="O25" s="390">
        <f t="shared" si="3"/>
        <v>0</v>
      </c>
      <c r="P25" s="364"/>
      <c r="Q25" s="549">
        <f>Q23+Q24</f>
        <v>14.561789199701177</v>
      </c>
      <c r="R25" s="364"/>
      <c r="S25" s="549">
        <f>S23+S24</f>
        <v>40.268051233341708</v>
      </c>
      <c r="T25" s="428"/>
      <c r="U25" s="24"/>
    </row>
    <row r="26" spans="2:23" s="119" customFormat="1" x14ac:dyDescent="0.3">
      <c r="B26" s="40"/>
      <c r="C26" s="118"/>
      <c r="D26" s="531"/>
      <c r="E26" s="531"/>
      <c r="F26" s="531"/>
      <c r="G26" s="531"/>
      <c r="H26" s="527"/>
      <c r="I26" s="527"/>
      <c r="J26" s="527"/>
      <c r="K26" s="546"/>
      <c r="L26" s="546"/>
      <c r="M26" s="545"/>
      <c r="N26" s="527"/>
      <c r="O26" s="527"/>
      <c r="P26" s="527"/>
      <c r="Q26" s="527"/>
      <c r="R26" s="527"/>
      <c r="S26" s="527"/>
      <c r="T26" s="527"/>
    </row>
    <row r="27" spans="2:23" x14ac:dyDescent="0.25">
      <c r="C27" s="172" t="s">
        <v>444</v>
      </c>
      <c r="D27" s="563"/>
      <c r="E27" s="563"/>
      <c r="F27" s="563"/>
      <c r="G27" s="563"/>
    </row>
    <row r="28" spans="2:23" x14ac:dyDescent="0.25">
      <c r="R28" s="516" t="s">
        <v>16</v>
      </c>
      <c r="T28" s="516"/>
    </row>
    <row r="29" spans="2:23" ht="15" customHeight="1" x14ac:dyDescent="0.25">
      <c r="B29" s="2180" t="s">
        <v>190</v>
      </c>
      <c r="C29" s="2180" t="s">
        <v>38</v>
      </c>
      <c r="D29" s="2263" t="s">
        <v>804</v>
      </c>
      <c r="E29" s="2264"/>
      <c r="F29" s="2265"/>
      <c r="G29" s="2263" t="s">
        <v>186</v>
      </c>
      <c r="H29" s="2264"/>
      <c r="I29" s="2265"/>
      <c r="J29" s="2263" t="s">
        <v>426</v>
      </c>
      <c r="K29" s="2264"/>
      <c r="L29" s="2265"/>
      <c r="M29" s="2263" t="s">
        <v>427</v>
      </c>
      <c r="N29" s="2264"/>
      <c r="O29" s="2265"/>
      <c r="P29" s="2263" t="s">
        <v>428</v>
      </c>
      <c r="Q29" s="2265"/>
      <c r="R29" s="2263" t="s">
        <v>429</v>
      </c>
      <c r="S29" s="2265"/>
      <c r="T29" s="2261" t="s">
        <v>39</v>
      </c>
      <c r="U29" s="23"/>
    </row>
    <row r="30" spans="2:23" x14ac:dyDescent="0.25">
      <c r="B30" s="2180"/>
      <c r="C30" s="2180"/>
      <c r="D30" s="517" t="s">
        <v>404</v>
      </c>
      <c r="E30" s="1024" t="s">
        <v>1413</v>
      </c>
      <c r="F30" s="1024" t="s">
        <v>406</v>
      </c>
      <c r="G30" s="517" t="s">
        <v>404</v>
      </c>
      <c r="H30" s="1024" t="s">
        <v>405</v>
      </c>
      <c r="I30" s="1024" t="s">
        <v>406</v>
      </c>
      <c r="J30" s="517" t="s">
        <v>404</v>
      </c>
      <c r="K30" s="1024" t="s">
        <v>405</v>
      </c>
      <c r="L30" s="1024" t="s">
        <v>406</v>
      </c>
      <c r="M30" s="1024" t="s">
        <v>404</v>
      </c>
      <c r="N30" s="1024" t="s">
        <v>72</v>
      </c>
      <c r="O30" s="1024" t="s">
        <v>409</v>
      </c>
      <c r="P30" s="1024" t="s">
        <v>404</v>
      </c>
      <c r="Q30" s="1024" t="s">
        <v>805</v>
      </c>
      <c r="R30" s="1024" t="s">
        <v>404</v>
      </c>
      <c r="S30" s="1024" t="s">
        <v>805</v>
      </c>
      <c r="T30" s="2261"/>
      <c r="U30" s="24"/>
    </row>
    <row r="31" spans="2:23" x14ac:dyDescent="0.25">
      <c r="B31" s="217"/>
      <c r="C31" s="218"/>
      <c r="D31" s="1024" t="s">
        <v>73</v>
      </c>
      <c r="E31" s="1024" t="s">
        <v>74</v>
      </c>
      <c r="F31" s="1024" t="s">
        <v>806</v>
      </c>
      <c r="G31" s="1024" t="s">
        <v>411</v>
      </c>
      <c r="H31" s="1024" t="s">
        <v>412</v>
      </c>
      <c r="I31" s="1024" t="s">
        <v>439</v>
      </c>
      <c r="J31" s="1024" t="s">
        <v>668</v>
      </c>
      <c r="K31" s="1024" t="s">
        <v>582</v>
      </c>
      <c r="L31" s="1024" t="s">
        <v>675</v>
      </c>
      <c r="M31" s="1024" t="s">
        <v>782</v>
      </c>
      <c r="N31" s="1024" t="s">
        <v>583</v>
      </c>
      <c r="O31" s="1024" t="s">
        <v>844</v>
      </c>
      <c r="P31" s="1024" t="s">
        <v>585</v>
      </c>
      <c r="Q31" s="1024" t="s">
        <v>761</v>
      </c>
      <c r="R31" s="1024" t="s">
        <v>784</v>
      </c>
      <c r="S31" s="1024" t="s">
        <v>762</v>
      </c>
      <c r="T31" s="2262"/>
      <c r="U31" s="24"/>
    </row>
    <row r="32" spans="2:23" x14ac:dyDescent="0.3">
      <c r="B32" s="70">
        <v>1</v>
      </c>
      <c r="C32" s="1035" t="s">
        <v>1023</v>
      </c>
      <c r="D32" s="550"/>
      <c r="E32" s="550"/>
      <c r="F32" s="550">
        <f>E32-D32</f>
        <v>0</v>
      </c>
      <c r="G32" s="550"/>
      <c r="H32" s="353"/>
      <c r="I32" s="353">
        <f>H32-G32</f>
        <v>0</v>
      </c>
      <c r="J32" s="353"/>
      <c r="K32" s="353"/>
      <c r="L32" s="353">
        <f>K32-J32</f>
        <v>0</v>
      </c>
      <c r="M32" s="353"/>
      <c r="N32" s="353"/>
      <c r="O32" s="353">
        <f>N32-M32</f>
        <v>0</v>
      </c>
      <c r="P32" s="353"/>
      <c r="Q32" s="353"/>
      <c r="R32" s="353"/>
      <c r="S32" s="428"/>
      <c r="T32" s="428"/>
      <c r="U32" s="24"/>
    </row>
    <row r="33" spans="2:21" x14ac:dyDescent="0.3">
      <c r="B33" s="69">
        <v>1.1000000000000001</v>
      </c>
      <c r="C33" s="27" t="s">
        <v>41</v>
      </c>
      <c r="D33" s="547"/>
      <c r="E33" s="547">
        <v>13.402699999999999</v>
      </c>
      <c r="F33" s="547">
        <f t="shared" ref="F33:F95" si="6">E33-D33</f>
        <v>13.402699999999999</v>
      </c>
      <c r="G33" s="547"/>
      <c r="H33" s="353">
        <v>11.186900000000001</v>
      </c>
      <c r="I33" s="353">
        <f t="shared" ref="I33:I95" si="7">H33-G33</f>
        <v>11.186900000000001</v>
      </c>
      <c r="J33" s="353"/>
      <c r="K33" s="353">
        <f>H37</f>
        <v>8.9711000000000016</v>
      </c>
      <c r="L33" s="353">
        <f t="shared" ref="L33:L95" si="8">K33-J33</f>
        <v>8.9711000000000016</v>
      </c>
      <c r="M33" s="353"/>
      <c r="N33" s="353">
        <f>K37</f>
        <v>6.7553000000000019</v>
      </c>
      <c r="O33" s="353">
        <f t="shared" ref="O33:O95" si="9">N33-M33</f>
        <v>6.7553000000000019</v>
      </c>
      <c r="P33" s="353"/>
      <c r="Q33" s="353">
        <f>N37</f>
        <v>4.5395000000000021</v>
      </c>
      <c r="R33" s="353"/>
      <c r="S33" s="353">
        <f>Q37</f>
        <v>2.3237000000000019</v>
      </c>
      <c r="T33" s="428"/>
      <c r="U33" s="24"/>
    </row>
    <row r="34" spans="2:21" x14ac:dyDescent="0.3">
      <c r="B34" s="69">
        <f t="shared" ref="B34:B40" si="10">B33+0.1</f>
        <v>1.2000000000000002</v>
      </c>
      <c r="C34" s="27" t="s">
        <v>245</v>
      </c>
      <c r="D34" s="547"/>
      <c r="E34" s="547"/>
      <c r="F34" s="547"/>
      <c r="G34" s="547"/>
      <c r="H34" s="353"/>
      <c r="I34" s="353"/>
      <c r="J34" s="353"/>
      <c r="K34" s="353"/>
      <c r="L34" s="353"/>
      <c r="M34" s="353"/>
      <c r="N34" s="353"/>
      <c r="O34" s="353"/>
      <c r="P34" s="353"/>
      <c r="Q34" s="353"/>
      <c r="R34" s="353"/>
      <c r="S34" s="353"/>
      <c r="T34" s="428"/>
      <c r="U34" s="24"/>
    </row>
    <row r="35" spans="2:21" x14ac:dyDescent="0.3">
      <c r="B35" s="69">
        <f t="shared" si="10"/>
        <v>1.3000000000000003</v>
      </c>
      <c r="C35" s="27" t="s">
        <v>189</v>
      </c>
      <c r="D35" s="547"/>
      <c r="E35" s="547"/>
      <c r="F35" s="547"/>
      <c r="G35" s="547"/>
      <c r="H35" s="353"/>
      <c r="I35" s="353"/>
      <c r="J35" s="353"/>
      <c r="K35" s="353"/>
      <c r="L35" s="353"/>
      <c r="M35" s="353"/>
      <c r="N35" s="353"/>
      <c r="O35" s="353"/>
      <c r="P35" s="353"/>
      <c r="Q35" s="353"/>
      <c r="R35" s="353"/>
      <c r="S35" s="353"/>
      <c r="T35" s="428"/>
      <c r="U35" s="24"/>
    </row>
    <row r="36" spans="2:21" x14ac:dyDescent="0.3">
      <c r="B36" s="69">
        <f t="shared" si="10"/>
        <v>1.4000000000000004</v>
      </c>
      <c r="C36" s="27" t="s">
        <v>42</v>
      </c>
      <c r="D36" s="547"/>
      <c r="E36" s="547">
        <v>2.2158000000000002</v>
      </c>
      <c r="F36" s="547">
        <f t="shared" si="6"/>
        <v>2.2158000000000002</v>
      </c>
      <c r="G36" s="547"/>
      <c r="H36" s="353">
        <v>2.2158000000000002</v>
      </c>
      <c r="I36" s="353">
        <f t="shared" si="7"/>
        <v>2.2158000000000002</v>
      </c>
      <c r="J36" s="353"/>
      <c r="K36" s="353">
        <v>2.2158000000000002</v>
      </c>
      <c r="L36" s="353">
        <f t="shared" si="8"/>
        <v>2.2158000000000002</v>
      </c>
      <c r="M36" s="353"/>
      <c r="N36" s="353">
        <f>K36</f>
        <v>2.2158000000000002</v>
      </c>
      <c r="O36" s="353">
        <f t="shared" si="9"/>
        <v>2.2158000000000002</v>
      </c>
      <c r="P36" s="353"/>
      <c r="Q36" s="353">
        <f>N36</f>
        <v>2.2158000000000002</v>
      </c>
      <c r="R36" s="353"/>
      <c r="S36" s="353">
        <f>Q36</f>
        <v>2.2158000000000002</v>
      </c>
      <c r="T36" s="428"/>
      <c r="U36" s="24"/>
    </row>
    <row r="37" spans="2:21" x14ac:dyDescent="0.3">
      <c r="B37" s="69">
        <f t="shared" si="10"/>
        <v>1.5000000000000004</v>
      </c>
      <c r="C37" s="27" t="s">
        <v>43</v>
      </c>
      <c r="D37" s="547"/>
      <c r="E37" s="547">
        <f>E33+E35-E36</f>
        <v>11.1869</v>
      </c>
      <c r="F37" s="547">
        <f t="shared" si="6"/>
        <v>11.1869</v>
      </c>
      <c r="G37" s="547"/>
      <c r="H37" s="547">
        <f>H33+H35-H36</f>
        <v>8.9711000000000016</v>
      </c>
      <c r="I37" s="353">
        <f t="shared" si="7"/>
        <v>8.9711000000000016</v>
      </c>
      <c r="J37" s="353"/>
      <c r="K37" s="353">
        <f>K33-K36</f>
        <v>6.7553000000000019</v>
      </c>
      <c r="L37" s="353">
        <f t="shared" si="8"/>
        <v>6.7553000000000019</v>
      </c>
      <c r="M37" s="353"/>
      <c r="N37" s="353">
        <f>N33-N36</f>
        <v>4.5395000000000021</v>
      </c>
      <c r="O37" s="353">
        <f t="shared" si="9"/>
        <v>4.5395000000000021</v>
      </c>
      <c r="P37" s="353"/>
      <c r="Q37" s="353">
        <f>Q33-Q36</f>
        <v>2.3237000000000019</v>
      </c>
      <c r="R37" s="353"/>
      <c r="S37" s="353">
        <f>S33-S36</f>
        <v>0.10790000000000166</v>
      </c>
      <c r="T37" s="428"/>
      <c r="U37" s="24"/>
    </row>
    <row r="38" spans="2:21" x14ac:dyDescent="0.3">
      <c r="B38" s="69">
        <f t="shared" si="10"/>
        <v>1.6000000000000005</v>
      </c>
      <c r="C38" s="27" t="s">
        <v>445</v>
      </c>
      <c r="D38" s="547"/>
      <c r="E38" s="547">
        <f>AVERAGE(E33,E37)</f>
        <v>12.294799999999999</v>
      </c>
      <c r="F38" s="547">
        <f t="shared" si="6"/>
        <v>12.294799999999999</v>
      </c>
      <c r="G38" s="547"/>
      <c r="H38" s="547">
        <f>AVERAGE(H33,H37)</f>
        <v>10.079000000000001</v>
      </c>
      <c r="I38" s="353">
        <f t="shared" si="7"/>
        <v>10.079000000000001</v>
      </c>
      <c r="J38" s="353"/>
      <c r="K38" s="353">
        <f>AVERAGE(K33,K37)</f>
        <v>7.8632000000000017</v>
      </c>
      <c r="L38" s="353">
        <f t="shared" si="8"/>
        <v>7.8632000000000017</v>
      </c>
      <c r="M38" s="353"/>
      <c r="N38" s="353">
        <f>AVERAGE(N33,N37)</f>
        <v>5.647400000000002</v>
      </c>
      <c r="O38" s="353">
        <f t="shared" si="9"/>
        <v>5.647400000000002</v>
      </c>
      <c r="P38" s="353"/>
      <c r="Q38" s="353">
        <f>AVERAGE(Q33,Q37)</f>
        <v>3.4316000000000022</v>
      </c>
      <c r="R38" s="353"/>
      <c r="S38" s="353">
        <f>AVERAGE(S33,S37)</f>
        <v>1.2158000000000018</v>
      </c>
      <c r="T38" s="428"/>
      <c r="U38" s="24"/>
    </row>
    <row r="39" spans="2:21" x14ac:dyDescent="0.3">
      <c r="B39" s="69">
        <f t="shared" si="10"/>
        <v>1.7000000000000006</v>
      </c>
      <c r="C39" s="27" t="s">
        <v>44</v>
      </c>
      <c r="D39" s="547"/>
      <c r="E39" s="556">
        <v>0.115</v>
      </c>
      <c r="F39" s="556">
        <f t="shared" si="6"/>
        <v>0.115</v>
      </c>
      <c r="G39" s="547"/>
      <c r="H39" s="459">
        <v>0.115</v>
      </c>
      <c r="I39" s="459">
        <f t="shared" si="7"/>
        <v>0.115</v>
      </c>
      <c r="J39" s="353"/>
      <c r="K39" s="459">
        <v>0.115</v>
      </c>
      <c r="L39" s="353">
        <f t="shared" si="8"/>
        <v>0.115</v>
      </c>
      <c r="M39" s="353"/>
      <c r="N39" s="459">
        <f>K39</f>
        <v>0.115</v>
      </c>
      <c r="O39" s="353">
        <f t="shared" si="9"/>
        <v>0.115</v>
      </c>
      <c r="P39" s="353"/>
      <c r="Q39" s="459">
        <f>N39</f>
        <v>0.115</v>
      </c>
      <c r="R39" s="353"/>
      <c r="S39" s="459">
        <f>P39</f>
        <v>0</v>
      </c>
      <c r="T39" s="428"/>
      <c r="U39" s="24"/>
    </row>
    <row r="40" spans="2:21" x14ac:dyDescent="0.3">
      <c r="B40" s="69">
        <f t="shared" si="10"/>
        <v>1.8000000000000007</v>
      </c>
      <c r="C40" s="27" t="s">
        <v>45</v>
      </c>
      <c r="D40" s="547"/>
      <c r="E40" s="547">
        <v>1.2812999999999999</v>
      </c>
      <c r="F40" s="547">
        <f t="shared" si="6"/>
        <v>1.2812999999999999</v>
      </c>
      <c r="G40" s="547"/>
      <c r="H40" s="353">
        <v>1.0529000000000002</v>
      </c>
      <c r="I40" s="353">
        <f t="shared" si="7"/>
        <v>1.0529000000000002</v>
      </c>
      <c r="J40" s="353"/>
      <c r="K40" s="353">
        <v>0.82450000000000001</v>
      </c>
      <c r="L40" s="353">
        <f t="shared" si="8"/>
        <v>0.82450000000000001</v>
      </c>
      <c r="M40" s="353"/>
      <c r="N40" s="353">
        <f>N38*N39</f>
        <v>0.64945100000000022</v>
      </c>
      <c r="O40" s="353"/>
      <c r="P40" s="353"/>
      <c r="Q40" s="353">
        <f>Q38*Q39</f>
        <v>0.39463400000000026</v>
      </c>
      <c r="R40" s="353"/>
      <c r="S40" s="353">
        <f>S38*S39</f>
        <v>0</v>
      </c>
      <c r="T40" s="428"/>
      <c r="U40" s="24"/>
    </row>
    <row r="41" spans="2:21" x14ac:dyDescent="0.3">
      <c r="B41" s="69"/>
      <c r="C41" s="27"/>
      <c r="D41" s="547"/>
      <c r="E41" s="547"/>
      <c r="F41" s="547">
        <f t="shared" si="6"/>
        <v>0</v>
      </c>
      <c r="G41" s="547"/>
      <c r="H41" s="353"/>
      <c r="I41" s="353">
        <f t="shared" si="7"/>
        <v>0</v>
      </c>
      <c r="J41" s="353"/>
      <c r="K41" s="353"/>
      <c r="L41" s="353">
        <f t="shared" si="8"/>
        <v>0</v>
      </c>
      <c r="M41" s="353"/>
      <c r="N41" s="353"/>
      <c r="O41" s="353">
        <f t="shared" si="9"/>
        <v>0</v>
      </c>
      <c r="P41" s="353"/>
      <c r="Q41" s="353"/>
      <c r="R41" s="353"/>
      <c r="S41" s="353"/>
      <c r="T41" s="428"/>
      <c r="U41" s="24"/>
    </row>
    <row r="42" spans="2:21" x14ac:dyDescent="0.3">
      <c r="B42" s="70">
        <v>2</v>
      </c>
      <c r="C42" s="26" t="s">
        <v>1387</v>
      </c>
      <c r="D42" s="550"/>
      <c r="E42" s="550"/>
      <c r="F42" s="547">
        <f t="shared" si="6"/>
        <v>0</v>
      </c>
      <c r="G42" s="550"/>
      <c r="H42" s="353"/>
      <c r="I42" s="353">
        <f t="shared" si="7"/>
        <v>0</v>
      </c>
      <c r="J42" s="353"/>
      <c r="K42" s="353"/>
      <c r="L42" s="353">
        <f t="shared" si="8"/>
        <v>0</v>
      </c>
      <c r="M42" s="353"/>
      <c r="N42" s="353"/>
      <c r="O42" s="353">
        <f t="shared" si="9"/>
        <v>0</v>
      </c>
      <c r="P42" s="353"/>
      <c r="Q42" s="353"/>
      <c r="R42" s="353"/>
      <c r="S42" s="353"/>
      <c r="T42" s="428"/>
      <c r="U42" s="24"/>
    </row>
    <row r="43" spans="2:21" x14ac:dyDescent="0.3">
      <c r="B43" s="69">
        <f t="shared" ref="B43:B50" si="11">B42+0.1</f>
        <v>2.1</v>
      </c>
      <c r="C43" s="27" t="s">
        <v>41</v>
      </c>
      <c r="D43" s="547"/>
      <c r="E43" s="547">
        <v>134.0926</v>
      </c>
      <c r="F43" s="547">
        <f t="shared" si="6"/>
        <v>134.0926</v>
      </c>
      <c r="G43" s="547"/>
      <c r="H43" s="353">
        <v>120.68340000000001</v>
      </c>
      <c r="I43" s="353">
        <f t="shared" si="7"/>
        <v>120.68340000000001</v>
      </c>
      <c r="J43" s="353"/>
      <c r="K43" s="353">
        <f>H47</f>
        <v>107.2741</v>
      </c>
      <c r="L43" s="353">
        <f t="shared" si="8"/>
        <v>107.2741</v>
      </c>
      <c r="M43" s="353"/>
      <c r="N43" s="353">
        <f>K47</f>
        <v>93.864800000000002</v>
      </c>
      <c r="O43" s="353">
        <f t="shared" si="9"/>
        <v>93.864800000000002</v>
      </c>
      <c r="P43" s="353"/>
      <c r="Q43" s="353">
        <f>N47</f>
        <v>80.455500000000001</v>
      </c>
      <c r="R43" s="353"/>
      <c r="S43" s="353">
        <f>Q47</f>
        <v>67.046199999999999</v>
      </c>
      <c r="T43" s="428"/>
      <c r="U43" s="24"/>
    </row>
    <row r="44" spans="2:21" x14ac:dyDescent="0.3">
      <c r="B44" s="69">
        <f t="shared" si="11"/>
        <v>2.2000000000000002</v>
      </c>
      <c r="C44" s="27" t="s">
        <v>245</v>
      </c>
      <c r="D44" s="547"/>
      <c r="E44" s="547"/>
      <c r="F44" s="547">
        <f t="shared" si="6"/>
        <v>0</v>
      </c>
      <c r="G44" s="547"/>
      <c r="H44" s="353"/>
      <c r="I44" s="353">
        <f t="shared" si="7"/>
        <v>0</v>
      </c>
      <c r="J44" s="353"/>
      <c r="K44" s="353">
        <v>0</v>
      </c>
      <c r="L44" s="353">
        <f t="shared" si="8"/>
        <v>0</v>
      </c>
      <c r="M44" s="353"/>
      <c r="N44" s="353">
        <v>0</v>
      </c>
      <c r="O44" s="353">
        <f t="shared" si="9"/>
        <v>0</v>
      </c>
      <c r="P44" s="353"/>
      <c r="Q44" s="353">
        <v>0</v>
      </c>
      <c r="R44" s="353"/>
      <c r="S44" s="353">
        <v>0</v>
      </c>
      <c r="T44" s="428"/>
      <c r="U44" s="24"/>
    </row>
    <row r="45" spans="2:21" x14ac:dyDescent="0.3">
      <c r="B45" s="69">
        <f t="shared" si="11"/>
        <v>2.3000000000000003</v>
      </c>
      <c r="C45" s="27" t="s">
        <v>189</v>
      </c>
      <c r="D45" s="547"/>
      <c r="E45" s="547">
        <v>0</v>
      </c>
      <c r="F45" s="547">
        <f t="shared" si="6"/>
        <v>0</v>
      </c>
      <c r="G45" s="547"/>
      <c r="H45" s="353">
        <v>0</v>
      </c>
      <c r="I45" s="353">
        <f t="shared" si="7"/>
        <v>0</v>
      </c>
      <c r="J45" s="353"/>
      <c r="K45" s="353">
        <v>0</v>
      </c>
      <c r="L45" s="353">
        <f t="shared" si="8"/>
        <v>0</v>
      </c>
      <c r="M45" s="353"/>
      <c r="N45" s="353">
        <v>0</v>
      </c>
      <c r="O45" s="353">
        <f t="shared" si="9"/>
        <v>0</v>
      </c>
      <c r="P45" s="353"/>
      <c r="Q45" s="353">
        <v>0</v>
      </c>
      <c r="R45" s="353"/>
      <c r="S45" s="353">
        <v>0</v>
      </c>
      <c r="T45" s="428"/>
      <c r="U45" s="24"/>
    </row>
    <row r="46" spans="2:21" x14ac:dyDescent="0.3">
      <c r="B46" s="69">
        <f t="shared" si="11"/>
        <v>2.4000000000000004</v>
      </c>
      <c r="C46" s="27" t="s">
        <v>42</v>
      </c>
      <c r="D46" s="547"/>
      <c r="E46" s="547">
        <v>13.4093</v>
      </c>
      <c r="F46" s="547">
        <f t="shared" si="6"/>
        <v>13.4093</v>
      </c>
      <c r="G46" s="547"/>
      <c r="H46" s="353">
        <v>13.4093</v>
      </c>
      <c r="I46" s="353">
        <f t="shared" si="7"/>
        <v>13.4093</v>
      </c>
      <c r="J46" s="353"/>
      <c r="K46" s="353">
        <v>13.4093</v>
      </c>
      <c r="L46" s="353">
        <f t="shared" si="8"/>
        <v>13.4093</v>
      </c>
      <c r="M46" s="353"/>
      <c r="N46" s="353">
        <f>K46</f>
        <v>13.4093</v>
      </c>
      <c r="O46" s="353">
        <f t="shared" si="9"/>
        <v>13.4093</v>
      </c>
      <c r="P46" s="353"/>
      <c r="Q46" s="353">
        <f>N46</f>
        <v>13.4093</v>
      </c>
      <c r="R46" s="353"/>
      <c r="S46" s="353">
        <f>Q46</f>
        <v>13.4093</v>
      </c>
      <c r="T46" s="428"/>
      <c r="U46" s="24"/>
    </row>
    <row r="47" spans="2:21" x14ac:dyDescent="0.3">
      <c r="B47" s="69">
        <f t="shared" si="11"/>
        <v>2.5000000000000004</v>
      </c>
      <c r="C47" s="27" t="s">
        <v>43</v>
      </c>
      <c r="D47" s="547"/>
      <c r="E47" s="547">
        <f>E43+E45-E46</f>
        <v>120.6833</v>
      </c>
      <c r="F47" s="547">
        <f t="shared" si="6"/>
        <v>120.6833</v>
      </c>
      <c r="G47" s="547"/>
      <c r="H47" s="547">
        <f>H43+H45-H46</f>
        <v>107.2741</v>
      </c>
      <c r="I47" s="353">
        <f t="shared" si="7"/>
        <v>107.2741</v>
      </c>
      <c r="J47" s="353"/>
      <c r="K47" s="353">
        <f>K43-K46</f>
        <v>93.864800000000002</v>
      </c>
      <c r="L47" s="353">
        <f t="shared" si="8"/>
        <v>93.864800000000002</v>
      </c>
      <c r="M47" s="353"/>
      <c r="N47" s="353">
        <f>N43-N46</f>
        <v>80.455500000000001</v>
      </c>
      <c r="O47" s="353">
        <f t="shared" si="9"/>
        <v>80.455500000000001</v>
      </c>
      <c r="P47" s="353"/>
      <c r="Q47" s="353">
        <f>Q43-Q46</f>
        <v>67.046199999999999</v>
      </c>
      <c r="R47" s="353"/>
      <c r="S47" s="353">
        <f>S43-S46</f>
        <v>53.636899999999997</v>
      </c>
      <c r="T47" s="428"/>
      <c r="U47" s="24"/>
    </row>
    <row r="48" spans="2:21" x14ac:dyDescent="0.3">
      <c r="B48" s="69">
        <f t="shared" si="11"/>
        <v>2.6000000000000005</v>
      </c>
      <c r="C48" s="27" t="s">
        <v>445</v>
      </c>
      <c r="D48" s="547"/>
      <c r="E48" s="547">
        <f>AVERAGE(E43,E47)</f>
        <v>127.38795</v>
      </c>
      <c r="F48" s="547">
        <f t="shared" si="6"/>
        <v>127.38795</v>
      </c>
      <c r="G48" s="547"/>
      <c r="H48" s="547">
        <f>AVERAGE(H43,H47)</f>
        <v>113.97875000000001</v>
      </c>
      <c r="I48" s="353">
        <f t="shared" si="7"/>
        <v>113.97875000000001</v>
      </c>
      <c r="J48" s="353"/>
      <c r="K48" s="353">
        <f>AVERAGE(K43,K47)</f>
        <v>100.56945</v>
      </c>
      <c r="L48" s="353">
        <f t="shared" si="8"/>
        <v>100.56945</v>
      </c>
      <c r="M48" s="353"/>
      <c r="N48" s="353">
        <f>AVERAGE(N43,N47)</f>
        <v>87.160150000000002</v>
      </c>
      <c r="O48" s="353">
        <f t="shared" si="9"/>
        <v>87.160150000000002</v>
      </c>
      <c r="P48" s="353"/>
      <c r="Q48" s="353">
        <f>AVERAGE(Q43,Q47)</f>
        <v>73.75085</v>
      </c>
      <c r="R48" s="353"/>
      <c r="S48" s="353">
        <f>AVERAGE(S43,S47)</f>
        <v>60.341549999999998</v>
      </c>
      <c r="T48" s="428"/>
      <c r="U48" s="24"/>
    </row>
    <row r="49" spans="2:21" x14ac:dyDescent="0.3">
      <c r="B49" s="69">
        <f t="shared" si="11"/>
        <v>2.7000000000000006</v>
      </c>
      <c r="C49" s="27" t="s">
        <v>44</v>
      </c>
      <c r="D49" s="547"/>
      <c r="E49" s="556">
        <v>0.1075</v>
      </c>
      <c r="F49" s="556">
        <f t="shared" si="6"/>
        <v>0.1075</v>
      </c>
      <c r="G49" s="560"/>
      <c r="H49" s="556">
        <v>0.1075</v>
      </c>
      <c r="I49" s="459">
        <f t="shared" si="7"/>
        <v>0.1075</v>
      </c>
      <c r="J49" s="353"/>
      <c r="K49" s="459">
        <v>0.1008</v>
      </c>
      <c r="L49" s="353">
        <f t="shared" si="8"/>
        <v>0.1008</v>
      </c>
      <c r="M49" s="353"/>
      <c r="N49" s="459">
        <f>K49</f>
        <v>0.1008</v>
      </c>
      <c r="O49" s="353">
        <f t="shared" si="9"/>
        <v>0.1008</v>
      </c>
      <c r="P49" s="353"/>
      <c r="Q49" s="459">
        <f>N49</f>
        <v>0.1008</v>
      </c>
      <c r="R49" s="353"/>
      <c r="S49" s="459">
        <f>Q49</f>
        <v>0.1008</v>
      </c>
      <c r="T49" s="428"/>
      <c r="U49" s="24"/>
    </row>
    <row r="50" spans="2:21" x14ac:dyDescent="0.3">
      <c r="B50" s="69">
        <f t="shared" si="11"/>
        <v>2.8000000000000007</v>
      </c>
      <c r="C50" s="27" t="s">
        <v>45</v>
      </c>
      <c r="D50" s="547"/>
      <c r="E50" s="547">
        <v>13.6172</v>
      </c>
      <c r="F50" s="547">
        <f t="shared" si="6"/>
        <v>13.6172</v>
      </c>
      <c r="G50" s="547"/>
      <c r="H50" s="353">
        <v>12.1165</v>
      </c>
      <c r="I50" s="353">
        <f t="shared" si="7"/>
        <v>12.1165</v>
      </c>
      <c r="J50" s="353"/>
      <c r="K50" s="353">
        <v>10.28</v>
      </c>
      <c r="L50" s="353">
        <f t="shared" si="8"/>
        <v>10.28</v>
      </c>
      <c r="M50" s="353"/>
      <c r="N50" s="353">
        <f>N48*N49</f>
        <v>8.7857431199999994</v>
      </c>
      <c r="O50" s="353">
        <f t="shared" si="9"/>
        <v>8.7857431199999994</v>
      </c>
      <c r="P50" s="353"/>
      <c r="Q50" s="353">
        <f>Q48*Q49</f>
        <v>7.4340856799999999</v>
      </c>
      <c r="R50" s="353"/>
      <c r="S50" s="353">
        <f>S48*S49</f>
        <v>6.0824282399999996</v>
      </c>
      <c r="T50" s="428"/>
      <c r="U50" s="24"/>
    </row>
    <row r="51" spans="2:21" x14ac:dyDescent="0.3">
      <c r="B51" s="69"/>
      <c r="C51" s="27"/>
      <c r="D51" s="547"/>
      <c r="E51" s="547"/>
      <c r="F51" s="547"/>
      <c r="G51" s="547"/>
      <c r="H51" s="353"/>
      <c r="I51" s="353">
        <f t="shared" si="7"/>
        <v>0</v>
      </c>
      <c r="J51" s="353"/>
      <c r="K51" s="353"/>
      <c r="L51" s="353">
        <f t="shared" si="8"/>
        <v>0</v>
      </c>
      <c r="M51" s="353"/>
      <c r="N51" s="353"/>
      <c r="O51" s="353">
        <f t="shared" si="9"/>
        <v>0</v>
      </c>
      <c r="P51" s="353"/>
      <c r="Q51" s="353"/>
      <c r="R51" s="353"/>
      <c r="S51" s="353"/>
      <c r="T51" s="428"/>
      <c r="U51" s="24"/>
    </row>
    <row r="52" spans="2:21" x14ac:dyDescent="0.3">
      <c r="B52" s="70">
        <v>3</v>
      </c>
      <c r="C52" s="26" t="s">
        <v>1388</v>
      </c>
      <c r="D52" s="547"/>
      <c r="E52" s="547"/>
      <c r="F52" s="547"/>
      <c r="G52" s="547"/>
      <c r="H52" s="353"/>
      <c r="I52" s="353">
        <f t="shared" si="7"/>
        <v>0</v>
      </c>
      <c r="J52" s="353"/>
      <c r="K52" s="353"/>
      <c r="L52" s="353">
        <f t="shared" si="8"/>
        <v>0</v>
      </c>
      <c r="M52" s="353"/>
      <c r="N52" s="353"/>
      <c r="O52" s="353">
        <f t="shared" si="9"/>
        <v>0</v>
      </c>
      <c r="P52" s="353"/>
      <c r="Q52" s="353"/>
      <c r="R52" s="353"/>
      <c r="S52" s="353"/>
      <c r="T52" s="428"/>
      <c r="U52" s="24"/>
    </row>
    <row r="53" spans="2:21" x14ac:dyDescent="0.3">
      <c r="B53" s="69">
        <f t="shared" ref="B53:B59" si="12">B52+0.1</f>
        <v>3.1</v>
      </c>
      <c r="C53" s="27" t="s">
        <v>41</v>
      </c>
      <c r="D53" s="547"/>
      <c r="E53" s="547">
        <v>105.9808</v>
      </c>
      <c r="F53" s="547">
        <f t="shared" si="6"/>
        <v>105.9808</v>
      </c>
      <c r="G53" s="547"/>
      <c r="H53" s="353">
        <v>95.3827</v>
      </c>
      <c r="I53" s="353">
        <f t="shared" si="7"/>
        <v>95.3827</v>
      </c>
      <c r="J53" s="353"/>
      <c r="K53" s="353">
        <f>H57</f>
        <v>84.784599999999998</v>
      </c>
      <c r="L53" s="353">
        <f t="shared" si="8"/>
        <v>84.784599999999998</v>
      </c>
      <c r="M53" s="353"/>
      <c r="N53" s="353">
        <f>K57</f>
        <v>74.186499999999995</v>
      </c>
      <c r="O53" s="353">
        <f t="shared" si="9"/>
        <v>74.186499999999995</v>
      </c>
      <c r="P53" s="353"/>
      <c r="Q53" s="353">
        <f>N57</f>
        <v>63.588399999999993</v>
      </c>
      <c r="R53" s="353"/>
      <c r="S53" s="353">
        <f>Q57</f>
        <v>52.990299999999991</v>
      </c>
      <c r="T53" s="428"/>
      <c r="U53" s="24"/>
    </row>
    <row r="54" spans="2:21" x14ac:dyDescent="0.3">
      <c r="B54" s="69">
        <f t="shared" si="12"/>
        <v>3.2</v>
      </c>
      <c r="C54" s="27" t="s">
        <v>245</v>
      </c>
      <c r="D54" s="547"/>
      <c r="E54" s="547"/>
      <c r="F54" s="547">
        <f t="shared" si="6"/>
        <v>0</v>
      </c>
      <c r="G54" s="547"/>
      <c r="H54" s="353"/>
      <c r="I54" s="353">
        <f t="shared" si="7"/>
        <v>0</v>
      </c>
      <c r="J54" s="353"/>
      <c r="K54" s="353">
        <v>0</v>
      </c>
      <c r="L54" s="353">
        <f t="shared" si="8"/>
        <v>0</v>
      </c>
      <c r="M54" s="353"/>
      <c r="N54" s="353">
        <v>0</v>
      </c>
      <c r="O54" s="353">
        <f t="shared" si="9"/>
        <v>0</v>
      </c>
      <c r="P54" s="353"/>
      <c r="Q54" s="353">
        <v>0</v>
      </c>
      <c r="R54" s="353"/>
      <c r="S54" s="353">
        <v>0</v>
      </c>
      <c r="T54" s="428"/>
      <c r="U54" s="24"/>
    </row>
    <row r="55" spans="2:21" x14ac:dyDescent="0.3">
      <c r="B55" s="69">
        <f t="shared" si="12"/>
        <v>3.3000000000000003</v>
      </c>
      <c r="C55" s="27" t="s">
        <v>189</v>
      </c>
      <c r="D55" s="547"/>
      <c r="E55" s="547">
        <v>0</v>
      </c>
      <c r="F55" s="547">
        <f t="shared" si="6"/>
        <v>0</v>
      </c>
      <c r="G55" s="547"/>
      <c r="H55" s="353">
        <v>0</v>
      </c>
      <c r="I55" s="353">
        <f t="shared" si="7"/>
        <v>0</v>
      </c>
      <c r="J55" s="353"/>
      <c r="K55" s="353">
        <v>0</v>
      </c>
      <c r="L55" s="353">
        <f t="shared" si="8"/>
        <v>0</v>
      </c>
      <c r="M55" s="353"/>
      <c r="N55" s="353">
        <v>0</v>
      </c>
      <c r="O55" s="353">
        <f t="shared" si="9"/>
        <v>0</v>
      </c>
      <c r="P55" s="353"/>
      <c r="Q55" s="353">
        <v>0</v>
      </c>
      <c r="R55" s="353"/>
      <c r="S55" s="353">
        <v>0</v>
      </c>
      <c r="T55" s="428"/>
      <c r="U55" s="24"/>
    </row>
    <row r="56" spans="2:21" x14ac:dyDescent="0.3">
      <c r="B56" s="69">
        <f t="shared" si="12"/>
        <v>3.4000000000000004</v>
      </c>
      <c r="C56" s="27" t="s">
        <v>42</v>
      </c>
      <c r="D56" s="547"/>
      <c r="E56" s="547">
        <v>10.598099999999999</v>
      </c>
      <c r="F56" s="547">
        <f t="shared" si="6"/>
        <v>10.598099999999999</v>
      </c>
      <c r="G56" s="547"/>
      <c r="H56" s="353">
        <v>10.598099999999999</v>
      </c>
      <c r="I56" s="353">
        <f t="shared" si="7"/>
        <v>10.598099999999999</v>
      </c>
      <c r="J56" s="353"/>
      <c r="K56" s="353">
        <v>10.598099999999999</v>
      </c>
      <c r="L56" s="353">
        <f t="shared" si="8"/>
        <v>10.598099999999999</v>
      </c>
      <c r="M56" s="353"/>
      <c r="N56" s="353">
        <v>10.598099999999999</v>
      </c>
      <c r="O56" s="353">
        <f t="shared" si="9"/>
        <v>10.598099999999999</v>
      </c>
      <c r="P56" s="353"/>
      <c r="Q56" s="353">
        <f>N56</f>
        <v>10.598099999999999</v>
      </c>
      <c r="R56" s="353"/>
      <c r="S56" s="353">
        <f>Q56</f>
        <v>10.598099999999999</v>
      </c>
      <c r="T56" s="428"/>
      <c r="U56" s="24"/>
    </row>
    <row r="57" spans="2:21" x14ac:dyDescent="0.3">
      <c r="B57" s="69">
        <f t="shared" si="12"/>
        <v>3.5000000000000004</v>
      </c>
      <c r="C57" s="27" t="s">
        <v>43</v>
      </c>
      <c r="D57" s="547"/>
      <c r="E57" s="547">
        <f>E53-E56</f>
        <v>95.3827</v>
      </c>
      <c r="F57" s="547">
        <f t="shared" si="6"/>
        <v>95.3827</v>
      </c>
      <c r="G57" s="547"/>
      <c r="H57" s="353">
        <f>H53-H56</f>
        <v>84.784599999999998</v>
      </c>
      <c r="I57" s="353">
        <f t="shared" si="7"/>
        <v>84.784599999999998</v>
      </c>
      <c r="J57" s="353"/>
      <c r="K57" s="353">
        <f>K53-K56</f>
        <v>74.186499999999995</v>
      </c>
      <c r="L57" s="353">
        <f t="shared" si="8"/>
        <v>74.186499999999995</v>
      </c>
      <c r="M57" s="353"/>
      <c r="N57" s="353">
        <f>N53-N56</f>
        <v>63.588399999999993</v>
      </c>
      <c r="O57" s="353">
        <f t="shared" si="9"/>
        <v>63.588399999999993</v>
      </c>
      <c r="P57" s="353"/>
      <c r="Q57" s="353">
        <f>Q53-Q56</f>
        <v>52.990299999999991</v>
      </c>
      <c r="R57" s="353"/>
      <c r="S57" s="353">
        <f>S53-S56</f>
        <v>42.392199999999988</v>
      </c>
      <c r="T57" s="428"/>
      <c r="U57" s="24"/>
    </row>
    <row r="58" spans="2:21" x14ac:dyDescent="0.3">
      <c r="B58" s="69">
        <f t="shared" si="12"/>
        <v>3.6000000000000005</v>
      </c>
      <c r="C58" s="27" t="s">
        <v>445</v>
      </c>
      <c r="D58" s="547"/>
      <c r="E58" s="547">
        <f>AVERAGE(E53,E57)</f>
        <v>100.68174999999999</v>
      </c>
      <c r="F58" s="547">
        <f t="shared" si="6"/>
        <v>100.68174999999999</v>
      </c>
      <c r="G58" s="547"/>
      <c r="H58" s="547">
        <f>AVERAGE(H53,H57)</f>
        <v>90.083650000000006</v>
      </c>
      <c r="I58" s="353">
        <f t="shared" si="7"/>
        <v>90.083650000000006</v>
      </c>
      <c r="J58" s="353"/>
      <c r="K58" s="353">
        <f>AVERAGE(K53,K57)</f>
        <v>79.485549999999989</v>
      </c>
      <c r="L58" s="353">
        <f t="shared" si="8"/>
        <v>79.485549999999989</v>
      </c>
      <c r="M58" s="353"/>
      <c r="N58" s="353">
        <f>AVERAGE(N53,N57)</f>
        <v>68.887450000000001</v>
      </c>
      <c r="O58" s="353">
        <f t="shared" si="9"/>
        <v>68.887450000000001</v>
      </c>
      <c r="P58" s="353"/>
      <c r="Q58" s="353">
        <f>AVERAGE(Q53,Q57)</f>
        <v>58.289349999999992</v>
      </c>
      <c r="R58" s="353"/>
      <c r="S58" s="353">
        <f>AVERAGE(S53,S57)</f>
        <v>47.691249999999989</v>
      </c>
      <c r="T58" s="428"/>
      <c r="U58" s="24"/>
    </row>
    <row r="59" spans="2:21" x14ac:dyDescent="0.3">
      <c r="B59" s="69">
        <f t="shared" si="12"/>
        <v>3.7000000000000006</v>
      </c>
      <c r="C59" s="27" t="s">
        <v>44</v>
      </c>
      <c r="D59" s="547"/>
      <c r="E59" s="556">
        <v>0.1075</v>
      </c>
      <c r="F59" s="556">
        <f t="shared" si="6"/>
        <v>0.1075</v>
      </c>
      <c r="G59" s="547"/>
      <c r="H59" s="459">
        <v>0.1075</v>
      </c>
      <c r="I59" s="459">
        <f t="shared" si="7"/>
        <v>0.1075</v>
      </c>
      <c r="J59" s="353"/>
      <c r="K59" s="459">
        <v>0.1075</v>
      </c>
      <c r="L59" s="459">
        <f t="shared" si="8"/>
        <v>0.1075</v>
      </c>
      <c r="M59" s="459"/>
      <c r="N59" s="459">
        <v>0.1075</v>
      </c>
      <c r="O59" s="459">
        <f t="shared" si="9"/>
        <v>0.1075</v>
      </c>
      <c r="P59" s="459"/>
      <c r="Q59" s="459">
        <f>N59</f>
        <v>0.1075</v>
      </c>
      <c r="R59" s="459"/>
      <c r="S59" s="459">
        <f>Q59</f>
        <v>0.1075</v>
      </c>
      <c r="T59" s="428"/>
      <c r="U59" s="24"/>
    </row>
    <row r="60" spans="2:21" x14ac:dyDescent="0.3">
      <c r="B60" s="69"/>
      <c r="C60" s="27" t="s">
        <v>45</v>
      </c>
      <c r="D60" s="547"/>
      <c r="E60" s="547">
        <v>10.7624</v>
      </c>
      <c r="F60" s="547">
        <f t="shared" si="6"/>
        <v>10.7624</v>
      </c>
      <c r="G60" s="547"/>
      <c r="H60" s="353">
        <v>9.5762999999999998</v>
      </c>
      <c r="I60" s="353">
        <f t="shared" si="7"/>
        <v>9.5762999999999998</v>
      </c>
      <c r="J60" s="353"/>
      <c r="K60" s="353">
        <v>8.4370000000000012</v>
      </c>
      <c r="L60" s="353">
        <f t="shared" si="8"/>
        <v>8.4370000000000012</v>
      </c>
      <c r="M60" s="353"/>
      <c r="N60" s="353">
        <f>N58*N59</f>
        <v>7.4054008749999998</v>
      </c>
      <c r="O60" s="353"/>
      <c r="P60" s="353"/>
      <c r="Q60" s="353">
        <f>Q58*Q59</f>
        <v>6.2661051249999993</v>
      </c>
      <c r="R60" s="353"/>
      <c r="S60" s="353">
        <f>S58*S59</f>
        <v>5.1268093749999988</v>
      </c>
      <c r="T60" s="428"/>
      <c r="U60" s="24"/>
    </row>
    <row r="61" spans="2:21" x14ac:dyDescent="0.3">
      <c r="B61" s="69"/>
      <c r="C61" s="27"/>
      <c r="D61" s="547"/>
      <c r="E61" s="547"/>
      <c r="F61" s="547"/>
      <c r="G61" s="547"/>
      <c r="H61" s="353"/>
      <c r="I61" s="353">
        <f t="shared" si="7"/>
        <v>0</v>
      </c>
      <c r="J61" s="353"/>
      <c r="K61" s="353"/>
      <c r="L61" s="353">
        <f t="shared" si="8"/>
        <v>0</v>
      </c>
      <c r="M61" s="353"/>
      <c r="N61" s="353"/>
      <c r="O61" s="353">
        <f t="shared" si="9"/>
        <v>0</v>
      </c>
      <c r="P61" s="353"/>
      <c r="Q61" s="353"/>
      <c r="R61" s="353"/>
      <c r="S61" s="353"/>
      <c r="T61" s="428"/>
      <c r="U61" s="24"/>
    </row>
    <row r="62" spans="2:21" x14ac:dyDescent="0.3">
      <c r="B62" s="70">
        <v>4</v>
      </c>
      <c r="C62" s="26" t="s">
        <v>1389</v>
      </c>
      <c r="D62" s="547"/>
      <c r="E62" s="547"/>
      <c r="F62" s="547"/>
      <c r="G62" s="547"/>
      <c r="H62" s="353"/>
      <c r="I62" s="353">
        <f t="shared" si="7"/>
        <v>0</v>
      </c>
      <c r="J62" s="353"/>
      <c r="K62" s="353"/>
      <c r="L62" s="353">
        <f t="shared" si="8"/>
        <v>0</v>
      </c>
      <c r="M62" s="353"/>
      <c r="N62" s="353"/>
      <c r="O62" s="353">
        <f t="shared" si="9"/>
        <v>0</v>
      </c>
      <c r="P62" s="353"/>
      <c r="Q62" s="353"/>
      <c r="R62" s="353"/>
      <c r="S62" s="353"/>
      <c r="T62" s="428"/>
      <c r="U62" s="24"/>
    </row>
    <row r="63" spans="2:21" x14ac:dyDescent="0.3">
      <c r="B63" s="69">
        <f t="shared" ref="B63:B69" si="13">B62+0.1</f>
        <v>4.0999999999999996</v>
      </c>
      <c r="C63" s="27" t="s">
        <v>41</v>
      </c>
      <c r="D63" s="547"/>
      <c r="E63" s="547">
        <v>80.881299999999996</v>
      </c>
      <c r="F63" s="547">
        <f t="shared" si="6"/>
        <v>80.881299999999996</v>
      </c>
      <c r="G63" s="547"/>
      <c r="H63" s="353">
        <v>72.793199999999999</v>
      </c>
      <c r="I63" s="353">
        <f t="shared" si="7"/>
        <v>72.793199999999999</v>
      </c>
      <c r="J63" s="353"/>
      <c r="K63" s="353">
        <f>H67</f>
        <v>64.705100000000002</v>
      </c>
      <c r="L63" s="353">
        <f t="shared" si="8"/>
        <v>64.705100000000002</v>
      </c>
      <c r="M63" s="353"/>
      <c r="N63" s="353">
        <f>K67</f>
        <v>56.617000000000004</v>
      </c>
      <c r="O63" s="353">
        <f t="shared" si="9"/>
        <v>56.617000000000004</v>
      </c>
      <c r="P63" s="353"/>
      <c r="Q63" s="353">
        <f>N67</f>
        <v>48.528900000000007</v>
      </c>
      <c r="R63" s="353"/>
      <c r="S63" s="353">
        <f>Q67</f>
        <v>40.44080000000001</v>
      </c>
      <c r="T63" s="428"/>
      <c r="U63" s="24"/>
    </row>
    <row r="64" spans="2:21" x14ac:dyDescent="0.3">
      <c r="B64" s="69">
        <f t="shared" si="13"/>
        <v>4.1999999999999993</v>
      </c>
      <c r="C64" s="27" t="s">
        <v>245</v>
      </c>
      <c r="D64" s="547"/>
      <c r="E64" s="547"/>
      <c r="F64" s="547">
        <f t="shared" si="6"/>
        <v>0</v>
      </c>
      <c r="G64" s="547"/>
      <c r="H64" s="353"/>
      <c r="I64" s="353">
        <f t="shared" si="7"/>
        <v>0</v>
      </c>
      <c r="J64" s="353"/>
      <c r="K64" s="353">
        <v>0</v>
      </c>
      <c r="L64" s="353">
        <f t="shared" si="8"/>
        <v>0</v>
      </c>
      <c r="M64" s="353"/>
      <c r="N64" s="353">
        <v>0</v>
      </c>
      <c r="O64" s="353">
        <f t="shared" si="9"/>
        <v>0</v>
      </c>
      <c r="P64" s="353"/>
      <c r="Q64" s="353">
        <v>0</v>
      </c>
      <c r="R64" s="353"/>
      <c r="S64" s="353">
        <v>0</v>
      </c>
      <c r="T64" s="428"/>
      <c r="U64" s="24"/>
    </row>
    <row r="65" spans="2:21" x14ac:dyDescent="0.3">
      <c r="B65" s="69">
        <f t="shared" si="13"/>
        <v>4.2999999999999989</v>
      </c>
      <c r="C65" s="27" t="s">
        <v>189</v>
      </c>
      <c r="D65" s="547"/>
      <c r="E65" s="547">
        <v>0</v>
      </c>
      <c r="F65" s="547">
        <f t="shared" si="6"/>
        <v>0</v>
      </c>
      <c r="G65" s="547"/>
      <c r="H65" s="353">
        <v>0</v>
      </c>
      <c r="I65" s="353">
        <f t="shared" si="7"/>
        <v>0</v>
      </c>
      <c r="J65" s="353"/>
      <c r="K65" s="353">
        <v>0</v>
      </c>
      <c r="L65" s="353">
        <f t="shared" si="8"/>
        <v>0</v>
      </c>
      <c r="M65" s="353"/>
      <c r="N65" s="353">
        <v>0</v>
      </c>
      <c r="O65" s="353">
        <f t="shared" si="9"/>
        <v>0</v>
      </c>
      <c r="P65" s="353"/>
      <c r="Q65" s="353">
        <v>0</v>
      </c>
      <c r="R65" s="353"/>
      <c r="S65" s="353">
        <v>0</v>
      </c>
      <c r="T65" s="428"/>
      <c r="U65" s="24"/>
    </row>
    <row r="66" spans="2:21" x14ac:dyDescent="0.3">
      <c r="B66" s="69">
        <f t="shared" si="13"/>
        <v>4.3999999999999986</v>
      </c>
      <c r="C66" s="27" t="s">
        <v>42</v>
      </c>
      <c r="D66" s="547"/>
      <c r="E66" s="547">
        <v>8.088099999999999</v>
      </c>
      <c r="F66" s="547">
        <f t="shared" si="6"/>
        <v>8.088099999999999</v>
      </c>
      <c r="G66" s="547"/>
      <c r="H66" s="353">
        <v>8.088099999999999</v>
      </c>
      <c r="I66" s="353">
        <f t="shared" si="7"/>
        <v>8.088099999999999</v>
      </c>
      <c r="J66" s="353"/>
      <c r="K66" s="353">
        <v>8.088099999999999</v>
      </c>
      <c r="L66" s="353">
        <f t="shared" si="8"/>
        <v>8.088099999999999</v>
      </c>
      <c r="M66" s="353"/>
      <c r="N66" s="353">
        <f>K66</f>
        <v>8.088099999999999</v>
      </c>
      <c r="O66" s="353">
        <f t="shared" si="9"/>
        <v>8.088099999999999</v>
      </c>
      <c r="P66" s="353"/>
      <c r="Q66" s="353">
        <f>N66</f>
        <v>8.088099999999999</v>
      </c>
      <c r="R66" s="353"/>
      <c r="S66" s="353">
        <f>Q66</f>
        <v>8.088099999999999</v>
      </c>
      <c r="T66" s="428"/>
      <c r="U66" s="24"/>
    </row>
    <row r="67" spans="2:21" x14ac:dyDescent="0.3">
      <c r="B67" s="69">
        <f t="shared" si="13"/>
        <v>4.4999999999999982</v>
      </c>
      <c r="C67" s="27" t="s">
        <v>43</v>
      </c>
      <c r="D67" s="547"/>
      <c r="E67" s="547">
        <f>E63-E66</f>
        <v>72.793199999999999</v>
      </c>
      <c r="F67" s="547">
        <f t="shared" si="6"/>
        <v>72.793199999999999</v>
      </c>
      <c r="G67" s="547"/>
      <c r="H67" s="547">
        <f>H63-H66</f>
        <v>64.705100000000002</v>
      </c>
      <c r="I67" s="353">
        <f t="shared" si="7"/>
        <v>64.705100000000002</v>
      </c>
      <c r="J67" s="353"/>
      <c r="K67" s="353">
        <f>K63-K66</f>
        <v>56.617000000000004</v>
      </c>
      <c r="L67" s="353">
        <f t="shared" si="8"/>
        <v>56.617000000000004</v>
      </c>
      <c r="M67" s="353"/>
      <c r="N67" s="353">
        <f>N63-N66</f>
        <v>48.528900000000007</v>
      </c>
      <c r="O67" s="353">
        <f t="shared" si="9"/>
        <v>48.528900000000007</v>
      </c>
      <c r="P67" s="353"/>
      <c r="Q67" s="353">
        <f>Q63-Q66</f>
        <v>40.44080000000001</v>
      </c>
      <c r="R67" s="353"/>
      <c r="S67" s="353">
        <f>S63-S66</f>
        <v>32.352700000000013</v>
      </c>
      <c r="T67" s="428"/>
      <c r="U67" s="24"/>
    </row>
    <row r="68" spans="2:21" x14ac:dyDescent="0.3">
      <c r="B68" s="69">
        <f t="shared" si="13"/>
        <v>4.5999999999999979</v>
      </c>
      <c r="C68" s="27" t="s">
        <v>445</v>
      </c>
      <c r="D68" s="547"/>
      <c r="E68" s="547">
        <f>AVERAGE(E63,E67)</f>
        <v>76.837249999999997</v>
      </c>
      <c r="F68" s="547">
        <f t="shared" si="6"/>
        <v>76.837249999999997</v>
      </c>
      <c r="G68" s="547"/>
      <c r="H68" s="547">
        <f>AVERAGE(H63,H67)</f>
        <v>68.74915</v>
      </c>
      <c r="I68" s="353">
        <f t="shared" si="7"/>
        <v>68.74915</v>
      </c>
      <c r="J68" s="353"/>
      <c r="K68" s="353">
        <f>AVERAGE(K67,K63)</f>
        <v>60.661050000000003</v>
      </c>
      <c r="L68" s="353">
        <f t="shared" si="8"/>
        <v>60.661050000000003</v>
      </c>
      <c r="M68" s="353"/>
      <c r="N68" s="353">
        <f>AVERAGE(N67,N63)</f>
        <v>52.572950000000006</v>
      </c>
      <c r="O68" s="353">
        <f t="shared" si="9"/>
        <v>52.572950000000006</v>
      </c>
      <c r="P68" s="353"/>
      <c r="Q68" s="353">
        <f>AVERAGE(Q67,Q63)</f>
        <v>44.484850000000009</v>
      </c>
      <c r="R68" s="353"/>
      <c r="S68" s="353">
        <f>AVERAGE(S67,S63)</f>
        <v>36.396750000000011</v>
      </c>
      <c r="T68" s="428"/>
      <c r="U68" s="24"/>
    </row>
    <row r="69" spans="2:21" x14ac:dyDescent="0.3">
      <c r="B69" s="69">
        <f t="shared" si="13"/>
        <v>4.6999999999999975</v>
      </c>
      <c r="C69" s="27" t="s">
        <v>44</v>
      </c>
      <c r="D69" s="547"/>
      <c r="E69" s="556">
        <v>0.105</v>
      </c>
      <c r="F69" s="556">
        <f t="shared" si="6"/>
        <v>0.105</v>
      </c>
      <c r="G69" s="547"/>
      <c r="H69" s="809">
        <v>0.105</v>
      </c>
      <c r="I69" s="353">
        <f t="shared" si="7"/>
        <v>0.105</v>
      </c>
      <c r="J69" s="353"/>
      <c r="K69" s="459">
        <v>0.105</v>
      </c>
      <c r="L69" s="459">
        <f t="shared" si="8"/>
        <v>0.105</v>
      </c>
      <c r="M69" s="459"/>
      <c r="N69" s="459">
        <f>K69</f>
        <v>0.105</v>
      </c>
      <c r="O69" s="459">
        <f t="shared" si="9"/>
        <v>0.105</v>
      </c>
      <c r="P69" s="459"/>
      <c r="Q69" s="459">
        <f>N69</f>
        <v>0.105</v>
      </c>
      <c r="R69" s="459"/>
      <c r="S69" s="459">
        <f>Q69</f>
        <v>0.105</v>
      </c>
      <c r="T69" s="428"/>
      <c r="U69" s="24"/>
    </row>
    <row r="70" spans="2:21" x14ac:dyDescent="0.3">
      <c r="B70" s="69"/>
      <c r="C70" s="27" t="s">
        <v>45</v>
      </c>
      <c r="D70" s="547"/>
      <c r="E70" s="547">
        <v>8.0225000000000009</v>
      </c>
      <c r="F70" s="547">
        <f t="shared" si="6"/>
        <v>8.0225000000000009</v>
      </c>
      <c r="G70" s="547"/>
      <c r="H70" s="353">
        <v>7.1384000000000007</v>
      </c>
      <c r="I70" s="353">
        <f t="shared" si="7"/>
        <v>7.1384000000000007</v>
      </c>
      <c r="J70" s="353"/>
      <c r="K70" s="353">
        <v>6.4348999999999998</v>
      </c>
      <c r="L70" s="353">
        <f t="shared" si="8"/>
        <v>6.4348999999999998</v>
      </c>
      <c r="M70" s="353"/>
      <c r="N70" s="353">
        <f>N68*N69</f>
        <v>5.5201597500000004</v>
      </c>
      <c r="O70" s="353"/>
      <c r="P70" s="353"/>
      <c r="Q70" s="353">
        <f>Q68*Q69</f>
        <v>4.6709092500000011</v>
      </c>
      <c r="R70" s="353"/>
      <c r="S70" s="353">
        <f>S68*S69</f>
        <v>3.821658750000001</v>
      </c>
      <c r="T70" s="428"/>
      <c r="U70" s="24"/>
    </row>
    <row r="71" spans="2:21" x14ac:dyDescent="0.3">
      <c r="B71" s="70">
        <v>5</v>
      </c>
      <c r="C71" s="26" t="s">
        <v>1390</v>
      </c>
      <c r="D71" s="547"/>
      <c r="E71" s="547"/>
      <c r="F71" s="547">
        <f t="shared" si="6"/>
        <v>0</v>
      </c>
      <c r="G71" s="547"/>
      <c r="H71" s="353"/>
      <c r="I71" s="353">
        <f t="shared" si="7"/>
        <v>0</v>
      </c>
      <c r="J71" s="353"/>
      <c r="K71" s="353"/>
      <c r="L71" s="353">
        <f t="shared" si="8"/>
        <v>0</v>
      </c>
      <c r="M71" s="353"/>
      <c r="N71" s="353"/>
      <c r="O71" s="353">
        <f t="shared" si="9"/>
        <v>0</v>
      </c>
      <c r="P71" s="353"/>
      <c r="Q71" s="353"/>
      <c r="R71" s="353"/>
      <c r="S71" s="353"/>
      <c r="T71" s="428"/>
      <c r="U71" s="24"/>
    </row>
    <row r="72" spans="2:21" x14ac:dyDescent="0.3">
      <c r="B72" s="69">
        <f t="shared" ref="B72:B78" si="14">B71+0.1</f>
        <v>5.0999999999999996</v>
      </c>
      <c r="C72" s="27" t="s">
        <v>41</v>
      </c>
      <c r="D72" s="547"/>
      <c r="E72" s="547">
        <v>74.363</v>
      </c>
      <c r="F72" s="547">
        <f t="shared" si="6"/>
        <v>74.363</v>
      </c>
      <c r="G72" s="547"/>
      <c r="H72" s="353">
        <v>66.926699999999997</v>
      </c>
      <c r="I72" s="353">
        <f t="shared" si="7"/>
        <v>66.926699999999997</v>
      </c>
      <c r="J72" s="353"/>
      <c r="K72" s="353">
        <f>H76</f>
        <v>59.490399999999994</v>
      </c>
      <c r="L72" s="353">
        <f t="shared" si="8"/>
        <v>59.490399999999994</v>
      </c>
      <c r="M72" s="353"/>
      <c r="N72" s="353">
        <f>K76</f>
        <v>52.054099999999991</v>
      </c>
      <c r="O72" s="353">
        <f t="shared" si="9"/>
        <v>52.054099999999991</v>
      </c>
      <c r="P72" s="353"/>
      <c r="Q72" s="353">
        <f>N76</f>
        <v>44.617799999999988</v>
      </c>
      <c r="R72" s="353"/>
      <c r="S72" s="353">
        <f>Q76</f>
        <v>37.181499999999986</v>
      </c>
      <c r="T72" s="428"/>
      <c r="U72" s="24"/>
    </row>
    <row r="73" spans="2:21" x14ac:dyDescent="0.3">
      <c r="B73" s="69">
        <f t="shared" si="14"/>
        <v>5.1999999999999993</v>
      </c>
      <c r="C73" s="27" t="s">
        <v>245</v>
      </c>
      <c r="D73" s="547"/>
      <c r="E73" s="547"/>
      <c r="F73" s="547">
        <f t="shared" si="6"/>
        <v>0</v>
      </c>
      <c r="G73" s="547"/>
      <c r="H73" s="353"/>
      <c r="I73" s="353">
        <f t="shared" si="7"/>
        <v>0</v>
      </c>
      <c r="J73" s="353"/>
      <c r="K73" s="353">
        <v>0</v>
      </c>
      <c r="L73" s="353">
        <f t="shared" si="8"/>
        <v>0</v>
      </c>
      <c r="M73" s="353"/>
      <c r="N73" s="353">
        <v>0</v>
      </c>
      <c r="O73" s="353">
        <f t="shared" si="9"/>
        <v>0</v>
      </c>
      <c r="P73" s="353"/>
      <c r="Q73" s="353">
        <v>0</v>
      </c>
      <c r="R73" s="353"/>
      <c r="S73" s="353">
        <v>0</v>
      </c>
      <c r="T73" s="428"/>
      <c r="U73" s="24"/>
    </row>
    <row r="74" spans="2:21" x14ac:dyDescent="0.3">
      <c r="B74" s="69">
        <f t="shared" si="14"/>
        <v>5.2999999999999989</v>
      </c>
      <c r="C74" s="27" t="s">
        <v>189</v>
      </c>
      <c r="D74" s="547"/>
      <c r="E74" s="547">
        <v>0</v>
      </c>
      <c r="F74" s="547">
        <f t="shared" si="6"/>
        <v>0</v>
      </c>
      <c r="G74" s="547"/>
      <c r="H74" s="353">
        <v>0</v>
      </c>
      <c r="I74" s="353">
        <f t="shared" si="7"/>
        <v>0</v>
      </c>
      <c r="J74" s="353"/>
      <c r="K74" s="353">
        <v>0</v>
      </c>
      <c r="L74" s="353">
        <f t="shared" si="8"/>
        <v>0</v>
      </c>
      <c r="M74" s="353"/>
      <c r="N74" s="353">
        <v>0</v>
      </c>
      <c r="O74" s="353">
        <f t="shared" si="9"/>
        <v>0</v>
      </c>
      <c r="P74" s="353"/>
      <c r="Q74" s="353">
        <v>0</v>
      </c>
      <c r="R74" s="353"/>
      <c r="S74" s="353">
        <v>0</v>
      </c>
      <c r="T74" s="428"/>
      <c r="U74" s="24"/>
    </row>
    <row r="75" spans="2:21" x14ac:dyDescent="0.3">
      <c r="B75" s="69">
        <f t="shared" si="14"/>
        <v>5.3999999999999986</v>
      </c>
      <c r="C75" s="27" t="s">
        <v>42</v>
      </c>
      <c r="D75" s="550"/>
      <c r="E75" s="547">
        <v>7.4363000000000001</v>
      </c>
      <c r="F75" s="547">
        <f t="shared" si="6"/>
        <v>7.4363000000000001</v>
      </c>
      <c r="G75" s="550"/>
      <c r="H75" s="353">
        <v>7.4363000000000001</v>
      </c>
      <c r="I75" s="353">
        <f t="shared" si="7"/>
        <v>7.4363000000000001</v>
      </c>
      <c r="J75" s="353"/>
      <c r="K75" s="353">
        <v>7.4363000000000001</v>
      </c>
      <c r="L75" s="353">
        <f t="shared" si="8"/>
        <v>7.4363000000000001</v>
      </c>
      <c r="M75" s="353"/>
      <c r="N75" s="353">
        <f>K75</f>
        <v>7.4363000000000001</v>
      </c>
      <c r="O75" s="353">
        <f t="shared" si="9"/>
        <v>7.4363000000000001</v>
      </c>
      <c r="P75" s="353"/>
      <c r="Q75" s="353">
        <f>N75</f>
        <v>7.4363000000000001</v>
      </c>
      <c r="R75" s="353"/>
      <c r="S75" s="353">
        <f>Q75</f>
        <v>7.4363000000000001</v>
      </c>
      <c r="T75" s="428"/>
      <c r="U75" s="24"/>
    </row>
    <row r="76" spans="2:21" x14ac:dyDescent="0.3">
      <c r="B76" s="69">
        <f t="shared" si="14"/>
        <v>5.4999999999999982</v>
      </c>
      <c r="C76" s="27" t="s">
        <v>43</v>
      </c>
      <c r="D76" s="547"/>
      <c r="E76" s="547">
        <f>E72+E74-E75</f>
        <v>66.926699999999997</v>
      </c>
      <c r="F76" s="547">
        <f t="shared" si="6"/>
        <v>66.926699999999997</v>
      </c>
      <c r="G76" s="547"/>
      <c r="H76" s="547">
        <f>H72+H74-H75</f>
        <v>59.490399999999994</v>
      </c>
      <c r="I76" s="353">
        <f t="shared" si="7"/>
        <v>59.490399999999994</v>
      </c>
      <c r="J76" s="353"/>
      <c r="K76" s="353">
        <f>K72-K75</f>
        <v>52.054099999999991</v>
      </c>
      <c r="L76" s="353">
        <f t="shared" si="8"/>
        <v>52.054099999999991</v>
      </c>
      <c r="M76" s="353"/>
      <c r="N76" s="353">
        <f>N72-N75</f>
        <v>44.617799999999988</v>
      </c>
      <c r="O76" s="353">
        <f t="shared" si="9"/>
        <v>44.617799999999988</v>
      </c>
      <c r="P76" s="353"/>
      <c r="Q76" s="353">
        <f>Q72-Q75</f>
        <v>37.181499999999986</v>
      </c>
      <c r="R76" s="353"/>
      <c r="S76" s="353">
        <f>S72-S75</f>
        <v>29.745199999999986</v>
      </c>
      <c r="T76" s="428"/>
      <c r="U76" s="24"/>
    </row>
    <row r="77" spans="2:21" x14ac:dyDescent="0.3">
      <c r="B77" s="69">
        <f t="shared" si="14"/>
        <v>5.5999999999999979</v>
      </c>
      <c r="C77" s="27" t="s">
        <v>445</v>
      </c>
      <c r="D77" s="547"/>
      <c r="E77" s="547">
        <f>AVERAGE(E72,E76)</f>
        <v>70.644849999999991</v>
      </c>
      <c r="F77" s="547">
        <f t="shared" si="6"/>
        <v>70.644849999999991</v>
      </c>
      <c r="G77" s="547"/>
      <c r="H77" s="547">
        <f>AVERAGE(H72,H76)</f>
        <v>63.208549999999995</v>
      </c>
      <c r="I77" s="353">
        <f t="shared" si="7"/>
        <v>63.208549999999995</v>
      </c>
      <c r="J77" s="353"/>
      <c r="K77" s="353">
        <f>AVERAGE(K72,K76)</f>
        <v>55.772249999999993</v>
      </c>
      <c r="L77" s="353">
        <f t="shared" si="8"/>
        <v>55.772249999999993</v>
      </c>
      <c r="M77" s="353"/>
      <c r="N77" s="353">
        <f>AVERAGE(N72,N76)</f>
        <v>48.33594999999999</v>
      </c>
      <c r="O77" s="353">
        <f t="shared" si="9"/>
        <v>48.33594999999999</v>
      </c>
      <c r="P77" s="353"/>
      <c r="Q77" s="353">
        <f>AVERAGE(Q72,Q76)</f>
        <v>40.899649999999987</v>
      </c>
      <c r="R77" s="353"/>
      <c r="S77" s="353">
        <f>AVERAGE(S72,S76)</f>
        <v>33.463349999999984</v>
      </c>
      <c r="T77" s="428"/>
      <c r="U77" s="24"/>
    </row>
    <row r="78" spans="2:21" x14ac:dyDescent="0.3">
      <c r="B78" s="69">
        <f t="shared" si="14"/>
        <v>5.6999999999999975</v>
      </c>
      <c r="C78" s="27" t="s">
        <v>44</v>
      </c>
      <c r="D78" s="547"/>
      <c r="E78" s="556">
        <v>0.1075</v>
      </c>
      <c r="F78" s="556">
        <f t="shared" si="6"/>
        <v>0.1075</v>
      </c>
      <c r="G78" s="547"/>
      <c r="H78" s="555">
        <v>0.1075</v>
      </c>
      <c r="I78" s="459">
        <f t="shared" si="7"/>
        <v>0.1075</v>
      </c>
      <c r="J78" s="353"/>
      <c r="K78" s="459">
        <v>0.1075</v>
      </c>
      <c r="L78" s="459">
        <f t="shared" si="8"/>
        <v>0.1075</v>
      </c>
      <c r="M78" s="459"/>
      <c r="N78" s="459">
        <f>K78</f>
        <v>0.1075</v>
      </c>
      <c r="O78" s="459">
        <f t="shared" si="9"/>
        <v>0.1075</v>
      </c>
      <c r="P78" s="459"/>
      <c r="Q78" s="459">
        <f>N78</f>
        <v>0.1075</v>
      </c>
      <c r="R78" s="459"/>
      <c r="S78" s="459">
        <f>Q78</f>
        <v>0.1075</v>
      </c>
      <c r="T78" s="428"/>
      <c r="U78" s="24"/>
    </row>
    <row r="79" spans="2:21" x14ac:dyDescent="0.3">
      <c r="B79" s="69"/>
      <c r="C79" s="27" t="s">
        <v>45</v>
      </c>
      <c r="D79" s="547"/>
      <c r="E79" s="547">
        <v>7.5515999999999996</v>
      </c>
      <c r="F79" s="547">
        <f t="shared" si="6"/>
        <v>7.5515999999999996</v>
      </c>
      <c r="G79" s="547"/>
      <c r="H79" s="353">
        <v>6.7194000000000003</v>
      </c>
      <c r="I79" s="353">
        <f t="shared" si="7"/>
        <v>6.7194000000000003</v>
      </c>
      <c r="J79" s="353"/>
      <c r="K79" s="353">
        <v>5.7851999999999997</v>
      </c>
      <c r="L79" s="353">
        <f t="shared" si="8"/>
        <v>5.7851999999999997</v>
      </c>
      <c r="M79" s="353"/>
      <c r="N79" s="353">
        <f>N77*N78</f>
        <v>5.196114624999999</v>
      </c>
      <c r="O79" s="353"/>
      <c r="P79" s="353"/>
      <c r="Q79" s="353">
        <f>Q77*Q78</f>
        <v>4.3967123749999981</v>
      </c>
      <c r="R79" s="353"/>
      <c r="S79" s="353">
        <f>S77*S78</f>
        <v>3.5973101249999981</v>
      </c>
      <c r="T79" s="428"/>
      <c r="U79" s="24"/>
    </row>
    <row r="80" spans="2:21" x14ac:dyDescent="0.3">
      <c r="B80" s="69"/>
      <c r="C80" s="27"/>
      <c r="D80" s="547"/>
      <c r="E80" s="547"/>
      <c r="F80" s="547"/>
      <c r="G80" s="547"/>
      <c r="H80" s="353"/>
      <c r="I80" s="353"/>
      <c r="J80" s="353"/>
      <c r="K80" s="353"/>
      <c r="L80" s="353"/>
      <c r="M80" s="353"/>
      <c r="N80" s="353"/>
      <c r="O80" s="353"/>
      <c r="P80" s="353"/>
      <c r="Q80" s="353"/>
      <c r="R80" s="353"/>
      <c r="S80" s="353"/>
      <c r="T80" s="428"/>
      <c r="U80" s="24"/>
    </row>
    <row r="81" spans="2:21" x14ac:dyDescent="0.3">
      <c r="B81" s="70">
        <v>6</v>
      </c>
      <c r="C81" s="26" t="s">
        <v>145</v>
      </c>
      <c r="D81" s="550"/>
      <c r="E81" s="550"/>
      <c r="F81" s="547">
        <f t="shared" si="6"/>
        <v>0</v>
      </c>
      <c r="G81" s="547"/>
      <c r="H81" s="353"/>
      <c r="I81" s="353">
        <f t="shared" si="7"/>
        <v>0</v>
      </c>
      <c r="J81" s="353"/>
      <c r="K81" s="353"/>
      <c r="L81" s="353">
        <f t="shared" si="8"/>
        <v>0</v>
      </c>
      <c r="M81" s="353"/>
      <c r="N81" s="353"/>
      <c r="O81" s="353">
        <f t="shared" si="9"/>
        <v>0</v>
      </c>
      <c r="P81" s="353"/>
      <c r="Q81" s="353"/>
      <c r="R81" s="353"/>
      <c r="S81" s="353"/>
      <c r="T81" s="428"/>
      <c r="U81" s="24"/>
    </row>
    <row r="82" spans="2:21" x14ac:dyDescent="0.3">
      <c r="B82" s="69">
        <f t="shared" ref="B82:B89" si="15">B81+0.1</f>
        <v>6.1</v>
      </c>
      <c r="C82" s="27" t="s">
        <v>41</v>
      </c>
      <c r="D82" s="547"/>
      <c r="E82" s="547">
        <f>E33+E43+E53+E63+E72</f>
        <v>408.72040000000004</v>
      </c>
      <c r="F82" s="547">
        <f t="shared" si="6"/>
        <v>408.72040000000004</v>
      </c>
      <c r="G82" s="547"/>
      <c r="H82" s="547">
        <f>H33+H43+H53+H63+H72</f>
        <v>366.97289999999998</v>
      </c>
      <c r="I82" s="353">
        <f t="shared" si="7"/>
        <v>366.97289999999998</v>
      </c>
      <c r="J82" s="353"/>
      <c r="K82" s="547">
        <f>K33+K43+K53+K63+K72</f>
        <v>325.22530000000006</v>
      </c>
      <c r="L82" s="353">
        <f t="shared" si="8"/>
        <v>325.22530000000006</v>
      </c>
      <c r="M82" s="353"/>
      <c r="N82" s="547">
        <f>N33+N43+N53+N63+N72</f>
        <v>283.47770000000003</v>
      </c>
      <c r="O82" s="353">
        <f t="shared" si="9"/>
        <v>283.47770000000003</v>
      </c>
      <c r="P82" s="353"/>
      <c r="Q82" s="547">
        <f>Q33+Q43+Q53+Q63+Q72</f>
        <v>241.73009999999999</v>
      </c>
      <c r="R82" s="353"/>
      <c r="S82" s="547">
        <f>S33+S43+S53+S63+S72</f>
        <v>199.98249999999996</v>
      </c>
      <c r="T82" s="428"/>
      <c r="U82" s="24"/>
    </row>
    <row r="83" spans="2:21" x14ac:dyDescent="0.3">
      <c r="B83" s="69">
        <f t="shared" si="15"/>
        <v>6.1999999999999993</v>
      </c>
      <c r="C83" s="27" t="s">
        <v>245</v>
      </c>
      <c r="D83" s="547"/>
      <c r="E83" s="547">
        <f t="shared" ref="E83:E89" si="16">E34+E44+E54+E64+E73</f>
        <v>0</v>
      </c>
      <c r="F83" s="547">
        <f t="shared" si="6"/>
        <v>0</v>
      </c>
      <c r="G83" s="547"/>
      <c r="H83" s="547">
        <f t="shared" ref="H83:H89" si="17">H34+H44+H54+H64+H73</f>
        <v>0</v>
      </c>
      <c r="I83" s="353">
        <f t="shared" si="7"/>
        <v>0</v>
      </c>
      <c r="J83" s="353"/>
      <c r="K83" s="547">
        <f t="shared" ref="K83:K89" si="18">K34+K44+K54+K64+K73</f>
        <v>0</v>
      </c>
      <c r="L83" s="353">
        <f t="shared" si="8"/>
        <v>0</v>
      </c>
      <c r="M83" s="353"/>
      <c r="N83" s="547">
        <f>N34+N44+N54+N64+N73</f>
        <v>0</v>
      </c>
      <c r="O83" s="353">
        <f t="shared" si="9"/>
        <v>0</v>
      </c>
      <c r="P83" s="353"/>
      <c r="Q83" s="547">
        <f>Q34+Q44+Q54+Q64+Q73</f>
        <v>0</v>
      </c>
      <c r="R83" s="353"/>
      <c r="S83" s="547">
        <f>S34+S44+S54+S64+S73</f>
        <v>0</v>
      </c>
      <c r="T83" s="428"/>
      <c r="U83" s="24"/>
    </row>
    <row r="84" spans="2:21" x14ac:dyDescent="0.3">
      <c r="B84" s="69">
        <f t="shared" si="15"/>
        <v>6.2999999999999989</v>
      </c>
      <c r="C84" s="27" t="s">
        <v>189</v>
      </c>
      <c r="D84" s="547"/>
      <c r="E84" s="547">
        <f t="shared" si="16"/>
        <v>0</v>
      </c>
      <c r="F84" s="547"/>
      <c r="G84" s="547"/>
      <c r="H84" s="547">
        <f t="shared" si="17"/>
        <v>0</v>
      </c>
      <c r="I84" s="353"/>
      <c r="J84" s="353"/>
      <c r="K84" s="547">
        <f t="shared" si="18"/>
        <v>0</v>
      </c>
      <c r="L84" s="353"/>
      <c r="M84" s="353"/>
      <c r="N84" s="547">
        <f>N35+N45+N55+N65+N74</f>
        <v>0</v>
      </c>
      <c r="O84" s="353"/>
      <c r="P84" s="353"/>
      <c r="Q84" s="547">
        <f>Q35+Q45+Q55+Q65+Q74</f>
        <v>0</v>
      </c>
      <c r="R84" s="353"/>
      <c r="S84" s="547">
        <f>S35+S45+S55+S65+S74</f>
        <v>0</v>
      </c>
      <c r="T84" s="428"/>
      <c r="U84" s="24"/>
    </row>
    <row r="85" spans="2:21" x14ac:dyDescent="0.3">
      <c r="B85" s="69">
        <f t="shared" si="15"/>
        <v>6.3999999999999986</v>
      </c>
      <c r="C85" s="27" t="s">
        <v>42</v>
      </c>
      <c r="D85" s="547"/>
      <c r="E85" s="547">
        <f t="shared" si="16"/>
        <v>41.747599999999998</v>
      </c>
      <c r="F85" s="547">
        <f t="shared" si="6"/>
        <v>41.747599999999998</v>
      </c>
      <c r="G85" s="547"/>
      <c r="H85" s="547">
        <f t="shared" si="17"/>
        <v>41.747599999999998</v>
      </c>
      <c r="I85" s="353">
        <f t="shared" si="7"/>
        <v>41.747599999999998</v>
      </c>
      <c r="J85" s="353"/>
      <c r="K85" s="547">
        <f t="shared" si="18"/>
        <v>41.747599999999998</v>
      </c>
      <c r="L85" s="353">
        <f t="shared" si="8"/>
        <v>41.747599999999998</v>
      </c>
      <c r="M85" s="353"/>
      <c r="N85" s="547">
        <f>N36+N46+N56+N66+N75</f>
        <v>41.747599999999998</v>
      </c>
      <c r="O85" s="353">
        <f t="shared" si="9"/>
        <v>41.747599999999998</v>
      </c>
      <c r="P85" s="353"/>
      <c r="Q85" s="547">
        <f>Q36+Q46+Q56+Q66+Q75</f>
        <v>41.747599999999998</v>
      </c>
      <c r="R85" s="353"/>
      <c r="S85" s="547">
        <f>S36+S46+S56+S66+S75</f>
        <v>41.747599999999998</v>
      </c>
      <c r="T85" s="428"/>
      <c r="U85" s="24"/>
    </row>
    <row r="86" spans="2:21" x14ac:dyDescent="0.3">
      <c r="B86" s="69">
        <f t="shared" si="15"/>
        <v>6.4999999999999982</v>
      </c>
      <c r="C86" s="27" t="s">
        <v>43</v>
      </c>
      <c r="D86" s="547"/>
      <c r="E86" s="547">
        <f>E82-E85</f>
        <v>366.97280000000006</v>
      </c>
      <c r="F86" s="547">
        <f t="shared" si="6"/>
        <v>366.97280000000006</v>
      </c>
      <c r="G86" s="547"/>
      <c r="H86" s="547">
        <f>H82-H85</f>
        <v>325.2253</v>
      </c>
      <c r="I86" s="353">
        <f t="shared" si="7"/>
        <v>325.2253</v>
      </c>
      <c r="J86" s="353"/>
      <c r="K86" s="547">
        <f>K82-K85</f>
        <v>283.47770000000008</v>
      </c>
      <c r="L86" s="353">
        <f t="shared" si="8"/>
        <v>283.47770000000008</v>
      </c>
      <c r="M86" s="353"/>
      <c r="N86" s="547">
        <f>N82-N85</f>
        <v>241.73010000000002</v>
      </c>
      <c r="O86" s="353">
        <f t="shared" si="9"/>
        <v>241.73010000000002</v>
      </c>
      <c r="P86" s="353"/>
      <c r="Q86" s="547">
        <f>Q82-Q85</f>
        <v>199.98249999999999</v>
      </c>
      <c r="R86" s="353"/>
      <c r="S86" s="547">
        <f>S82-S85</f>
        <v>158.23489999999995</v>
      </c>
      <c r="T86" s="428"/>
      <c r="U86" s="24"/>
    </row>
    <row r="87" spans="2:21" x14ac:dyDescent="0.3">
      <c r="B87" s="69">
        <f t="shared" si="15"/>
        <v>6.5999999999999979</v>
      </c>
      <c r="C87" s="27" t="s">
        <v>445</v>
      </c>
      <c r="D87" s="547"/>
      <c r="E87" s="547">
        <f>AVERAGE(E82,E86)</f>
        <v>387.84660000000008</v>
      </c>
      <c r="F87" s="547">
        <f t="shared" si="6"/>
        <v>387.84660000000008</v>
      </c>
      <c r="G87" s="547"/>
      <c r="H87" s="547">
        <f>AVERAGE(H82,H86)</f>
        <v>346.09910000000002</v>
      </c>
      <c r="I87" s="353">
        <f t="shared" si="7"/>
        <v>346.09910000000002</v>
      </c>
      <c r="J87" s="353"/>
      <c r="K87" s="547">
        <f>AVERAGE(K82,K86)</f>
        <v>304.3515000000001</v>
      </c>
      <c r="L87" s="353">
        <f t="shared" si="8"/>
        <v>304.3515000000001</v>
      </c>
      <c r="M87" s="353"/>
      <c r="N87" s="547">
        <f>AVERAGE(N82,N86)</f>
        <v>262.60390000000001</v>
      </c>
      <c r="O87" s="353">
        <f t="shared" si="9"/>
        <v>262.60390000000001</v>
      </c>
      <c r="P87" s="353"/>
      <c r="Q87" s="547">
        <f>AVERAGE(Q82,Q86)</f>
        <v>220.85629999999998</v>
      </c>
      <c r="R87" s="353"/>
      <c r="S87" s="547">
        <f>AVERAGE(S82,S86)</f>
        <v>179.10869999999994</v>
      </c>
      <c r="T87" s="428"/>
      <c r="U87" s="24"/>
    </row>
    <row r="88" spans="2:21" x14ac:dyDescent="0.3">
      <c r="B88" s="69">
        <f t="shared" si="15"/>
        <v>6.6999999999999975</v>
      </c>
      <c r="C88" s="27" t="s">
        <v>44</v>
      </c>
      <c r="D88" s="547"/>
      <c r="E88" s="556">
        <f>E89/E87</f>
        <v>0.10631780709177285</v>
      </c>
      <c r="F88" s="556">
        <f t="shared" si="6"/>
        <v>0.10631780709177285</v>
      </c>
      <c r="G88" s="547"/>
      <c r="H88" s="556">
        <f>H89/H87</f>
        <v>0.10576017100304506</v>
      </c>
      <c r="I88" s="459">
        <f t="shared" si="7"/>
        <v>0.10576017100304506</v>
      </c>
      <c r="J88" s="353"/>
      <c r="K88" s="556">
        <f>K89/K87</f>
        <v>0.1043582831035825</v>
      </c>
      <c r="L88" s="353">
        <f t="shared" si="8"/>
        <v>0.1043582831035825</v>
      </c>
      <c r="M88" s="353"/>
      <c r="N88" s="556">
        <f>N89/N87</f>
        <v>0.10493701491105045</v>
      </c>
      <c r="O88" s="353">
        <f t="shared" si="9"/>
        <v>0.10493701491105045</v>
      </c>
      <c r="P88" s="353"/>
      <c r="Q88" s="556">
        <f>Q89/Q87</f>
        <v>0.1048756428048464</v>
      </c>
      <c r="R88" s="353"/>
      <c r="S88" s="556">
        <f>S89/S87</f>
        <v>0.10400503431714932</v>
      </c>
      <c r="T88" s="428"/>
      <c r="U88" s="24"/>
    </row>
    <row r="89" spans="2:21" x14ac:dyDescent="0.3">
      <c r="B89" s="69">
        <f t="shared" si="15"/>
        <v>6.7999999999999972</v>
      </c>
      <c r="C89" s="27" t="s">
        <v>45</v>
      </c>
      <c r="D89" s="547"/>
      <c r="E89" s="547">
        <f t="shared" si="16"/>
        <v>41.234999999999999</v>
      </c>
      <c r="F89" s="547">
        <f t="shared" si="6"/>
        <v>41.234999999999999</v>
      </c>
      <c r="G89" s="547"/>
      <c r="H89" s="547">
        <f t="shared" si="17"/>
        <v>36.603499999999997</v>
      </c>
      <c r="I89" s="353">
        <f t="shared" si="7"/>
        <v>36.603499999999997</v>
      </c>
      <c r="J89" s="353"/>
      <c r="K89" s="547">
        <f t="shared" si="18"/>
        <v>31.761599999999998</v>
      </c>
      <c r="L89" s="353">
        <f t="shared" si="8"/>
        <v>31.761599999999998</v>
      </c>
      <c r="M89" s="353"/>
      <c r="N89" s="547">
        <f>N40+N50+N60+N70+N79</f>
        <v>27.556869370000001</v>
      </c>
      <c r="O89" s="353">
        <f t="shared" si="9"/>
        <v>27.556869370000001</v>
      </c>
      <c r="P89" s="353"/>
      <c r="Q89" s="547">
        <f>Q40+Q50+Q60+Q70+Q79</f>
        <v>23.162446429999996</v>
      </c>
      <c r="R89" s="353"/>
      <c r="S89" s="547">
        <f>S40+S50+S60+S70+S79</f>
        <v>18.628206489999997</v>
      </c>
      <c r="T89" s="428"/>
      <c r="U89" s="24"/>
    </row>
    <row r="90" spans="2:21" x14ac:dyDescent="0.3">
      <c r="B90" s="69"/>
      <c r="C90" s="27"/>
      <c r="D90" s="547"/>
      <c r="E90" s="547"/>
      <c r="F90" s="547">
        <f t="shared" si="6"/>
        <v>0</v>
      </c>
      <c r="G90" s="547"/>
      <c r="H90" s="353"/>
      <c r="I90" s="353">
        <f t="shared" si="7"/>
        <v>0</v>
      </c>
      <c r="J90" s="353"/>
      <c r="K90" s="353"/>
      <c r="L90" s="353">
        <f t="shared" si="8"/>
        <v>0</v>
      </c>
      <c r="M90" s="353"/>
      <c r="N90" s="353"/>
      <c r="O90" s="353">
        <f t="shared" si="9"/>
        <v>0</v>
      </c>
      <c r="P90" s="353"/>
      <c r="Q90" s="353"/>
      <c r="R90" s="353"/>
      <c r="S90" s="428"/>
      <c r="T90" s="428"/>
      <c r="U90" s="24"/>
    </row>
    <row r="91" spans="2:21" x14ac:dyDescent="0.3">
      <c r="B91" s="69"/>
      <c r="C91" s="27"/>
      <c r="D91" s="547"/>
      <c r="E91" s="547"/>
      <c r="F91" s="547">
        <f t="shared" si="6"/>
        <v>0</v>
      </c>
      <c r="G91" s="547"/>
      <c r="H91" s="353"/>
      <c r="I91" s="353">
        <f t="shared" si="7"/>
        <v>0</v>
      </c>
      <c r="J91" s="353"/>
      <c r="K91" s="353"/>
      <c r="L91" s="353">
        <f t="shared" si="8"/>
        <v>0</v>
      </c>
      <c r="M91" s="353"/>
      <c r="N91" s="353"/>
      <c r="O91" s="353">
        <f t="shared" si="9"/>
        <v>0</v>
      </c>
      <c r="P91" s="353"/>
      <c r="Q91" s="353"/>
      <c r="R91" s="353"/>
      <c r="S91" s="428"/>
      <c r="T91" s="428"/>
      <c r="U91" s="24"/>
    </row>
    <row r="92" spans="2:21" x14ac:dyDescent="0.3">
      <c r="B92" s="69">
        <v>9</v>
      </c>
      <c r="C92" s="26" t="s">
        <v>47</v>
      </c>
      <c r="D92" s="550"/>
      <c r="E92" s="550"/>
      <c r="F92" s="547">
        <f t="shared" si="6"/>
        <v>0</v>
      </c>
      <c r="G92" s="550"/>
      <c r="H92" s="353"/>
      <c r="I92" s="353">
        <f t="shared" si="7"/>
        <v>0</v>
      </c>
      <c r="J92" s="353"/>
      <c r="K92" s="354"/>
      <c r="L92" s="353">
        <f t="shared" si="8"/>
        <v>0</v>
      </c>
      <c r="M92" s="354"/>
      <c r="N92" s="354"/>
      <c r="O92" s="353">
        <f t="shared" si="9"/>
        <v>0</v>
      </c>
      <c r="P92" s="354"/>
      <c r="Q92" s="353"/>
      <c r="R92" s="353"/>
      <c r="S92" s="428"/>
      <c r="T92" s="428"/>
      <c r="U92" s="24"/>
    </row>
    <row r="93" spans="2:21" x14ac:dyDescent="0.3">
      <c r="B93" s="69">
        <v>10</v>
      </c>
      <c r="C93" s="11" t="s">
        <v>48</v>
      </c>
      <c r="D93" s="343"/>
      <c r="E93" s="343"/>
      <c r="F93" s="547">
        <f t="shared" si="6"/>
        <v>0</v>
      </c>
      <c r="G93" s="343"/>
      <c r="H93" s="353"/>
      <c r="I93" s="353">
        <f t="shared" si="7"/>
        <v>0</v>
      </c>
      <c r="J93" s="353"/>
      <c r="K93" s="353"/>
      <c r="L93" s="353">
        <f t="shared" si="8"/>
        <v>0</v>
      </c>
      <c r="M93" s="353"/>
      <c r="N93" s="353"/>
      <c r="O93" s="353">
        <f t="shared" si="9"/>
        <v>0</v>
      </c>
      <c r="P93" s="353"/>
      <c r="Q93" s="353"/>
      <c r="R93" s="353"/>
      <c r="S93" s="428"/>
      <c r="T93" s="428"/>
      <c r="U93" s="24"/>
    </row>
    <row r="94" spans="2:21" x14ac:dyDescent="0.3">
      <c r="B94" s="70">
        <v>11</v>
      </c>
      <c r="C94" s="28" t="s">
        <v>49</v>
      </c>
      <c r="D94" s="354"/>
      <c r="E94" s="354">
        <f>E89</f>
        <v>41.234999999999999</v>
      </c>
      <c r="F94" s="547">
        <f t="shared" si="6"/>
        <v>41.234999999999999</v>
      </c>
      <c r="G94" s="354"/>
      <c r="H94" s="354">
        <f>H89</f>
        <v>36.603499999999997</v>
      </c>
      <c r="I94" s="353">
        <f t="shared" si="7"/>
        <v>36.603499999999997</v>
      </c>
      <c r="J94" s="353"/>
      <c r="K94" s="354">
        <f>K89</f>
        <v>31.761599999999998</v>
      </c>
      <c r="L94" s="353">
        <f t="shared" si="8"/>
        <v>31.761599999999998</v>
      </c>
      <c r="M94" s="353"/>
      <c r="N94" s="354">
        <f>N89</f>
        <v>27.556869370000001</v>
      </c>
      <c r="O94" s="353">
        <f t="shared" si="9"/>
        <v>27.556869370000001</v>
      </c>
      <c r="P94" s="353"/>
      <c r="Q94" s="354">
        <f>Q89</f>
        <v>23.162446429999996</v>
      </c>
      <c r="R94" s="353"/>
      <c r="S94" s="354">
        <f>S89</f>
        <v>18.628206489999997</v>
      </c>
      <c r="T94" s="428"/>
      <c r="U94" s="24"/>
    </row>
    <row r="95" spans="2:21" x14ac:dyDescent="0.3">
      <c r="B95" s="69"/>
      <c r="C95" s="29"/>
      <c r="D95" s="551"/>
      <c r="E95" s="551"/>
      <c r="F95" s="547">
        <f t="shared" si="6"/>
        <v>0</v>
      </c>
      <c r="G95" s="551"/>
      <c r="H95" s="353"/>
      <c r="I95" s="353">
        <f t="shared" si="7"/>
        <v>0</v>
      </c>
      <c r="J95" s="353"/>
      <c r="K95" s="353"/>
      <c r="L95" s="353">
        <f t="shared" si="8"/>
        <v>0</v>
      </c>
      <c r="M95" s="353"/>
      <c r="N95" s="353"/>
      <c r="O95" s="353">
        <f t="shared" si="9"/>
        <v>0</v>
      </c>
      <c r="P95" s="353"/>
      <c r="Q95" s="353"/>
      <c r="R95" s="353"/>
      <c r="S95" s="428"/>
      <c r="T95" s="428"/>
      <c r="U95" s="24"/>
    </row>
    <row r="96" spans="2:21" x14ac:dyDescent="0.25">
      <c r="B96" s="206"/>
      <c r="C96" s="219"/>
      <c r="D96" s="552"/>
      <c r="E96" s="552"/>
      <c r="F96" s="552"/>
      <c r="G96" s="552"/>
      <c r="H96" s="496"/>
      <c r="I96" s="496"/>
      <c r="J96" s="496"/>
      <c r="K96" s="496"/>
      <c r="L96" s="496"/>
      <c r="M96" s="496"/>
      <c r="N96" s="496"/>
      <c r="O96" s="496"/>
      <c r="P96" s="496"/>
      <c r="Q96" s="496"/>
      <c r="R96" s="496"/>
      <c r="S96" s="553"/>
      <c r="T96" s="553"/>
      <c r="U96" s="24"/>
    </row>
    <row r="97" spans="2:21" x14ac:dyDescent="0.25">
      <c r="B97" s="206"/>
      <c r="C97" s="2362" t="s">
        <v>854</v>
      </c>
      <c r="D97" s="2362"/>
      <c r="E97" s="2362"/>
      <c r="F97" s="2362"/>
      <c r="G97" s="2362"/>
      <c r="H97" s="496"/>
      <c r="I97" s="496"/>
      <c r="J97" s="496"/>
      <c r="K97" s="496"/>
      <c r="L97" s="496"/>
      <c r="M97" s="496"/>
      <c r="N97" s="496"/>
      <c r="O97" s="496"/>
      <c r="P97" s="496"/>
      <c r="Q97" s="496"/>
      <c r="R97" s="496"/>
      <c r="S97" s="553"/>
      <c r="T97" s="553"/>
      <c r="U97" s="24"/>
    </row>
    <row r="98" spans="2:21" x14ac:dyDescent="0.25">
      <c r="C98" s="15" t="s">
        <v>616</v>
      </c>
    </row>
    <row r="100" spans="2:21" x14ac:dyDescent="0.25">
      <c r="C100" s="172" t="s">
        <v>446</v>
      </c>
      <c r="D100" s="563"/>
      <c r="E100" s="563"/>
      <c r="F100" s="563"/>
      <c r="G100" s="563"/>
    </row>
    <row r="101" spans="2:21" x14ac:dyDescent="0.25">
      <c r="B101" s="15"/>
      <c r="R101" s="516" t="s">
        <v>16</v>
      </c>
    </row>
    <row r="102" spans="2:21" ht="15" customHeight="1" x14ac:dyDescent="0.25">
      <c r="B102" s="2180" t="s">
        <v>187</v>
      </c>
      <c r="C102" s="2180" t="s">
        <v>38</v>
      </c>
      <c r="D102" s="2263" t="s">
        <v>804</v>
      </c>
      <c r="E102" s="2264"/>
      <c r="F102" s="2265"/>
      <c r="G102" s="2263" t="s">
        <v>186</v>
      </c>
      <c r="H102" s="2264"/>
      <c r="I102" s="2265"/>
      <c r="J102" s="2263" t="s">
        <v>426</v>
      </c>
      <c r="K102" s="2264"/>
      <c r="L102" s="2265"/>
      <c r="M102" s="2263" t="s">
        <v>427</v>
      </c>
      <c r="N102" s="2264"/>
      <c r="O102" s="2265"/>
      <c r="P102" s="2263" t="s">
        <v>428</v>
      </c>
      <c r="Q102" s="2265"/>
      <c r="R102" s="2263" t="s">
        <v>429</v>
      </c>
      <c r="S102" s="2265"/>
      <c r="T102" s="2261" t="s">
        <v>39</v>
      </c>
    </row>
    <row r="103" spans="2:21" x14ac:dyDescent="0.25">
      <c r="B103" s="2180"/>
      <c r="C103" s="2180"/>
      <c r="D103" s="517" t="s">
        <v>404</v>
      </c>
      <c r="E103" s="1024" t="s">
        <v>1413</v>
      </c>
      <c r="F103" s="1024" t="s">
        <v>406</v>
      </c>
      <c r="G103" s="517" t="s">
        <v>404</v>
      </c>
      <c r="H103" s="1024" t="s">
        <v>405</v>
      </c>
      <c r="I103" s="1024" t="s">
        <v>406</v>
      </c>
      <c r="J103" s="517" t="s">
        <v>404</v>
      </c>
      <c r="K103" s="1024" t="s">
        <v>405</v>
      </c>
      <c r="L103" s="1024" t="s">
        <v>406</v>
      </c>
      <c r="M103" s="1024" t="s">
        <v>404</v>
      </c>
      <c r="N103" s="1024" t="s">
        <v>72</v>
      </c>
      <c r="O103" s="1024" t="s">
        <v>409</v>
      </c>
      <c r="P103" s="1024" t="s">
        <v>404</v>
      </c>
      <c r="Q103" s="1024" t="s">
        <v>805</v>
      </c>
      <c r="R103" s="1024" t="s">
        <v>404</v>
      </c>
      <c r="S103" s="1024" t="s">
        <v>805</v>
      </c>
      <c r="T103" s="2261"/>
    </row>
    <row r="104" spans="2:21" x14ac:dyDescent="0.25">
      <c r="B104" s="276"/>
      <c r="C104" s="97"/>
      <c r="D104" s="1024" t="s">
        <v>73</v>
      </c>
      <c r="E104" s="1024" t="s">
        <v>74</v>
      </c>
      <c r="F104" s="1024" t="s">
        <v>806</v>
      </c>
      <c r="G104" s="1024" t="s">
        <v>411</v>
      </c>
      <c r="H104" s="1024" t="s">
        <v>412</v>
      </c>
      <c r="I104" s="1024" t="s">
        <v>439</v>
      </c>
      <c r="J104" s="1024" t="s">
        <v>668</v>
      </c>
      <c r="K104" s="1024" t="s">
        <v>582</v>
      </c>
      <c r="L104" s="1024" t="s">
        <v>675</v>
      </c>
      <c r="M104" s="1024" t="s">
        <v>782</v>
      </c>
      <c r="N104" s="1024" t="s">
        <v>583</v>
      </c>
      <c r="O104" s="1024" t="s">
        <v>844</v>
      </c>
      <c r="P104" s="1024" t="s">
        <v>585</v>
      </c>
      <c r="Q104" s="1024" t="s">
        <v>761</v>
      </c>
      <c r="R104" s="1024" t="s">
        <v>784</v>
      </c>
      <c r="S104" s="1024" t="s">
        <v>762</v>
      </c>
      <c r="T104" s="2262"/>
    </row>
    <row r="105" spans="2:21" x14ac:dyDescent="0.3">
      <c r="B105" s="70">
        <v>1</v>
      </c>
      <c r="C105" s="26" t="s">
        <v>613</v>
      </c>
      <c r="D105" s="550"/>
      <c r="E105" s="550"/>
      <c r="F105" s="550">
        <f>E105-D105</f>
        <v>0</v>
      </c>
      <c r="G105" s="550"/>
      <c r="H105" s="353"/>
      <c r="I105" s="353">
        <f>H105-G105</f>
        <v>0</v>
      </c>
      <c r="J105" s="353"/>
      <c r="K105" s="353"/>
      <c r="L105" s="353">
        <f>K105-J105</f>
        <v>0</v>
      </c>
      <c r="M105" s="353"/>
      <c r="N105" s="353"/>
      <c r="O105" s="353">
        <f>N105-M105</f>
        <v>0</v>
      </c>
      <c r="P105" s="353"/>
      <c r="Q105" s="353"/>
      <c r="R105" s="353"/>
      <c r="S105" s="428"/>
      <c r="T105" s="428"/>
      <c r="U105" s="24"/>
    </row>
    <row r="106" spans="2:21" x14ac:dyDescent="0.3">
      <c r="B106" s="69">
        <v>1.1000000000000001</v>
      </c>
      <c r="C106" s="27" t="s">
        <v>41</v>
      </c>
      <c r="D106" s="547"/>
      <c r="E106" s="547"/>
      <c r="F106" s="550">
        <f t="shared" ref="F106:F143" si="19">E106-D106</f>
        <v>0</v>
      </c>
      <c r="G106" s="547"/>
      <c r="H106" s="353"/>
      <c r="I106" s="353">
        <f t="shared" ref="I106:I143" si="20">H106-G106</f>
        <v>0</v>
      </c>
      <c r="J106" s="353"/>
      <c r="K106" s="353"/>
      <c r="L106" s="353">
        <f t="shared" ref="L106:L143" si="21">K106-J106</f>
        <v>0</v>
      </c>
      <c r="M106" s="353"/>
      <c r="N106" s="353"/>
      <c r="O106" s="353">
        <f t="shared" ref="O106:O143" si="22">N106-M106</f>
        <v>0</v>
      </c>
      <c r="P106" s="353"/>
      <c r="Q106" s="353"/>
      <c r="R106" s="353"/>
      <c r="S106" s="428"/>
      <c r="T106" s="428"/>
      <c r="U106" s="24"/>
    </row>
    <row r="107" spans="2:21" x14ac:dyDescent="0.3">
      <c r="B107" s="69">
        <f t="shared" ref="B107:B113" si="23">B106+0.1</f>
        <v>1.2000000000000002</v>
      </c>
      <c r="C107" s="27" t="s">
        <v>245</v>
      </c>
      <c r="D107" s="547"/>
      <c r="E107" s="547"/>
      <c r="F107" s="550">
        <f t="shared" si="19"/>
        <v>0</v>
      </c>
      <c r="G107" s="547"/>
      <c r="H107" s="353"/>
      <c r="I107" s="353">
        <f t="shared" si="20"/>
        <v>0</v>
      </c>
      <c r="J107" s="353"/>
      <c r="K107" s="353"/>
      <c r="L107" s="353">
        <f t="shared" si="21"/>
        <v>0</v>
      </c>
      <c r="M107" s="353"/>
      <c r="N107" s="353"/>
      <c r="O107" s="353">
        <f t="shared" si="22"/>
        <v>0</v>
      </c>
      <c r="P107" s="353"/>
      <c r="Q107" s="353"/>
      <c r="R107" s="353"/>
      <c r="S107" s="428"/>
      <c r="T107" s="428"/>
      <c r="U107" s="24"/>
    </row>
    <row r="108" spans="2:21" x14ac:dyDescent="0.3">
      <c r="B108" s="69">
        <f t="shared" si="23"/>
        <v>1.3000000000000003</v>
      </c>
      <c r="C108" s="27" t="s">
        <v>189</v>
      </c>
      <c r="D108" s="547"/>
      <c r="E108" s="547"/>
      <c r="F108" s="550">
        <f t="shared" si="19"/>
        <v>0</v>
      </c>
      <c r="G108" s="547"/>
      <c r="H108" s="353"/>
      <c r="I108" s="353">
        <f t="shared" si="20"/>
        <v>0</v>
      </c>
      <c r="J108" s="353"/>
      <c r="K108" s="353"/>
      <c r="L108" s="353">
        <f t="shared" si="21"/>
        <v>0</v>
      </c>
      <c r="M108" s="353"/>
      <c r="N108" s="353"/>
      <c r="O108" s="353">
        <f t="shared" si="22"/>
        <v>0</v>
      </c>
      <c r="P108" s="353"/>
      <c r="Q108" s="353"/>
      <c r="R108" s="353"/>
      <c r="S108" s="428"/>
      <c r="T108" s="428"/>
      <c r="U108" s="24"/>
    </row>
    <row r="109" spans="2:21" x14ac:dyDescent="0.3">
      <c r="B109" s="69">
        <f t="shared" si="23"/>
        <v>1.4000000000000004</v>
      </c>
      <c r="C109" s="27" t="s">
        <v>42</v>
      </c>
      <c r="D109" s="547"/>
      <c r="E109" s="547"/>
      <c r="F109" s="550">
        <f t="shared" si="19"/>
        <v>0</v>
      </c>
      <c r="G109" s="547"/>
      <c r="H109" s="353"/>
      <c r="I109" s="353">
        <f t="shared" si="20"/>
        <v>0</v>
      </c>
      <c r="J109" s="353"/>
      <c r="K109" s="353"/>
      <c r="L109" s="353">
        <f t="shared" si="21"/>
        <v>0</v>
      </c>
      <c r="M109" s="353"/>
      <c r="N109" s="353"/>
      <c r="O109" s="353">
        <f t="shared" si="22"/>
        <v>0</v>
      </c>
      <c r="P109" s="353"/>
      <c r="Q109" s="353"/>
      <c r="R109" s="353"/>
      <c r="S109" s="428"/>
      <c r="T109" s="428"/>
      <c r="U109" s="24"/>
    </row>
    <row r="110" spans="2:21" x14ac:dyDescent="0.3">
      <c r="B110" s="69">
        <f t="shared" si="23"/>
        <v>1.5000000000000004</v>
      </c>
      <c r="C110" s="27" t="s">
        <v>43</v>
      </c>
      <c r="D110" s="547"/>
      <c r="E110" s="547"/>
      <c r="F110" s="550">
        <f t="shared" si="19"/>
        <v>0</v>
      </c>
      <c r="G110" s="547"/>
      <c r="H110" s="353"/>
      <c r="I110" s="353">
        <f t="shared" si="20"/>
        <v>0</v>
      </c>
      <c r="J110" s="353"/>
      <c r="K110" s="353"/>
      <c r="L110" s="353">
        <f t="shared" si="21"/>
        <v>0</v>
      </c>
      <c r="M110" s="353"/>
      <c r="N110" s="353"/>
      <c r="O110" s="353">
        <f t="shared" si="22"/>
        <v>0</v>
      </c>
      <c r="P110" s="353"/>
      <c r="Q110" s="353"/>
      <c r="R110" s="353"/>
      <c r="S110" s="428"/>
      <c r="T110" s="428"/>
      <c r="U110" s="24"/>
    </row>
    <row r="111" spans="2:21" x14ac:dyDescent="0.3">
      <c r="B111" s="69">
        <f t="shared" si="23"/>
        <v>1.6000000000000005</v>
      </c>
      <c r="C111" s="27" t="s">
        <v>445</v>
      </c>
      <c r="D111" s="547"/>
      <c r="E111" s="547"/>
      <c r="F111" s="550">
        <f t="shared" si="19"/>
        <v>0</v>
      </c>
      <c r="G111" s="547"/>
      <c r="H111" s="353"/>
      <c r="I111" s="353">
        <f t="shared" si="20"/>
        <v>0</v>
      </c>
      <c r="J111" s="353"/>
      <c r="K111" s="353"/>
      <c r="L111" s="353">
        <f t="shared" si="21"/>
        <v>0</v>
      </c>
      <c r="M111" s="353"/>
      <c r="N111" s="353"/>
      <c r="O111" s="353">
        <f t="shared" si="22"/>
        <v>0</v>
      </c>
      <c r="P111" s="353"/>
      <c r="Q111" s="353"/>
      <c r="R111" s="353"/>
      <c r="S111" s="428"/>
      <c r="T111" s="428"/>
      <c r="U111" s="24"/>
    </row>
    <row r="112" spans="2:21" x14ac:dyDescent="0.3">
      <c r="B112" s="69">
        <f t="shared" si="23"/>
        <v>1.7000000000000006</v>
      </c>
      <c r="C112" s="27" t="s">
        <v>44</v>
      </c>
      <c r="D112" s="547"/>
      <c r="E112" s="547"/>
      <c r="F112" s="550">
        <f t="shared" si="19"/>
        <v>0</v>
      </c>
      <c r="G112" s="547"/>
      <c r="H112" s="353"/>
      <c r="I112" s="353">
        <f t="shared" si="20"/>
        <v>0</v>
      </c>
      <c r="J112" s="353"/>
      <c r="K112" s="353"/>
      <c r="L112" s="353">
        <f t="shared" si="21"/>
        <v>0</v>
      </c>
      <c r="M112" s="353"/>
      <c r="N112" s="353"/>
      <c r="O112" s="353">
        <f t="shared" si="22"/>
        <v>0</v>
      </c>
      <c r="P112" s="353"/>
      <c r="Q112" s="353"/>
      <c r="R112" s="353"/>
      <c r="S112" s="428"/>
      <c r="T112" s="428"/>
      <c r="U112" s="24"/>
    </row>
    <row r="113" spans="2:21" x14ac:dyDescent="0.3">
      <c r="B113" s="69">
        <f t="shared" si="23"/>
        <v>1.8000000000000007</v>
      </c>
      <c r="C113" s="27" t="s">
        <v>45</v>
      </c>
      <c r="D113" s="547"/>
      <c r="E113" s="547"/>
      <c r="F113" s="550">
        <f t="shared" si="19"/>
        <v>0</v>
      </c>
      <c r="G113" s="547"/>
      <c r="H113" s="353"/>
      <c r="I113" s="353">
        <f t="shared" si="20"/>
        <v>0</v>
      </c>
      <c r="J113" s="353"/>
      <c r="K113" s="353"/>
      <c r="L113" s="353">
        <f t="shared" si="21"/>
        <v>0</v>
      </c>
      <c r="M113" s="353"/>
      <c r="N113" s="353"/>
      <c r="O113" s="353">
        <f t="shared" si="22"/>
        <v>0</v>
      </c>
      <c r="P113" s="353"/>
      <c r="Q113" s="353"/>
      <c r="R113" s="353"/>
      <c r="S113" s="428"/>
      <c r="T113" s="428"/>
      <c r="U113" s="24"/>
    </row>
    <row r="114" spans="2:21" x14ac:dyDescent="0.3">
      <c r="B114" s="69"/>
      <c r="C114" s="27"/>
      <c r="D114" s="547"/>
      <c r="E114" s="547"/>
      <c r="F114" s="550">
        <f t="shared" si="19"/>
        <v>0</v>
      </c>
      <c r="G114" s="547"/>
      <c r="H114" s="353"/>
      <c r="I114" s="353">
        <f t="shared" si="20"/>
        <v>0</v>
      </c>
      <c r="J114" s="353"/>
      <c r="K114" s="353"/>
      <c r="L114" s="353">
        <f t="shared" si="21"/>
        <v>0</v>
      </c>
      <c r="M114" s="353"/>
      <c r="N114" s="353"/>
      <c r="O114" s="353">
        <f t="shared" si="22"/>
        <v>0</v>
      </c>
      <c r="P114" s="353"/>
      <c r="Q114" s="353"/>
      <c r="R114" s="353"/>
      <c r="S114" s="428"/>
      <c r="T114" s="428"/>
      <c r="U114" s="24"/>
    </row>
    <row r="115" spans="2:21" x14ac:dyDescent="0.3">
      <c r="B115" s="70">
        <v>2</v>
      </c>
      <c r="C115" s="26" t="s">
        <v>614</v>
      </c>
      <c r="D115" s="550"/>
      <c r="E115" s="550"/>
      <c r="F115" s="550">
        <f t="shared" si="19"/>
        <v>0</v>
      </c>
      <c r="G115" s="550"/>
      <c r="H115" s="353"/>
      <c r="I115" s="353">
        <f t="shared" si="20"/>
        <v>0</v>
      </c>
      <c r="J115" s="353"/>
      <c r="K115" s="353"/>
      <c r="L115" s="353">
        <f t="shared" si="21"/>
        <v>0</v>
      </c>
      <c r="M115" s="353"/>
      <c r="N115" s="353"/>
      <c r="O115" s="353">
        <f t="shared" si="22"/>
        <v>0</v>
      </c>
      <c r="P115" s="353"/>
      <c r="Q115" s="353"/>
      <c r="R115" s="353"/>
      <c r="S115" s="428"/>
      <c r="T115" s="428"/>
      <c r="U115" s="24"/>
    </row>
    <row r="116" spans="2:21" x14ac:dyDescent="0.3">
      <c r="B116" s="69">
        <f t="shared" ref="B116:B122" si="24">B115+0.1</f>
        <v>2.1</v>
      </c>
      <c r="C116" s="27" t="s">
        <v>41</v>
      </c>
      <c r="D116" s="547"/>
      <c r="E116" s="547"/>
      <c r="F116" s="550">
        <f t="shared" si="19"/>
        <v>0</v>
      </c>
      <c r="G116" s="547"/>
      <c r="H116" s="353"/>
      <c r="I116" s="353">
        <f t="shared" si="20"/>
        <v>0</v>
      </c>
      <c r="J116" s="353"/>
      <c r="K116" s="353"/>
      <c r="L116" s="353">
        <f t="shared" si="21"/>
        <v>0</v>
      </c>
      <c r="M116" s="353"/>
      <c r="N116" s="353"/>
      <c r="O116" s="353">
        <f t="shared" si="22"/>
        <v>0</v>
      </c>
      <c r="P116" s="353"/>
      <c r="Q116" s="353"/>
      <c r="R116" s="353"/>
      <c r="S116" s="428"/>
      <c r="T116" s="428"/>
      <c r="U116" s="24"/>
    </row>
    <row r="117" spans="2:21" x14ac:dyDescent="0.3">
      <c r="B117" s="69">
        <f t="shared" si="24"/>
        <v>2.2000000000000002</v>
      </c>
      <c r="C117" s="27" t="s">
        <v>245</v>
      </c>
      <c r="D117" s="547"/>
      <c r="E117" s="547"/>
      <c r="F117" s="550">
        <f t="shared" si="19"/>
        <v>0</v>
      </c>
      <c r="G117" s="547"/>
      <c r="H117" s="353"/>
      <c r="I117" s="353">
        <f t="shared" si="20"/>
        <v>0</v>
      </c>
      <c r="J117" s="353"/>
      <c r="K117" s="353"/>
      <c r="L117" s="353">
        <f t="shared" si="21"/>
        <v>0</v>
      </c>
      <c r="M117" s="353"/>
      <c r="N117" s="353"/>
      <c r="O117" s="353">
        <f t="shared" si="22"/>
        <v>0</v>
      </c>
      <c r="P117" s="353"/>
      <c r="Q117" s="353"/>
      <c r="R117" s="353"/>
      <c r="S117" s="428"/>
      <c r="T117" s="428"/>
      <c r="U117" s="24"/>
    </row>
    <row r="118" spans="2:21" x14ac:dyDescent="0.3">
      <c r="B118" s="69">
        <f t="shared" si="24"/>
        <v>2.3000000000000003</v>
      </c>
      <c r="C118" s="27" t="s">
        <v>42</v>
      </c>
      <c r="D118" s="547"/>
      <c r="E118" s="547"/>
      <c r="F118" s="550">
        <f t="shared" si="19"/>
        <v>0</v>
      </c>
      <c r="G118" s="547"/>
      <c r="H118" s="353"/>
      <c r="I118" s="353">
        <f t="shared" si="20"/>
        <v>0</v>
      </c>
      <c r="J118" s="353"/>
      <c r="K118" s="353"/>
      <c r="L118" s="353">
        <f t="shared" si="21"/>
        <v>0</v>
      </c>
      <c r="M118" s="353"/>
      <c r="N118" s="353"/>
      <c r="O118" s="353">
        <f t="shared" si="22"/>
        <v>0</v>
      </c>
      <c r="P118" s="353"/>
      <c r="Q118" s="353"/>
      <c r="R118" s="353"/>
      <c r="S118" s="428"/>
      <c r="T118" s="428"/>
      <c r="U118" s="24"/>
    </row>
    <row r="119" spans="2:21" x14ac:dyDescent="0.3">
      <c r="B119" s="69">
        <f t="shared" si="24"/>
        <v>2.4000000000000004</v>
      </c>
      <c r="C119" s="27" t="s">
        <v>43</v>
      </c>
      <c r="D119" s="547"/>
      <c r="E119" s="547"/>
      <c r="F119" s="550">
        <f t="shared" si="19"/>
        <v>0</v>
      </c>
      <c r="G119" s="547"/>
      <c r="H119" s="353"/>
      <c r="I119" s="353">
        <f t="shared" si="20"/>
        <v>0</v>
      </c>
      <c r="J119" s="353"/>
      <c r="K119" s="353"/>
      <c r="L119" s="353">
        <f t="shared" si="21"/>
        <v>0</v>
      </c>
      <c r="M119" s="353"/>
      <c r="N119" s="353"/>
      <c r="O119" s="353">
        <f t="shared" si="22"/>
        <v>0</v>
      </c>
      <c r="P119" s="353"/>
      <c r="Q119" s="353"/>
      <c r="R119" s="353"/>
      <c r="S119" s="428"/>
      <c r="T119" s="428"/>
      <c r="U119" s="24"/>
    </row>
    <row r="120" spans="2:21" x14ac:dyDescent="0.3">
      <c r="B120" s="69">
        <f t="shared" si="24"/>
        <v>2.5000000000000004</v>
      </c>
      <c r="C120" s="27" t="s">
        <v>445</v>
      </c>
      <c r="D120" s="547"/>
      <c r="E120" s="547"/>
      <c r="F120" s="550">
        <f t="shared" si="19"/>
        <v>0</v>
      </c>
      <c r="G120" s="547"/>
      <c r="H120" s="353"/>
      <c r="I120" s="353">
        <f t="shared" si="20"/>
        <v>0</v>
      </c>
      <c r="J120" s="353"/>
      <c r="K120" s="353"/>
      <c r="L120" s="353">
        <f t="shared" si="21"/>
        <v>0</v>
      </c>
      <c r="M120" s="353"/>
      <c r="N120" s="353"/>
      <c r="O120" s="353">
        <f t="shared" si="22"/>
        <v>0</v>
      </c>
      <c r="P120" s="353"/>
      <c r="Q120" s="353"/>
      <c r="R120" s="353"/>
      <c r="S120" s="428"/>
      <c r="T120" s="428"/>
      <c r="U120" s="24"/>
    </row>
    <row r="121" spans="2:21" x14ac:dyDescent="0.3">
      <c r="B121" s="69">
        <f t="shared" si="24"/>
        <v>2.6000000000000005</v>
      </c>
      <c r="C121" s="27" t="s">
        <v>44</v>
      </c>
      <c r="D121" s="547"/>
      <c r="E121" s="547"/>
      <c r="F121" s="550">
        <f t="shared" si="19"/>
        <v>0</v>
      </c>
      <c r="G121" s="547"/>
      <c r="H121" s="353"/>
      <c r="I121" s="353">
        <f t="shared" si="20"/>
        <v>0</v>
      </c>
      <c r="J121" s="353"/>
      <c r="K121" s="353"/>
      <c r="L121" s="353">
        <f t="shared" si="21"/>
        <v>0</v>
      </c>
      <c r="M121" s="353"/>
      <c r="N121" s="353"/>
      <c r="O121" s="353">
        <f t="shared" si="22"/>
        <v>0</v>
      </c>
      <c r="P121" s="353"/>
      <c r="Q121" s="353"/>
      <c r="R121" s="353"/>
      <c r="S121" s="428"/>
      <c r="T121" s="428"/>
      <c r="U121" s="24"/>
    </row>
    <row r="122" spans="2:21" x14ac:dyDescent="0.3">
      <c r="B122" s="69">
        <f t="shared" si="24"/>
        <v>2.7000000000000006</v>
      </c>
      <c r="C122" s="27" t="s">
        <v>45</v>
      </c>
      <c r="D122" s="547"/>
      <c r="E122" s="547"/>
      <c r="F122" s="550">
        <f t="shared" si="19"/>
        <v>0</v>
      </c>
      <c r="G122" s="547"/>
      <c r="H122" s="353"/>
      <c r="I122" s="353">
        <f t="shared" si="20"/>
        <v>0</v>
      </c>
      <c r="J122" s="353"/>
      <c r="K122" s="353"/>
      <c r="L122" s="353">
        <f t="shared" si="21"/>
        <v>0</v>
      </c>
      <c r="M122" s="353"/>
      <c r="N122" s="353"/>
      <c r="O122" s="353">
        <f t="shared" si="22"/>
        <v>0</v>
      </c>
      <c r="P122" s="353"/>
      <c r="Q122" s="353"/>
      <c r="R122" s="353"/>
      <c r="S122" s="428"/>
      <c r="T122" s="428"/>
      <c r="U122" s="24"/>
    </row>
    <row r="123" spans="2:21" x14ac:dyDescent="0.3">
      <c r="B123" s="69"/>
      <c r="C123" s="27"/>
      <c r="D123" s="547"/>
      <c r="E123" s="547"/>
      <c r="F123" s="550">
        <f t="shared" si="19"/>
        <v>0</v>
      </c>
      <c r="G123" s="547"/>
      <c r="H123" s="353"/>
      <c r="I123" s="353">
        <f t="shared" si="20"/>
        <v>0</v>
      </c>
      <c r="J123" s="353"/>
      <c r="K123" s="353"/>
      <c r="L123" s="353">
        <f t="shared" si="21"/>
        <v>0</v>
      </c>
      <c r="M123" s="353"/>
      <c r="N123" s="353"/>
      <c r="O123" s="353">
        <f t="shared" si="22"/>
        <v>0</v>
      </c>
      <c r="P123" s="353"/>
      <c r="Q123" s="353"/>
      <c r="R123" s="353"/>
      <c r="S123" s="428"/>
      <c r="T123" s="428"/>
      <c r="U123" s="24"/>
    </row>
    <row r="124" spans="2:21" x14ac:dyDescent="0.3">
      <c r="B124" s="70">
        <v>3</v>
      </c>
      <c r="C124" s="26" t="s">
        <v>615</v>
      </c>
      <c r="D124" s="550"/>
      <c r="E124" s="550"/>
      <c r="F124" s="550">
        <f t="shared" si="19"/>
        <v>0</v>
      </c>
      <c r="G124" s="550"/>
      <c r="H124" s="353"/>
      <c r="I124" s="353">
        <f t="shared" si="20"/>
        <v>0</v>
      </c>
      <c r="J124" s="353"/>
      <c r="K124" s="353"/>
      <c r="L124" s="353">
        <f t="shared" si="21"/>
        <v>0</v>
      </c>
      <c r="M124" s="353"/>
      <c r="N124" s="353"/>
      <c r="O124" s="353">
        <f t="shared" si="22"/>
        <v>0</v>
      </c>
      <c r="P124" s="353"/>
      <c r="Q124" s="353"/>
      <c r="R124" s="353"/>
      <c r="S124" s="353"/>
      <c r="T124" s="353"/>
    </row>
    <row r="125" spans="2:21" x14ac:dyDescent="0.3">
      <c r="B125" s="69"/>
      <c r="C125" s="27" t="s">
        <v>36</v>
      </c>
      <c r="D125" s="547"/>
      <c r="E125" s="547"/>
      <c r="F125" s="550">
        <f t="shared" si="19"/>
        <v>0</v>
      </c>
      <c r="G125" s="547"/>
      <c r="H125" s="353"/>
      <c r="I125" s="353">
        <f t="shared" si="20"/>
        <v>0</v>
      </c>
      <c r="J125" s="353"/>
      <c r="K125" s="353"/>
      <c r="L125" s="353">
        <f t="shared" si="21"/>
        <v>0</v>
      </c>
      <c r="M125" s="353"/>
      <c r="N125" s="353"/>
      <c r="O125" s="353">
        <f t="shared" si="22"/>
        <v>0</v>
      </c>
      <c r="P125" s="353"/>
      <c r="Q125" s="353"/>
      <c r="R125" s="353"/>
      <c r="S125" s="353"/>
      <c r="T125" s="353"/>
    </row>
    <row r="126" spans="2:21" x14ac:dyDescent="0.3">
      <c r="B126" s="69"/>
      <c r="C126" s="27" t="s">
        <v>36</v>
      </c>
      <c r="D126" s="547"/>
      <c r="E126" s="547"/>
      <c r="F126" s="550">
        <f t="shared" si="19"/>
        <v>0</v>
      </c>
      <c r="G126" s="547"/>
      <c r="H126" s="353"/>
      <c r="I126" s="353">
        <f t="shared" si="20"/>
        <v>0</v>
      </c>
      <c r="J126" s="353"/>
      <c r="K126" s="353"/>
      <c r="L126" s="353">
        <f t="shared" si="21"/>
        <v>0</v>
      </c>
      <c r="M126" s="353"/>
      <c r="N126" s="353"/>
      <c r="O126" s="353">
        <f t="shared" si="22"/>
        <v>0</v>
      </c>
      <c r="P126" s="353"/>
      <c r="Q126" s="353"/>
      <c r="R126" s="353"/>
      <c r="S126" s="353"/>
      <c r="T126" s="353"/>
    </row>
    <row r="127" spans="2:21" x14ac:dyDescent="0.3">
      <c r="B127" s="69"/>
      <c r="C127" s="27" t="s">
        <v>36</v>
      </c>
      <c r="D127" s="547"/>
      <c r="E127" s="547"/>
      <c r="F127" s="550">
        <f t="shared" si="19"/>
        <v>0</v>
      </c>
      <c r="G127" s="547"/>
      <c r="H127" s="353"/>
      <c r="I127" s="353">
        <f t="shared" si="20"/>
        <v>0</v>
      </c>
      <c r="J127" s="353"/>
      <c r="K127" s="353"/>
      <c r="L127" s="353">
        <f t="shared" si="21"/>
        <v>0</v>
      </c>
      <c r="M127" s="353"/>
      <c r="N127" s="353"/>
      <c r="O127" s="353">
        <f t="shared" si="22"/>
        <v>0</v>
      </c>
      <c r="P127" s="353"/>
      <c r="Q127" s="353"/>
      <c r="R127" s="353"/>
      <c r="S127" s="353"/>
      <c r="T127" s="353"/>
    </row>
    <row r="128" spans="2:21" x14ac:dyDescent="0.3">
      <c r="B128" s="69"/>
      <c r="C128" s="27"/>
      <c r="D128" s="547"/>
      <c r="E128" s="547"/>
      <c r="F128" s="550">
        <f t="shared" si="19"/>
        <v>0</v>
      </c>
      <c r="G128" s="547"/>
      <c r="H128" s="353"/>
      <c r="I128" s="353">
        <f t="shared" si="20"/>
        <v>0</v>
      </c>
      <c r="J128" s="353"/>
      <c r="K128" s="353"/>
      <c r="L128" s="353">
        <f t="shared" si="21"/>
        <v>0</v>
      </c>
      <c r="M128" s="353"/>
      <c r="N128" s="353"/>
      <c r="O128" s="353">
        <f t="shared" si="22"/>
        <v>0</v>
      </c>
      <c r="P128" s="353"/>
      <c r="Q128" s="353"/>
      <c r="R128" s="353"/>
      <c r="S128" s="353"/>
      <c r="T128" s="353"/>
    </row>
    <row r="129" spans="2:20" x14ac:dyDescent="0.3">
      <c r="B129" s="70">
        <v>10</v>
      </c>
      <c r="C129" s="26" t="s">
        <v>145</v>
      </c>
      <c r="D129" s="550"/>
      <c r="E129" s="550"/>
      <c r="F129" s="550">
        <f t="shared" si="19"/>
        <v>0</v>
      </c>
      <c r="G129" s="547"/>
      <c r="H129" s="353"/>
      <c r="I129" s="353">
        <f t="shared" si="20"/>
        <v>0</v>
      </c>
      <c r="J129" s="353"/>
      <c r="K129" s="353"/>
      <c r="L129" s="353">
        <f t="shared" si="21"/>
        <v>0</v>
      </c>
      <c r="M129" s="353"/>
      <c r="N129" s="353"/>
      <c r="O129" s="353">
        <f t="shared" si="22"/>
        <v>0</v>
      </c>
      <c r="P129" s="353"/>
      <c r="Q129" s="353"/>
      <c r="R129" s="353"/>
      <c r="S129" s="353"/>
      <c r="T129" s="353"/>
    </row>
    <row r="130" spans="2:20" x14ac:dyDescent="0.3">
      <c r="B130" s="69">
        <f t="shared" ref="B130:B136" si="25">B129+0.1</f>
        <v>10.1</v>
      </c>
      <c r="C130" s="27" t="s">
        <v>41</v>
      </c>
      <c r="D130" s="547"/>
      <c r="E130" s="547"/>
      <c r="F130" s="550">
        <f t="shared" si="19"/>
        <v>0</v>
      </c>
      <c r="G130" s="547"/>
      <c r="H130" s="353"/>
      <c r="I130" s="353">
        <f t="shared" si="20"/>
        <v>0</v>
      </c>
      <c r="J130" s="353"/>
      <c r="K130" s="353"/>
      <c r="L130" s="353">
        <f t="shared" si="21"/>
        <v>0</v>
      </c>
      <c r="M130" s="353"/>
      <c r="N130" s="353"/>
      <c r="O130" s="353">
        <f t="shared" si="22"/>
        <v>0</v>
      </c>
      <c r="P130" s="353"/>
      <c r="Q130" s="353"/>
      <c r="R130" s="353"/>
      <c r="S130" s="353"/>
      <c r="T130" s="353"/>
    </row>
    <row r="131" spans="2:20" x14ac:dyDescent="0.3">
      <c r="B131" s="69">
        <f t="shared" si="25"/>
        <v>10.199999999999999</v>
      </c>
      <c r="C131" s="27" t="s">
        <v>245</v>
      </c>
      <c r="D131" s="547"/>
      <c r="E131" s="547"/>
      <c r="F131" s="550">
        <f t="shared" si="19"/>
        <v>0</v>
      </c>
      <c r="G131" s="547"/>
      <c r="H131" s="353"/>
      <c r="I131" s="353">
        <f t="shared" si="20"/>
        <v>0</v>
      </c>
      <c r="J131" s="353"/>
      <c r="K131" s="353"/>
      <c r="L131" s="353">
        <f t="shared" si="21"/>
        <v>0</v>
      </c>
      <c r="M131" s="353"/>
      <c r="N131" s="353"/>
      <c r="O131" s="353">
        <f t="shared" si="22"/>
        <v>0</v>
      </c>
      <c r="P131" s="353"/>
      <c r="Q131" s="353"/>
      <c r="R131" s="353"/>
      <c r="S131" s="353"/>
      <c r="T131" s="353"/>
    </row>
    <row r="132" spans="2:20" x14ac:dyDescent="0.3">
      <c r="B132" s="69">
        <f t="shared" si="25"/>
        <v>10.299999999999999</v>
      </c>
      <c r="C132" s="27" t="s">
        <v>42</v>
      </c>
      <c r="D132" s="547"/>
      <c r="E132" s="547"/>
      <c r="F132" s="550">
        <f t="shared" si="19"/>
        <v>0</v>
      </c>
      <c r="G132" s="547"/>
      <c r="H132" s="353"/>
      <c r="I132" s="353">
        <f t="shared" si="20"/>
        <v>0</v>
      </c>
      <c r="J132" s="353"/>
      <c r="K132" s="353"/>
      <c r="L132" s="353">
        <f t="shared" si="21"/>
        <v>0</v>
      </c>
      <c r="M132" s="353"/>
      <c r="N132" s="353"/>
      <c r="O132" s="353">
        <f t="shared" si="22"/>
        <v>0</v>
      </c>
      <c r="P132" s="353"/>
      <c r="Q132" s="353"/>
      <c r="R132" s="353"/>
      <c r="S132" s="353"/>
      <c r="T132" s="353"/>
    </row>
    <row r="133" spans="2:20" x14ac:dyDescent="0.3">
      <c r="B133" s="69">
        <f t="shared" si="25"/>
        <v>10.399999999999999</v>
      </c>
      <c r="C133" s="27" t="s">
        <v>43</v>
      </c>
      <c r="D133" s="547"/>
      <c r="E133" s="547"/>
      <c r="F133" s="550">
        <f t="shared" si="19"/>
        <v>0</v>
      </c>
      <c r="G133" s="547"/>
      <c r="H133" s="353"/>
      <c r="I133" s="353">
        <f t="shared" si="20"/>
        <v>0</v>
      </c>
      <c r="J133" s="353"/>
      <c r="K133" s="353"/>
      <c r="L133" s="353">
        <f t="shared" si="21"/>
        <v>0</v>
      </c>
      <c r="M133" s="353"/>
      <c r="N133" s="353"/>
      <c r="O133" s="353">
        <f t="shared" si="22"/>
        <v>0</v>
      </c>
      <c r="P133" s="353"/>
      <c r="Q133" s="353"/>
      <c r="R133" s="353"/>
      <c r="S133" s="353"/>
      <c r="T133" s="353"/>
    </row>
    <row r="134" spans="2:20" x14ac:dyDescent="0.3">
      <c r="B134" s="69">
        <f t="shared" si="25"/>
        <v>10.499999999999998</v>
      </c>
      <c r="C134" s="27" t="s">
        <v>445</v>
      </c>
      <c r="D134" s="547"/>
      <c r="E134" s="547"/>
      <c r="F134" s="550">
        <f t="shared" si="19"/>
        <v>0</v>
      </c>
      <c r="G134" s="547"/>
      <c r="H134" s="353"/>
      <c r="I134" s="353">
        <f t="shared" si="20"/>
        <v>0</v>
      </c>
      <c r="J134" s="353"/>
      <c r="K134" s="353"/>
      <c r="L134" s="353">
        <f t="shared" si="21"/>
        <v>0</v>
      </c>
      <c r="M134" s="353"/>
      <c r="N134" s="353"/>
      <c r="O134" s="353">
        <f t="shared" si="22"/>
        <v>0</v>
      </c>
      <c r="P134" s="353"/>
      <c r="Q134" s="353"/>
      <c r="R134" s="353"/>
      <c r="S134" s="353"/>
      <c r="T134" s="353"/>
    </row>
    <row r="135" spans="2:20" x14ac:dyDescent="0.3">
      <c r="B135" s="69">
        <f t="shared" si="25"/>
        <v>10.599999999999998</v>
      </c>
      <c r="C135" s="27" t="s">
        <v>44</v>
      </c>
      <c r="D135" s="547"/>
      <c r="E135" s="547"/>
      <c r="F135" s="550">
        <f t="shared" si="19"/>
        <v>0</v>
      </c>
      <c r="G135" s="547"/>
      <c r="H135" s="353"/>
      <c r="I135" s="353">
        <f t="shared" si="20"/>
        <v>0</v>
      </c>
      <c r="J135" s="353"/>
      <c r="K135" s="353"/>
      <c r="L135" s="353">
        <f t="shared" si="21"/>
        <v>0</v>
      </c>
      <c r="M135" s="353"/>
      <c r="N135" s="353"/>
      <c r="O135" s="353">
        <f t="shared" si="22"/>
        <v>0</v>
      </c>
      <c r="P135" s="353"/>
      <c r="Q135" s="353"/>
      <c r="R135" s="353"/>
      <c r="S135" s="353"/>
      <c r="T135" s="353"/>
    </row>
    <row r="136" spans="2:20" x14ac:dyDescent="0.3">
      <c r="B136" s="69">
        <f t="shared" si="25"/>
        <v>10.699999999999998</v>
      </c>
      <c r="C136" s="27" t="s">
        <v>45</v>
      </c>
      <c r="D136" s="547"/>
      <c r="E136" s="547"/>
      <c r="F136" s="550">
        <f t="shared" si="19"/>
        <v>0</v>
      </c>
      <c r="G136" s="547"/>
      <c r="H136" s="353"/>
      <c r="I136" s="353">
        <f t="shared" si="20"/>
        <v>0</v>
      </c>
      <c r="J136" s="353"/>
      <c r="K136" s="353"/>
      <c r="L136" s="353">
        <f t="shared" si="21"/>
        <v>0</v>
      </c>
      <c r="M136" s="353"/>
      <c r="N136" s="353"/>
      <c r="O136" s="353">
        <f t="shared" si="22"/>
        <v>0</v>
      </c>
      <c r="P136" s="353"/>
      <c r="Q136" s="353"/>
      <c r="R136" s="353"/>
      <c r="S136" s="353"/>
      <c r="T136" s="353"/>
    </row>
    <row r="137" spans="2:20" x14ac:dyDescent="0.3">
      <c r="B137" s="69"/>
      <c r="C137" s="27"/>
      <c r="D137" s="547"/>
      <c r="E137" s="547"/>
      <c r="F137" s="550">
        <f t="shared" si="19"/>
        <v>0</v>
      </c>
      <c r="G137" s="547"/>
      <c r="H137" s="353"/>
      <c r="I137" s="353">
        <f t="shared" si="20"/>
        <v>0</v>
      </c>
      <c r="J137" s="353"/>
      <c r="K137" s="353"/>
      <c r="L137" s="353">
        <f t="shared" si="21"/>
        <v>0</v>
      </c>
      <c r="M137" s="353"/>
      <c r="N137" s="353"/>
      <c r="O137" s="353">
        <f t="shared" si="22"/>
        <v>0</v>
      </c>
      <c r="P137" s="353"/>
      <c r="Q137" s="353"/>
      <c r="R137" s="353"/>
      <c r="S137" s="353"/>
      <c r="T137" s="353"/>
    </row>
    <row r="138" spans="2:20" x14ac:dyDescent="0.3">
      <c r="B138" s="69"/>
      <c r="C138" s="26"/>
      <c r="D138" s="550"/>
      <c r="E138" s="550"/>
      <c r="F138" s="550">
        <f t="shared" si="19"/>
        <v>0</v>
      </c>
      <c r="G138" s="550"/>
      <c r="H138" s="353"/>
      <c r="I138" s="353">
        <f t="shared" si="20"/>
        <v>0</v>
      </c>
      <c r="J138" s="353"/>
      <c r="K138" s="353"/>
      <c r="L138" s="353">
        <f t="shared" si="21"/>
        <v>0</v>
      </c>
      <c r="M138" s="353"/>
      <c r="N138" s="353"/>
      <c r="O138" s="353">
        <f t="shared" si="22"/>
        <v>0</v>
      </c>
      <c r="P138" s="353"/>
      <c r="Q138" s="353"/>
      <c r="R138" s="353"/>
      <c r="S138" s="353"/>
      <c r="T138" s="353"/>
    </row>
    <row r="139" spans="2:20" x14ac:dyDescent="0.3">
      <c r="B139" s="69"/>
      <c r="C139" s="27"/>
      <c r="D139" s="547"/>
      <c r="E139" s="547"/>
      <c r="F139" s="550">
        <f t="shared" si="19"/>
        <v>0</v>
      </c>
      <c r="G139" s="547"/>
      <c r="H139" s="353"/>
      <c r="I139" s="353">
        <f t="shared" si="20"/>
        <v>0</v>
      </c>
      <c r="J139" s="353"/>
      <c r="K139" s="353"/>
      <c r="L139" s="353">
        <f t="shared" si="21"/>
        <v>0</v>
      </c>
      <c r="M139" s="353"/>
      <c r="N139" s="353"/>
      <c r="O139" s="353">
        <f t="shared" si="22"/>
        <v>0</v>
      </c>
      <c r="P139" s="353"/>
      <c r="Q139" s="353"/>
      <c r="R139" s="353"/>
      <c r="S139" s="353"/>
      <c r="T139" s="353"/>
    </row>
    <row r="140" spans="2:20" x14ac:dyDescent="0.3">
      <c r="B140" s="69">
        <v>9</v>
      </c>
      <c r="C140" s="26" t="s">
        <v>47</v>
      </c>
      <c r="D140" s="550"/>
      <c r="E140" s="550"/>
      <c r="F140" s="550">
        <f t="shared" si="19"/>
        <v>0</v>
      </c>
      <c r="G140" s="550"/>
      <c r="H140" s="354"/>
      <c r="I140" s="353">
        <f t="shared" si="20"/>
        <v>0</v>
      </c>
      <c r="J140" s="354"/>
      <c r="K140" s="354"/>
      <c r="L140" s="353">
        <f t="shared" si="21"/>
        <v>0</v>
      </c>
      <c r="M140" s="354"/>
      <c r="N140" s="354"/>
      <c r="O140" s="353">
        <f t="shared" si="22"/>
        <v>0</v>
      </c>
      <c r="P140" s="353"/>
      <c r="Q140" s="353"/>
      <c r="R140" s="353"/>
      <c r="S140" s="353"/>
      <c r="T140" s="353"/>
    </row>
    <row r="141" spans="2:20" x14ac:dyDescent="0.3">
      <c r="B141" s="69">
        <v>10</v>
      </c>
      <c r="C141" s="11" t="s">
        <v>48</v>
      </c>
      <c r="D141" s="343"/>
      <c r="E141" s="343"/>
      <c r="F141" s="550">
        <f t="shared" si="19"/>
        <v>0</v>
      </c>
      <c r="G141" s="343"/>
      <c r="H141" s="353"/>
      <c r="I141" s="353">
        <f t="shared" si="20"/>
        <v>0</v>
      </c>
      <c r="J141" s="353"/>
      <c r="K141" s="353"/>
      <c r="L141" s="353">
        <f t="shared" si="21"/>
        <v>0</v>
      </c>
      <c r="M141" s="353"/>
      <c r="N141" s="353"/>
      <c r="O141" s="353">
        <f t="shared" si="22"/>
        <v>0</v>
      </c>
      <c r="P141" s="353"/>
      <c r="Q141" s="353"/>
      <c r="R141" s="353"/>
      <c r="S141" s="353"/>
      <c r="T141" s="353"/>
    </row>
    <row r="142" spans="2:20" x14ac:dyDescent="0.3">
      <c r="B142" s="70">
        <v>11</v>
      </c>
      <c r="C142" s="28" t="s">
        <v>49</v>
      </c>
      <c r="D142" s="354"/>
      <c r="E142" s="354"/>
      <c r="F142" s="550">
        <f t="shared" si="19"/>
        <v>0</v>
      </c>
      <c r="G142" s="354"/>
      <c r="H142" s="353"/>
      <c r="I142" s="353">
        <f t="shared" si="20"/>
        <v>0</v>
      </c>
      <c r="J142" s="353"/>
      <c r="K142" s="353"/>
      <c r="L142" s="353">
        <f t="shared" si="21"/>
        <v>0</v>
      </c>
      <c r="M142" s="353"/>
      <c r="N142" s="353"/>
      <c r="O142" s="353">
        <f t="shared" si="22"/>
        <v>0</v>
      </c>
      <c r="P142" s="353"/>
      <c r="Q142" s="353"/>
      <c r="R142" s="353"/>
      <c r="S142" s="353"/>
      <c r="T142" s="353"/>
    </row>
    <row r="143" spans="2:20" x14ac:dyDescent="0.3">
      <c r="B143" s="69"/>
      <c r="C143" s="29"/>
      <c r="D143" s="551"/>
      <c r="E143" s="551"/>
      <c r="F143" s="550">
        <f t="shared" si="19"/>
        <v>0</v>
      </c>
      <c r="G143" s="551"/>
      <c r="H143" s="353"/>
      <c r="I143" s="353">
        <f t="shared" si="20"/>
        <v>0</v>
      </c>
      <c r="J143" s="353"/>
      <c r="K143" s="353"/>
      <c r="L143" s="353">
        <f t="shared" si="21"/>
        <v>0</v>
      </c>
      <c r="M143" s="353"/>
      <c r="N143" s="353"/>
      <c r="O143" s="353">
        <f t="shared" si="22"/>
        <v>0</v>
      </c>
      <c r="P143" s="353"/>
      <c r="Q143" s="353"/>
      <c r="R143" s="353"/>
      <c r="S143" s="353"/>
      <c r="T143" s="353"/>
    </row>
    <row r="144" spans="2:20" x14ac:dyDescent="0.25">
      <c r="R144" s="353"/>
    </row>
    <row r="145" spans="2:21" x14ac:dyDescent="0.25">
      <c r="C145" s="2362" t="s">
        <v>854</v>
      </c>
      <c r="D145" s="2362"/>
      <c r="E145" s="2362"/>
      <c r="F145" s="2362"/>
      <c r="G145" s="2362"/>
      <c r="R145" s="353"/>
    </row>
    <row r="146" spans="2:21" x14ac:dyDescent="0.25">
      <c r="C146" s="15" t="s">
        <v>616</v>
      </c>
    </row>
    <row r="148" spans="2:21" s="119" customFormat="1" x14ac:dyDescent="0.3">
      <c r="B148" s="40"/>
      <c r="C148" s="172" t="s">
        <v>284</v>
      </c>
      <c r="D148" s="563"/>
      <c r="E148" s="563"/>
      <c r="F148" s="563"/>
      <c r="G148" s="527"/>
      <c r="H148" s="546"/>
      <c r="I148" s="545"/>
      <c r="J148" s="527"/>
      <c r="K148" s="527"/>
      <c r="L148" s="527"/>
      <c r="M148" s="527"/>
      <c r="N148" s="527"/>
      <c r="O148" s="527"/>
      <c r="P148" s="426"/>
      <c r="Q148" s="426"/>
      <c r="R148" s="426"/>
      <c r="S148" s="426"/>
      <c r="T148" s="426"/>
    </row>
    <row r="149" spans="2:21" s="119" customFormat="1" x14ac:dyDescent="0.3">
      <c r="B149" s="40"/>
      <c r="C149" s="172"/>
      <c r="D149" s="563"/>
      <c r="E149" s="563"/>
      <c r="F149" s="563"/>
      <c r="G149" s="527"/>
      <c r="H149" s="546"/>
      <c r="I149" s="545"/>
      <c r="J149" s="527"/>
      <c r="K149" s="527"/>
      <c r="L149" s="527"/>
      <c r="M149" s="527"/>
      <c r="N149" s="527"/>
      <c r="O149" s="527"/>
      <c r="P149" s="426"/>
      <c r="Q149" s="426"/>
      <c r="R149" s="426"/>
      <c r="S149" s="426"/>
      <c r="T149" s="426"/>
    </row>
    <row r="150" spans="2:21" s="119" customFormat="1" x14ac:dyDescent="0.3">
      <c r="B150" s="40"/>
      <c r="C150" s="172" t="s">
        <v>248</v>
      </c>
      <c r="D150" s="563"/>
      <c r="E150" s="563"/>
      <c r="F150" s="563"/>
      <c r="G150" s="563"/>
      <c r="H150" s="527"/>
      <c r="I150" s="527"/>
      <c r="J150" s="527"/>
      <c r="K150" s="546"/>
      <c r="L150" s="546"/>
      <c r="M150" s="545"/>
      <c r="N150" s="527"/>
      <c r="O150" s="527"/>
      <c r="P150" s="527"/>
      <c r="Q150" s="527"/>
      <c r="R150" s="527"/>
      <c r="S150" s="527"/>
      <c r="T150" s="527"/>
    </row>
    <row r="151" spans="2:21" s="119" customFormat="1" x14ac:dyDescent="0.3">
      <c r="B151" s="40"/>
      <c r="C151" s="118"/>
      <c r="D151" s="531"/>
      <c r="E151" s="531"/>
      <c r="F151" s="531"/>
      <c r="G151" s="531"/>
      <c r="H151" s="527"/>
      <c r="I151" s="527"/>
      <c r="J151" s="527"/>
      <c r="K151" s="546"/>
      <c r="L151" s="546"/>
      <c r="M151" s="545"/>
      <c r="N151" s="527"/>
      <c r="O151" s="527"/>
      <c r="P151" s="527"/>
      <c r="Q151" s="527"/>
      <c r="R151" s="516" t="s">
        <v>16</v>
      </c>
      <c r="S151" s="527"/>
      <c r="T151" s="527"/>
    </row>
    <row r="152" spans="2:21" ht="15" customHeight="1" x14ac:dyDescent="0.25">
      <c r="B152" s="2180" t="s">
        <v>190</v>
      </c>
      <c r="C152" s="2180" t="s">
        <v>38</v>
      </c>
      <c r="D152" s="2263" t="s">
        <v>804</v>
      </c>
      <c r="E152" s="2264"/>
      <c r="F152" s="2265"/>
      <c r="G152" s="2263" t="s">
        <v>186</v>
      </c>
      <c r="H152" s="2264"/>
      <c r="I152" s="2265"/>
      <c r="J152" s="2263" t="s">
        <v>426</v>
      </c>
      <c r="K152" s="2264"/>
      <c r="L152" s="2265"/>
      <c r="M152" s="2263" t="s">
        <v>427</v>
      </c>
      <c r="N152" s="2264"/>
      <c r="O152" s="2265"/>
      <c r="P152" s="2263" t="s">
        <v>428</v>
      </c>
      <c r="Q152" s="2265"/>
      <c r="R152" s="2263" t="s">
        <v>429</v>
      </c>
      <c r="S152" s="2265"/>
      <c r="T152" s="2261" t="s">
        <v>39</v>
      </c>
      <c r="U152" s="23"/>
    </row>
    <row r="153" spans="2:21" x14ac:dyDescent="0.25">
      <c r="B153" s="2180"/>
      <c r="C153" s="2180"/>
      <c r="D153" s="517" t="s">
        <v>404</v>
      </c>
      <c r="E153" s="1024" t="s">
        <v>1413</v>
      </c>
      <c r="F153" s="1024" t="s">
        <v>406</v>
      </c>
      <c r="G153" s="517" t="s">
        <v>404</v>
      </c>
      <c r="H153" s="1024" t="s">
        <v>405</v>
      </c>
      <c r="I153" s="1024" t="s">
        <v>406</v>
      </c>
      <c r="J153" s="517" t="s">
        <v>404</v>
      </c>
      <c r="K153" s="1024" t="s">
        <v>405</v>
      </c>
      <c r="L153" s="1024" t="s">
        <v>406</v>
      </c>
      <c r="M153" s="1024" t="s">
        <v>404</v>
      </c>
      <c r="N153" s="1024" t="s">
        <v>72</v>
      </c>
      <c r="O153" s="1024" t="s">
        <v>409</v>
      </c>
      <c r="P153" s="1024" t="s">
        <v>404</v>
      </c>
      <c r="Q153" s="1024" t="s">
        <v>805</v>
      </c>
      <c r="R153" s="1024" t="s">
        <v>404</v>
      </c>
      <c r="S153" s="1024" t="s">
        <v>805</v>
      </c>
      <c r="T153" s="2261"/>
      <c r="U153" s="24"/>
    </row>
    <row r="154" spans="2:21" x14ac:dyDescent="0.25">
      <c r="B154" s="1021"/>
      <c r="C154" s="1021"/>
      <c r="D154" s="1024" t="s">
        <v>73</v>
      </c>
      <c r="E154" s="1024" t="s">
        <v>74</v>
      </c>
      <c r="F154" s="1024" t="s">
        <v>806</v>
      </c>
      <c r="G154" s="1024" t="s">
        <v>411</v>
      </c>
      <c r="H154" s="1024" t="s">
        <v>412</v>
      </c>
      <c r="I154" s="1024" t="s">
        <v>439</v>
      </c>
      <c r="J154" s="1024" t="s">
        <v>668</v>
      </c>
      <c r="K154" s="1024" t="s">
        <v>582</v>
      </c>
      <c r="L154" s="1024" t="s">
        <v>675</v>
      </c>
      <c r="M154" s="1024" t="s">
        <v>782</v>
      </c>
      <c r="N154" s="1024" t="s">
        <v>583</v>
      </c>
      <c r="O154" s="1024" t="s">
        <v>844</v>
      </c>
      <c r="P154" s="1024" t="s">
        <v>585</v>
      </c>
      <c r="Q154" s="1024" t="s">
        <v>761</v>
      </c>
      <c r="R154" s="1024" t="s">
        <v>784</v>
      </c>
      <c r="S154" s="1024" t="s">
        <v>762</v>
      </c>
      <c r="T154" s="2262"/>
      <c r="U154" s="24"/>
    </row>
    <row r="155" spans="2:21" x14ac:dyDescent="0.3">
      <c r="B155" s="69">
        <v>1</v>
      </c>
      <c r="C155" s="27" t="s">
        <v>242</v>
      </c>
      <c r="D155" s="547"/>
      <c r="E155" s="547">
        <v>0</v>
      </c>
      <c r="F155" s="547">
        <f>E155-D155</f>
        <v>0</v>
      </c>
      <c r="G155" s="547"/>
      <c r="H155" s="353"/>
      <c r="I155" s="353">
        <f>H155-G155</f>
        <v>0</v>
      </c>
      <c r="J155" s="353"/>
      <c r="K155" s="353"/>
      <c r="L155" s="353">
        <f>K155-J155</f>
        <v>0</v>
      </c>
      <c r="M155" s="353"/>
      <c r="N155" s="353"/>
      <c r="O155" s="353">
        <f>N155-M155</f>
        <v>0</v>
      </c>
      <c r="P155" s="353"/>
      <c r="Q155" s="353"/>
      <c r="R155" s="353"/>
      <c r="S155" s="428"/>
      <c r="T155" s="428"/>
      <c r="U155" s="24"/>
    </row>
    <row r="156" spans="2:21" x14ac:dyDescent="0.3">
      <c r="B156" s="69">
        <f>B155+1</f>
        <v>2</v>
      </c>
      <c r="C156" s="27" t="s">
        <v>243</v>
      </c>
      <c r="D156" s="547"/>
      <c r="E156" s="547">
        <v>0</v>
      </c>
      <c r="F156" s="547">
        <f t="shared" ref="F156:F167" si="26">E156-D156</f>
        <v>0</v>
      </c>
      <c r="G156" s="547"/>
      <c r="H156" s="353"/>
      <c r="I156" s="353">
        <f t="shared" ref="I156:I167" si="27">H156-G156</f>
        <v>0</v>
      </c>
      <c r="J156" s="353"/>
      <c r="K156" s="353"/>
      <c r="L156" s="353">
        <f t="shared" ref="L156:L167" si="28">K156-J156</f>
        <v>0</v>
      </c>
      <c r="M156" s="353"/>
      <c r="N156" s="353"/>
      <c r="O156" s="353">
        <f t="shared" ref="O156:O167" si="29">N156-M156</f>
        <v>0</v>
      </c>
      <c r="P156" s="353"/>
      <c r="Q156" s="353"/>
      <c r="R156" s="353"/>
      <c r="S156" s="428"/>
      <c r="T156" s="428"/>
      <c r="U156" s="24"/>
    </row>
    <row r="157" spans="2:21" x14ac:dyDescent="0.3">
      <c r="B157" s="69">
        <f t="shared" ref="B157:B162" si="30">B156+1</f>
        <v>3</v>
      </c>
      <c r="C157" s="27" t="s">
        <v>244</v>
      </c>
      <c r="D157" s="547"/>
      <c r="E157" s="547">
        <f>E155-E156</f>
        <v>0</v>
      </c>
      <c r="F157" s="547">
        <f t="shared" si="26"/>
        <v>0</v>
      </c>
      <c r="G157" s="547"/>
      <c r="H157" s="353">
        <f>E161</f>
        <v>0</v>
      </c>
      <c r="I157" s="353">
        <f t="shared" si="27"/>
        <v>0</v>
      </c>
      <c r="J157" s="353"/>
      <c r="K157" s="353">
        <f>H161</f>
        <v>0</v>
      </c>
      <c r="L157" s="353">
        <f t="shared" si="28"/>
        <v>0</v>
      </c>
      <c r="M157" s="353"/>
      <c r="N157" s="353">
        <f>K161</f>
        <v>0</v>
      </c>
      <c r="O157" s="353">
        <f t="shared" si="29"/>
        <v>0</v>
      </c>
      <c r="P157" s="353"/>
      <c r="Q157" s="353">
        <f>N161</f>
        <v>0</v>
      </c>
      <c r="R157" s="353"/>
      <c r="S157" s="428">
        <f>Q161</f>
        <v>30.837099361289216</v>
      </c>
      <c r="T157" s="428"/>
      <c r="U157" s="24"/>
    </row>
    <row r="158" spans="2:21" x14ac:dyDescent="0.3">
      <c r="B158" s="69">
        <f t="shared" si="30"/>
        <v>4</v>
      </c>
      <c r="C158" s="27" t="s">
        <v>245</v>
      </c>
      <c r="D158" s="547">
        <f>27.66*10%</f>
        <v>2.766</v>
      </c>
      <c r="E158" s="547">
        <f>'F 5.3'!$J$13*70%*10%</f>
        <v>1.3706000000000003</v>
      </c>
      <c r="F158" s="547">
        <f t="shared" si="26"/>
        <v>-1.3953999999999998</v>
      </c>
      <c r="G158" s="547">
        <v>2.7656999999999998</v>
      </c>
      <c r="H158" s="547">
        <f>'F 5.3'!K13*70%*10%</f>
        <v>1.7339</v>
      </c>
      <c r="I158" s="353">
        <f t="shared" si="27"/>
        <v>-1.0317999999999998</v>
      </c>
      <c r="J158" s="547">
        <v>2.7656999999999998</v>
      </c>
      <c r="K158" s="353">
        <f>'F 5.3'!L13*70%*10%</f>
        <v>1.3790841012200001</v>
      </c>
      <c r="L158" s="353">
        <f t="shared" si="28"/>
        <v>-1.3866158987799997</v>
      </c>
      <c r="M158" s="547">
        <v>2.7656999999999998</v>
      </c>
      <c r="N158" s="353">
        <f>'F 5.3'!M13*10%*70%</f>
        <v>1.3790841012200001</v>
      </c>
      <c r="O158" s="353">
        <f t="shared" si="29"/>
        <v>-1.3866158987799997</v>
      </c>
      <c r="P158" s="547">
        <v>2.7656999999999998</v>
      </c>
      <c r="Q158" s="353">
        <f>'F 5.3'!O13*10%*70%</f>
        <v>1.3790841012200001</v>
      </c>
      <c r="R158" s="547">
        <v>2.7656999999999998</v>
      </c>
      <c r="S158" s="428">
        <f>'F 5.3'!O13*10%*70%</f>
        <v>1.3790841012200001</v>
      </c>
      <c r="T158" s="428"/>
      <c r="U158" s="24"/>
    </row>
    <row r="159" spans="2:21" x14ac:dyDescent="0.3">
      <c r="B159" s="69">
        <f>B158+1</f>
        <v>5</v>
      </c>
      <c r="C159" s="27" t="s">
        <v>440</v>
      </c>
      <c r="D159" s="547">
        <f>90.15*10%</f>
        <v>9.0150000000000006</v>
      </c>
      <c r="E159" s="547">
        <f>Grant!D6*10%</f>
        <v>9.9155000000000015</v>
      </c>
      <c r="F159" s="547">
        <f t="shared" si="26"/>
        <v>0.90050000000000097</v>
      </c>
      <c r="G159" s="353">
        <f>45.14*10%</f>
        <v>4.5140000000000002</v>
      </c>
      <c r="H159" s="353">
        <f>Grant!E6*10%</f>
        <v>8.6485000000000003</v>
      </c>
      <c r="I159" s="353">
        <f t="shared" si="27"/>
        <v>4.1345000000000001</v>
      </c>
      <c r="J159" s="353">
        <f>40.63*10%</f>
        <v>4.0630000000000006</v>
      </c>
      <c r="K159" s="353">
        <f>Grant!F6*10%</f>
        <v>7.3363935610000004</v>
      </c>
      <c r="L159" s="353">
        <f t="shared" si="28"/>
        <v>3.2733935609999998</v>
      </c>
      <c r="M159" s="353">
        <f>40.78*10%</f>
        <v>4.0780000000000003</v>
      </c>
      <c r="N159" s="353">
        <f>Grant!G6*10%</f>
        <v>8.9750935609999996</v>
      </c>
      <c r="O159" s="353">
        <f t="shared" si="29"/>
        <v>4.8970935609999993</v>
      </c>
      <c r="P159" s="353">
        <f>40.71*10%</f>
        <v>4.0710000000000006</v>
      </c>
      <c r="Q159" s="353">
        <f>Grant!H6*10%</f>
        <v>45.051182561000005</v>
      </c>
      <c r="R159" s="353">
        <f>40.64*10%</f>
        <v>4.0640000000000001</v>
      </c>
      <c r="S159" s="428">
        <f>Grant!I6*10%</f>
        <v>40.906178060999999</v>
      </c>
      <c r="T159" s="428"/>
      <c r="U159" s="24"/>
    </row>
    <row r="160" spans="2:21" x14ac:dyDescent="0.3">
      <c r="B160" s="69">
        <f t="shared" si="30"/>
        <v>6</v>
      </c>
      <c r="C160" s="27" t="s">
        <v>254</v>
      </c>
      <c r="D160" s="547">
        <f>62.5*10%</f>
        <v>6.25</v>
      </c>
      <c r="E160" s="509">
        <f>MAX(MIN('F 5.3'!J28*10%,E157-E158+E159),0)</f>
        <v>8.5449000000000019</v>
      </c>
      <c r="F160" s="547">
        <f t="shared" si="26"/>
        <v>2.2949000000000019</v>
      </c>
      <c r="G160" s="353">
        <f>17.49*10%</f>
        <v>1.7489999999999999</v>
      </c>
      <c r="H160" s="509">
        <f>MAX(MIN('F 5.3'!K28*10%,H157-H158+H159),0)</f>
        <v>6.9146000000000001</v>
      </c>
      <c r="I160" s="353">
        <f t="shared" si="27"/>
        <v>5.1656000000000004</v>
      </c>
      <c r="J160" s="353">
        <f>12.97*10%</f>
        <v>1.2970000000000002</v>
      </c>
      <c r="K160" s="509">
        <f>MAX(MIN('F 5.3'!L28*10%,K157-K158+K159),0)</f>
        <v>5.9573094597800003</v>
      </c>
      <c r="L160" s="353">
        <f t="shared" si="28"/>
        <v>4.6603094597800006</v>
      </c>
      <c r="M160" s="353">
        <f>13.12*10%</f>
        <v>1.3120000000000001</v>
      </c>
      <c r="N160" s="509">
        <f>MAX(MIN('F 5.3'!M28*10%,N157-N158+N159),0)</f>
        <v>7.5960094597799994</v>
      </c>
      <c r="O160" s="353">
        <f t="shared" si="29"/>
        <v>6.2840094597799991</v>
      </c>
      <c r="P160" s="353">
        <f>13.05*10%</f>
        <v>1.3050000000000002</v>
      </c>
      <c r="Q160" s="509">
        <f>MAX(MIN('F 5.3'!N28*10%,Q157-Q158+Q159),0)</f>
        <v>12.834999098490787</v>
      </c>
      <c r="R160" s="353">
        <f>12.98*10%</f>
        <v>1.298</v>
      </c>
      <c r="S160" s="509">
        <f>MAX(MIN('F 5.3'!O28*10%,S157-S158+S159),0)</f>
        <v>15.926751213681976</v>
      </c>
      <c r="T160" s="428"/>
      <c r="U160" s="24"/>
    </row>
    <row r="161" spans="2:21" x14ac:dyDescent="0.3">
      <c r="B161" s="69">
        <f t="shared" si="30"/>
        <v>7</v>
      </c>
      <c r="C161" s="27" t="s">
        <v>246</v>
      </c>
      <c r="D161" s="547">
        <f>IF((D157-D158+D159-D160)&lt;0,0,(D157-D158+D159-D160))</f>
        <v>0</v>
      </c>
      <c r="E161" s="547">
        <f>IF((E157-E158+E159-E160)&lt;0,0,(E157-E158+E159-E160))</f>
        <v>0</v>
      </c>
      <c r="F161" s="547">
        <f t="shared" si="26"/>
        <v>0</v>
      </c>
      <c r="G161" s="547">
        <f>IF((G157-G158+G159-G160)&lt;0,0,(G157-G158+G159-G160))</f>
        <v>0</v>
      </c>
      <c r="H161" s="547">
        <f>IF((H157-H158+H159-H160)&lt;0,0,(H157-H158+H159-H160))</f>
        <v>0</v>
      </c>
      <c r="I161" s="353">
        <f t="shared" si="27"/>
        <v>0</v>
      </c>
      <c r="J161" s="547">
        <f>IF((J157-J158+J159-J160)&lt;0,0,(J157-J158+J159-J160))</f>
        <v>3.0000000000063309E-4</v>
      </c>
      <c r="K161" s="547">
        <f>IF((K157-K158+K159-K160)&lt;0,0,(K157-K158+K159-K160))</f>
        <v>0</v>
      </c>
      <c r="L161" s="353">
        <f t="shared" si="28"/>
        <v>-3.0000000000063309E-4</v>
      </c>
      <c r="M161" s="547">
        <f>IF((M157-M158+M159-M160)&lt;0,0,(M157-M158+M159-M160))</f>
        <v>3.0000000000041105E-4</v>
      </c>
      <c r="N161" s="547">
        <f>IF((N157-N158+N159-N160)&lt;0,0,(N157-N158+N159-N160))</f>
        <v>0</v>
      </c>
      <c r="O161" s="353">
        <f t="shared" si="29"/>
        <v>-3.0000000000041105E-4</v>
      </c>
      <c r="P161" s="547">
        <f>IF((P157-P158+P159-P160)&lt;0,0,(P157-P158+P159-P160))</f>
        <v>3.0000000000063309E-4</v>
      </c>
      <c r="Q161" s="547">
        <f>IF((Q157-Q158+Q159-Q160)&lt;0,0,(Q157-Q158+Q159-Q160))</f>
        <v>30.837099361289216</v>
      </c>
      <c r="R161" s="547">
        <f>IF((R157-R158+R159-R160)&lt;0,0,(R157-R158+R159-R160))</f>
        <v>3.00000000000189E-4</v>
      </c>
      <c r="S161" s="547">
        <f>IF((S157-S158+S159-S160)&lt;0,0,(S157-S158+S159-S160))</f>
        <v>54.437442107387248</v>
      </c>
      <c r="T161" s="428"/>
      <c r="U161" s="24"/>
    </row>
    <row r="162" spans="2:21" x14ac:dyDescent="0.3">
      <c r="B162" s="69">
        <f t="shared" si="30"/>
        <v>8</v>
      </c>
      <c r="C162" s="27" t="s">
        <v>247</v>
      </c>
      <c r="D162" s="547"/>
      <c r="E162" s="547">
        <v>0</v>
      </c>
      <c r="F162" s="547">
        <f t="shared" si="26"/>
        <v>0</v>
      </c>
      <c r="G162" s="547">
        <v>0</v>
      </c>
      <c r="H162" s="353"/>
      <c r="I162" s="353">
        <f t="shared" si="27"/>
        <v>0</v>
      </c>
      <c r="J162" s="353"/>
      <c r="K162" s="353"/>
      <c r="L162" s="353">
        <f t="shared" si="28"/>
        <v>0</v>
      </c>
      <c r="M162" s="353"/>
      <c r="N162" s="353"/>
      <c r="O162" s="353">
        <f t="shared" si="29"/>
        <v>0</v>
      </c>
      <c r="P162" s="353"/>
      <c r="Q162" s="353"/>
      <c r="R162" s="353"/>
      <c r="S162" s="428"/>
      <c r="T162" s="428"/>
      <c r="U162" s="24"/>
    </row>
    <row r="163" spans="2:21" x14ac:dyDescent="0.3">
      <c r="B163" s="69">
        <v>9</v>
      </c>
      <c r="C163" s="27" t="s">
        <v>441</v>
      </c>
      <c r="D163" s="547"/>
      <c r="E163" s="547">
        <f>AVERAGE(E157,E161)</f>
        <v>0</v>
      </c>
      <c r="F163" s="547">
        <f t="shared" si="26"/>
        <v>0</v>
      </c>
      <c r="G163" s="547"/>
      <c r="H163" s="547">
        <f>AVERAGE(H157,H161)</f>
        <v>0</v>
      </c>
      <c r="I163" s="353">
        <f t="shared" si="27"/>
        <v>0</v>
      </c>
      <c r="J163" s="353"/>
      <c r="K163" s="547">
        <f>AVERAGE(K157,K161)</f>
        <v>0</v>
      </c>
      <c r="L163" s="353">
        <f t="shared" si="28"/>
        <v>0</v>
      </c>
      <c r="M163" s="353"/>
      <c r="N163" s="547">
        <f>AVERAGE(N157,N161)</f>
        <v>0</v>
      </c>
      <c r="O163" s="353">
        <f t="shared" si="29"/>
        <v>0</v>
      </c>
      <c r="P163" s="547">
        <f>AVERAGE(P157,P161)</f>
        <v>3.0000000000063309E-4</v>
      </c>
      <c r="Q163" s="547">
        <f>AVERAGE(Q157,Q161)</f>
        <v>15.418549680644608</v>
      </c>
      <c r="R163" s="547">
        <f>AVERAGE(R157,R161)</f>
        <v>3.00000000000189E-4</v>
      </c>
      <c r="S163" s="547">
        <f>AVERAGE(S157,S161)</f>
        <v>42.63727073433823</v>
      </c>
      <c r="T163" s="428"/>
      <c r="U163" s="24"/>
    </row>
    <row r="164" spans="2:21" x14ac:dyDescent="0.3">
      <c r="B164" s="69">
        <v>10</v>
      </c>
      <c r="C164" s="1036" t="s">
        <v>442</v>
      </c>
      <c r="D164" s="1037">
        <v>0.11269999999999999</v>
      </c>
      <c r="E164" s="1037">
        <f>E88</f>
        <v>0.10631780709177285</v>
      </c>
      <c r="F164" s="996">
        <f t="shared" si="26"/>
        <v>-6.3821929082271411E-3</v>
      </c>
      <c r="G164" s="1037">
        <v>0.11269999999999999</v>
      </c>
      <c r="H164" s="555">
        <f>H88</f>
        <v>0.10576017100304506</v>
      </c>
      <c r="I164" s="555">
        <f t="shared" si="27"/>
        <v>-6.9398289969549304E-3</v>
      </c>
      <c r="J164" s="1037">
        <v>0.11269999999999999</v>
      </c>
      <c r="K164" s="555">
        <f>K88</f>
        <v>0.1043582831035825</v>
      </c>
      <c r="L164" s="555">
        <f t="shared" si="28"/>
        <v>-8.3417168964174948E-3</v>
      </c>
      <c r="M164" s="1037">
        <v>0.11269999999999999</v>
      </c>
      <c r="N164" s="555">
        <f>N22</f>
        <v>0.10493701491105045</v>
      </c>
      <c r="O164" s="555">
        <f t="shared" si="29"/>
        <v>-7.7629850889495422E-3</v>
      </c>
      <c r="P164" s="1037">
        <v>0.11269999999999999</v>
      </c>
      <c r="Q164" s="555">
        <f>Q22</f>
        <v>0.10493701491105045</v>
      </c>
      <c r="R164" s="1037">
        <v>0.11269999999999999</v>
      </c>
      <c r="S164" s="555">
        <f>S22</f>
        <v>0.10493701491105045</v>
      </c>
      <c r="T164" s="557"/>
      <c r="U164" s="1566"/>
    </row>
    <row r="165" spans="2:21" x14ac:dyDescent="0.3">
      <c r="B165" s="69">
        <v>11</v>
      </c>
      <c r="C165" s="1036" t="s">
        <v>45</v>
      </c>
      <c r="D165" s="1034">
        <f>D164*D163</f>
        <v>0</v>
      </c>
      <c r="E165" s="1034">
        <f>E164*E163</f>
        <v>0</v>
      </c>
      <c r="F165" s="547">
        <f t="shared" si="26"/>
        <v>0</v>
      </c>
      <c r="G165" s="1034">
        <f>G164*G163</f>
        <v>0</v>
      </c>
      <c r="H165" s="1034">
        <f>H164*H163</f>
        <v>0</v>
      </c>
      <c r="I165" s="353">
        <f t="shared" si="27"/>
        <v>0</v>
      </c>
      <c r="J165" s="1034">
        <f>J164*J163</f>
        <v>0</v>
      </c>
      <c r="K165" s="1034">
        <f>K164*K163</f>
        <v>0</v>
      </c>
      <c r="L165" s="353">
        <f t="shared" si="28"/>
        <v>0</v>
      </c>
      <c r="M165" s="1034">
        <f>M164*M163</f>
        <v>0</v>
      </c>
      <c r="N165" s="1034">
        <f>N164*N163</f>
        <v>0</v>
      </c>
      <c r="O165" s="353">
        <f t="shared" si="29"/>
        <v>0</v>
      </c>
      <c r="P165" s="1034">
        <f>P164*P163</f>
        <v>3.3810000000071351E-5</v>
      </c>
      <c r="Q165" s="1034">
        <f>Q164*Q163</f>
        <v>1.6179765777445754</v>
      </c>
      <c r="R165" s="1034">
        <f>R164*R163</f>
        <v>3.3810000000021301E-5</v>
      </c>
      <c r="S165" s="1034">
        <f>S164*S163</f>
        <v>4.4742279148157458</v>
      </c>
      <c r="T165" s="428"/>
      <c r="U165" s="24"/>
    </row>
    <row r="166" spans="2:21" x14ac:dyDescent="0.3">
      <c r="B166" s="69">
        <v>12</v>
      </c>
      <c r="C166" s="27" t="s">
        <v>249</v>
      </c>
      <c r="D166" s="547"/>
      <c r="E166" s="547"/>
      <c r="F166" s="547">
        <f t="shared" si="26"/>
        <v>0</v>
      </c>
      <c r="G166" s="547"/>
      <c r="H166" s="353"/>
      <c r="I166" s="353">
        <f t="shared" si="27"/>
        <v>0</v>
      </c>
      <c r="J166" s="353"/>
      <c r="K166" s="353"/>
      <c r="L166" s="353">
        <f t="shared" si="28"/>
        <v>0</v>
      </c>
      <c r="M166" s="353"/>
      <c r="N166" s="353"/>
      <c r="O166" s="353">
        <f t="shared" si="29"/>
        <v>0</v>
      </c>
      <c r="P166" s="353"/>
      <c r="Q166" s="353"/>
      <c r="R166" s="353"/>
      <c r="S166" s="428"/>
      <c r="T166" s="428"/>
      <c r="U166" s="24"/>
    </row>
    <row r="167" spans="2:21" x14ac:dyDescent="0.3">
      <c r="B167" s="70">
        <v>13</v>
      </c>
      <c r="C167" s="26" t="s">
        <v>443</v>
      </c>
      <c r="D167" s="550"/>
      <c r="E167" s="549">
        <f>E165+E166</f>
        <v>0</v>
      </c>
      <c r="F167" s="547">
        <f t="shared" si="26"/>
        <v>0</v>
      </c>
      <c r="G167" s="550"/>
      <c r="H167" s="549">
        <f>H165+H166</f>
        <v>0</v>
      </c>
      <c r="I167" s="353">
        <f t="shared" si="27"/>
        <v>0</v>
      </c>
      <c r="J167" s="354"/>
      <c r="K167" s="549">
        <f>K165+K166</f>
        <v>0</v>
      </c>
      <c r="L167" s="353">
        <f t="shared" si="28"/>
        <v>0</v>
      </c>
      <c r="M167" s="354"/>
      <c r="N167" s="549">
        <f>N165+N166</f>
        <v>0</v>
      </c>
      <c r="O167" s="353">
        <f t="shared" si="29"/>
        <v>0</v>
      </c>
      <c r="P167" s="354"/>
      <c r="Q167" s="549">
        <f>Q165+Q166</f>
        <v>1.6179765777445754</v>
      </c>
      <c r="R167" s="354"/>
      <c r="S167" s="549">
        <f>S165+S166</f>
        <v>4.4742279148157458</v>
      </c>
      <c r="T167" s="428"/>
      <c r="U167" s="24"/>
    </row>
    <row r="168" spans="2:21" s="13" customFormat="1" x14ac:dyDescent="0.3">
      <c r="B168" s="1627"/>
      <c r="C168" s="1628"/>
      <c r="D168" s="529"/>
      <c r="E168" s="938" t="b">
        <f>E164=E22</f>
        <v>1</v>
      </c>
      <c r="F168" s="529"/>
      <c r="G168" s="529"/>
      <c r="H168" s="938" t="b">
        <f>H164=H22</f>
        <v>1</v>
      </c>
      <c r="I168" s="528"/>
      <c r="J168" s="528"/>
      <c r="K168" s="938" t="b">
        <f>K164=K22</f>
        <v>1</v>
      </c>
      <c r="L168" s="1629"/>
      <c r="M168" s="528"/>
      <c r="N168" s="938" t="b">
        <f>N164=N22</f>
        <v>1</v>
      </c>
      <c r="O168" s="528"/>
      <c r="P168" s="528"/>
      <c r="Q168" s="938" t="b">
        <f>Q164=Q22</f>
        <v>1</v>
      </c>
      <c r="R168" s="528"/>
      <c r="S168" s="938" t="b">
        <f>S164=S22</f>
        <v>1</v>
      </c>
    </row>
    <row r="169" spans="2:21" x14ac:dyDescent="0.25">
      <c r="C169" s="172" t="s">
        <v>444</v>
      </c>
      <c r="D169" s="563"/>
      <c r="E169" s="563"/>
      <c r="F169" s="563"/>
      <c r="G169" s="563"/>
    </row>
    <row r="170" spans="2:21" x14ac:dyDescent="0.25">
      <c r="R170" s="516" t="s">
        <v>16</v>
      </c>
      <c r="T170" s="516"/>
    </row>
    <row r="171" spans="2:21" ht="15" customHeight="1" x14ac:dyDescent="0.25">
      <c r="B171" s="2180" t="s">
        <v>190</v>
      </c>
      <c r="C171" s="2180" t="s">
        <v>38</v>
      </c>
      <c r="D171" s="2263" t="s">
        <v>804</v>
      </c>
      <c r="E171" s="2264"/>
      <c r="F171" s="2265"/>
      <c r="G171" s="2263" t="s">
        <v>186</v>
      </c>
      <c r="H171" s="2264"/>
      <c r="I171" s="2265"/>
      <c r="J171" s="2263" t="s">
        <v>426</v>
      </c>
      <c r="K171" s="2264"/>
      <c r="L171" s="2265"/>
      <c r="M171" s="2263" t="s">
        <v>427</v>
      </c>
      <c r="N171" s="2264"/>
      <c r="O171" s="2265"/>
      <c r="P171" s="2263" t="s">
        <v>428</v>
      </c>
      <c r="Q171" s="2265"/>
      <c r="R171" s="2263" t="s">
        <v>429</v>
      </c>
      <c r="S171" s="2265"/>
      <c r="T171" s="2261" t="s">
        <v>39</v>
      </c>
      <c r="U171" s="23"/>
    </row>
    <row r="172" spans="2:21" x14ac:dyDescent="0.25">
      <c r="B172" s="2180"/>
      <c r="C172" s="2180"/>
      <c r="D172" s="517" t="s">
        <v>404</v>
      </c>
      <c r="E172" s="1024" t="s">
        <v>1413</v>
      </c>
      <c r="F172" s="1024" t="s">
        <v>406</v>
      </c>
      <c r="G172" s="517" t="s">
        <v>404</v>
      </c>
      <c r="H172" s="1024" t="s">
        <v>405</v>
      </c>
      <c r="I172" s="1024" t="s">
        <v>406</v>
      </c>
      <c r="J172" s="517" t="s">
        <v>404</v>
      </c>
      <c r="K172" s="1024" t="s">
        <v>405</v>
      </c>
      <c r="L172" s="1024" t="s">
        <v>406</v>
      </c>
      <c r="M172" s="1024" t="s">
        <v>404</v>
      </c>
      <c r="N172" s="1024" t="s">
        <v>72</v>
      </c>
      <c r="O172" s="1024" t="s">
        <v>409</v>
      </c>
      <c r="P172" s="1024" t="s">
        <v>404</v>
      </c>
      <c r="Q172" s="1024" t="s">
        <v>805</v>
      </c>
      <c r="R172" s="1024" t="s">
        <v>404</v>
      </c>
      <c r="S172" s="1024">
        <v>35.36</v>
      </c>
      <c r="T172" s="2261"/>
      <c r="U172" s="24"/>
    </row>
    <row r="173" spans="2:21" x14ac:dyDescent="0.25">
      <c r="B173" s="217"/>
      <c r="C173" s="218"/>
      <c r="D173" s="1024" t="s">
        <v>73</v>
      </c>
      <c r="E173" s="1024" t="s">
        <v>74</v>
      </c>
      <c r="F173" s="1024" t="s">
        <v>806</v>
      </c>
      <c r="G173" s="1024" t="s">
        <v>411</v>
      </c>
      <c r="H173" s="1024" t="s">
        <v>412</v>
      </c>
      <c r="I173" s="1024" t="s">
        <v>439</v>
      </c>
      <c r="J173" s="1024" t="s">
        <v>668</v>
      </c>
      <c r="K173" s="1024" t="s">
        <v>582</v>
      </c>
      <c r="L173" s="1024" t="s">
        <v>675</v>
      </c>
      <c r="M173" s="1024" t="s">
        <v>782</v>
      </c>
      <c r="N173" s="1024" t="s">
        <v>583</v>
      </c>
      <c r="O173" s="1024" t="s">
        <v>844</v>
      </c>
      <c r="P173" s="1024" t="s">
        <v>585</v>
      </c>
      <c r="Q173" s="1024" t="s">
        <v>761</v>
      </c>
      <c r="R173" s="1024" t="s">
        <v>784</v>
      </c>
      <c r="S173" s="1024" t="s">
        <v>762</v>
      </c>
      <c r="T173" s="2262"/>
      <c r="U173" s="24"/>
    </row>
    <row r="174" spans="2:21" x14ac:dyDescent="0.3">
      <c r="B174" s="70">
        <v>1</v>
      </c>
      <c r="C174" s="26" t="s">
        <v>613</v>
      </c>
      <c r="D174" s="550"/>
      <c r="E174" s="550"/>
      <c r="F174" s="550">
        <f>E174-D174</f>
        <v>0</v>
      </c>
      <c r="G174" s="550"/>
      <c r="H174" s="353"/>
      <c r="I174" s="353">
        <f>H174-G174</f>
        <v>0</v>
      </c>
      <c r="J174" s="353"/>
      <c r="K174" s="353"/>
      <c r="L174" s="353">
        <f>K174-J174</f>
        <v>0</v>
      </c>
      <c r="M174" s="353"/>
      <c r="N174" s="353"/>
      <c r="O174" s="353">
        <f>N174-M174</f>
        <v>0</v>
      </c>
      <c r="P174" s="353"/>
      <c r="Q174" s="353"/>
      <c r="R174" s="353"/>
      <c r="S174" s="428"/>
      <c r="T174" s="428"/>
      <c r="U174" s="24"/>
    </row>
    <row r="175" spans="2:21" x14ac:dyDescent="0.3">
      <c r="B175" s="69">
        <v>1.1000000000000001</v>
      </c>
      <c r="C175" s="27" t="s">
        <v>41</v>
      </c>
      <c r="D175" s="547"/>
      <c r="E175" s="547"/>
      <c r="F175" s="550">
        <f t="shared" ref="F175:F211" si="31">E175-D175</f>
        <v>0</v>
      </c>
      <c r="G175" s="547"/>
      <c r="H175" s="353"/>
      <c r="I175" s="353">
        <f t="shared" ref="I175:I211" si="32">H175-G175</f>
        <v>0</v>
      </c>
      <c r="J175" s="353"/>
      <c r="K175" s="353"/>
      <c r="L175" s="353">
        <f t="shared" ref="L175:L211" si="33">K175-J175</f>
        <v>0</v>
      </c>
      <c r="M175" s="353"/>
      <c r="N175" s="353"/>
      <c r="O175" s="353">
        <f t="shared" ref="O175:O211" si="34">N175-M175</f>
        <v>0</v>
      </c>
      <c r="P175" s="353"/>
      <c r="Q175" s="353"/>
      <c r="R175" s="353"/>
      <c r="S175" s="428"/>
      <c r="T175" s="428"/>
      <c r="U175" s="24"/>
    </row>
    <row r="176" spans="2:21" x14ac:dyDescent="0.3">
      <c r="B176" s="69">
        <f t="shared" ref="B176:B182" si="35">B175+0.1</f>
        <v>1.2000000000000002</v>
      </c>
      <c r="C176" s="27" t="s">
        <v>245</v>
      </c>
      <c r="D176" s="547"/>
      <c r="E176" s="547"/>
      <c r="F176" s="550">
        <f t="shared" si="31"/>
        <v>0</v>
      </c>
      <c r="G176" s="547"/>
      <c r="H176" s="353"/>
      <c r="I176" s="353">
        <f t="shared" si="32"/>
        <v>0</v>
      </c>
      <c r="J176" s="353"/>
      <c r="K176" s="353"/>
      <c r="L176" s="353">
        <f t="shared" si="33"/>
        <v>0</v>
      </c>
      <c r="M176" s="353"/>
      <c r="N176" s="353"/>
      <c r="O176" s="353">
        <f t="shared" si="34"/>
        <v>0</v>
      </c>
      <c r="P176" s="353"/>
      <c r="Q176" s="353"/>
      <c r="R176" s="353"/>
      <c r="S176" s="428"/>
      <c r="T176" s="428"/>
      <c r="U176" s="24"/>
    </row>
    <row r="177" spans="2:21" x14ac:dyDescent="0.3">
      <c r="B177" s="69">
        <f t="shared" si="35"/>
        <v>1.3000000000000003</v>
      </c>
      <c r="C177" s="27" t="s">
        <v>189</v>
      </c>
      <c r="D177" s="547"/>
      <c r="E177" s="547"/>
      <c r="F177" s="550">
        <f t="shared" si="31"/>
        <v>0</v>
      </c>
      <c r="G177" s="547"/>
      <c r="H177" s="353"/>
      <c r="I177" s="353">
        <f t="shared" si="32"/>
        <v>0</v>
      </c>
      <c r="J177" s="353"/>
      <c r="K177" s="353"/>
      <c r="L177" s="353">
        <f t="shared" si="33"/>
        <v>0</v>
      </c>
      <c r="M177" s="353"/>
      <c r="N177" s="353"/>
      <c r="O177" s="353">
        <f t="shared" si="34"/>
        <v>0</v>
      </c>
      <c r="P177" s="353"/>
      <c r="Q177" s="353"/>
      <c r="R177" s="353"/>
      <c r="S177" s="428"/>
      <c r="T177" s="428"/>
      <c r="U177" s="24"/>
    </row>
    <row r="178" spans="2:21" x14ac:dyDescent="0.3">
      <c r="B178" s="69">
        <f t="shared" si="35"/>
        <v>1.4000000000000004</v>
      </c>
      <c r="C178" s="27" t="s">
        <v>42</v>
      </c>
      <c r="D178" s="547"/>
      <c r="E178" s="547"/>
      <c r="F178" s="550">
        <f t="shared" si="31"/>
        <v>0</v>
      </c>
      <c r="G178" s="547"/>
      <c r="H178" s="353"/>
      <c r="I178" s="353">
        <f t="shared" si="32"/>
        <v>0</v>
      </c>
      <c r="J178" s="353"/>
      <c r="K178" s="353"/>
      <c r="L178" s="353">
        <f t="shared" si="33"/>
        <v>0</v>
      </c>
      <c r="M178" s="353"/>
      <c r="N178" s="353"/>
      <c r="O178" s="353">
        <f t="shared" si="34"/>
        <v>0</v>
      </c>
      <c r="P178" s="353"/>
      <c r="Q178" s="353"/>
      <c r="R178" s="353"/>
      <c r="S178" s="428"/>
      <c r="T178" s="428"/>
      <c r="U178" s="24"/>
    </row>
    <row r="179" spans="2:21" x14ac:dyDescent="0.3">
      <c r="B179" s="69">
        <f t="shared" si="35"/>
        <v>1.5000000000000004</v>
      </c>
      <c r="C179" s="27" t="s">
        <v>43</v>
      </c>
      <c r="D179" s="547"/>
      <c r="E179" s="547"/>
      <c r="F179" s="550">
        <f t="shared" si="31"/>
        <v>0</v>
      </c>
      <c r="G179" s="547"/>
      <c r="H179" s="353"/>
      <c r="I179" s="353">
        <f t="shared" si="32"/>
        <v>0</v>
      </c>
      <c r="J179" s="353"/>
      <c r="K179" s="353"/>
      <c r="L179" s="353">
        <f t="shared" si="33"/>
        <v>0</v>
      </c>
      <c r="M179" s="353"/>
      <c r="N179" s="353"/>
      <c r="O179" s="353">
        <f t="shared" si="34"/>
        <v>0</v>
      </c>
      <c r="P179" s="353"/>
      <c r="Q179" s="353"/>
      <c r="R179" s="353"/>
      <c r="S179" s="428"/>
      <c r="T179" s="428"/>
      <c r="U179" s="24"/>
    </row>
    <row r="180" spans="2:21" x14ac:dyDescent="0.3">
      <c r="B180" s="69">
        <f t="shared" si="35"/>
        <v>1.6000000000000005</v>
      </c>
      <c r="C180" s="27" t="s">
        <v>445</v>
      </c>
      <c r="D180" s="547"/>
      <c r="E180" s="547"/>
      <c r="F180" s="550">
        <f t="shared" si="31"/>
        <v>0</v>
      </c>
      <c r="G180" s="547"/>
      <c r="H180" s="353"/>
      <c r="I180" s="353">
        <f t="shared" si="32"/>
        <v>0</v>
      </c>
      <c r="J180" s="353"/>
      <c r="K180" s="353"/>
      <c r="L180" s="353">
        <f t="shared" si="33"/>
        <v>0</v>
      </c>
      <c r="M180" s="353"/>
      <c r="N180" s="353"/>
      <c r="O180" s="353">
        <f t="shared" si="34"/>
        <v>0</v>
      </c>
      <c r="P180" s="353"/>
      <c r="Q180" s="353"/>
      <c r="R180" s="353"/>
      <c r="S180" s="428"/>
      <c r="T180" s="428"/>
      <c r="U180" s="24"/>
    </row>
    <row r="181" spans="2:21" x14ac:dyDescent="0.3">
      <c r="B181" s="69">
        <f t="shared" si="35"/>
        <v>1.7000000000000006</v>
      </c>
      <c r="C181" s="27" t="s">
        <v>44</v>
      </c>
      <c r="D181" s="547"/>
      <c r="E181" s="547"/>
      <c r="F181" s="550">
        <f t="shared" si="31"/>
        <v>0</v>
      </c>
      <c r="G181" s="547"/>
      <c r="H181" s="353"/>
      <c r="I181" s="353">
        <f t="shared" si="32"/>
        <v>0</v>
      </c>
      <c r="J181" s="353"/>
      <c r="K181" s="353"/>
      <c r="L181" s="353">
        <f t="shared" si="33"/>
        <v>0</v>
      </c>
      <c r="M181" s="353"/>
      <c r="N181" s="353"/>
      <c r="O181" s="353">
        <f t="shared" si="34"/>
        <v>0</v>
      </c>
      <c r="P181" s="353"/>
      <c r="Q181" s="353"/>
      <c r="R181" s="353"/>
      <c r="S181" s="428"/>
      <c r="T181" s="428"/>
      <c r="U181" s="24"/>
    </row>
    <row r="182" spans="2:21" x14ac:dyDescent="0.3">
      <c r="B182" s="69">
        <f t="shared" si="35"/>
        <v>1.8000000000000007</v>
      </c>
      <c r="C182" s="27" t="s">
        <v>45</v>
      </c>
      <c r="D182" s="547"/>
      <c r="E182" s="547"/>
      <c r="F182" s="550">
        <f t="shared" si="31"/>
        <v>0</v>
      </c>
      <c r="G182" s="547"/>
      <c r="H182" s="353"/>
      <c r="I182" s="353">
        <f t="shared" si="32"/>
        <v>0</v>
      </c>
      <c r="J182" s="353"/>
      <c r="K182" s="353"/>
      <c r="L182" s="353">
        <f t="shared" si="33"/>
        <v>0</v>
      </c>
      <c r="M182" s="353"/>
      <c r="N182" s="353"/>
      <c r="O182" s="353">
        <f t="shared" si="34"/>
        <v>0</v>
      </c>
      <c r="P182" s="353"/>
      <c r="Q182" s="353"/>
      <c r="R182" s="353"/>
      <c r="S182" s="428"/>
      <c r="T182" s="428"/>
      <c r="U182" s="24"/>
    </row>
    <row r="183" spans="2:21" x14ac:dyDescent="0.3">
      <c r="B183" s="69"/>
      <c r="C183" s="27"/>
      <c r="D183" s="547"/>
      <c r="E183" s="547"/>
      <c r="F183" s="550">
        <f t="shared" si="31"/>
        <v>0</v>
      </c>
      <c r="G183" s="547"/>
      <c r="H183" s="353"/>
      <c r="I183" s="353">
        <f t="shared" si="32"/>
        <v>0</v>
      </c>
      <c r="J183" s="353"/>
      <c r="K183" s="353"/>
      <c r="L183" s="353">
        <f t="shared" si="33"/>
        <v>0</v>
      </c>
      <c r="M183" s="353"/>
      <c r="N183" s="353"/>
      <c r="O183" s="353">
        <f t="shared" si="34"/>
        <v>0</v>
      </c>
      <c r="P183" s="353"/>
      <c r="Q183" s="353"/>
      <c r="R183" s="353"/>
      <c r="S183" s="428"/>
      <c r="T183" s="428"/>
      <c r="U183" s="24"/>
    </row>
    <row r="184" spans="2:21" x14ac:dyDescent="0.3">
      <c r="B184" s="70">
        <v>2</v>
      </c>
      <c r="C184" s="26" t="s">
        <v>614</v>
      </c>
      <c r="D184" s="550"/>
      <c r="E184" s="550"/>
      <c r="F184" s="550">
        <f t="shared" si="31"/>
        <v>0</v>
      </c>
      <c r="G184" s="550"/>
      <c r="H184" s="353"/>
      <c r="I184" s="353">
        <f t="shared" si="32"/>
        <v>0</v>
      </c>
      <c r="J184" s="353"/>
      <c r="K184" s="353"/>
      <c r="L184" s="353">
        <f t="shared" si="33"/>
        <v>0</v>
      </c>
      <c r="M184" s="353"/>
      <c r="N184" s="353"/>
      <c r="O184" s="353">
        <f t="shared" si="34"/>
        <v>0</v>
      </c>
      <c r="P184" s="353"/>
      <c r="Q184" s="353"/>
      <c r="R184" s="353"/>
      <c r="S184" s="428"/>
      <c r="T184" s="428"/>
      <c r="U184" s="24"/>
    </row>
    <row r="185" spans="2:21" x14ac:dyDescent="0.3">
      <c r="B185" s="69">
        <f t="shared" ref="B185:B191" si="36">B184+0.1</f>
        <v>2.1</v>
      </c>
      <c r="C185" s="27" t="s">
        <v>41</v>
      </c>
      <c r="D185" s="547"/>
      <c r="E185" s="547"/>
      <c r="F185" s="550">
        <f t="shared" si="31"/>
        <v>0</v>
      </c>
      <c r="G185" s="547"/>
      <c r="H185" s="353"/>
      <c r="I185" s="353">
        <f t="shared" si="32"/>
        <v>0</v>
      </c>
      <c r="J185" s="353"/>
      <c r="K185" s="353"/>
      <c r="L185" s="353">
        <f t="shared" si="33"/>
        <v>0</v>
      </c>
      <c r="M185" s="353"/>
      <c r="N185" s="353"/>
      <c r="O185" s="353">
        <f t="shared" si="34"/>
        <v>0</v>
      </c>
      <c r="P185" s="353"/>
      <c r="Q185" s="353"/>
      <c r="R185" s="353"/>
      <c r="S185" s="428"/>
      <c r="T185" s="428"/>
      <c r="U185" s="24"/>
    </row>
    <row r="186" spans="2:21" x14ac:dyDescent="0.3">
      <c r="B186" s="69">
        <f t="shared" si="36"/>
        <v>2.2000000000000002</v>
      </c>
      <c r="C186" s="27" t="s">
        <v>245</v>
      </c>
      <c r="D186" s="547"/>
      <c r="E186" s="547"/>
      <c r="F186" s="550">
        <f t="shared" si="31"/>
        <v>0</v>
      </c>
      <c r="G186" s="547"/>
      <c r="H186" s="353"/>
      <c r="I186" s="353">
        <f t="shared" si="32"/>
        <v>0</v>
      </c>
      <c r="J186" s="353"/>
      <c r="K186" s="353"/>
      <c r="L186" s="353">
        <f t="shared" si="33"/>
        <v>0</v>
      </c>
      <c r="M186" s="353"/>
      <c r="N186" s="353"/>
      <c r="O186" s="353">
        <f t="shared" si="34"/>
        <v>0</v>
      </c>
      <c r="P186" s="353"/>
      <c r="Q186" s="353"/>
      <c r="R186" s="353"/>
      <c r="S186" s="428"/>
      <c r="T186" s="428"/>
      <c r="U186" s="24"/>
    </row>
    <row r="187" spans="2:21" x14ac:dyDescent="0.3">
      <c r="B187" s="69">
        <f t="shared" si="36"/>
        <v>2.3000000000000003</v>
      </c>
      <c r="C187" s="27" t="s">
        <v>42</v>
      </c>
      <c r="D187" s="547"/>
      <c r="E187" s="547"/>
      <c r="F187" s="550">
        <f t="shared" si="31"/>
        <v>0</v>
      </c>
      <c r="G187" s="547"/>
      <c r="H187" s="353"/>
      <c r="I187" s="353">
        <f t="shared" si="32"/>
        <v>0</v>
      </c>
      <c r="J187" s="353"/>
      <c r="K187" s="353"/>
      <c r="L187" s="353">
        <f t="shared" si="33"/>
        <v>0</v>
      </c>
      <c r="M187" s="353"/>
      <c r="N187" s="353"/>
      <c r="O187" s="353">
        <f t="shared" si="34"/>
        <v>0</v>
      </c>
      <c r="P187" s="353"/>
      <c r="Q187" s="353"/>
      <c r="R187" s="353"/>
      <c r="S187" s="428"/>
      <c r="T187" s="428"/>
      <c r="U187" s="24"/>
    </row>
    <row r="188" spans="2:21" x14ac:dyDescent="0.3">
      <c r="B188" s="69">
        <f t="shared" si="36"/>
        <v>2.4000000000000004</v>
      </c>
      <c r="C188" s="27" t="s">
        <v>43</v>
      </c>
      <c r="D188" s="547"/>
      <c r="E188" s="547"/>
      <c r="F188" s="550">
        <f t="shared" si="31"/>
        <v>0</v>
      </c>
      <c r="G188" s="547"/>
      <c r="H188" s="353"/>
      <c r="I188" s="353">
        <f t="shared" si="32"/>
        <v>0</v>
      </c>
      <c r="J188" s="353"/>
      <c r="K188" s="353"/>
      <c r="L188" s="353">
        <f t="shared" si="33"/>
        <v>0</v>
      </c>
      <c r="M188" s="353"/>
      <c r="N188" s="353"/>
      <c r="O188" s="353">
        <f t="shared" si="34"/>
        <v>0</v>
      </c>
      <c r="P188" s="353"/>
      <c r="Q188" s="353"/>
      <c r="R188" s="353"/>
      <c r="S188" s="428"/>
      <c r="T188" s="428"/>
      <c r="U188" s="24"/>
    </row>
    <row r="189" spans="2:21" x14ac:dyDescent="0.3">
      <c r="B189" s="69">
        <f t="shared" si="36"/>
        <v>2.5000000000000004</v>
      </c>
      <c r="C189" s="27" t="s">
        <v>445</v>
      </c>
      <c r="D189" s="547"/>
      <c r="E189" s="547"/>
      <c r="F189" s="550">
        <f t="shared" si="31"/>
        <v>0</v>
      </c>
      <c r="G189" s="547"/>
      <c r="H189" s="353"/>
      <c r="I189" s="353">
        <f t="shared" si="32"/>
        <v>0</v>
      </c>
      <c r="J189" s="353"/>
      <c r="K189" s="353"/>
      <c r="L189" s="353">
        <f t="shared" si="33"/>
        <v>0</v>
      </c>
      <c r="M189" s="353"/>
      <c r="N189" s="353"/>
      <c r="O189" s="353">
        <f t="shared" si="34"/>
        <v>0</v>
      </c>
      <c r="P189" s="353"/>
      <c r="Q189" s="353"/>
      <c r="R189" s="353"/>
      <c r="S189" s="428"/>
      <c r="T189" s="428"/>
      <c r="U189" s="24"/>
    </row>
    <row r="190" spans="2:21" x14ac:dyDescent="0.3">
      <c r="B190" s="69">
        <f t="shared" si="36"/>
        <v>2.6000000000000005</v>
      </c>
      <c r="C190" s="27" t="s">
        <v>44</v>
      </c>
      <c r="D190" s="547"/>
      <c r="E190" s="547"/>
      <c r="F190" s="550">
        <f t="shared" si="31"/>
        <v>0</v>
      </c>
      <c r="G190" s="547"/>
      <c r="H190" s="353"/>
      <c r="I190" s="353">
        <f t="shared" si="32"/>
        <v>0</v>
      </c>
      <c r="J190" s="353"/>
      <c r="K190" s="353"/>
      <c r="L190" s="353">
        <f t="shared" si="33"/>
        <v>0</v>
      </c>
      <c r="M190" s="353"/>
      <c r="N190" s="353"/>
      <c r="O190" s="353">
        <f t="shared" si="34"/>
        <v>0</v>
      </c>
      <c r="P190" s="353"/>
      <c r="Q190" s="353"/>
      <c r="R190" s="353"/>
      <c r="S190" s="428"/>
      <c r="T190" s="428"/>
      <c r="U190" s="24"/>
    </row>
    <row r="191" spans="2:21" x14ac:dyDescent="0.3">
      <c r="B191" s="69">
        <f t="shared" si="36"/>
        <v>2.7000000000000006</v>
      </c>
      <c r="C191" s="27" t="s">
        <v>45</v>
      </c>
      <c r="D191" s="547"/>
      <c r="E191" s="547"/>
      <c r="F191" s="550">
        <f t="shared" si="31"/>
        <v>0</v>
      </c>
      <c r="G191" s="547"/>
      <c r="H191" s="353"/>
      <c r="I191" s="353">
        <f t="shared" si="32"/>
        <v>0</v>
      </c>
      <c r="J191" s="353"/>
      <c r="K191" s="353"/>
      <c r="L191" s="353">
        <f t="shared" si="33"/>
        <v>0</v>
      </c>
      <c r="M191" s="353"/>
      <c r="N191" s="353"/>
      <c r="O191" s="353">
        <f t="shared" si="34"/>
        <v>0</v>
      </c>
      <c r="P191" s="353"/>
      <c r="Q191" s="353"/>
      <c r="R191" s="353"/>
      <c r="S191" s="428"/>
      <c r="T191" s="428"/>
      <c r="U191" s="24"/>
    </row>
    <row r="192" spans="2:21" x14ac:dyDescent="0.3">
      <c r="B192" s="69"/>
      <c r="C192" s="27"/>
      <c r="D192" s="547"/>
      <c r="E192" s="547"/>
      <c r="F192" s="550">
        <f t="shared" si="31"/>
        <v>0</v>
      </c>
      <c r="G192" s="547"/>
      <c r="H192" s="353"/>
      <c r="I192" s="353">
        <f t="shared" si="32"/>
        <v>0</v>
      </c>
      <c r="J192" s="353"/>
      <c r="K192" s="353"/>
      <c r="L192" s="353">
        <f t="shared" si="33"/>
        <v>0</v>
      </c>
      <c r="M192" s="353"/>
      <c r="N192" s="353"/>
      <c r="O192" s="353">
        <f t="shared" si="34"/>
        <v>0</v>
      </c>
      <c r="P192" s="353"/>
      <c r="Q192" s="353"/>
      <c r="R192" s="353"/>
      <c r="S192" s="428"/>
      <c r="T192" s="428"/>
      <c r="U192" s="24"/>
    </row>
    <row r="193" spans="2:21" x14ac:dyDescent="0.3">
      <c r="B193" s="70">
        <v>3</v>
      </c>
      <c r="C193" s="26" t="s">
        <v>615</v>
      </c>
      <c r="D193" s="550"/>
      <c r="E193" s="550"/>
      <c r="F193" s="550">
        <f t="shared" si="31"/>
        <v>0</v>
      </c>
      <c r="G193" s="550"/>
      <c r="H193" s="353"/>
      <c r="I193" s="353">
        <f t="shared" si="32"/>
        <v>0</v>
      </c>
      <c r="J193" s="353"/>
      <c r="K193" s="353"/>
      <c r="L193" s="353">
        <f t="shared" si="33"/>
        <v>0</v>
      </c>
      <c r="M193" s="353"/>
      <c r="N193" s="353"/>
      <c r="O193" s="353">
        <f t="shared" si="34"/>
        <v>0</v>
      </c>
      <c r="P193" s="353"/>
      <c r="Q193" s="353"/>
      <c r="R193" s="353"/>
      <c r="S193" s="428"/>
      <c r="T193" s="428"/>
      <c r="U193" s="24"/>
    </row>
    <row r="194" spans="2:21" x14ac:dyDescent="0.3">
      <c r="B194" s="69"/>
      <c r="C194" s="27" t="s">
        <v>36</v>
      </c>
      <c r="D194" s="547"/>
      <c r="E194" s="547"/>
      <c r="F194" s="550">
        <f t="shared" si="31"/>
        <v>0</v>
      </c>
      <c r="G194" s="547"/>
      <c r="H194" s="353"/>
      <c r="I194" s="353">
        <f t="shared" si="32"/>
        <v>0</v>
      </c>
      <c r="J194" s="353"/>
      <c r="K194" s="353"/>
      <c r="L194" s="353">
        <f t="shared" si="33"/>
        <v>0</v>
      </c>
      <c r="M194" s="353"/>
      <c r="N194" s="353"/>
      <c r="O194" s="353">
        <f t="shared" si="34"/>
        <v>0</v>
      </c>
      <c r="P194" s="353"/>
      <c r="Q194" s="353"/>
      <c r="R194" s="353"/>
      <c r="S194" s="428"/>
      <c r="T194" s="428"/>
      <c r="U194" s="24"/>
    </row>
    <row r="195" spans="2:21" x14ac:dyDescent="0.3">
      <c r="B195" s="69"/>
      <c r="C195" s="27" t="s">
        <v>36</v>
      </c>
      <c r="D195" s="547"/>
      <c r="E195" s="547"/>
      <c r="F195" s="550">
        <f t="shared" si="31"/>
        <v>0</v>
      </c>
      <c r="G195" s="547"/>
      <c r="H195" s="353"/>
      <c r="I195" s="353">
        <f t="shared" si="32"/>
        <v>0</v>
      </c>
      <c r="J195" s="353"/>
      <c r="K195" s="353"/>
      <c r="L195" s="353">
        <f t="shared" si="33"/>
        <v>0</v>
      </c>
      <c r="M195" s="353"/>
      <c r="N195" s="353"/>
      <c r="O195" s="353">
        <f t="shared" si="34"/>
        <v>0</v>
      </c>
      <c r="P195" s="353"/>
      <c r="Q195" s="353"/>
      <c r="R195" s="353"/>
      <c r="S195" s="428"/>
      <c r="T195" s="428"/>
      <c r="U195" s="24"/>
    </row>
    <row r="196" spans="2:21" x14ac:dyDescent="0.3">
      <c r="B196" s="69"/>
      <c r="C196" s="27" t="s">
        <v>36</v>
      </c>
      <c r="D196" s="547"/>
      <c r="E196" s="547"/>
      <c r="F196" s="550">
        <f t="shared" si="31"/>
        <v>0</v>
      </c>
      <c r="G196" s="547"/>
      <c r="H196" s="353"/>
      <c r="I196" s="353">
        <f t="shared" si="32"/>
        <v>0</v>
      </c>
      <c r="J196" s="353"/>
      <c r="K196" s="353"/>
      <c r="L196" s="353">
        <f t="shared" si="33"/>
        <v>0</v>
      </c>
      <c r="M196" s="353"/>
      <c r="N196" s="353"/>
      <c r="O196" s="353">
        <f t="shared" si="34"/>
        <v>0</v>
      </c>
      <c r="P196" s="353"/>
      <c r="Q196" s="353"/>
      <c r="R196" s="353"/>
      <c r="S196" s="428"/>
      <c r="T196" s="428"/>
      <c r="U196" s="24"/>
    </row>
    <row r="197" spans="2:21" x14ac:dyDescent="0.3">
      <c r="B197" s="69"/>
      <c r="C197" s="27"/>
      <c r="D197" s="547"/>
      <c r="E197" s="547"/>
      <c r="F197" s="550">
        <f t="shared" si="31"/>
        <v>0</v>
      </c>
      <c r="G197" s="547"/>
      <c r="H197" s="353"/>
      <c r="I197" s="353">
        <f t="shared" si="32"/>
        <v>0</v>
      </c>
      <c r="J197" s="353"/>
      <c r="K197" s="353"/>
      <c r="L197" s="353">
        <f t="shared" si="33"/>
        <v>0</v>
      </c>
      <c r="M197" s="353"/>
      <c r="N197" s="353"/>
      <c r="O197" s="353">
        <f t="shared" si="34"/>
        <v>0</v>
      </c>
      <c r="P197" s="353"/>
      <c r="Q197" s="353"/>
      <c r="R197" s="353"/>
      <c r="S197" s="428"/>
      <c r="T197" s="428"/>
      <c r="U197" s="24"/>
    </row>
    <row r="198" spans="2:21" x14ac:dyDescent="0.3">
      <c r="B198" s="70">
        <v>10</v>
      </c>
      <c r="C198" s="26" t="s">
        <v>145</v>
      </c>
      <c r="D198" s="550"/>
      <c r="E198" s="550"/>
      <c r="F198" s="550">
        <f t="shared" si="31"/>
        <v>0</v>
      </c>
      <c r="G198" s="547"/>
      <c r="H198" s="353"/>
      <c r="I198" s="353">
        <f t="shared" si="32"/>
        <v>0</v>
      </c>
      <c r="J198" s="353"/>
      <c r="K198" s="353"/>
      <c r="L198" s="353">
        <f t="shared" si="33"/>
        <v>0</v>
      </c>
      <c r="M198" s="353"/>
      <c r="N198" s="353"/>
      <c r="O198" s="353">
        <f t="shared" si="34"/>
        <v>0</v>
      </c>
      <c r="P198" s="353"/>
      <c r="Q198" s="353"/>
      <c r="R198" s="353"/>
      <c r="S198" s="428"/>
      <c r="T198" s="428"/>
      <c r="U198" s="24"/>
    </row>
    <row r="199" spans="2:21" x14ac:dyDescent="0.3">
      <c r="B199" s="69">
        <f t="shared" ref="B199:B205" si="37">B198+0.1</f>
        <v>10.1</v>
      </c>
      <c r="C199" s="27" t="s">
        <v>41</v>
      </c>
      <c r="D199" s="547"/>
      <c r="E199" s="547"/>
      <c r="F199" s="550">
        <f t="shared" si="31"/>
        <v>0</v>
      </c>
      <c r="G199" s="547"/>
      <c r="H199" s="353"/>
      <c r="I199" s="353">
        <f t="shared" si="32"/>
        <v>0</v>
      </c>
      <c r="J199" s="353"/>
      <c r="K199" s="353"/>
      <c r="L199" s="353">
        <f t="shared" si="33"/>
        <v>0</v>
      </c>
      <c r="M199" s="353"/>
      <c r="N199" s="353"/>
      <c r="O199" s="353">
        <f t="shared" si="34"/>
        <v>0</v>
      </c>
      <c r="P199" s="353"/>
      <c r="Q199" s="353"/>
      <c r="R199" s="353"/>
      <c r="S199" s="428"/>
      <c r="T199" s="428"/>
      <c r="U199" s="24"/>
    </row>
    <row r="200" spans="2:21" x14ac:dyDescent="0.3">
      <c r="B200" s="69">
        <f t="shared" si="37"/>
        <v>10.199999999999999</v>
      </c>
      <c r="C200" s="27" t="s">
        <v>245</v>
      </c>
      <c r="D200" s="547"/>
      <c r="E200" s="547"/>
      <c r="F200" s="550">
        <f t="shared" si="31"/>
        <v>0</v>
      </c>
      <c r="G200" s="547"/>
      <c r="H200" s="353"/>
      <c r="I200" s="353">
        <f t="shared" si="32"/>
        <v>0</v>
      </c>
      <c r="J200" s="353"/>
      <c r="K200" s="353"/>
      <c r="L200" s="353">
        <f t="shared" si="33"/>
        <v>0</v>
      </c>
      <c r="M200" s="353"/>
      <c r="N200" s="353"/>
      <c r="O200" s="353">
        <f t="shared" si="34"/>
        <v>0</v>
      </c>
      <c r="P200" s="353"/>
      <c r="Q200" s="353"/>
      <c r="R200" s="353"/>
      <c r="S200" s="428"/>
      <c r="T200" s="428"/>
      <c r="U200" s="24"/>
    </row>
    <row r="201" spans="2:21" x14ac:dyDescent="0.3">
      <c r="B201" s="69">
        <f t="shared" si="37"/>
        <v>10.299999999999999</v>
      </c>
      <c r="C201" s="27" t="s">
        <v>42</v>
      </c>
      <c r="D201" s="547"/>
      <c r="E201" s="547"/>
      <c r="F201" s="550">
        <f t="shared" si="31"/>
        <v>0</v>
      </c>
      <c r="G201" s="547"/>
      <c r="H201" s="353"/>
      <c r="I201" s="353">
        <f t="shared" si="32"/>
        <v>0</v>
      </c>
      <c r="J201" s="353"/>
      <c r="K201" s="353"/>
      <c r="L201" s="353">
        <f t="shared" si="33"/>
        <v>0</v>
      </c>
      <c r="M201" s="353"/>
      <c r="N201" s="353"/>
      <c r="O201" s="353">
        <f t="shared" si="34"/>
        <v>0</v>
      </c>
      <c r="P201" s="353"/>
      <c r="Q201" s="353"/>
      <c r="R201" s="353"/>
      <c r="S201" s="428"/>
      <c r="T201" s="428"/>
      <c r="U201" s="24"/>
    </row>
    <row r="202" spans="2:21" x14ac:dyDescent="0.3">
      <c r="B202" s="69">
        <f t="shared" si="37"/>
        <v>10.399999999999999</v>
      </c>
      <c r="C202" s="27" t="s">
        <v>43</v>
      </c>
      <c r="D202" s="547"/>
      <c r="E202" s="547"/>
      <c r="F202" s="550">
        <f t="shared" si="31"/>
        <v>0</v>
      </c>
      <c r="G202" s="547"/>
      <c r="H202" s="353"/>
      <c r="I202" s="353">
        <f t="shared" si="32"/>
        <v>0</v>
      </c>
      <c r="J202" s="353"/>
      <c r="K202" s="353"/>
      <c r="L202" s="353">
        <f t="shared" si="33"/>
        <v>0</v>
      </c>
      <c r="M202" s="353"/>
      <c r="N202" s="353"/>
      <c r="O202" s="353">
        <f t="shared" si="34"/>
        <v>0</v>
      </c>
      <c r="P202" s="353"/>
      <c r="Q202" s="353"/>
      <c r="R202" s="353"/>
      <c r="S202" s="428"/>
      <c r="T202" s="428"/>
      <c r="U202" s="24"/>
    </row>
    <row r="203" spans="2:21" x14ac:dyDescent="0.3">
      <c r="B203" s="69">
        <f t="shared" si="37"/>
        <v>10.499999999999998</v>
      </c>
      <c r="C203" s="27" t="s">
        <v>445</v>
      </c>
      <c r="D203" s="547"/>
      <c r="E203" s="547"/>
      <c r="F203" s="550">
        <f t="shared" si="31"/>
        <v>0</v>
      </c>
      <c r="G203" s="547"/>
      <c r="H203" s="353"/>
      <c r="I203" s="353">
        <f t="shared" si="32"/>
        <v>0</v>
      </c>
      <c r="J203" s="353"/>
      <c r="K203" s="353"/>
      <c r="L203" s="353">
        <f t="shared" si="33"/>
        <v>0</v>
      </c>
      <c r="M203" s="353"/>
      <c r="N203" s="353"/>
      <c r="O203" s="353">
        <f t="shared" si="34"/>
        <v>0</v>
      </c>
      <c r="P203" s="353"/>
      <c r="Q203" s="353"/>
      <c r="R203" s="353"/>
      <c r="S203" s="428"/>
      <c r="T203" s="428"/>
      <c r="U203" s="24"/>
    </row>
    <row r="204" spans="2:21" x14ac:dyDescent="0.3">
      <c r="B204" s="69">
        <f t="shared" si="37"/>
        <v>10.599999999999998</v>
      </c>
      <c r="C204" s="27" t="s">
        <v>44</v>
      </c>
      <c r="D204" s="547"/>
      <c r="E204" s="547"/>
      <c r="F204" s="550">
        <f t="shared" si="31"/>
        <v>0</v>
      </c>
      <c r="G204" s="547"/>
      <c r="H204" s="353"/>
      <c r="I204" s="353">
        <f t="shared" si="32"/>
        <v>0</v>
      </c>
      <c r="J204" s="353"/>
      <c r="K204" s="353"/>
      <c r="L204" s="353">
        <f t="shared" si="33"/>
        <v>0</v>
      </c>
      <c r="M204" s="353"/>
      <c r="N204" s="353"/>
      <c r="O204" s="353">
        <f t="shared" si="34"/>
        <v>0</v>
      </c>
      <c r="P204" s="353"/>
      <c r="Q204" s="353"/>
      <c r="R204" s="353"/>
      <c r="S204" s="428"/>
      <c r="T204" s="428"/>
      <c r="U204" s="24"/>
    </row>
    <row r="205" spans="2:21" x14ac:dyDescent="0.3">
      <c r="B205" s="69">
        <f t="shared" si="37"/>
        <v>10.699999999999998</v>
      </c>
      <c r="C205" s="27" t="s">
        <v>45</v>
      </c>
      <c r="D205" s="547"/>
      <c r="E205" s="547"/>
      <c r="F205" s="550">
        <f t="shared" si="31"/>
        <v>0</v>
      </c>
      <c r="G205" s="547"/>
      <c r="H205" s="353"/>
      <c r="I205" s="353">
        <f t="shared" si="32"/>
        <v>0</v>
      </c>
      <c r="J205" s="353"/>
      <c r="K205" s="353"/>
      <c r="L205" s="353">
        <f t="shared" si="33"/>
        <v>0</v>
      </c>
      <c r="M205" s="353"/>
      <c r="N205" s="353"/>
      <c r="O205" s="353">
        <f t="shared" si="34"/>
        <v>0</v>
      </c>
      <c r="P205" s="353"/>
      <c r="Q205" s="353"/>
      <c r="R205" s="353"/>
      <c r="S205" s="428"/>
      <c r="T205" s="428"/>
      <c r="U205" s="24"/>
    </row>
    <row r="206" spans="2:21" x14ac:dyDescent="0.3">
      <c r="B206" s="69"/>
      <c r="C206" s="27"/>
      <c r="D206" s="547"/>
      <c r="E206" s="547"/>
      <c r="F206" s="550">
        <f t="shared" si="31"/>
        <v>0</v>
      </c>
      <c r="G206" s="547"/>
      <c r="H206" s="353"/>
      <c r="I206" s="353">
        <f t="shared" si="32"/>
        <v>0</v>
      </c>
      <c r="J206" s="353"/>
      <c r="K206" s="353"/>
      <c r="L206" s="353">
        <f t="shared" si="33"/>
        <v>0</v>
      </c>
      <c r="M206" s="353"/>
      <c r="N206" s="353"/>
      <c r="O206" s="353">
        <f t="shared" si="34"/>
        <v>0</v>
      </c>
      <c r="P206" s="353"/>
      <c r="Q206" s="353"/>
      <c r="R206" s="353"/>
      <c r="S206" s="428"/>
      <c r="T206" s="428"/>
      <c r="U206" s="24"/>
    </row>
    <row r="207" spans="2:21" x14ac:dyDescent="0.3">
      <c r="B207" s="69"/>
      <c r="C207" s="27"/>
      <c r="D207" s="547"/>
      <c r="E207" s="547"/>
      <c r="F207" s="550">
        <f t="shared" si="31"/>
        <v>0</v>
      </c>
      <c r="G207" s="547"/>
      <c r="H207" s="353"/>
      <c r="I207" s="353">
        <f t="shared" si="32"/>
        <v>0</v>
      </c>
      <c r="J207" s="353"/>
      <c r="K207" s="353"/>
      <c r="L207" s="353">
        <f t="shared" si="33"/>
        <v>0</v>
      </c>
      <c r="M207" s="353"/>
      <c r="N207" s="353"/>
      <c r="O207" s="353">
        <f t="shared" si="34"/>
        <v>0</v>
      </c>
      <c r="P207" s="353"/>
      <c r="Q207" s="353"/>
      <c r="R207" s="353"/>
      <c r="S207" s="428"/>
      <c r="T207" s="428"/>
      <c r="U207" s="24"/>
    </row>
    <row r="208" spans="2:21" x14ac:dyDescent="0.3">
      <c r="B208" s="69">
        <v>9</v>
      </c>
      <c r="C208" s="26" t="s">
        <v>47</v>
      </c>
      <c r="D208" s="550"/>
      <c r="E208" s="550"/>
      <c r="F208" s="550">
        <f t="shared" si="31"/>
        <v>0</v>
      </c>
      <c r="G208" s="550"/>
      <c r="H208" s="353"/>
      <c r="I208" s="353">
        <f t="shared" si="32"/>
        <v>0</v>
      </c>
      <c r="J208" s="353"/>
      <c r="K208" s="354"/>
      <c r="L208" s="353">
        <f t="shared" si="33"/>
        <v>0</v>
      </c>
      <c r="M208" s="354"/>
      <c r="N208" s="354"/>
      <c r="O208" s="353">
        <f t="shared" si="34"/>
        <v>0</v>
      </c>
      <c r="P208" s="354"/>
      <c r="Q208" s="353"/>
      <c r="R208" s="353"/>
      <c r="S208" s="428"/>
      <c r="T208" s="428"/>
      <c r="U208" s="24"/>
    </row>
    <row r="209" spans="2:21" x14ac:dyDescent="0.3">
      <c r="B209" s="69">
        <v>10</v>
      </c>
      <c r="C209" s="11" t="s">
        <v>48</v>
      </c>
      <c r="D209" s="343"/>
      <c r="E209" s="343"/>
      <c r="F209" s="550">
        <f t="shared" si="31"/>
        <v>0</v>
      </c>
      <c r="G209" s="343"/>
      <c r="H209" s="353"/>
      <c r="I209" s="353">
        <f t="shared" si="32"/>
        <v>0</v>
      </c>
      <c r="J209" s="353"/>
      <c r="K209" s="353"/>
      <c r="L209" s="353">
        <f t="shared" si="33"/>
        <v>0</v>
      </c>
      <c r="M209" s="353"/>
      <c r="N209" s="353"/>
      <c r="O209" s="353">
        <f t="shared" si="34"/>
        <v>0</v>
      </c>
      <c r="P209" s="353"/>
      <c r="Q209" s="353"/>
      <c r="R209" s="353"/>
      <c r="S209" s="428"/>
      <c r="T209" s="428"/>
      <c r="U209" s="24"/>
    </row>
    <row r="210" spans="2:21" x14ac:dyDescent="0.3">
      <c r="B210" s="70">
        <v>11</v>
      </c>
      <c r="C210" s="28" t="s">
        <v>49</v>
      </c>
      <c r="D210" s="354"/>
      <c r="E210" s="354"/>
      <c r="F210" s="550">
        <f t="shared" si="31"/>
        <v>0</v>
      </c>
      <c r="G210" s="354"/>
      <c r="H210" s="353"/>
      <c r="I210" s="353">
        <f t="shared" si="32"/>
        <v>0</v>
      </c>
      <c r="J210" s="353"/>
      <c r="K210" s="353"/>
      <c r="L210" s="353">
        <f t="shared" si="33"/>
        <v>0</v>
      </c>
      <c r="M210" s="353"/>
      <c r="N210" s="353"/>
      <c r="O210" s="353">
        <f t="shared" si="34"/>
        <v>0</v>
      </c>
      <c r="P210" s="353"/>
      <c r="Q210" s="353"/>
      <c r="R210" s="353"/>
      <c r="S210" s="428"/>
      <c r="T210" s="428"/>
      <c r="U210" s="24"/>
    </row>
    <row r="211" spans="2:21" x14ac:dyDescent="0.3">
      <c r="B211" s="69"/>
      <c r="C211" s="29"/>
      <c r="D211" s="551"/>
      <c r="E211" s="551"/>
      <c r="F211" s="550">
        <f t="shared" si="31"/>
        <v>0</v>
      </c>
      <c r="G211" s="551"/>
      <c r="H211" s="353"/>
      <c r="I211" s="353">
        <f t="shared" si="32"/>
        <v>0</v>
      </c>
      <c r="J211" s="353"/>
      <c r="K211" s="353"/>
      <c r="L211" s="353">
        <f t="shared" si="33"/>
        <v>0</v>
      </c>
      <c r="M211" s="353"/>
      <c r="N211" s="353"/>
      <c r="O211" s="353">
        <f t="shared" si="34"/>
        <v>0</v>
      </c>
      <c r="P211" s="353"/>
      <c r="Q211" s="353"/>
      <c r="R211" s="353"/>
      <c r="S211" s="428"/>
      <c r="T211" s="428"/>
      <c r="U211" s="24"/>
    </row>
    <row r="212" spans="2:21" x14ac:dyDescent="0.25">
      <c r="B212" s="206"/>
      <c r="C212" s="219"/>
      <c r="D212" s="552"/>
      <c r="E212" s="552"/>
      <c r="F212" s="552"/>
      <c r="G212" s="552"/>
      <c r="H212" s="496"/>
      <c r="I212" s="496"/>
      <c r="J212" s="496"/>
      <c r="K212" s="496"/>
      <c r="L212" s="496"/>
      <c r="M212" s="496"/>
      <c r="N212" s="496"/>
      <c r="O212" s="496"/>
      <c r="P212" s="496"/>
      <c r="Q212" s="496"/>
      <c r="R212" s="496"/>
      <c r="S212" s="553"/>
      <c r="T212" s="553"/>
      <c r="U212" s="24"/>
    </row>
    <row r="213" spans="2:21" x14ac:dyDescent="0.25">
      <c r="B213" s="206"/>
      <c r="C213" s="2362" t="s">
        <v>854</v>
      </c>
      <c r="D213" s="2362"/>
      <c r="E213" s="2362"/>
      <c r="F213" s="2362"/>
      <c r="G213" s="2362"/>
      <c r="H213" s="496"/>
      <c r="I213" s="496"/>
      <c r="J213" s="496"/>
      <c r="K213" s="496"/>
      <c r="L213" s="496"/>
      <c r="M213" s="496"/>
      <c r="N213" s="496"/>
      <c r="O213" s="496"/>
      <c r="P213" s="496"/>
      <c r="Q213" s="496"/>
      <c r="R213" s="496"/>
      <c r="S213" s="553"/>
      <c r="T213" s="553"/>
      <c r="U213" s="24"/>
    </row>
    <row r="214" spans="2:21" x14ac:dyDescent="0.25">
      <c r="C214" s="15" t="s">
        <v>616</v>
      </c>
    </row>
    <row r="216" spans="2:21" x14ac:dyDescent="0.25">
      <c r="C216" s="172" t="s">
        <v>446</v>
      </c>
      <c r="D216" s="563"/>
      <c r="E216" s="563"/>
      <c r="F216" s="563"/>
      <c r="G216" s="563"/>
    </row>
    <row r="217" spans="2:21" x14ac:dyDescent="0.25">
      <c r="B217" s="15"/>
      <c r="R217" s="516" t="s">
        <v>16</v>
      </c>
    </row>
    <row r="218" spans="2:21" ht="15" customHeight="1" x14ac:dyDescent="0.25">
      <c r="B218" s="2180" t="s">
        <v>187</v>
      </c>
      <c r="C218" s="2180" t="s">
        <v>38</v>
      </c>
      <c r="D218" s="2263" t="s">
        <v>804</v>
      </c>
      <c r="E218" s="2264"/>
      <c r="F218" s="2265"/>
      <c r="G218" s="2263" t="s">
        <v>186</v>
      </c>
      <c r="H218" s="2264"/>
      <c r="I218" s="2265"/>
      <c r="J218" s="2263" t="s">
        <v>426</v>
      </c>
      <c r="K218" s="2264"/>
      <c r="L218" s="2265"/>
      <c r="M218" s="2263" t="s">
        <v>427</v>
      </c>
      <c r="N218" s="2264"/>
      <c r="O218" s="2265"/>
      <c r="P218" s="2263" t="s">
        <v>428</v>
      </c>
      <c r="Q218" s="2265"/>
      <c r="R218" s="2263" t="s">
        <v>429</v>
      </c>
      <c r="S218" s="2265"/>
      <c r="T218" s="2261" t="s">
        <v>39</v>
      </c>
    </row>
    <row r="219" spans="2:21" x14ac:dyDescent="0.25">
      <c r="B219" s="2180"/>
      <c r="C219" s="2180"/>
      <c r="D219" s="517" t="s">
        <v>404</v>
      </c>
      <c r="E219" s="1024" t="s">
        <v>1413</v>
      </c>
      <c r="F219" s="1024" t="s">
        <v>406</v>
      </c>
      <c r="G219" s="517" t="s">
        <v>404</v>
      </c>
      <c r="H219" s="1024" t="s">
        <v>405</v>
      </c>
      <c r="I219" s="1024" t="s">
        <v>406</v>
      </c>
      <c r="J219" s="517" t="s">
        <v>404</v>
      </c>
      <c r="K219" s="1024" t="s">
        <v>405</v>
      </c>
      <c r="L219" s="1024" t="s">
        <v>406</v>
      </c>
      <c r="M219" s="1024" t="s">
        <v>404</v>
      </c>
      <c r="N219" s="1024" t="s">
        <v>72</v>
      </c>
      <c r="O219" s="1024" t="s">
        <v>409</v>
      </c>
      <c r="P219" s="1024" t="s">
        <v>404</v>
      </c>
      <c r="Q219" s="1024" t="s">
        <v>805</v>
      </c>
      <c r="R219" s="1024" t="s">
        <v>404</v>
      </c>
      <c r="S219" s="1024" t="s">
        <v>805</v>
      </c>
      <c r="T219" s="2261"/>
    </row>
    <row r="220" spans="2:21" x14ac:dyDescent="0.25">
      <c r="B220" s="276"/>
      <c r="C220" s="97"/>
      <c r="D220" s="1024" t="s">
        <v>73</v>
      </c>
      <c r="E220" s="1024" t="s">
        <v>74</v>
      </c>
      <c r="F220" s="1024" t="s">
        <v>806</v>
      </c>
      <c r="G220" s="1024" t="s">
        <v>411</v>
      </c>
      <c r="H220" s="1024" t="s">
        <v>412</v>
      </c>
      <c r="I220" s="1024" t="s">
        <v>439</v>
      </c>
      <c r="J220" s="1024" t="s">
        <v>668</v>
      </c>
      <c r="K220" s="1024" t="s">
        <v>582</v>
      </c>
      <c r="L220" s="1024" t="s">
        <v>675</v>
      </c>
      <c r="M220" s="1024" t="s">
        <v>782</v>
      </c>
      <c r="N220" s="1024" t="s">
        <v>583</v>
      </c>
      <c r="O220" s="1024" t="s">
        <v>844</v>
      </c>
      <c r="P220" s="1024" t="s">
        <v>585</v>
      </c>
      <c r="Q220" s="1024" t="s">
        <v>761</v>
      </c>
      <c r="R220" s="1024" t="s">
        <v>784</v>
      </c>
      <c r="S220" s="1024" t="s">
        <v>762</v>
      </c>
      <c r="T220" s="2262"/>
    </row>
    <row r="221" spans="2:21" x14ac:dyDescent="0.3">
      <c r="B221" s="70">
        <v>1</v>
      </c>
      <c r="C221" s="26" t="s">
        <v>613</v>
      </c>
      <c r="D221" s="550"/>
      <c r="E221" s="550"/>
      <c r="F221" s="550">
        <f>E221-D221</f>
        <v>0</v>
      </c>
      <c r="G221" s="550"/>
      <c r="H221" s="353"/>
      <c r="I221" s="353">
        <f>H221-G221</f>
        <v>0</v>
      </c>
      <c r="J221" s="353"/>
      <c r="K221" s="353"/>
      <c r="L221" s="353">
        <f>K221-J221</f>
        <v>0</v>
      </c>
      <c r="M221" s="353"/>
      <c r="N221" s="353"/>
      <c r="O221" s="353">
        <f>N221-M221</f>
        <v>0</v>
      </c>
      <c r="P221" s="353"/>
      <c r="Q221" s="353"/>
      <c r="R221" s="353"/>
      <c r="S221" s="428"/>
      <c r="T221" s="428"/>
      <c r="U221" s="24"/>
    </row>
    <row r="222" spans="2:21" x14ac:dyDescent="0.3">
      <c r="B222" s="69">
        <v>1.1000000000000001</v>
      </c>
      <c r="C222" s="27" t="s">
        <v>41</v>
      </c>
      <c r="D222" s="547"/>
      <c r="E222" s="547"/>
      <c r="F222" s="550">
        <f t="shared" ref="F222:F259" si="38">E222-D222</f>
        <v>0</v>
      </c>
      <c r="G222" s="547"/>
      <c r="H222" s="353"/>
      <c r="I222" s="353">
        <f t="shared" ref="I222:I259" si="39">H222-G222</f>
        <v>0</v>
      </c>
      <c r="J222" s="353"/>
      <c r="K222" s="353"/>
      <c r="L222" s="353">
        <f t="shared" ref="L222:L259" si="40">K222-J222</f>
        <v>0</v>
      </c>
      <c r="M222" s="353"/>
      <c r="N222" s="353"/>
      <c r="O222" s="353">
        <f t="shared" ref="O222:O259" si="41">N222-M222</f>
        <v>0</v>
      </c>
      <c r="P222" s="353"/>
      <c r="Q222" s="353"/>
      <c r="R222" s="353"/>
      <c r="S222" s="428"/>
      <c r="T222" s="428"/>
      <c r="U222" s="24"/>
    </row>
    <row r="223" spans="2:21" x14ac:dyDescent="0.3">
      <c r="B223" s="69">
        <f t="shared" ref="B223:B229" si="42">B222+0.1</f>
        <v>1.2000000000000002</v>
      </c>
      <c r="C223" s="27" t="s">
        <v>245</v>
      </c>
      <c r="D223" s="547"/>
      <c r="E223" s="547"/>
      <c r="F223" s="550">
        <f t="shared" si="38"/>
        <v>0</v>
      </c>
      <c r="G223" s="547"/>
      <c r="H223" s="353"/>
      <c r="I223" s="353">
        <f t="shared" si="39"/>
        <v>0</v>
      </c>
      <c r="J223" s="353"/>
      <c r="K223" s="353"/>
      <c r="L223" s="353">
        <f t="shared" si="40"/>
        <v>0</v>
      </c>
      <c r="M223" s="353"/>
      <c r="N223" s="353"/>
      <c r="O223" s="353">
        <f t="shared" si="41"/>
        <v>0</v>
      </c>
      <c r="P223" s="353"/>
      <c r="Q223" s="353"/>
      <c r="R223" s="353"/>
      <c r="S223" s="428"/>
      <c r="T223" s="428"/>
      <c r="U223" s="24"/>
    </row>
    <row r="224" spans="2:21" x14ac:dyDescent="0.3">
      <c r="B224" s="69">
        <f t="shared" si="42"/>
        <v>1.3000000000000003</v>
      </c>
      <c r="C224" s="27" t="s">
        <v>189</v>
      </c>
      <c r="D224" s="547"/>
      <c r="E224" s="547"/>
      <c r="F224" s="550">
        <f t="shared" si="38"/>
        <v>0</v>
      </c>
      <c r="G224" s="547"/>
      <c r="H224" s="353"/>
      <c r="I224" s="353">
        <f t="shared" si="39"/>
        <v>0</v>
      </c>
      <c r="J224" s="353"/>
      <c r="K224" s="353"/>
      <c r="L224" s="353">
        <f t="shared" si="40"/>
        <v>0</v>
      </c>
      <c r="M224" s="353"/>
      <c r="N224" s="353"/>
      <c r="O224" s="353">
        <f t="shared" si="41"/>
        <v>0</v>
      </c>
      <c r="P224" s="353"/>
      <c r="Q224" s="353"/>
      <c r="R224" s="353"/>
      <c r="S224" s="428"/>
      <c r="T224" s="428"/>
      <c r="U224" s="24"/>
    </row>
    <row r="225" spans="2:21" x14ac:dyDescent="0.3">
      <c r="B225" s="69">
        <f t="shared" si="42"/>
        <v>1.4000000000000004</v>
      </c>
      <c r="C225" s="27" t="s">
        <v>42</v>
      </c>
      <c r="D225" s="547"/>
      <c r="E225" s="547"/>
      <c r="F225" s="550">
        <f t="shared" si="38"/>
        <v>0</v>
      </c>
      <c r="G225" s="547"/>
      <c r="H225" s="353"/>
      <c r="I225" s="353">
        <f t="shared" si="39"/>
        <v>0</v>
      </c>
      <c r="J225" s="353"/>
      <c r="K225" s="353"/>
      <c r="L225" s="353">
        <f t="shared" si="40"/>
        <v>0</v>
      </c>
      <c r="M225" s="353"/>
      <c r="N225" s="353"/>
      <c r="O225" s="353">
        <f t="shared" si="41"/>
        <v>0</v>
      </c>
      <c r="P225" s="353"/>
      <c r="Q225" s="353"/>
      <c r="R225" s="353"/>
      <c r="S225" s="428"/>
      <c r="T225" s="428"/>
      <c r="U225" s="24"/>
    </row>
    <row r="226" spans="2:21" x14ac:dyDescent="0.3">
      <c r="B226" s="69">
        <f t="shared" si="42"/>
        <v>1.5000000000000004</v>
      </c>
      <c r="C226" s="27" t="s">
        <v>43</v>
      </c>
      <c r="D226" s="547"/>
      <c r="E226" s="547"/>
      <c r="F226" s="550">
        <f t="shared" si="38"/>
        <v>0</v>
      </c>
      <c r="G226" s="547"/>
      <c r="H226" s="353"/>
      <c r="I226" s="353">
        <f t="shared" si="39"/>
        <v>0</v>
      </c>
      <c r="J226" s="353"/>
      <c r="K226" s="353"/>
      <c r="L226" s="353">
        <f t="shared" si="40"/>
        <v>0</v>
      </c>
      <c r="M226" s="353"/>
      <c r="N226" s="353"/>
      <c r="O226" s="353">
        <f t="shared" si="41"/>
        <v>0</v>
      </c>
      <c r="P226" s="353"/>
      <c r="Q226" s="353"/>
      <c r="R226" s="353"/>
      <c r="S226" s="428"/>
      <c r="T226" s="428"/>
      <c r="U226" s="24"/>
    </row>
    <row r="227" spans="2:21" x14ac:dyDescent="0.3">
      <c r="B227" s="69">
        <f t="shared" si="42"/>
        <v>1.6000000000000005</v>
      </c>
      <c r="C227" s="27" t="s">
        <v>445</v>
      </c>
      <c r="D227" s="547"/>
      <c r="E227" s="547"/>
      <c r="F227" s="550">
        <f t="shared" si="38"/>
        <v>0</v>
      </c>
      <c r="G227" s="547"/>
      <c r="H227" s="353"/>
      <c r="I227" s="353">
        <f t="shared" si="39"/>
        <v>0</v>
      </c>
      <c r="J227" s="353"/>
      <c r="K227" s="353"/>
      <c r="L227" s="353">
        <f t="shared" si="40"/>
        <v>0</v>
      </c>
      <c r="M227" s="353"/>
      <c r="N227" s="353"/>
      <c r="O227" s="353">
        <f t="shared" si="41"/>
        <v>0</v>
      </c>
      <c r="P227" s="353"/>
      <c r="Q227" s="353"/>
      <c r="R227" s="353"/>
      <c r="S227" s="428"/>
      <c r="T227" s="428"/>
      <c r="U227" s="24"/>
    </row>
    <row r="228" spans="2:21" x14ac:dyDescent="0.3">
      <c r="B228" s="69">
        <f t="shared" si="42"/>
        <v>1.7000000000000006</v>
      </c>
      <c r="C228" s="27" t="s">
        <v>44</v>
      </c>
      <c r="D228" s="547"/>
      <c r="E228" s="547"/>
      <c r="F228" s="550">
        <f t="shared" si="38"/>
        <v>0</v>
      </c>
      <c r="G228" s="547"/>
      <c r="H228" s="353"/>
      <c r="I228" s="353">
        <f t="shared" si="39"/>
        <v>0</v>
      </c>
      <c r="J228" s="353"/>
      <c r="K228" s="353"/>
      <c r="L228" s="353">
        <f t="shared" si="40"/>
        <v>0</v>
      </c>
      <c r="M228" s="353"/>
      <c r="N228" s="353"/>
      <c r="O228" s="353">
        <f t="shared" si="41"/>
        <v>0</v>
      </c>
      <c r="P228" s="353"/>
      <c r="Q228" s="353"/>
      <c r="R228" s="353"/>
      <c r="S228" s="428"/>
      <c r="T228" s="428"/>
      <c r="U228" s="24"/>
    </row>
    <row r="229" spans="2:21" x14ac:dyDescent="0.3">
      <c r="B229" s="69">
        <f t="shared" si="42"/>
        <v>1.8000000000000007</v>
      </c>
      <c r="C229" s="27" t="s">
        <v>45</v>
      </c>
      <c r="D229" s="547"/>
      <c r="E229" s="547"/>
      <c r="F229" s="550">
        <f t="shared" si="38"/>
        <v>0</v>
      </c>
      <c r="G229" s="547"/>
      <c r="H229" s="353"/>
      <c r="I229" s="353">
        <f t="shared" si="39"/>
        <v>0</v>
      </c>
      <c r="J229" s="353"/>
      <c r="K229" s="353"/>
      <c r="L229" s="353">
        <f t="shared" si="40"/>
        <v>0</v>
      </c>
      <c r="M229" s="353"/>
      <c r="N229" s="353"/>
      <c r="O229" s="353">
        <f t="shared" si="41"/>
        <v>0</v>
      </c>
      <c r="P229" s="353"/>
      <c r="Q229" s="353"/>
      <c r="R229" s="353"/>
      <c r="S229" s="428"/>
      <c r="T229" s="428"/>
      <c r="U229" s="24"/>
    </row>
    <row r="230" spans="2:21" x14ac:dyDescent="0.3">
      <c r="B230" s="69"/>
      <c r="C230" s="27"/>
      <c r="D230" s="547"/>
      <c r="E230" s="547"/>
      <c r="F230" s="550">
        <f t="shared" si="38"/>
        <v>0</v>
      </c>
      <c r="G230" s="547"/>
      <c r="H230" s="353"/>
      <c r="I230" s="353">
        <f t="shared" si="39"/>
        <v>0</v>
      </c>
      <c r="J230" s="353"/>
      <c r="K230" s="353"/>
      <c r="L230" s="353">
        <f t="shared" si="40"/>
        <v>0</v>
      </c>
      <c r="M230" s="353"/>
      <c r="N230" s="353"/>
      <c r="O230" s="353">
        <f t="shared" si="41"/>
        <v>0</v>
      </c>
      <c r="P230" s="353"/>
      <c r="Q230" s="353"/>
      <c r="R230" s="353"/>
      <c r="S230" s="428"/>
      <c r="T230" s="428"/>
      <c r="U230" s="24"/>
    </row>
    <row r="231" spans="2:21" x14ac:dyDescent="0.3">
      <c r="B231" s="70">
        <v>2</v>
      </c>
      <c r="C231" s="26" t="s">
        <v>614</v>
      </c>
      <c r="D231" s="550"/>
      <c r="E231" s="550"/>
      <c r="F231" s="550">
        <f t="shared" si="38"/>
        <v>0</v>
      </c>
      <c r="G231" s="550"/>
      <c r="H231" s="353"/>
      <c r="I231" s="353">
        <f t="shared" si="39"/>
        <v>0</v>
      </c>
      <c r="J231" s="353"/>
      <c r="K231" s="353"/>
      <c r="L231" s="353">
        <f t="shared" si="40"/>
        <v>0</v>
      </c>
      <c r="M231" s="353"/>
      <c r="N231" s="353"/>
      <c r="O231" s="353">
        <f t="shared" si="41"/>
        <v>0</v>
      </c>
      <c r="P231" s="353"/>
      <c r="Q231" s="353"/>
      <c r="R231" s="353"/>
      <c r="S231" s="428"/>
      <c r="T231" s="428"/>
      <c r="U231" s="24"/>
    </row>
    <row r="232" spans="2:21" x14ac:dyDescent="0.3">
      <c r="B232" s="69">
        <f t="shared" ref="B232:B238" si="43">B231+0.1</f>
        <v>2.1</v>
      </c>
      <c r="C232" s="27" t="s">
        <v>41</v>
      </c>
      <c r="D232" s="547"/>
      <c r="E232" s="547"/>
      <c r="F232" s="550">
        <f t="shared" si="38"/>
        <v>0</v>
      </c>
      <c r="G232" s="547"/>
      <c r="H232" s="353"/>
      <c r="I232" s="353">
        <f t="shared" si="39"/>
        <v>0</v>
      </c>
      <c r="J232" s="353"/>
      <c r="K232" s="353"/>
      <c r="L232" s="353">
        <f t="shared" si="40"/>
        <v>0</v>
      </c>
      <c r="M232" s="353"/>
      <c r="N232" s="353"/>
      <c r="O232" s="353">
        <f t="shared" si="41"/>
        <v>0</v>
      </c>
      <c r="P232" s="353"/>
      <c r="Q232" s="353"/>
      <c r="R232" s="353"/>
      <c r="S232" s="428"/>
      <c r="T232" s="428"/>
      <c r="U232" s="24"/>
    </row>
    <row r="233" spans="2:21" x14ac:dyDescent="0.3">
      <c r="B233" s="69">
        <f t="shared" si="43"/>
        <v>2.2000000000000002</v>
      </c>
      <c r="C233" s="27" t="s">
        <v>245</v>
      </c>
      <c r="D233" s="547"/>
      <c r="E233" s="547"/>
      <c r="F233" s="550">
        <f t="shared" si="38"/>
        <v>0</v>
      </c>
      <c r="G233" s="547"/>
      <c r="H233" s="353"/>
      <c r="I233" s="353">
        <f t="shared" si="39"/>
        <v>0</v>
      </c>
      <c r="J233" s="353"/>
      <c r="K233" s="353"/>
      <c r="L233" s="353">
        <f t="shared" si="40"/>
        <v>0</v>
      </c>
      <c r="M233" s="353"/>
      <c r="N233" s="353"/>
      <c r="O233" s="353">
        <f t="shared" si="41"/>
        <v>0</v>
      </c>
      <c r="P233" s="353"/>
      <c r="Q233" s="353"/>
      <c r="R233" s="353"/>
      <c r="S233" s="428"/>
      <c r="T233" s="428"/>
      <c r="U233" s="24"/>
    </row>
    <row r="234" spans="2:21" x14ac:dyDescent="0.3">
      <c r="B234" s="69">
        <f t="shared" si="43"/>
        <v>2.3000000000000003</v>
      </c>
      <c r="C234" s="27" t="s">
        <v>42</v>
      </c>
      <c r="D234" s="547"/>
      <c r="E234" s="547"/>
      <c r="F234" s="550">
        <f t="shared" si="38"/>
        <v>0</v>
      </c>
      <c r="G234" s="547"/>
      <c r="H234" s="353"/>
      <c r="I234" s="353">
        <f t="shared" si="39"/>
        <v>0</v>
      </c>
      <c r="J234" s="353"/>
      <c r="K234" s="353"/>
      <c r="L234" s="353">
        <f t="shared" si="40"/>
        <v>0</v>
      </c>
      <c r="M234" s="353"/>
      <c r="N234" s="353"/>
      <c r="O234" s="353">
        <f t="shared" si="41"/>
        <v>0</v>
      </c>
      <c r="P234" s="353"/>
      <c r="Q234" s="353"/>
      <c r="R234" s="353"/>
      <c r="S234" s="428"/>
      <c r="T234" s="428"/>
      <c r="U234" s="24"/>
    </row>
    <row r="235" spans="2:21" x14ac:dyDescent="0.3">
      <c r="B235" s="69">
        <f t="shared" si="43"/>
        <v>2.4000000000000004</v>
      </c>
      <c r="C235" s="27" t="s">
        <v>43</v>
      </c>
      <c r="D235" s="547"/>
      <c r="E235" s="547"/>
      <c r="F235" s="550">
        <f t="shared" si="38"/>
        <v>0</v>
      </c>
      <c r="G235" s="547"/>
      <c r="H235" s="353"/>
      <c r="I235" s="353">
        <f t="shared" si="39"/>
        <v>0</v>
      </c>
      <c r="J235" s="353"/>
      <c r="K235" s="353"/>
      <c r="L235" s="353">
        <f t="shared" si="40"/>
        <v>0</v>
      </c>
      <c r="M235" s="353"/>
      <c r="N235" s="353"/>
      <c r="O235" s="353">
        <f t="shared" si="41"/>
        <v>0</v>
      </c>
      <c r="P235" s="353"/>
      <c r="Q235" s="353"/>
      <c r="R235" s="353"/>
      <c r="S235" s="428"/>
      <c r="T235" s="428"/>
      <c r="U235" s="24"/>
    </row>
    <row r="236" spans="2:21" x14ac:dyDescent="0.3">
      <c r="B236" s="69">
        <f t="shared" si="43"/>
        <v>2.5000000000000004</v>
      </c>
      <c r="C236" s="27" t="s">
        <v>445</v>
      </c>
      <c r="D236" s="547"/>
      <c r="E236" s="547"/>
      <c r="F236" s="550">
        <f t="shared" si="38"/>
        <v>0</v>
      </c>
      <c r="G236" s="547"/>
      <c r="H236" s="353"/>
      <c r="I236" s="353">
        <f t="shared" si="39"/>
        <v>0</v>
      </c>
      <c r="J236" s="353"/>
      <c r="K236" s="353"/>
      <c r="L236" s="353">
        <f t="shared" si="40"/>
        <v>0</v>
      </c>
      <c r="M236" s="353"/>
      <c r="N236" s="353"/>
      <c r="O236" s="353">
        <f t="shared" si="41"/>
        <v>0</v>
      </c>
      <c r="P236" s="353"/>
      <c r="Q236" s="353"/>
      <c r="R236" s="353"/>
      <c r="S236" s="428"/>
      <c r="T236" s="428"/>
      <c r="U236" s="24"/>
    </row>
    <row r="237" spans="2:21" x14ac:dyDescent="0.3">
      <c r="B237" s="69">
        <f t="shared" si="43"/>
        <v>2.6000000000000005</v>
      </c>
      <c r="C237" s="27" t="s">
        <v>44</v>
      </c>
      <c r="D237" s="547"/>
      <c r="E237" s="547"/>
      <c r="F237" s="550">
        <f t="shared" si="38"/>
        <v>0</v>
      </c>
      <c r="G237" s="547"/>
      <c r="H237" s="353"/>
      <c r="I237" s="353">
        <f t="shared" si="39"/>
        <v>0</v>
      </c>
      <c r="J237" s="353"/>
      <c r="K237" s="353"/>
      <c r="L237" s="353">
        <f t="shared" si="40"/>
        <v>0</v>
      </c>
      <c r="M237" s="353"/>
      <c r="N237" s="353"/>
      <c r="O237" s="353">
        <f t="shared" si="41"/>
        <v>0</v>
      </c>
      <c r="P237" s="353"/>
      <c r="Q237" s="353"/>
      <c r="R237" s="353"/>
      <c r="S237" s="428"/>
      <c r="T237" s="428"/>
      <c r="U237" s="24"/>
    </row>
    <row r="238" spans="2:21" x14ac:dyDescent="0.3">
      <c r="B238" s="69">
        <f t="shared" si="43"/>
        <v>2.7000000000000006</v>
      </c>
      <c r="C238" s="27" t="s">
        <v>45</v>
      </c>
      <c r="D238" s="547"/>
      <c r="E238" s="547"/>
      <c r="F238" s="550">
        <f t="shared" si="38"/>
        <v>0</v>
      </c>
      <c r="G238" s="547"/>
      <c r="H238" s="353"/>
      <c r="I238" s="353">
        <f t="shared" si="39"/>
        <v>0</v>
      </c>
      <c r="J238" s="353"/>
      <c r="K238" s="353"/>
      <c r="L238" s="353">
        <f t="shared" si="40"/>
        <v>0</v>
      </c>
      <c r="M238" s="353"/>
      <c r="N238" s="353"/>
      <c r="O238" s="353">
        <f t="shared" si="41"/>
        <v>0</v>
      </c>
      <c r="P238" s="353"/>
      <c r="Q238" s="353"/>
      <c r="R238" s="353"/>
      <c r="S238" s="428"/>
      <c r="T238" s="428"/>
      <c r="U238" s="24"/>
    </row>
    <row r="239" spans="2:21" x14ac:dyDescent="0.3">
      <c r="B239" s="69"/>
      <c r="C239" s="27"/>
      <c r="D239" s="547"/>
      <c r="E239" s="547"/>
      <c r="F239" s="550">
        <f t="shared" si="38"/>
        <v>0</v>
      </c>
      <c r="G239" s="547"/>
      <c r="H239" s="353"/>
      <c r="I239" s="353">
        <f t="shared" si="39"/>
        <v>0</v>
      </c>
      <c r="J239" s="353"/>
      <c r="K239" s="353"/>
      <c r="L239" s="353">
        <f t="shared" si="40"/>
        <v>0</v>
      </c>
      <c r="M239" s="353"/>
      <c r="N239" s="353"/>
      <c r="O239" s="353">
        <f t="shared" si="41"/>
        <v>0</v>
      </c>
      <c r="P239" s="353"/>
      <c r="Q239" s="353"/>
      <c r="R239" s="353"/>
      <c r="S239" s="428"/>
      <c r="T239" s="428"/>
      <c r="U239" s="24"/>
    </row>
    <row r="240" spans="2:21" x14ac:dyDescent="0.3">
      <c r="B240" s="70">
        <v>3</v>
      </c>
      <c r="C240" s="26" t="s">
        <v>615</v>
      </c>
      <c r="D240" s="550"/>
      <c r="E240" s="550"/>
      <c r="F240" s="550">
        <f t="shared" si="38"/>
        <v>0</v>
      </c>
      <c r="G240" s="550"/>
      <c r="H240" s="353"/>
      <c r="I240" s="353">
        <f t="shared" si="39"/>
        <v>0</v>
      </c>
      <c r="J240" s="353"/>
      <c r="K240" s="353"/>
      <c r="L240" s="353">
        <f t="shared" si="40"/>
        <v>0</v>
      </c>
      <c r="M240" s="353"/>
      <c r="N240" s="353"/>
      <c r="O240" s="353">
        <f t="shared" si="41"/>
        <v>0</v>
      </c>
      <c r="P240" s="353"/>
      <c r="Q240" s="353"/>
      <c r="R240" s="353"/>
      <c r="S240" s="353"/>
      <c r="T240" s="353"/>
    </row>
    <row r="241" spans="2:20" x14ac:dyDescent="0.3">
      <c r="B241" s="69"/>
      <c r="C241" s="27" t="s">
        <v>36</v>
      </c>
      <c r="D241" s="547"/>
      <c r="E241" s="547"/>
      <c r="F241" s="550">
        <f t="shared" si="38"/>
        <v>0</v>
      </c>
      <c r="G241" s="547"/>
      <c r="H241" s="353"/>
      <c r="I241" s="353">
        <f t="shared" si="39"/>
        <v>0</v>
      </c>
      <c r="J241" s="353"/>
      <c r="K241" s="353"/>
      <c r="L241" s="353">
        <f t="shared" si="40"/>
        <v>0</v>
      </c>
      <c r="M241" s="353"/>
      <c r="N241" s="353"/>
      <c r="O241" s="353">
        <f t="shared" si="41"/>
        <v>0</v>
      </c>
      <c r="P241" s="353"/>
      <c r="Q241" s="353"/>
      <c r="R241" s="353"/>
      <c r="S241" s="353"/>
      <c r="T241" s="353"/>
    </row>
    <row r="242" spans="2:20" x14ac:dyDescent="0.3">
      <c r="B242" s="69"/>
      <c r="C242" s="27" t="s">
        <v>36</v>
      </c>
      <c r="D242" s="547"/>
      <c r="E242" s="547"/>
      <c r="F242" s="550">
        <f t="shared" si="38"/>
        <v>0</v>
      </c>
      <c r="G242" s="547"/>
      <c r="H242" s="353"/>
      <c r="I242" s="353">
        <f t="shared" si="39"/>
        <v>0</v>
      </c>
      <c r="J242" s="353"/>
      <c r="K242" s="353"/>
      <c r="L242" s="353">
        <f t="shared" si="40"/>
        <v>0</v>
      </c>
      <c r="M242" s="353"/>
      <c r="N242" s="353"/>
      <c r="O242" s="353">
        <f t="shared" si="41"/>
        <v>0</v>
      </c>
      <c r="P242" s="353"/>
      <c r="Q242" s="353"/>
      <c r="R242" s="353"/>
      <c r="S242" s="353"/>
      <c r="T242" s="353"/>
    </row>
    <row r="243" spans="2:20" x14ac:dyDescent="0.3">
      <c r="B243" s="69"/>
      <c r="C243" s="27" t="s">
        <v>36</v>
      </c>
      <c r="D243" s="547"/>
      <c r="E243" s="547"/>
      <c r="F243" s="550">
        <f t="shared" si="38"/>
        <v>0</v>
      </c>
      <c r="G243" s="547"/>
      <c r="H243" s="353"/>
      <c r="I243" s="353">
        <f t="shared" si="39"/>
        <v>0</v>
      </c>
      <c r="J243" s="353"/>
      <c r="K243" s="353"/>
      <c r="L243" s="353">
        <f t="shared" si="40"/>
        <v>0</v>
      </c>
      <c r="M243" s="353"/>
      <c r="N243" s="353"/>
      <c r="O243" s="353">
        <f t="shared" si="41"/>
        <v>0</v>
      </c>
      <c r="P243" s="353"/>
      <c r="Q243" s="353"/>
      <c r="R243" s="353"/>
      <c r="S243" s="353"/>
      <c r="T243" s="353"/>
    </row>
    <row r="244" spans="2:20" x14ac:dyDescent="0.3">
      <c r="B244" s="69"/>
      <c r="C244" s="27"/>
      <c r="D244" s="547"/>
      <c r="E244" s="547"/>
      <c r="F244" s="550">
        <f t="shared" si="38"/>
        <v>0</v>
      </c>
      <c r="G244" s="547"/>
      <c r="H244" s="353"/>
      <c r="I244" s="353">
        <f t="shared" si="39"/>
        <v>0</v>
      </c>
      <c r="J244" s="353"/>
      <c r="K244" s="353"/>
      <c r="L244" s="353">
        <f t="shared" si="40"/>
        <v>0</v>
      </c>
      <c r="M244" s="353"/>
      <c r="N244" s="353"/>
      <c r="O244" s="353">
        <f t="shared" si="41"/>
        <v>0</v>
      </c>
      <c r="P244" s="353"/>
      <c r="Q244" s="353"/>
      <c r="R244" s="353"/>
      <c r="S244" s="353"/>
      <c r="T244" s="353"/>
    </row>
    <row r="245" spans="2:20" x14ac:dyDescent="0.3">
      <c r="B245" s="70">
        <v>10</v>
      </c>
      <c r="C245" s="26" t="s">
        <v>145</v>
      </c>
      <c r="D245" s="550"/>
      <c r="E245" s="550"/>
      <c r="F245" s="550">
        <f t="shared" si="38"/>
        <v>0</v>
      </c>
      <c r="G245" s="547"/>
      <c r="H245" s="353"/>
      <c r="I245" s="353">
        <f t="shared" si="39"/>
        <v>0</v>
      </c>
      <c r="J245" s="353"/>
      <c r="K245" s="353"/>
      <c r="L245" s="353">
        <f t="shared" si="40"/>
        <v>0</v>
      </c>
      <c r="M245" s="353"/>
      <c r="N245" s="353"/>
      <c r="O245" s="353">
        <f t="shared" si="41"/>
        <v>0</v>
      </c>
      <c r="P245" s="353"/>
      <c r="Q245" s="353"/>
      <c r="R245" s="353"/>
      <c r="S245" s="353"/>
      <c r="T245" s="353"/>
    </row>
    <row r="246" spans="2:20" x14ac:dyDescent="0.3">
      <c r="B246" s="69">
        <f t="shared" ref="B246:B252" si="44">B245+0.1</f>
        <v>10.1</v>
      </c>
      <c r="C246" s="27" t="s">
        <v>41</v>
      </c>
      <c r="D246" s="547"/>
      <c r="E246" s="547"/>
      <c r="F246" s="550">
        <f t="shared" si="38"/>
        <v>0</v>
      </c>
      <c r="G246" s="547"/>
      <c r="H246" s="353"/>
      <c r="I246" s="353">
        <f t="shared" si="39"/>
        <v>0</v>
      </c>
      <c r="J246" s="353"/>
      <c r="K246" s="353"/>
      <c r="L246" s="353">
        <f t="shared" si="40"/>
        <v>0</v>
      </c>
      <c r="M246" s="353"/>
      <c r="N246" s="353"/>
      <c r="O246" s="353">
        <f t="shared" si="41"/>
        <v>0</v>
      </c>
      <c r="P246" s="353"/>
      <c r="Q246" s="353"/>
      <c r="R246" s="353"/>
      <c r="S246" s="353"/>
      <c r="T246" s="353"/>
    </row>
    <row r="247" spans="2:20" x14ac:dyDescent="0.3">
      <c r="B247" s="69">
        <f t="shared" si="44"/>
        <v>10.199999999999999</v>
      </c>
      <c r="C247" s="27" t="s">
        <v>245</v>
      </c>
      <c r="D247" s="547"/>
      <c r="E247" s="547"/>
      <c r="F247" s="550">
        <f t="shared" si="38"/>
        <v>0</v>
      </c>
      <c r="G247" s="547"/>
      <c r="H247" s="353"/>
      <c r="I247" s="353">
        <f t="shared" si="39"/>
        <v>0</v>
      </c>
      <c r="J247" s="353"/>
      <c r="K247" s="353"/>
      <c r="L247" s="353">
        <f t="shared" si="40"/>
        <v>0</v>
      </c>
      <c r="M247" s="353"/>
      <c r="N247" s="353"/>
      <c r="O247" s="353">
        <f t="shared" si="41"/>
        <v>0</v>
      </c>
      <c r="P247" s="353"/>
      <c r="Q247" s="353"/>
      <c r="R247" s="353"/>
      <c r="S247" s="353"/>
      <c r="T247" s="353"/>
    </row>
    <row r="248" spans="2:20" x14ac:dyDescent="0.3">
      <c r="B248" s="69">
        <f t="shared" si="44"/>
        <v>10.299999999999999</v>
      </c>
      <c r="C248" s="27" t="s">
        <v>42</v>
      </c>
      <c r="D248" s="547"/>
      <c r="E248" s="547"/>
      <c r="F248" s="550">
        <f t="shared" si="38"/>
        <v>0</v>
      </c>
      <c r="G248" s="547"/>
      <c r="H248" s="353"/>
      <c r="I248" s="353">
        <f t="shared" si="39"/>
        <v>0</v>
      </c>
      <c r="J248" s="353"/>
      <c r="K248" s="353"/>
      <c r="L248" s="353">
        <f t="shared" si="40"/>
        <v>0</v>
      </c>
      <c r="M248" s="353"/>
      <c r="N248" s="353"/>
      <c r="O248" s="353">
        <f t="shared" si="41"/>
        <v>0</v>
      </c>
      <c r="P248" s="353"/>
      <c r="Q248" s="353"/>
      <c r="R248" s="353"/>
      <c r="S248" s="353"/>
      <c r="T248" s="353"/>
    </row>
    <row r="249" spans="2:20" x14ac:dyDescent="0.3">
      <c r="B249" s="69">
        <f t="shared" si="44"/>
        <v>10.399999999999999</v>
      </c>
      <c r="C249" s="27" t="s">
        <v>43</v>
      </c>
      <c r="D249" s="547"/>
      <c r="E249" s="547"/>
      <c r="F249" s="550">
        <f t="shared" si="38"/>
        <v>0</v>
      </c>
      <c r="G249" s="547"/>
      <c r="H249" s="353"/>
      <c r="I249" s="353">
        <f t="shared" si="39"/>
        <v>0</v>
      </c>
      <c r="J249" s="353"/>
      <c r="K249" s="353"/>
      <c r="L249" s="353">
        <f t="shared" si="40"/>
        <v>0</v>
      </c>
      <c r="M249" s="353"/>
      <c r="N249" s="353"/>
      <c r="O249" s="353">
        <f t="shared" si="41"/>
        <v>0</v>
      </c>
      <c r="P249" s="353"/>
      <c r="Q249" s="353"/>
      <c r="R249" s="353"/>
      <c r="S249" s="353"/>
      <c r="T249" s="353"/>
    </row>
    <row r="250" spans="2:20" x14ac:dyDescent="0.3">
      <c r="B250" s="69">
        <f t="shared" si="44"/>
        <v>10.499999999999998</v>
      </c>
      <c r="C250" s="27" t="s">
        <v>445</v>
      </c>
      <c r="D250" s="547"/>
      <c r="E250" s="547"/>
      <c r="F250" s="550">
        <f t="shared" si="38"/>
        <v>0</v>
      </c>
      <c r="G250" s="547"/>
      <c r="H250" s="353"/>
      <c r="I250" s="353">
        <f t="shared" si="39"/>
        <v>0</v>
      </c>
      <c r="J250" s="353"/>
      <c r="K250" s="353"/>
      <c r="L250" s="353">
        <f t="shared" si="40"/>
        <v>0</v>
      </c>
      <c r="M250" s="353"/>
      <c r="N250" s="353"/>
      <c r="O250" s="353">
        <f t="shared" si="41"/>
        <v>0</v>
      </c>
      <c r="P250" s="353"/>
      <c r="Q250" s="353"/>
      <c r="R250" s="353"/>
      <c r="S250" s="353"/>
      <c r="T250" s="353"/>
    </row>
    <row r="251" spans="2:20" x14ac:dyDescent="0.3">
      <c r="B251" s="69">
        <f t="shared" si="44"/>
        <v>10.599999999999998</v>
      </c>
      <c r="C251" s="27" t="s">
        <v>44</v>
      </c>
      <c r="D251" s="547"/>
      <c r="E251" s="547"/>
      <c r="F251" s="550">
        <f t="shared" si="38"/>
        <v>0</v>
      </c>
      <c r="G251" s="547"/>
      <c r="H251" s="353"/>
      <c r="I251" s="353">
        <f t="shared" si="39"/>
        <v>0</v>
      </c>
      <c r="J251" s="353"/>
      <c r="K251" s="353"/>
      <c r="L251" s="353">
        <f t="shared" si="40"/>
        <v>0</v>
      </c>
      <c r="M251" s="353"/>
      <c r="N251" s="353"/>
      <c r="O251" s="353">
        <f t="shared" si="41"/>
        <v>0</v>
      </c>
      <c r="P251" s="353"/>
      <c r="Q251" s="353"/>
      <c r="R251" s="353"/>
      <c r="S251" s="353"/>
      <c r="T251" s="353"/>
    </row>
    <row r="252" spans="2:20" x14ac:dyDescent="0.3">
      <c r="B252" s="69">
        <f t="shared" si="44"/>
        <v>10.699999999999998</v>
      </c>
      <c r="C252" s="27" t="s">
        <v>45</v>
      </c>
      <c r="D252" s="547"/>
      <c r="E252" s="547"/>
      <c r="F252" s="550">
        <f t="shared" si="38"/>
        <v>0</v>
      </c>
      <c r="G252" s="547"/>
      <c r="H252" s="353"/>
      <c r="I252" s="353">
        <f t="shared" si="39"/>
        <v>0</v>
      </c>
      <c r="J252" s="353"/>
      <c r="K252" s="353"/>
      <c r="L252" s="353">
        <f t="shared" si="40"/>
        <v>0</v>
      </c>
      <c r="M252" s="353"/>
      <c r="N252" s="353"/>
      <c r="O252" s="353">
        <f t="shared" si="41"/>
        <v>0</v>
      </c>
      <c r="P252" s="353"/>
      <c r="Q252" s="353"/>
      <c r="R252" s="353"/>
      <c r="S252" s="353"/>
      <c r="T252" s="353"/>
    </row>
    <row r="253" spans="2:20" x14ac:dyDescent="0.3">
      <c r="B253" s="69"/>
      <c r="C253" s="27"/>
      <c r="D253" s="547"/>
      <c r="E253" s="547"/>
      <c r="F253" s="550">
        <f t="shared" si="38"/>
        <v>0</v>
      </c>
      <c r="G253" s="547"/>
      <c r="H253" s="353"/>
      <c r="I253" s="353">
        <f t="shared" si="39"/>
        <v>0</v>
      </c>
      <c r="J253" s="353"/>
      <c r="K253" s="353"/>
      <c r="L253" s="353">
        <f t="shared" si="40"/>
        <v>0</v>
      </c>
      <c r="M253" s="353"/>
      <c r="N253" s="353"/>
      <c r="O253" s="353">
        <f t="shared" si="41"/>
        <v>0</v>
      </c>
      <c r="P253" s="353"/>
      <c r="Q253" s="353"/>
      <c r="R253" s="353"/>
      <c r="S253" s="353"/>
      <c r="T253" s="353"/>
    </row>
    <row r="254" spans="2:20" x14ac:dyDescent="0.3">
      <c r="B254" s="69"/>
      <c r="C254" s="26"/>
      <c r="D254" s="550"/>
      <c r="E254" s="550"/>
      <c r="F254" s="550">
        <f t="shared" si="38"/>
        <v>0</v>
      </c>
      <c r="G254" s="550"/>
      <c r="H254" s="353"/>
      <c r="I254" s="353">
        <f t="shared" si="39"/>
        <v>0</v>
      </c>
      <c r="J254" s="353"/>
      <c r="K254" s="353"/>
      <c r="L254" s="353">
        <f t="shared" si="40"/>
        <v>0</v>
      </c>
      <c r="M254" s="353"/>
      <c r="N254" s="353"/>
      <c r="O254" s="353">
        <f t="shared" si="41"/>
        <v>0</v>
      </c>
      <c r="P254" s="353"/>
      <c r="Q254" s="353"/>
      <c r="R254" s="353"/>
      <c r="S254" s="353"/>
      <c r="T254" s="353"/>
    </row>
    <row r="255" spans="2:20" x14ac:dyDescent="0.3">
      <c r="B255" s="69"/>
      <c r="C255" s="27"/>
      <c r="D255" s="547"/>
      <c r="E255" s="547"/>
      <c r="F255" s="550">
        <f t="shared" si="38"/>
        <v>0</v>
      </c>
      <c r="G255" s="547"/>
      <c r="H255" s="353"/>
      <c r="I255" s="353">
        <f t="shared" si="39"/>
        <v>0</v>
      </c>
      <c r="J255" s="353"/>
      <c r="K255" s="353"/>
      <c r="L255" s="353">
        <f t="shared" si="40"/>
        <v>0</v>
      </c>
      <c r="M255" s="353"/>
      <c r="N255" s="353"/>
      <c r="O255" s="353">
        <f t="shared" si="41"/>
        <v>0</v>
      </c>
      <c r="P255" s="353"/>
      <c r="Q255" s="353"/>
      <c r="R255" s="353"/>
      <c r="S255" s="353"/>
      <c r="T255" s="353"/>
    </row>
    <row r="256" spans="2:20" x14ac:dyDescent="0.3">
      <c r="B256" s="69">
        <v>9</v>
      </c>
      <c r="C256" s="26" t="s">
        <v>47</v>
      </c>
      <c r="D256" s="550"/>
      <c r="E256" s="550"/>
      <c r="F256" s="550">
        <f t="shared" si="38"/>
        <v>0</v>
      </c>
      <c r="G256" s="550"/>
      <c r="H256" s="354"/>
      <c r="I256" s="353">
        <f t="shared" si="39"/>
        <v>0</v>
      </c>
      <c r="J256" s="354"/>
      <c r="K256" s="354"/>
      <c r="L256" s="353">
        <f t="shared" si="40"/>
        <v>0</v>
      </c>
      <c r="M256" s="354"/>
      <c r="N256" s="354"/>
      <c r="O256" s="353">
        <f t="shared" si="41"/>
        <v>0</v>
      </c>
      <c r="P256" s="353"/>
      <c r="Q256" s="353"/>
      <c r="R256" s="353"/>
      <c r="S256" s="353"/>
      <c r="T256" s="353"/>
    </row>
    <row r="257" spans="2:20" x14ac:dyDescent="0.3">
      <c r="B257" s="69">
        <v>10</v>
      </c>
      <c r="C257" s="11" t="s">
        <v>48</v>
      </c>
      <c r="D257" s="343"/>
      <c r="E257" s="343"/>
      <c r="F257" s="550">
        <f t="shared" si="38"/>
        <v>0</v>
      </c>
      <c r="G257" s="343"/>
      <c r="H257" s="353"/>
      <c r="I257" s="353">
        <f t="shared" si="39"/>
        <v>0</v>
      </c>
      <c r="J257" s="353"/>
      <c r="K257" s="353"/>
      <c r="L257" s="353">
        <f t="shared" si="40"/>
        <v>0</v>
      </c>
      <c r="M257" s="353"/>
      <c r="N257" s="353"/>
      <c r="O257" s="353">
        <f t="shared" si="41"/>
        <v>0</v>
      </c>
      <c r="P257" s="353"/>
      <c r="Q257" s="353"/>
      <c r="R257" s="353"/>
      <c r="S257" s="353"/>
      <c r="T257" s="353"/>
    </row>
    <row r="258" spans="2:20" x14ac:dyDescent="0.3">
      <c r="B258" s="70">
        <v>11</v>
      </c>
      <c r="C258" s="28" t="s">
        <v>49</v>
      </c>
      <c r="D258" s="354"/>
      <c r="E258" s="354"/>
      <c r="F258" s="550">
        <f t="shared" si="38"/>
        <v>0</v>
      </c>
      <c r="G258" s="354"/>
      <c r="H258" s="353"/>
      <c r="I258" s="353">
        <f t="shared" si="39"/>
        <v>0</v>
      </c>
      <c r="J258" s="353"/>
      <c r="K258" s="353"/>
      <c r="L258" s="353">
        <f t="shared" si="40"/>
        <v>0</v>
      </c>
      <c r="M258" s="353"/>
      <c r="N258" s="353"/>
      <c r="O258" s="353">
        <f t="shared" si="41"/>
        <v>0</v>
      </c>
      <c r="P258" s="353"/>
      <c r="Q258" s="353"/>
      <c r="R258" s="353"/>
      <c r="S258" s="353"/>
      <c r="T258" s="353"/>
    </row>
    <row r="259" spans="2:20" x14ac:dyDescent="0.3">
      <c r="B259" s="69"/>
      <c r="C259" s="29"/>
      <c r="D259" s="551"/>
      <c r="E259" s="551"/>
      <c r="F259" s="550">
        <f t="shared" si="38"/>
        <v>0</v>
      </c>
      <c r="G259" s="551"/>
      <c r="H259" s="353"/>
      <c r="I259" s="353">
        <f t="shared" si="39"/>
        <v>0</v>
      </c>
      <c r="J259" s="353"/>
      <c r="K259" s="353"/>
      <c r="L259" s="353">
        <f t="shared" si="40"/>
        <v>0</v>
      </c>
      <c r="M259" s="353"/>
      <c r="N259" s="353"/>
      <c r="O259" s="353">
        <f t="shared" si="41"/>
        <v>0</v>
      </c>
      <c r="P259" s="353"/>
      <c r="Q259" s="353"/>
      <c r="R259" s="353"/>
      <c r="S259" s="353"/>
      <c r="T259" s="353"/>
    </row>
    <row r="260" spans="2:20" x14ac:dyDescent="0.3">
      <c r="R260" s="426"/>
    </row>
    <row r="261" spans="2:20" x14ac:dyDescent="0.3">
      <c r="C261" s="2362" t="s">
        <v>854</v>
      </c>
      <c r="D261" s="2362"/>
      <c r="E261" s="2362"/>
      <c r="F261" s="2362"/>
      <c r="G261" s="2362"/>
      <c r="R261" s="426"/>
    </row>
    <row r="262" spans="2:20" s="119" customFormat="1" x14ac:dyDescent="0.3">
      <c r="B262" s="40"/>
      <c r="C262" s="15" t="s">
        <v>616</v>
      </c>
      <c r="D262" s="375"/>
      <c r="E262" s="375"/>
      <c r="F262" s="375"/>
      <c r="G262" s="527"/>
      <c r="H262" s="546"/>
      <c r="I262" s="545"/>
      <c r="J262" s="527"/>
      <c r="K262" s="527"/>
      <c r="L262" s="527"/>
      <c r="M262" s="527"/>
      <c r="N262" s="527"/>
      <c r="O262" s="527"/>
      <c r="P262" s="426"/>
      <c r="Q262" s="426"/>
      <c r="R262" s="426"/>
      <c r="S262" s="426"/>
      <c r="T262" s="426"/>
    </row>
  </sheetData>
  <mergeCells count="58">
    <mergeCell ref="C97:G97"/>
    <mergeCell ref="B102:B103"/>
    <mergeCell ref="C102:C103"/>
    <mergeCell ref="G102:I102"/>
    <mergeCell ref="B10:B11"/>
    <mergeCell ref="C10:C11"/>
    <mergeCell ref="G10:I10"/>
    <mergeCell ref="D10:F10"/>
    <mergeCell ref="D29:F29"/>
    <mergeCell ref="D102:F102"/>
    <mergeCell ref="J10:L10"/>
    <mergeCell ref="B29:B30"/>
    <mergeCell ref="C29:C30"/>
    <mergeCell ref="G29:I29"/>
    <mergeCell ref="J29:L29"/>
    <mergeCell ref="J102:L102"/>
    <mergeCell ref="C145:G145"/>
    <mergeCell ref="B152:B153"/>
    <mergeCell ref="C152:C153"/>
    <mergeCell ref="G152:I152"/>
    <mergeCell ref="J152:L152"/>
    <mergeCell ref="D152:F152"/>
    <mergeCell ref="J218:L218"/>
    <mergeCell ref="B171:B172"/>
    <mergeCell ref="C171:C172"/>
    <mergeCell ref="G171:I171"/>
    <mergeCell ref="J171:L171"/>
    <mergeCell ref="D171:F171"/>
    <mergeCell ref="D218:F218"/>
    <mergeCell ref="C261:G261"/>
    <mergeCell ref="C213:G213"/>
    <mergeCell ref="B218:B219"/>
    <mergeCell ref="C218:C219"/>
    <mergeCell ref="G218:I218"/>
    <mergeCell ref="T10:T12"/>
    <mergeCell ref="M29:O29"/>
    <mergeCell ref="P29:Q29"/>
    <mergeCell ref="R29:S29"/>
    <mergeCell ref="T29:T31"/>
    <mergeCell ref="M10:O10"/>
    <mergeCell ref="P10:Q10"/>
    <mergeCell ref="R10:S10"/>
    <mergeCell ref="T102:T104"/>
    <mergeCell ref="M152:O152"/>
    <mergeCell ref="P152:Q152"/>
    <mergeCell ref="R152:S152"/>
    <mergeCell ref="T152:T154"/>
    <mergeCell ref="M102:O102"/>
    <mergeCell ref="P102:Q102"/>
    <mergeCell ref="R102:S102"/>
    <mergeCell ref="M171:O171"/>
    <mergeCell ref="P171:Q171"/>
    <mergeCell ref="R171:S171"/>
    <mergeCell ref="T171:T173"/>
    <mergeCell ref="M218:O218"/>
    <mergeCell ref="P218:Q218"/>
    <mergeCell ref="R218:S218"/>
    <mergeCell ref="T218:T220"/>
  </mergeCells>
  <pageMargins left="1.02" right="0.25" top="1" bottom="1" header="0.25" footer="0.25"/>
  <pageSetup paperSize="9" scale="32" orientation="landscape" r:id="rId1"/>
  <headerFooter alignWithMargins="0">
    <oddHeader>&amp;F</oddHeader>
  </headerFooter>
  <rowBreaks count="5" manualBreakCount="5">
    <brk id="25" max="16383" man="1"/>
    <brk id="99" min="1" max="19" man="1"/>
    <brk id="146" min="1" max="19" man="1"/>
    <brk id="167" max="16383" man="1"/>
    <brk id="215" min="1" max="19"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40"/>
  <sheetViews>
    <sheetView showGridLines="0" view="pageBreakPreview" topLeftCell="A24" zoomScale="84" zoomScaleNormal="100" workbookViewId="0">
      <selection activeCell="D32" sqref="D32"/>
    </sheetView>
  </sheetViews>
  <sheetFormatPr defaultRowHeight="14.5" x14ac:dyDescent="0.35"/>
  <cols>
    <col min="1" max="1" width="8.7265625" style="830"/>
    <col min="2" max="2" width="12.6328125" style="830" customWidth="1"/>
    <col min="3" max="3" width="11.453125" style="830" customWidth="1"/>
    <col min="4" max="4" width="14.90625" style="830" customWidth="1"/>
    <col min="5" max="6" width="8.7265625" style="830"/>
    <col min="7" max="7" width="17.08984375" style="830" bestFit="1" customWidth="1"/>
    <col min="8" max="8" width="20" style="830" bestFit="1" customWidth="1"/>
    <col min="9" max="9" width="10.36328125" style="830" bestFit="1" customWidth="1"/>
    <col min="10" max="16384" width="8.7265625" style="830"/>
  </cols>
  <sheetData>
    <row r="2" spans="2:10" ht="15" thickBot="1" x14ac:dyDescent="0.4">
      <c r="B2" s="829" t="s">
        <v>1458</v>
      </c>
    </row>
    <row r="3" spans="2:10" ht="15" thickBot="1" x14ac:dyDescent="0.4">
      <c r="B3" s="831" t="s">
        <v>1459</v>
      </c>
      <c r="C3" s="832" t="s">
        <v>1460</v>
      </c>
      <c r="D3" s="832" t="s">
        <v>1461</v>
      </c>
      <c r="E3" s="832" t="s">
        <v>1462</v>
      </c>
      <c r="F3" s="832" t="s">
        <v>1463</v>
      </c>
      <c r="G3" s="832" t="s">
        <v>1464</v>
      </c>
      <c r="H3" s="833" t="s">
        <v>1465</v>
      </c>
    </row>
    <row r="4" spans="2:10" x14ac:dyDescent="0.35">
      <c r="B4" s="2372" t="s">
        <v>177</v>
      </c>
      <c r="C4" s="834">
        <v>42826</v>
      </c>
      <c r="D4" s="835">
        <f>C5-1</f>
        <v>42916</v>
      </c>
      <c r="E4" s="836">
        <f>D4-C4+1</f>
        <v>91</v>
      </c>
      <c r="F4" s="837">
        <v>9.0999999999999998E-2</v>
      </c>
      <c r="G4" s="2375">
        <f>SUMPRODUCT(E4:E8,F4:F8)/SUM(E4:E8)</f>
        <v>8.6800000000000002E-2</v>
      </c>
      <c r="H4" s="2378">
        <f>G4+1.5%</f>
        <v>0.1018</v>
      </c>
      <c r="I4" s="838"/>
      <c r="J4" s="839"/>
    </row>
    <row r="5" spans="2:10" x14ac:dyDescent="0.35">
      <c r="B5" s="2373"/>
      <c r="C5" s="835">
        <v>42917</v>
      </c>
      <c r="D5" s="835">
        <f>C6-1</f>
        <v>43008</v>
      </c>
      <c r="E5" s="836">
        <f>D5-C5+1</f>
        <v>92</v>
      </c>
      <c r="F5" s="840">
        <v>0.09</v>
      </c>
      <c r="G5" s="2376"/>
      <c r="H5" s="2379"/>
    </row>
    <row r="6" spans="2:10" x14ac:dyDescent="0.35">
      <c r="B6" s="2373"/>
      <c r="C6" s="835">
        <v>43009</v>
      </c>
      <c r="D6" s="835">
        <f>C7-1</f>
        <v>43067</v>
      </c>
      <c r="E6" s="836">
        <f>D6-C6+1</f>
        <v>59</v>
      </c>
      <c r="F6" s="840">
        <v>8.9499999999999996E-2</v>
      </c>
      <c r="G6" s="2376"/>
      <c r="H6" s="2379"/>
    </row>
    <row r="7" spans="2:10" x14ac:dyDescent="0.35">
      <c r="B7" s="2373"/>
      <c r="C7" s="835">
        <v>43068</v>
      </c>
      <c r="D7" s="835">
        <f>C8-1</f>
        <v>43159</v>
      </c>
      <c r="E7" s="836">
        <f>D7-C7+1</f>
        <v>92</v>
      </c>
      <c r="F7" s="840">
        <v>7.9500000000000001E-2</v>
      </c>
      <c r="G7" s="2377"/>
      <c r="H7" s="2379"/>
    </row>
    <row r="8" spans="2:10" ht="15" thickBot="1" x14ac:dyDescent="0.4">
      <c r="B8" s="2373"/>
      <c r="C8" s="835">
        <v>43160</v>
      </c>
      <c r="D8" s="841">
        <v>43190</v>
      </c>
      <c r="E8" s="836">
        <f t="shared" ref="E8:E13" si="0">D8-C8+1</f>
        <v>31</v>
      </c>
      <c r="F8" s="840">
        <v>8.1500000000000003E-2</v>
      </c>
      <c r="G8" s="2377"/>
      <c r="H8" s="2379"/>
    </row>
    <row r="9" spans="2:10" x14ac:dyDescent="0.35">
      <c r="B9" s="2372" t="s">
        <v>178</v>
      </c>
      <c r="C9" s="834">
        <v>43191</v>
      </c>
      <c r="D9" s="834">
        <f t="shared" ref="D9:D23" si="1">C10-1</f>
        <v>43251</v>
      </c>
      <c r="E9" s="842">
        <f>D9-C9+1</f>
        <v>61</v>
      </c>
      <c r="F9" s="837">
        <v>8.1500000000000003E-2</v>
      </c>
      <c r="G9" s="2375">
        <f>SUMPRODUCT(E9:E13,F9:F13)/SUM(E9:E13)</f>
        <v>8.389726027397261E-2</v>
      </c>
      <c r="H9" s="2378">
        <f>G9+1.5%</f>
        <v>9.8897260273972609E-2</v>
      </c>
    </row>
    <row r="10" spans="2:10" x14ac:dyDescent="0.35">
      <c r="B10" s="2373"/>
      <c r="C10" s="835">
        <v>43252</v>
      </c>
      <c r="D10" s="835">
        <f t="shared" si="1"/>
        <v>43343</v>
      </c>
      <c r="E10" s="836">
        <f t="shared" si="0"/>
        <v>92</v>
      </c>
      <c r="F10" s="840">
        <v>8.2500000000000004E-2</v>
      </c>
      <c r="G10" s="2376"/>
      <c r="H10" s="2379"/>
    </row>
    <row r="11" spans="2:10" x14ac:dyDescent="0.35">
      <c r="B11" s="2373"/>
      <c r="C11" s="835">
        <v>43344</v>
      </c>
      <c r="D11" s="835">
        <f t="shared" si="1"/>
        <v>43373</v>
      </c>
      <c r="E11" s="836">
        <f t="shared" si="0"/>
        <v>30</v>
      </c>
      <c r="F11" s="840">
        <v>8.4500000000000006E-2</v>
      </c>
      <c r="G11" s="2376"/>
      <c r="H11" s="2379"/>
    </row>
    <row r="12" spans="2:10" x14ac:dyDescent="0.35">
      <c r="B12" s="2374"/>
      <c r="C12" s="841">
        <v>43374</v>
      </c>
      <c r="D12" s="835">
        <f t="shared" si="1"/>
        <v>43443</v>
      </c>
      <c r="E12" s="836">
        <f t="shared" si="0"/>
        <v>70</v>
      </c>
      <c r="F12" s="843">
        <v>8.5000000000000006E-2</v>
      </c>
      <c r="G12" s="2377"/>
      <c r="H12" s="2380"/>
    </row>
    <row r="13" spans="2:10" ht="15" thickBot="1" x14ac:dyDescent="0.4">
      <c r="B13" s="2374"/>
      <c r="C13" s="841">
        <v>43444</v>
      </c>
      <c r="D13" s="835">
        <f t="shared" si="1"/>
        <v>43555</v>
      </c>
      <c r="E13" s="836">
        <f t="shared" si="0"/>
        <v>112</v>
      </c>
      <c r="F13" s="843">
        <v>8.5500000000000007E-2</v>
      </c>
      <c r="G13" s="2377"/>
      <c r="H13" s="2380"/>
    </row>
    <row r="14" spans="2:10" x14ac:dyDescent="0.35">
      <c r="B14" s="2372" t="s">
        <v>179</v>
      </c>
      <c r="C14" s="834">
        <v>43556</v>
      </c>
      <c r="D14" s="834">
        <f t="shared" si="1"/>
        <v>43564</v>
      </c>
      <c r="E14" s="842">
        <f>D14-C14+1</f>
        <v>9</v>
      </c>
      <c r="F14" s="837">
        <v>8.5500000000000007E-2</v>
      </c>
      <c r="G14" s="2375">
        <f>SUMPRODUCT(E14:E24,F14:F24)/SUM(E14:E24)</f>
        <v>8.1572404371584695E-2</v>
      </c>
      <c r="H14" s="2378">
        <f>G14+1.5%</f>
        <v>9.6572404371584694E-2</v>
      </c>
    </row>
    <row r="15" spans="2:10" x14ac:dyDescent="0.35">
      <c r="B15" s="2373"/>
      <c r="C15" s="835">
        <v>43565</v>
      </c>
      <c r="D15" s="835">
        <f t="shared" si="1"/>
        <v>43594</v>
      </c>
      <c r="E15" s="1075">
        <f t="shared" ref="E15:E38" si="2">D15-C15+1</f>
        <v>30</v>
      </c>
      <c r="F15" s="840">
        <v>8.5000000000000006E-2</v>
      </c>
      <c r="G15" s="2376"/>
      <c r="H15" s="2379"/>
    </row>
    <row r="16" spans="2:10" x14ac:dyDescent="0.35">
      <c r="B16" s="2373"/>
      <c r="C16" s="835">
        <v>43595</v>
      </c>
      <c r="D16" s="835">
        <f t="shared" si="1"/>
        <v>43655</v>
      </c>
      <c r="E16" s="836">
        <f t="shared" si="2"/>
        <v>61</v>
      </c>
      <c r="F16" s="840">
        <v>8.4500000000000006E-2</v>
      </c>
      <c r="G16" s="2376"/>
      <c r="H16" s="2379"/>
    </row>
    <row r="17" spans="2:9" x14ac:dyDescent="0.35">
      <c r="B17" s="2374"/>
      <c r="C17" s="841">
        <v>43656</v>
      </c>
      <c r="D17" s="835">
        <f t="shared" si="1"/>
        <v>43686</v>
      </c>
      <c r="E17" s="836">
        <f t="shared" si="2"/>
        <v>31</v>
      </c>
      <c r="F17" s="843">
        <v>8.4000000000000005E-2</v>
      </c>
      <c r="G17" s="2377"/>
      <c r="H17" s="2380"/>
    </row>
    <row r="18" spans="2:9" x14ac:dyDescent="0.35">
      <c r="B18" s="2374"/>
      <c r="C18" s="841">
        <v>43687</v>
      </c>
      <c r="D18" s="835">
        <f t="shared" si="1"/>
        <v>43717</v>
      </c>
      <c r="E18" s="836">
        <f t="shared" si="2"/>
        <v>31</v>
      </c>
      <c r="F18" s="843">
        <v>8.2500000000000004E-2</v>
      </c>
      <c r="G18" s="2377"/>
      <c r="H18" s="2380"/>
    </row>
    <row r="19" spans="2:9" x14ac:dyDescent="0.35">
      <c r="B19" s="2374"/>
      <c r="C19" s="841">
        <v>43718</v>
      </c>
      <c r="D19" s="835">
        <f>C20-1</f>
        <v>43747</v>
      </c>
      <c r="E19" s="836">
        <f t="shared" si="2"/>
        <v>30</v>
      </c>
      <c r="F19" s="843">
        <v>8.1500000000000003E-2</v>
      </c>
      <c r="G19" s="2377"/>
      <c r="H19" s="2380"/>
    </row>
    <row r="20" spans="2:9" x14ac:dyDescent="0.35">
      <c r="B20" s="2374"/>
      <c r="C20" s="841">
        <v>43748</v>
      </c>
      <c r="D20" s="835">
        <f>C21-1</f>
        <v>43778</v>
      </c>
      <c r="E20" s="836">
        <f t="shared" si="2"/>
        <v>31</v>
      </c>
      <c r="F20" s="843">
        <v>8.0500000000000002E-2</v>
      </c>
      <c r="G20" s="2377"/>
      <c r="H20" s="2380"/>
    </row>
    <row r="21" spans="2:9" x14ac:dyDescent="0.35">
      <c r="B21" s="2374"/>
      <c r="C21" s="841">
        <v>43779</v>
      </c>
      <c r="D21" s="835">
        <f t="shared" si="1"/>
        <v>43808</v>
      </c>
      <c r="E21" s="836">
        <f t="shared" si="2"/>
        <v>30</v>
      </c>
      <c r="F21" s="843">
        <v>0.08</v>
      </c>
      <c r="G21" s="2377"/>
      <c r="H21" s="2380"/>
    </row>
    <row r="22" spans="2:9" x14ac:dyDescent="0.35">
      <c r="B22" s="2374"/>
      <c r="C22" s="841">
        <v>43809</v>
      </c>
      <c r="D22" s="835">
        <f t="shared" si="1"/>
        <v>43870</v>
      </c>
      <c r="E22" s="836">
        <f t="shared" si="2"/>
        <v>62</v>
      </c>
      <c r="F22" s="843">
        <v>7.9000000000000001E-2</v>
      </c>
      <c r="G22" s="2377"/>
      <c r="H22" s="2380"/>
    </row>
    <row r="23" spans="2:9" x14ac:dyDescent="0.35">
      <c r="B23" s="2374"/>
      <c r="C23" s="841">
        <v>43871</v>
      </c>
      <c r="D23" s="835">
        <f t="shared" si="1"/>
        <v>43899</v>
      </c>
      <c r="E23" s="836">
        <f t="shared" si="2"/>
        <v>29</v>
      </c>
      <c r="F23" s="843">
        <v>7.85E-2</v>
      </c>
      <c r="G23" s="2377"/>
      <c r="H23" s="2380"/>
    </row>
    <row r="24" spans="2:9" ht="15" thickBot="1" x14ac:dyDescent="0.4">
      <c r="B24" s="2374"/>
      <c r="C24" s="841">
        <v>43900</v>
      </c>
      <c r="D24" s="835">
        <f>C25-1</f>
        <v>43921</v>
      </c>
      <c r="E24" s="836">
        <f t="shared" si="2"/>
        <v>22</v>
      </c>
      <c r="F24" s="843">
        <v>7.7499999999999999E-2</v>
      </c>
      <c r="G24" s="2377"/>
      <c r="H24" s="2380"/>
    </row>
    <row r="25" spans="2:9" x14ac:dyDescent="0.35">
      <c r="B25" s="2363" t="s">
        <v>186</v>
      </c>
      <c r="C25" s="834">
        <v>43922</v>
      </c>
      <c r="D25" s="834">
        <f>C26-1</f>
        <v>43930</v>
      </c>
      <c r="E25" s="842">
        <f t="shared" si="2"/>
        <v>9</v>
      </c>
      <c r="F25" s="837">
        <v>7.7499999999999999E-2</v>
      </c>
      <c r="G25" s="2366">
        <f>SUMPRODUCT(E25:E28,F25:F28)/SUM(E25:E28)</f>
        <v>7.0726027397260291E-2</v>
      </c>
      <c r="H25" s="2369">
        <f>G25+1.5%</f>
        <v>8.572602739726029E-2</v>
      </c>
    </row>
    <row r="26" spans="2:9" x14ac:dyDescent="0.35">
      <c r="B26" s="2364"/>
      <c r="C26" s="835">
        <v>43931</v>
      </c>
      <c r="D26" s="835">
        <f>C27-1</f>
        <v>43960</v>
      </c>
      <c r="E26" s="836">
        <f t="shared" si="2"/>
        <v>30</v>
      </c>
      <c r="F26" s="840">
        <f>7.4%</f>
        <v>7.400000000000001E-2</v>
      </c>
      <c r="G26" s="2367"/>
      <c r="H26" s="2370"/>
      <c r="I26" s="838"/>
    </row>
    <row r="27" spans="2:9" x14ac:dyDescent="0.35">
      <c r="B27" s="2364"/>
      <c r="C27" s="835">
        <v>43961</v>
      </c>
      <c r="D27" s="835">
        <f>C28-1</f>
        <v>43991</v>
      </c>
      <c r="E27" s="836">
        <f t="shared" si="2"/>
        <v>31</v>
      </c>
      <c r="F27" s="840">
        <v>7.2499999999999995E-2</v>
      </c>
      <c r="G27" s="2367"/>
      <c r="H27" s="2370"/>
    </row>
    <row r="28" spans="2:9" ht="15" thickBot="1" x14ac:dyDescent="0.4">
      <c r="B28" s="2364"/>
      <c r="C28" s="835">
        <v>43992</v>
      </c>
      <c r="D28" s="844">
        <v>44286</v>
      </c>
      <c r="E28" s="836">
        <f t="shared" si="2"/>
        <v>295</v>
      </c>
      <c r="F28" s="840">
        <v>7.0000000000000007E-2</v>
      </c>
      <c r="G28" s="2367"/>
      <c r="H28" s="2370"/>
    </row>
    <row r="29" spans="2:9" ht="15" thickBot="1" x14ac:dyDescent="0.4">
      <c r="B29" s="845" t="s">
        <v>426</v>
      </c>
      <c r="C29" s="834">
        <v>44287</v>
      </c>
      <c r="D29" s="834">
        <v>44651</v>
      </c>
      <c r="E29" s="842">
        <f t="shared" si="2"/>
        <v>365</v>
      </c>
      <c r="F29" s="846">
        <v>7.0000000000000007E-2</v>
      </c>
      <c r="G29" s="847">
        <f>SUMPRODUCT(E29:E29,F29:F29)/SUM(E29:E29)</f>
        <v>7.0000000000000007E-2</v>
      </c>
      <c r="H29" s="848">
        <f>G29+1.5%</f>
        <v>8.5000000000000006E-2</v>
      </c>
    </row>
    <row r="30" spans="2:9" x14ac:dyDescent="0.35">
      <c r="B30" s="2363" t="s">
        <v>427</v>
      </c>
      <c r="C30" s="834">
        <v>44652</v>
      </c>
      <c r="D30" s="834">
        <f t="shared" ref="D30:D37" si="3">C31-1</f>
        <v>44665</v>
      </c>
      <c r="E30" s="842">
        <f t="shared" si="2"/>
        <v>14</v>
      </c>
      <c r="F30" s="846">
        <v>7.0000000000000007E-2</v>
      </c>
      <c r="G30" s="2366">
        <f>SUMPRODUCT(E30:E38,F30:F38)/SUM(E30:E38)*0+8.05%</f>
        <v>8.0500000000000002E-2</v>
      </c>
      <c r="H30" s="2369">
        <f>G30+1.5%</f>
        <v>9.5500000000000002E-2</v>
      </c>
    </row>
    <row r="31" spans="2:9" x14ac:dyDescent="0.35">
      <c r="B31" s="2364"/>
      <c r="C31" s="835">
        <v>44666</v>
      </c>
      <c r="D31" s="835">
        <f t="shared" si="3"/>
        <v>44695</v>
      </c>
      <c r="E31" s="836">
        <f t="shared" si="2"/>
        <v>30</v>
      </c>
      <c r="F31" s="840">
        <v>7.0999999999999994E-2</v>
      </c>
      <c r="G31" s="2367"/>
      <c r="H31" s="2370"/>
      <c r="I31" s="838"/>
    </row>
    <row r="32" spans="2:9" x14ac:dyDescent="0.35">
      <c r="B32" s="2364"/>
      <c r="C32" s="835">
        <v>44696</v>
      </c>
      <c r="D32" s="835">
        <f t="shared" si="3"/>
        <v>44726</v>
      </c>
      <c r="E32" s="836">
        <f t="shared" si="2"/>
        <v>31</v>
      </c>
      <c r="F32" s="840">
        <v>7.1999999999999995E-2</v>
      </c>
      <c r="G32" s="2367"/>
      <c r="H32" s="2370"/>
    </row>
    <row r="33" spans="2:8" x14ac:dyDescent="0.35">
      <c r="B33" s="2364"/>
      <c r="C33" s="835">
        <v>44727</v>
      </c>
      <c r="D33" s="835">
        <f t="shared" si="3"/>
        <v>44756</v>
      </c>
      <c r="E33" s="836">
        <f t="shared" si="2"/>
        <v>30</v>
      </c>
      <c r="F33" s="840">
        <v>7.3999999999999996E-2</v>
      </c>
      <c r="G33" s="2367"/>
      <c r="H33" s="2370"/>
    </row>
    <row r="34" spans="2:8" x14ac:dyDescent="0.35">
      <c r="B34" s="2364"/>
      <c r="C34" s="835">
        <v>44757</v>
      </c>
      <c r="D34" s="835">
        <f t="shared" si="3"/>
        <v>44787</v>
      </c>
      <c r="E34" s="836">
        <f t="shared" si="2"/>
        <v>31</v>
      </c>
      <c r="F34" s="843">
        <v>7.4999999999999997E-2</v>
      </c>
      <c r="G34" s="2367"/>
      <c r="H34" s="2370"/>
    </row>
    <row r="35" spans="2:8" x14ac:dyDescent="0.35">
      <c r="B35" s="2364"/>
      <c r="C35" s="835">
        <v>44788</v>
      </c>
      <c r="D35" s="835">
        <f t="shared" si="3"/>
        <v>44818</v>
      </c>
      <c r="E35" s="836">
        <f t="shared" si="2"/>
        <v>31</v>
      </c>
      <c r="F35" s="843">
        <v>7.6999999999999999E-2</v>
      </c>
      <c r="G35" s="2367"/>
      <c r="H35" s="2370"/>
    </row>
    <row r="36" spans="2:8" x14ac:dyDescent="0.35">
      <c r="B36" s="2364"/>
      <c r="C36" s="835">
        <v>44819</v>
      </c>
      <c r="D36" s="835">
        <f t="shared" si="3"/>
        <v>44848</v>
      </c>
      <c r="E36" s="836">
        <f t="shared" si="2"/>
        <v>30</v>
      </c>
      <c r="F36" s="843">
        <v>7.6999999999999999E-2</v>
      </c>
      <c r="G36" s="2367"/>
      <c r="H36" s="2370"/>
    </row>
    <row r="37" spans="2:8" x14ac:dyDescent="0.35">
      <c r="B37" s="2364"/>
      <c r="C37" s="835">
        <v>44849</v>
      </c>
      <c r="D37" s="835">
        <f t="shared" si="3"/>
        <v>44879</v>
      </c>
      <c r="E37" s="836">
        <f t="shared" si="2"/>
        <v>31</v>
      </c>
      <c r="F37" s="843">
        <v>7.9500000000000001E-2</v>
      </c>
      <c r="G37" s="2367"/>
      <c r="H37" s="2370"/>
    </row>
    <row r="38" spans="2:8" ht="15" thickBot="1" x14ac:dyDescent="0.4">
      <c r="B38" s="2365"/>
      <c r="C38" s="835">
        <v>44880</v>
      </c>
      <c r="D38" s="835">
        <v>44895</v>
      </c>
      <c r="E38" s="836">
        <f t="shared" si="2"/>
        <v>16</v>
      </c>
      <c r="F38" s="849">
        <v>8.0500000000000002E-2</v>
      </c>
      <c r="G38" s="2368"/>
      <c r="H38" s="2371"/>
    </row>
    <row r="40" spans="2:8" x14ac:dyDescent="0.35">
      <c r="B40" s="830" t="s">
        <v>1466</v>
      </c>
      <c r="C40" s="462" t="s">
        <v>1048</v>
      </c>
    </row>
  </sheetData>
  <mergeCells count="15">
    <mergeCell ref="B4:B8"/>
    <mergeCell ref="G4:G8"/>
    <mergeCell ref="H4:H8"/>
    <mergeCell ref="B9:B13"/>
    <mergeCell ref="G9:G13"/>
    <mergeCell ref="H9:H13"/>
    <mergeCell ref="B30:B38"/>
    <mergeCell ref="G30:G38"/>
    <mergeCell ref="H30:H38"/>
    <mergeCell ref="B14:B24"/>
    <mergeCell ref="G14:G24"/>
    <mergeCell ref="H14:H24"/>
    <mergeCell ref="B25:B28"/>
    <mergeCell ref="G25:G28"/>
    <mergeCell ref="H25:H28"/>
  </mergeCells>
  <hyperlinks>
    <hyperlink ref="C40" r:id="rId1"/>
  </hyperlinks>
  <pageMargins left="0.7" right="0.7" top="0.75" bottom="0.75" header="0.3" footer="0.3"/>
  <pageSetup scale="90" orientation="portrait"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47"/>
  <sheetViews>
    <sheetView showGridLines="0" view="pageBreakPreview" zoomScale="88" zoomScaleNormal="80" zoomScaleSheetLayoutView="85" workbookViewId="0">
      <pane xSplit="3" ySplit="5" topLeftCell="G116" activePane="bottomRight" state="frozen"/>
      <selection pane="topRight" activeCell="D1" sqref="D1"/>
      <selection pane="bottomLeft" activeCell="A6" sqref="A6"/>
      <selection pane="bottomRight"/>
    </sheetView>
  </sheetViews>
  <sheetFormatPr defaultColWidth="9.1796875" defaultRowHeight="14" x14ac:dyDescent="0.25"/>
  <cols>
    <col min="1" max="1" width="3.1796875" style="60" customWidth="1"/>
    <col min="2" max="2" width="8.453125" style="60" customWidth="1"/>
    <col min="3" max="3" width="78.7265625" style="60" customWidth="1"/>
    <col min="4" max="4" width="13.54296875" style="60" customWidth="1"/>
    <col min="5" max="6" width="20.453125" style="496" customWidth="1"/>
    <col min="7" max="7" width="21.1796875" style="496" bestFit="1" customWidth="1"/>
    <col min="8" max="9" width="21.1796875" style="496" customWidth="1"/>
    <col min="10" max="14" width="14.7265625" style="496" customWidth="1"/>
    <col min="15" max="15" width="15.54296875" style="60" customWidth="1"/>
    <col min="16" max="16" width="26.26953125" style="60" bestFit="1" customWidth="1"/>
    <col min="17" max="17" width="15.6328125" style="60" bestFit="1" customWidth="1"/>
    <col min="18" max="16384" width="9.1796875" style="60"/>
  </cols>
  <sheetData>
    <row r="3" spans="2:17" x14ac:dyDescent="0.25">
      <c r="C3" s="154"/>
      <c r="D3" s="154"/>
      <c r="E3" s="564"/>
      <c r="F3" s="564"/>
      <c r="G3" s="565" t="s">
        <v>1027</v>
      </c>
      <c r="H3" s="565"/>
      <c r="I3" s="565"/>
      <c r="J3" s="564"/>
      <c r="K3" s="564"/>
      <c r="L3" s="564"/>
      <c r="M3" s="564"/>
      <c r="N3" s="564"/>
    </row>
    <row r="4" spans="2:17" x14ac:dyDescent="0.25">
      <c r="C4" s="154"/>
      <c r="D4" s="154"/>
      <c r="E4" s="564"/>
      <c r="F4" s="564"/>
      <c r="G4" s="523" t="s">
        <v>848</v>
      </c>
      <c r="H4" s="523"/>
      <c r="I4" s="523"/>
      <c r="J4" s="564"/>
      <c r="K4" s="564"/>
      <c r="L4" s="564"/>
      <c r="M4" s="564"/>
      <c r="N4" s="564"/>
    </row>
    <row r="5" spans="2:17" x14ac:dyDescent="0.25">
      <c r="C5" s="154"/>
      <c r="D5" s="154"/>
      <c r="E5" s="564"/>
      <c r="F5" s="564"/>
      <c r="G5" s="523" t="s">
        <v>326</v>
      </c>
      <c r="H5" s="523"/>
      <c r="I5" s="523"/>
      <c r="J5" s="564"/>
      <c r="K5" s="564"/>
      <c r="L5" s="564"/>
      <c r="M5" s="564"/>
      <c r="N5" s="564"/>
    </row>
    <row r="6" spans="2:17" x14ac:dyDescent="0.25">
      <c r="B6" s="105"/>
      <c r="C6" s="277"/>
      <c r="D6" s="181"/>
      <c r="E6" s="987"/>
      <c r="F6" s="987"/>
      <c r="G6" s="987"/>
      <c r="H6" s="987"/>
      <c r="I6" s="987"/>
      <c r="J6" s="987"/>
      <c r="K6" s="987"/>
    </row>
    <row r="7" spans="2:17" x14ac:dyDescent="0.25">
      <c r="B7" s="105"/>
      <c r="C7" s="277"/>
      <c r="D7" s="181"/>
      <c r="E7" s="987"/>
      <c r="F7" s="987"/>
      <c r="G7" s="987"/>
      <c r="H7" s="987"/>
      <c r="I7" s="987"/>
      <c r="J7" s="987"/>
      <c r="K7" s="987"/>
    </row>
    <row r="8" spans="2:17" x14ac:dyDescent="0.25">
      <c r="B8" s="104" t="s">
        <v>855</v>
      </c>
      <c r="C8" s="277"/>
      <c r="D8" s="181"/>
      <c r="E8" s="987"/>
      <c r="F8" s="987"/>
      <c r="G8" s="987"/>
      <c r="I8" s="987"/>
      <c r="J8" s="987"/>
      <c r="K8" s="987"/>
      <c r="L8" s="566"/>
      <c r="M8" s="574"/>
      <c r="N8" s="987"/>
    </row>
    <row r="9" spans="2:17" x14ac:dyDescent="0.25">
      <c r="B9" s="105"/>
      <c r="C9" s="988"/>
      <c r="D9" s="181"/>
      <c r="E9" s="987"/>
      <c r="F9" s="987"/>
      <c r="G9" s="987"/>
      <c r="H9" s="987"/>
      <c r="I9" s="987"/>
      <c r="J9" s="987"/>
      <c r="K9" s="987"/>
      <c r="L9" s="567"/>
      <c r="M9" s="989"/>
      <c r="N9" s="987"/>
    </row>
    <row r="10" spans="2:17" x14ac:dyDescent="0.25">
      <c r="B10" s="105"/>
      <c r="C10" s="988"/>
      <c r="D10" s="181"/>
      <c r="E10" s="987"/>
      <c r="F10" s="990"/>
      <c r="H10" s="987"/>
      <c r="I10" s="987"/>
      <c r="J10" s="987"/>
      <c r="K10" s="987"/>
      <c r="L10" s="567"/>
      <c r="M10" s="989"/>
      <c r="N10" s="987"/>
    </row>
    <row r="11" spans="2:17" x14ac:dyDescent="0.25">
      <c r="B11" s="105"/>
      <c r="C11" s="988" t="s">
        <v>327</v>
      </c>
      <c r="D11" s="991"/>
      <c r="E11" s="992"/>
      <c r="F11" s="990"/>
      <c r="G11" s="987"/>
      <c r="H11" s="987"/>
      <c r="I11" s="987"/>
      <c r="J11" s="987"/>
      <c r="K11" s="987"/>
      <c r="L11" s="567"/>
      <c r="M11" s="989"/>
      <c r="N11" s="987"/>
    </row>
    <row r="12" spans="2:17" x14ac:dyDescent="0.25">
      <c r="B12" s="104"/>
      <c r="C12" s="104"/>
      <c r="D12" s="181"/>
      <c r="E12" s="2125">
        <v>0.1</v>
      </c>
      <c r="F12" s="516" t="s">
        <v>16</v>
      </c>
      <c r="G12" s="987"/>
      <c r="H12" s="987"/>
      <c r="I12" s="987"/>
      <c r="K12" s="987"/>
    </row>
    <row r="13" spans="2:17" x14ac:dyDescent="0.25">
      <c r="B13" s="2208" t="s">
        <v>187</v>
      </c>
      <c r="C13" s="2382" t="s">
        <v>50</v>
      </c>
      <c r="D13" s="2381" t="s">
        <v>82</v>
      </c>
      <c r="E13" s="2192" t="s">
        <v>179</v>
      </c>
      <c r="F13" s="2192"/>
      <c r="G13" s="569"/>
      <c r="M13" s="569"/>
      <c r="N13" s="569"/>
    </row>
    <row r="14" spans="2:17" x14ac:dyDescent="0.25">
      <c r="B14" s="2210"/>
      <c r="C14" s="2383"/>
      <c r="D14" s="2381"/>
      <c r="E14" s="957" t="s">
        <v>407</v>
      </c>
      <c r="F14" s="956" t="s">
        <v>768</v>
      </c>
      <c r="G14" s="569"/>
      <c r="H14" s="60"/>
      <c r="M14" s="569"/>
      <c r="N14" s="569"/>
      <c r="O14" s="496">
        <v>2</v>
      </c>
      <c r="P14" s="107">
        <v>1</v>
      </c>
      <c r="Q14" s="107">
        <v>2</v>
      </c>
    </row>
    <row r="15" spans="2:17" s="45" customFormat="1" x14ac:dyDescent="0.25">
      <c r="B15" s="106">
        <v>1</v>
      </c>
      <c r="C15" s="993" t="s">
        <v>275</v>
      </c>
      <c r="D15" s="106"/>
      <c r="E15" s="571">
        <v>4.83</v>
      </c>
      <c r="F15" s="353">
        <f>IF(O14=1,('F3'!F46/12)*10%,'F3'!F17/12)</f>
        <v>29.205583333333333</v>
      </c>
      <c r="G15" s="569"/>
      <c r="H15" s="519"/>
      <c r="I15" s="519"/>
      <c r="J15" s="519"/>
      <c r="K15" s="519"/>
      <c r="L15" s="519"/>
      <c r="M15" s="569"/>
      <c r="N15" s="519"/>
      <c r="P15" s="353" t="s">
        <v>1394</v>
      </c>
      <c r="Q15" s="107" t="s">
        <v>1395</v>
      </c>
    </row>
    <row r="16" spans="2:17" s="45" customFormat="1" x14ac:dyDescent="0.25">
      <c r="B16" s="106">
        <f>B15+1</f>
        <v>2</v>
      </c>
      <c r="C16" s="993" t="s">
        <v>329</v>
      </c>
      <c r="D16" s="106"/>
      <c r="E16" s="571">
        <v>2.6</v>
      </c>
      <c r="F16" s="428">
        <f>'F 5.3'!$J$9*10%*1%</f>
        <v>2.5981099999999997</v>
      </c>
      <c r="G16" s="569"/>
      <c r="H16" s="519"/>
      <c r="I16" s="519"/>
      <c r="J16" s="519"/>
      <c r="K16" s="519"/>
      <c r="L16" s="519"/>
      <c r="M16" s="569"/>
      <c r="N16" s="519"/>
    </row>
    <row r="17" spans="2:17" s="45" customFormat="1" ht="28" x14ac:dyDescent="0.25">
      <c r="B17" s="106">
        <f>B16+1</f>
        <v>3</v>
      </c>
      <c r="C17" s="994" t="s">
        <v>276</v>
      </c>
      <c r="D17" s="106"/>
      <c r="E17" s="571">
        <v>43.09</v>
      </c>
      <c r="F17" s="428">
        <f>IF(O17=1,((('ARR-Summary'!F30*1.5)/12)),((('F13'!G46*1.5)/12)))</f>
        <v>76.33467143467503</v>
      </c>
      <c r="G17" s="569"/>
      <c r="H17" s="519"/>
      <c r="I17" s="519"/>
      <c r="J17" s="519"/>
      <c r="K17" s="519"/>
      <c r="L17" s="519"/>
      <c r="M17" s="569"/>
      <c r="N17" s="519"/>
      <c r="O17" s="496">
        <v>2</v>
      </c>
      <c r="P17" s="107">
        <v>1</v>
      </c>
      <c r="Q17" s="107">
        <v>2</v>
      </c>
    </row>
    <row r="18" spans="2:17" s="45" customFormat="1" x14ac:dyDescent="0.25">
      <c r="B18" s="106">
        <v>4</v>
      </c>
      <c r="C18" s="994" t="s">
        <v>1049</v>
      </c>
      <c r="D18" s="106"/>
      <c r="E18" s="571">
        <v>41.06</v>
      </c>
      <c r="F18" s="428">
        <f>F67*10%</f>
        <v>41.638000000000005</v>
      </c>
      <c r="G18" s="569"/>
      <c r="H18" s="519"/>
      <c r="I18" s="519"/>
      <c r="J18" s="519"/>
      <c r="K18" s="519"/>
      <c r="L18" s="519"/>
      <c r="M18" s="569"/>
      <c r="N18" s="519"/>
      <c r="P18" s="353" t="s">
        <v>1396</v>
      </c>
      <c r="Q18" s="107" t="s">
        <v>1547</v>
      </c>
    </row>
    <row r="19" spans="2:17" s="45" customFormat="1" x14ac:dyDescent="0.25">
      <c r="B19" s="106">
        <v>5</v>
      </c>
      <c r="C19" s="61" t="s">
        <v>450</v>
      </c>
      <c r="D19" s="153"/>
      <c r="E19" s="354">
        <v>0</v>
      </c>
      <c r="F19" s="354">
        <v>0</v>
      </c>
      <c r="G19" s="569"/>
      <c r="H19" s="569"/>
      <c r="I19" s="569"/>
      <c r="J19" s="569"/>
      <c r="K19" s="519"/>
      <c r="L19" s="519"/>
      <c r="M19" s="569"/>
      <c r="N19" s="519"/>
    </row>
    <row r="20" spans="2:17" s="45" customFormat="1" x14ac:dyDescent="0.25">
      <c r="B20" s="106">
        <f>B19+1</f>
        <v>6</v>
      </c>
      <c r="C20" s="113" t="s">
        <v>240</v>
      </c>
      <c r="D20" s="153"/>
      <c r="E20" s="572">
        <f>SUM(E15:E17)-SUM(E18:E18)</f>
        <v>9.4600000000000009</v>
      </c>
      <c r="F20" s="572">
        <f>SUM(F15:F17)-SUM(F18:F18)</f>
        <v>66.500364768008353</v>
      </c>
      <c r="G20" s="772"/>
      <c r="H20" s="569"/>
      <c r="I20" s="569"/>
      <c r="J20" s="569"/>
      <c r="K20" s="519"/>
      <c r="L20" s="519"/>
      <c r="M20" s="569"/>
      <c r="N20" s="519"/>
    </row>
    <row r="21" spans="2:17" s="45" customFormat="1" x14ac:dyDescent="0.25">
      <c r="B21" s="106"/>
      <c r="C21" s="113"/>
      <c r="D21" s="153"/>
      <c r="E21" s="571"/>
      <c r="F21" s="428"/>
      <c r="G21" s="569"/>
      <c r="H21" s="569"/>
      <c r="I21" s="569"/>
      <c r="J21" s="569"/>
      <c r="K21" s="519"/>
      <c r="L21" s="519"/>
      <c r="M21" s="569"/>
      <c r="N21" s="519"/>
    </row>
    <row r="22" spans="2:17" s="45" customFormat="1" x14ac:dyDescent="0.25">
      <c r="B22" s="106">
        <v>7</v>
      </c>
      <c r="C22" s="108" t="s">
        <v>238</v>
      </c>
      <c r="D22" s="153"/>
      <c r="E22" s="571"/>
      <c r="F22" s="428"/>
      <c r="G22" s="569"/>
      <c r="H22" s="569"/>
      <c r="I22" s="569"/>
      <c r="J22" s="569"/>
      <c r="K22" s="519"/>
      <c r="L22" s="519"/>
      <c r="M22" s="569"/>
      <c r="N22" s="519"/>
    </row>
    <row r="23" spans="2:17" s="559" customFormat="1" x14ac:dyDescent="0.25">
      <c r="B23" s="578">
        <f>B22+1</f>
        <v>8</v>
      </c>
      <c r="C23" s="995" t="s">
        <v>239</v>
      </c>
      <c r="D23" s="996"/>
      <c r="E23" s="555">
        <v>9.5000000000000001E-2</v>
      </c>
      <c r="F23" s="555">
        <f>F72</f>
        <v>9.6572404371584694E-2</v>
      </c>
      <c r="G23" s="773"/>
      <c r="H23" s="577"/>
      <c r="I23" s="577"/>
      <c r="J23" s="577"/>
    </row>
    <row r="24" spans="2:17" s="34" customFormat="1" x14ac:dyDescent="0.25">
      <c r="B24" s="106">
        <f>B23+1</f>
        <v>9</v>
      </c>
      <c r="C24" s="108" t="s">
        <v>76</v>
      </c>
      <c r="D24" s="997"/>
      <c r="E24" s="364">
        <f>E20*E23</f>
        <v>0.89870000000000005</v>
      </c>
      <c r="F24" s="364">
        <f>F20*F23</f>
        <v>6.4221001172339864</v>
      </c>
      <c r="G24" s="523"/>
      <c r="H24" s="569"/>
      <c r="I24" s="569"/>
      <c r="J24" s="569"/>
      <c r="K24" s="375"/>
      <c r="L24" s="375"/>
      <c r="M24" s="375"/>
      <c r="N24" s="375"/>
    </row>
    <row r="25" spans="2:17" s="34" customFormat="1" x14ac:dyDescent="0.25">
      <c r="B25" s="971">
        <v>10</v>
      </c>
      <c r="C25" s="998" t="s">
        <v>447</v>
      </c>
      <c r="D25" s="999"/>
      <c r="E25" s="428">
        <v>0</v>
      </c>
      <c r="F25" s="428">
        <f>F74*E12</f>
        <v>0.88800000000000012</v>
      </c>
      <c r="G25" s="569"/>
      <c r="H25" s="569"/>
      <c r="I25" s="569"/>
      <c r="J25" s="569"/>
      <c r="K25" s="375"/>
      <c r="L25" s="375"/>
      <c r="M25" s="375"/>
      <c r="N25" s="375"/>
    </row>
    <row r="26" spans="2:17" s="34" customFormat="1" ht="15.5" x14ac:dyDescent="0.25">
      <c r="B26" s="743"/>
      <c r="C26" s="1000"/>
      <c r="D26" s="997"/>
      <c r="E26" s="353"/>
      <c r="F26" s="353"/>
      <c r="G26" s="569"/>
      <c r="H26" s="569"/>
      <c r="I26" s="569"/>
      <c r="J26" s="569"/>
      <c r="K26" s="375"/>
      <c r="L26" s="375"/>
      <c r="M26" s="375"/>
      <c r="N26" s="375"/>
    </row>
    <row r="27" spans="2:17" s="34" customFormat="1" ht="15.5" x14ac:dyDescent="0.25">
      <c r="B27" s="743">
        <v>10</v>
      </c>
      <c r="C27" s="1001" t="s">
        <v>328</v>
      </c>
      <c r="D27" s="997"/>
      <c r="E27" s="390"/>
      <c r="F27" s="353">
        <f>F76*10%</f>
        <v>0</v>
      </c>
      <c r="G27" s="569"/>
      <c r="H27" s="569"/>
      <c r="I27" s="569"/>
      <c r="J27" s="569"/>
      <c r="K27" s="375"/>
      <c r="L27" s="375"/>
      <c r="M27" s="375"/>
      <c r="N27" s="375"/>
    </row>
    <row r="28" spans="2:17" s="34" customFormat="1" x14ac:dyDescent="0.25">
      <c r="B28" s="106">
        <f>B27+1</f>
        <v>11</v>
      </c>
      <c r="C28" s="998" t="s">
        <v>239</v>
      </c>
      <c r="D28" s="997"/>
      <c r="E28" s="459"/>
      <c r="F28" s="459">
        <f>F23</f>
        <v>9.6572404371584694E-2</v>
      </c>
      <c r="G28" s="632"/>
      <c r="H28" s="569"/>
      <c r="I28" s="569"/>
      <c r="J28" s="569"/>
      <c r="K28" s="375"/>
      <c r="L28" s="375"/>
      <c r="M28" s="375"/>
      <c r="N28" s="375"/>
    </row>
    <row r="29" spans="2:17" s="34" customFormat="1" ht="15" x14ac:dyDescent="0.25">
      <c r="B29" s="106">
        <f>B28+1</f>
        <v>12</v>
      </c>
      <c r="C29" s="1000" t="s">
        <v>328</v>
      </c>
      <c r="D29" s="997"/>
      <c r="E29" s="353">
        <f>10%*E78</f>
        <v>3.8439999999999999</v>
      </c>
      <c r="F29" s="353">
        <f>E12*F78</f>
        <v>3.7690000000000001</v>
      </c>
      <c r="G29" s="569"/>
      <c r="H29" s="569"/>
      <c r="I29" s="569"/>
      <c r="J29" s="569"/>
      <c r="K29" s="375"/>
      <c r="L29" s="375"/>
      <c r="M29" s="375"/>
      <c r="N29" s="375"/>
    </row>
    <row r="30" spans="2:17" s="66" customFormat="1" x14ac:dyDescent="0.25">
      <c r="B30" s="109" t="s">
        <v>449</v>
      </c>
      <c r="C30" s="277"/>
      <c r="D30" s="277"/>
      <c r="E30" s="574"/>
      <c r="F30" s="574"/>
      <c r="G30" s="574"/>
      <c r="H30" s="574"/>
      <c r="I30" s="574"/>
      <c r="J30" s="574"/>
      <c r="K30" s="375"/>
      <c r="L30" s="375"/>
      <c r="M30" s="375"/>
      <c r="N30" s="375"/>
    </row>
    <row r="31" spans="2:17" s="66" customFormat="1" x14ac:dyDescent="0.25">
      <c r="B31" s="66">
        <v>1</v>
      </c>
      <c r="C31" s="277" t="s">
        <v>856</v>
      </c>
      <c r="D31" s="1002"/>
      <c r="E31" s="1003"/>
      <c r="F31" s="1003"/>
      <c r="G31" s="1003"/>
      <c r="H31" s="1004"/>
      <c r="I31" s="1004"/>
      <c r="J31" s="574"/>
      <c r="K31" s="375"/>
      <c r="L31" s="375"/>
      <c r="M31" s="375"/>
      <c r="N31" s="375"/>
    </row>
    <row r="32" spans="2:17" s="66" customFormat="1" x14ac:dyDescent="0.25">
      <c r="B32" s="66">
        <v>2</v>
      </c>
      <c r="C32" s="277" t="s">
        <v>448</v>
      </c>
      <c r="D32" s="1002"/>
      <c r="E32" s="1003"/>
      <c r="F32" s="1003"/>
      <c r="G32" s="1003"/>
      <c r="H32" s="1004"/>
      <c r="I32" s="1004"/>
      <c r="J32" s="574"/>
      <c r="K32" s="375"/>
      <c r="L32" s="375"/>
      <c r="M32" s="375"/>
      <c r="N32" s="375"/>
    </row>
    <row r="33" spans="1:17" s="66" customFormat="1" ht="18" customHeight="1" x14ac:dyDescent="0.25">
      <c r="A33" s="1005"/>
      <c r="C33" s="277"/>
      <c r="D33" s="1006"/>
      <c r="E33" s="1003"/>
      <c r="F33" s="1003"/>
      <c r="G33" s="1003"/>
      <c r="H33" s="1003"/>
      <c r="I33" s="1003"/>
      <c r="J33" s="574"/>
      <c r="K33" s="375"/>
      <c r="L33" s="375"/>
      <c r="M33" s="375"/>
      <c r="N33" s="375"/>
    </row>
    <row r="34" spans="1:17" s="45" customFormat="1" x14ac:dyDescent="0.25">
      <c r="B34" s="34"/>
      <c r="C34" s="1007"/>
      <c r="D34" s="109"/>
      <c r="E34" s="1008"/>
      <c r="F34" s="1008"/>
      <c r="G34" s="574"/>
      <c r="H34" s="574"/>
      <c r="I34" s="574"/>
      <c r="J34" s="553"/>
      <c r="K34" s="569"/>
      <c r="L34" s="519"/>
      <c r="M34" s="519"/>
      <c r="N34" s="519"/>
    </row>
    <row r="35" spans="1:17" s="45" customFormat="1" x14ac:dyDescent="0.25">
      <c r="B35" s="122"/>
      <c r="C35" s="1009"/>
      <c r="D35" s="109"/>
      <c r="E35" s="1008"/>
      <c r="F35" s="1008"/>
      <c r="G35" s="574"/>
      <c r="H35" s="574"/>
      <c r="I35" s="574"/>
      <c r="J35" s="553"/>
      <c r="K35" s="569"/>
      <c r="L35" s="569"/>
      <c r="M35" s="569"/>
      <c r="N35" s="569"/>
    </row>
    <row r="36" spans="1:17" s="45" customFormat="1" x14ac:dyDescent="0.25">
      <c r="B36" s="122"/>
      <c r="C36" s="988" t="s">
        <v>284</v>
      </c>
      <c r="D36" s="109"/>
      <c r="E36" s="1008"/>
      <c r="F36" s="1008"/>
      <c r="G36" s="574"/>
      <c r="H36" s="574"/>
      <c r="I36" s="574"/>
      <c r="J36" s="553"/>
      <c r="K36" s="569"/>
      <c r="L36" s="569"/>
      <c r="M36" s="569"/>
      <c r="N36" s="569"/>
    </row>
    <row r="37" spans="1:17" s="45" customFormat="1" x14ac:dyDescent="0.25">
      <c r="B37" s="104"/>
      <c r="C37" s="104"/>
      <c r="D37" s="181"/>
      <c r="E37" s="2125">
        <v>0.9</v>
      </c>
      <c r="F37" s="516" t="s">
        <v>16</v>
      </c>
      <c r="G37" s="987"/>
      <c r="H37" s="987"/>
      <c r="I37" s="987"/>
      <c r="J37" s="519"/>
      <c r="K37" s="569"/>
      <c r="L37" s="569"/>
      <c r="M37" s="569"/>
      <c r="N37" s="569"/>
    </row>
    <row r="38" spans="1:17" x14ac:dyDescent="0.25">
      <c r="B38" s="2384" t="s">
        <v>187</v>
      </c>
      <c r="C38" s="2382" t="s">
        <v>50</v>
      </c>
      <c r="D38" s="2382" t="s">
        <v>82</v>
      </c>
      <c r="E38" s="2190" t="s">
        <v>179</v>
      </c>
      <c r="F38" s="2191"/>
      <c r="G38" s="569"/>
      <c r="M38" s="569"/>
      <c r="N38" s="569"/>
    </row>
    <row r="39" spans="1:17" x14ac:dyDescent="0.25">
      <c r="B39" s="2210"/>
      <c r="C39" s="2383"/>
      <c r="D39" s="2383"/>
      <c r="E39" s="957" t="s">
        <v>407</v>
      </c>
      <c r="F39" s="956" t="s">
        <v>768</v>
      </c>
      <c r="G39" s="569"/>
      <c r="M39" s="569"/>
      <c r="N39" s="569"/>
    </row>
    <row r="40" spans="1:17" s="45" customFormat="1" x14ac:dyDescent="0.25">
      <c r="B40" s="106">
        <v>1</v>
      </c>
      <c r="C40" s="993" t="s">
        <v>275</v>
      </c>
      <c r="D40" s="106"/>
      <c r="E40" s="571">
        <v>43.47</v>
      </c>
      <c r="F40" s="353">
        <f>IF(O40=1,('F3'!F46/12)*10%,'F3'!F32/12)</f>
        <v>15.726083333333333</v>
      </c>
      <c r="G40" s="693"/>
      <c r="H40" s="693"/>
      <c r="I40" s="569"/>
      <c r="J40" s="569"/>
      <c r="K40" s="569"/>
      <c r="L40" s="569"/>
      <c r="M40" s="569"/>
      <c r="N40" s="519"/>
      <c r="O40" s="45">
        <v>2</v>
      </c>
      <c r="P40" s="107">
        <v>1</v>
      </c>
      <c r="Q40" s="107">
        <v>2</v>
      </c>
    </row>
    <row r="41" spans="1:17" s="45" customFormat="1" x14ac:dyDescent="0.25">
      <c r="B41" s="106">
        <f>B40+1</f>
        <v>2</v>
      </c>
      <c r="C41" s="993" t="s">
        <v>329</v>
      </c>
      <c r="D41" s="106"/>
      <c r="E41" s="571">
        <v>23.38</v>
      </c>
      <c r="F41" s="428">
        <f>'F 5.3'!$J$9*90%*1%</f>
        <v>23.382989999999999</v>
      </c>
      <c r="G41" s="693"/>
      <c r="H41" s="693"/>
      <c r="I41" s="569"/>
      <c r="J41" s="569"/>
      <c r="K41" s="569"/>
      <c r="L41" s="569"/>
      <c r="M41" s="569"/>
      <c r="N41" s="519"/>
      <c r="P41" s="353" t="s">
        <v>1394</v>
      </c>
      <c r="Q41" s="107" t="s">
        <v>1395</v>
      </c>
    </row>
    <row r="42" spans="1:17" s="45" customFormat="1" ht="28" x14ac:dyDescent="0.25">
      <c r="B42" s="106">
        <f>B41+1</f>
        <v>3</v>
      </c>
      <c r="C42" s="994" t="s">
        <v>278</v>
      </c>
      <c r="D42" s="106"/>
      <c r="E42" s="571">
        <v>387.85</v>
      </c>
      <c r="F42" s="428">
        <f>F66-F17</f>
        <v>356.9998804521411</v>
      </c>
      <c r="G42" s="693"/>
      <c r="H42" s="693"/>
      <c r="I42" s="569"/>
      <c r="J42" s="569"/>
      <c r="K42" s="569"/>
      <c r="L42" s="569"/>
      <c r="M42" s="569"/>
      <c r="N42" s="519"/>
      <c r="O42"/>
      <c r="P42"/>
      <c r="Q42"/>
    </row>
    <row r="43" spans="1:17" s="45" customFormat="1" x14ac:dyDescent="0.25">
      <c r="B43" s="106">
        <f>B42+1</f>
        <v>4</v>
      </c>
      <c r="C43" s="61" t="s">
        <v>277</v>
      </c>
      <c r="D43" s="153"/>
      <c r="E43" s="571">
        <v>369.52</v>
      </c>
      <c r="F43" s="428">
        <f>F67*90%</f>
        <v>374.74200000000002</v>
      </c>
      <c r="G43" s="693"/>
      <c r="H43" s="693"/>
      <c r="I43" s="569"/>
      <c r="J43" s="569"/>
      <c r="K43" s="569"/>
      <c r="L43" s="569"/>
      <c r="M43" s="569"/>
      <c r="N43" s="519"/>
      <c r="O43"/>
      <c r="P43"/>
      <c r="Q43"/>
    </row>
    <row r="44" spans="1:17" s="45" customFormat="1" ht="28" x14ac:dyDescent="0.25">
      <c r="B44" s="106">
        <f>B43+1</f>
        <v>5</v>
      </c>
      <c r="C44" s="1010" t="s">
        <v>330</v>
      </c>
      <c r="D44" s="153"/>
      <c r="E44" s="571">
        <v>230.14</v>
      </c>
      <c r="F44" s="428">
        <f>F68</f>
        <v>201.2532783802709</v>
      </c>
      <c r="G44" s="693"/>
      <c r="H44" s="693"/>
      <c r="I44" s="569"/>
      <c r="J44" s="569"/>
      <c r="K44" s="569"/>
      <c r="L44" s="569"/>
      <c r="M44" s="569"/>
      <c r="N44" s="519"/>
      <c r="O44"/>
      <c r="P44"/>
      <c r="Q44"/>
    </row>
    <row r="45" spans="1:17" s="45" customFormat="1" x14ac:dyDescent="0.25">
      <c r="B45" s="106">
        <f>B44+1</f>
        <v>6</v>
      </c>
      <c r="C45" s="113" t="s">
        <v>240</v>
      </c>
      <c r="D45" s="124"/>
      <c r="E45" s="373">
        <f>SUM(E40:E42)-SUM(E43:E44)</f>
        <v>-144.95999999999992</v>
      </c>
      <c r="F45" s="373">
        <f>SUM(F40:F42)-SUM(F43:F44)</f>
        <v>-179.88632459479652</v>
      </c>
      <c r="G45" s="693"/>
      <c r="H45" s="693"/>
      <c r="I45" s="569"/>
      <c r="J45" s="569"/>
      <c r="K45" s="569"/>
      <c r="L45" s="569"/>
      <c r="M45" s="569"/>
      <c r="N45" s="519"/>
      <c r="O45"/>
      <c r="P45"/>
      <c r="Q45"/>
    </row>
    <row r="46" spans="1:17" s="45" customFormat="1" x14ac:dyDescent="0.25">
      <c r="B46" s="106"/>
      <c r="C46" s="113"/>
      <c r="D46" s="124"/>
      <c r="E46" s="373"/>
      <c r="F46" s="575"/>
      <c r="G46" s="693"/>
      <c r="H46" s="693"/>
      <c r="I46" s="569"/>
      <c r="J46" s="569"/>
      <c r="K46" s="569"/>
      <c r="L46" s="569"/>
      <c r="M46" s="569"/>
      <c r="N46" s="519"/>
    </row>
    <row r="47" spans="1:17" s="34" customFormat="1" x14ac:dyDescent="0.25">
      <c r="B47" s="106">
        <v>7</v>
      </c>
      <c r="C47" s="108" t="s">
        <v>238</v>
      </c>
      <c r="D47" s="1011"/>
      <c r="E47" s="390"/>
      <c r="F47" s="353"/>
      <c r="G47" s="693"/>
      <c r="H47" s="693"/>
      <c r="I47" s="569"/>
      <c r="J47" s="569"/>
      <c r="K47" s="375"/>
      <c r="L47" s="375"/>
      <c r="M47" s="375"/>
      <c r="N47" s="375"/>
    </row>
    <row r="48" spans="1:17" s="559" customFormat="1" x14ac:dyDescent="0.25">
      <c r="B48" s="578">
        <f>B47+1</f>
        <v>8</v>
      </c>
      <c r="C48" s="995" t="s">
        <v>239</v>
      </c>
      <c r="D48" s="996"/>
      <c r="E48" s="555">
        <v>9.5000000000000001E-2</v>
      </c>
      <c r="F48" s="555">
        <f>F72</f>
        <v>9.6572404371584694E-2</v>
      </c>
      <c r="G48" s="693"/>
      <c r="H48" s="693"/>
      <c r="I48" s="577"/>
      <c r="J48" s="577"/>
    </row>
    <row r="49" spans="2:14" s="34" customFormat="1" x14ac:dyDescent="0.25">
      <c r="B49" s="106">
        <f>B48+1</f>
        <v>9</v>
      </c>
      <c r="C49" s="108" t="s">
        <v>76</v>
      </c>
      <c r="D49" s="997"/>
      <c r="E49" s="390">
        <f>IF(E48*E45&gt;0,E48*E45,0)</f>
        <v>0</v>
      </c>
      <c r="F49" s="390">
        <f>IF(F48*F45&gt;0,F48*F45,0)</f>
        <v>0</v>
      </c>
      <c r="G49" s="693"/>
      <c r="H49" s="693"/>
      <c r="I49" s="569"/>
      <c r="J49" s="569"/>
      <c r="K49" s="375"/>
      <c r="L49" s="375"/>
      <c r="M49" s="375"/>
      <c r="N49" s="375"/>
    </row>
    <row r="50" spans="2:14" s="34" customFormat="1" x14ac:dyDescent="0.25">
      <c r="B50" s="971">
        <v>10</v>
      </c>
      <c r="C50" s="998" t="s">
        <v>676</v>
      </c>
      <c r="D50" s="999"/>
      <c r="E50" s="428"/>
      <c r="F50" s="428">
        <f>F74*E37</f>
        <v>7.9920000000000009</v>
      </c>
      <c r="G50" s="693"/>
      <c r="H50" s="693"/>
      <c r="I50" s="569"/>
      <c r="J50" s="569"/>
      <c r="K50" s="375"/>
      <c r="L50" s="375"/>
      <c r="M50" s="375"/>
      <c r="N50" s="375"/>
    </row>
    <row r="51" spans="2:14" s="34" customFormat="1" ht="15.5" x14ac:dyDescent="0.25">
      <c r="B51" s="743"/>
      <c r="C51" s="1000"/>
      <c r="D51" s="997"/>
      <c r="E51" s="353"/>
      <c r="F51" s="353"/>
      <c r="G51" s="693"/>
      <c r="H51" s="693"/>
      <c r="I51" s="569"/>
      <c r="J51" s="569"/>
      <c r="K51" s="375"/>
      <c r="L51" s="375"/>
      <c r="M51" s="375"/>
      <c r="N51" s="375"/>
    </row>
    <row r="52" spans="2:14" s="34" customFormat="1" ht="15.5" x14ac:dyDescent="0.25">
      <c r="B52" s="743">
        <v>11</v>
      </c>
      <c r="C52" s="1001" t="s">
        <v>328</v>
      </c>
      <c r="D52" s="997"/>
      <c r="E52" s="390">
        <f>38.44*90%</f>
        <v>34.595999999999997</v>
      </c>
      <c r="F52" s="353">
        <f>F76*90%</f>
        <v>0</v>
      </c>
      <c r="G52" s="693"/>
      <c r="H52" s="693"/>
      <c r="I52" s="569"/>
      <c r="J52" s="569"/>
      <c r="K52" s="375"/>
      <c r="L52" s="375"/>
      <c r="M52" s="375"/>
      <c r="N52" s="375"/>
    </row>
    <row r="53" spans="2:14" s="34" customFormat="1" x14ac:dyDescent="0.25">
      <c r="B53" s="106">
        <f>B52+1</f>
        <v>12</v>
      </c>
      <c r="C53" s="998" t="s">
        <v>239</v>
      </c>
      <c r="D53" s="997"/>
      <c r="E53" s="459"/>
      <c r="F53" s="459">
        <f>F48</f>
        <v>9.6572404371584694E-2</v>
      </c>
      <c r="G53" s="693"/>
      <c r="H53" s="693"/>
      <c r="I53" s="569"/>
      <c r="J53" s="569"/>
      <c r="K53" s="375"/>
      <c r="L53" s="375"/>
      <c r="M53" s="375"/>
      <c r="N53" s="375"/>
    </row>
    <row r="54" spans="2:14" s="34" customFormat="1" ht="15" x14ac:dyDescent="0.25">
      <c r="B54" s="106">
        <f>B53+1</f>
        <v>13</v>
      </c>
      <c r="C54" s="1000" t="s">
        <v>328</v>
      </c>
      <c r="D54" s="997"/>
      <c r="E54" s="353">
        <f>90%*E78</f>
        <v>34.595999999999997</v>
      </c>
      <c r="F54" s="353">
        <f>E37*F78</f>
        <v>33.920999999999999</v>
      </c>
      <c r="G54" s="569"/>
      <c r="H54" s="693"/>
      <c r="I54" s="569"/>
      <c r="J54" s="569"/>
      <c r="K54" s="375"/>
      <c r="L54" s="375"/>
      <c r="M54" s="375"/>
      <c r="N54" s="375"/>
    </row>
    <row r="55" spans="2:14" s="66" customFormat="1" x14ac:dyDescent="0.25">
      <c r="B55" s="109" t="s">
        <v>449</v>
      </c>
      <c r="C55" s="277"/>
      <c r="D55" s="277"/>
      <c r="E55" s="574"/>
      <c r="F55" s="574"/>
      <c r="G55" s="574"/>
      <c r="H55" s="574"/>
      <c r="I55" s="574"/>
      <c r="J55" s="574"/>
      <c r="K55" s="375"/>
      <c r="L55" s="375"/>
      <c r="M55" s="375"/>
      <c r="N55" s="375"/>
    </row>
    <row r="56" spans="2:14" s="66" customFormat="1" x14ac:dyDescent="0.25">
      <c r="B56" s="66">
        <v>1</v>
      </c>
      <c r="C56" s="277" t="s">
        <v>856</v>
      </c>
      <c r="D56" s="1002"/>
      <c r="E56" s="1003"/>
      <c r="F56" s="1003"/>
      <c r="G56" s="1003"/>
      <c r="H56" s="1004"/>
      <c r="I56" s="1004"/>
      <c r="J56" s="574"/>
      <c r="K56" s="375"/>
      <c r="L56" s="375"/>
      <c r="M56" s="375"/>
      <c r="N56" s="375"/>
    </row>
    <row r="57" spans="2:14" s="66" customFormat="1" x14ac:dyDescent="0.25">
      <c r="B57" s="66">
        <v>2</v>
      </c>
      <c r="C57" s="277" t="s">
        <v>448</v>
      </c>
      <c r="D57" s="1002"/>
      <c r="E57" s="1003"/>
      <c r="F57" s="1003"/>
      <c r="G57" s="1003"/>
      <c r="H57" s="1004"/>
      <c r="I57" s="1004"/>
      <c r="J57" s="574"/>
      <c r="K57" s="375"/>
      <c r="L57" s="375"/>
      <c r="M57" s="375"/>
      <c r="N57" s="375"/>
    </row>
    <row r="58" spans="2:14" s="66" customFormat="1" x14ac:dyDescent="0.25">
      <c r="C58" s="277"/>
      <c r="D58" s="1002"/>
      <c r="E58" s="1003"/>
      <c r="F58" s="1003"/>
      <c r="G58" s="1003"/>
      <c r="H58" s="1004"/>
      <c r="I58" s="1004"/>
      <c r="J58" s="574"/>
      <c r="K58" s="375"/>
      <c r="L58" s="375"/>
      <c r="M58" s="375"/>
      <c r="N58" s="375"/>
    </row>
    <row r="59" spans="2:14" s="66" customFormat="1" x14ac:dyDescent="0.25">
      <c r="C59" s="277"/>
      <c r="D59" s="1002"/>
      <c r="E59" s="1003"/>
      <c r="F59" s="1003"/>
      <c r="G59" s="1003"/>
      <c r="H59" s="1004"/>
      <c r="I59" s="1004"/>
      <c r="J59" s="574"/>
      <c r="K59" s="375"/>
      <c r="L59" s="375"/>
      <c r="M59" s="375"/>
      <c r="N59" s="375"/>
    </row>
    <row r="60" spans="2:14" s="66" customFormat="1" x14ac:dyDescent="0.25">
      <c r="B60" s="122"/>
      <c r="C60" s="988" t="s">
        <v>1240</v>
      </c>
      <c r="D60" s="109"/>
      <c r="E60" s="1008"/>
      <c r="F60" s="1008"/>
      <c r="G60" s="1003"/>
      <c r="H60" s="1004"/>
      <c r="I60" s="1004"/>
      <c r="J60" s="574"/>
      <c r="K60" s="375"/>
      <c r="L60" s="375"/>
      <c r="M60" s="375"/>
      <c r="N60" s="375"/>
    </row>
    <row r="61" spans="2:14" s="66" customFormat="1" x14ac:dyDescent="0.25">
      <c r="B61" s="104"/>
      <c r="C61" s="104"/>
      <c r="D61" s="181"/>
      <c r="E61" s="987"/>
      <c r="F61" s="516" t="s">
        <v>16</v>
      </c>
      <c r="G61" s="1003"/>
      <c r="H61" s="1004"/>
      <c r="I61" s="1004"/>
      <c r="J61" s="574"/>
      <c r="K61" s="375"/>
      <c r="L61" s="375"/>
      <c r="M61" s="375"/>
      <c r="N61" s="375"/>
    </row>
    <row r="62" spans="2:14" s="66" customFormat="1" x14ac:dyDescent="0.25">
      <c r="B62" s="2208" t="s">
        <v>187</v>
      </c>
      <c r="C62" s="2382" t="s">
        <v>50</v>
      </c>
      <c r="D62" s="2382" t="s">
        <v>82</v>
      </c>
      <c r="E62" s="2190" t="s">
        <v>179</v>
      </c>
      <c r="F62" s="2191"/>
      <c r="G62" s="1003"/>
      <c r="H62" s="1004"/>
      <c r="I62" s="1004"/>
      <c r="J62" s="574"/>
      <c r="K62" s="375"/>
      <c r="L62" s="375"/>
      <c r="M62" s="375"/>
      <c r="N62" s="375"/>
    </row>
    <row r="63" spans="2:14" s="66" customFormat="1" x14ac:dyDescent="0.25">
      <c r="B63" s="2210"/>
      <c r="C63" s="2383"/>
      <c r="D63" s="2383"/>
      <c r="E63" s="957" t="s">
        <v>407</v>
      </c>
      <c r="F63" s="956" t="s">
        <v>768</v>
      </c>
      <c r="G63" s="1003"/>
      <c r="H63" s="1004"/>
      <c r="I63" s="1004"/>
      <c r="J63" s="574"/>
      <c r="K63" s="375"/>
      <c r="L63" s="375"/>
      <c r="M63" s="375"/>
      <c r="N63" s="375"/>
    </row>
    <row r="64" spans="2:14" s="66" customFormat="1" x14ac:dyDescent="0.25">
      <c r="B64" s="106">
        <v>1</v>
      </c>
      <c r="C64" s="993" t="s">
        <v>275</v>
      </c>
      <c r="D64" s="106"/>
      <c r="E64" s="571">
        <f>E15+E40</f>
        <v>48.3</v>
      </c>
      <c r="F64" s="428">
        <f>'F3'!F46/12</f>
        <v>44.931666666666672</v>
      </c>
      <c r="G64" s="1003"/>
      <c r="H64" s="1004"/>
      <c r="I64" s="1004"/>
      <c r="J64" s="574"/>
      <c r="K64" s="375"/>
      <c r="L64" s="375"/>
      <c r="M64" s="375"/>
      <c r="N64" s="375"/>
    </row>
    <row r="65" spans="2:14" s="66" customFormat="1" x14ac:dyDescent="0.25">
      <c r="B65" s="106">
        <f>B64+1</f>
        <v>2</v>
      </c>
      <c r="C65" s="993" t="s">
        <v>329</v>
      </c>
      <c r="D65" s="106"/>
      <c r="E65" s="571">
        <f>E16+E41</f>
        <v>25.98</v>
      </c>
      <c r="F65" s="428">
        <f>'F 5.3'!$J$9*1%</f>
        <v>25.981099999999998</v>
      </c>
      <c r="G65" s="1003"/>
      <c r="H65" s="1004"/>
      <c r="I65" s="1004"/>
      <c r="J65" s="574"/>
      <c r="K65" s="375"/>
      <c r="L65" s="375"/>
      <c r="M65" s="375"/>
      <c r="N65" s="375"/>
    </row>
    <row r="66" spans="2:14" s="66" customFormat="1" ht="28" x14ac:dyDescent="0.25">
      <c r="B66" s="106">
        <f>B65+1</f>
        <v>3</v>
      </c>
      <c r="C66" s="994" t="s">
        <v>278</v>
      </c>
      <c r="D66" s="106"/>
      <c r="E66" s="571">
        <f>E17+E42</f>
        <v>430.94000000000005</v>
      </c>
      <c r="F66" s="428">
        <f>('F13'!I52)*1.5/12</f>
        <v>433.33455188681614</v>
      </c>
      <c r="G66" s="1003"/>
      <c r="H66" s="1004"/>
      <c r="I66" s="1004"/>
      <c r="J66" s="574"/>
      <c r="K66" s="375"/>
      <c r="L66" s="375"/>
      <c r="M66" s="375"/>
      <c r="N66" s="375"/>
    </row>
    <row r="67" spans="2:14" s="66" customFormat="1" x14ac:dyDescent="0.25">
      <c r="B67" s="106">
        <v>4</v>
      </c>
      <c r="C67" s="61" t="s">
        <v>1241</v>
      </c>
      <c r="D67" s="153"/>
      <c r="E67" s="571">
        <f>E43+E18</f>
        <v>410.58</v>
      </c>
      <c r="F67" s="428">
        <v>416.38</v>
      </c>
      <c r="G67" s="1003"/>
      <c r="H67" s="1004"/>
      <c r="I67" s="1004"/>
      <c r="J67" s="574"/>
      <c r="K67" s="375"/>
      <c r="L67" s="375"/>
      <c r="M67" s="375"/>
      <c r="N67" s="375"/>
    </row>
    <row r="68" spans="2:14" s="66" customFormat="1" ht="28" x14ac:dyDescent="0.25">
      <c r="B68" s="106">
        <v>5</v>
      </c>
      <c r="C68" s="1010" t="s">
        <v>330</v>
      </c>
      <c r="D68" s="153"/>
      <c r="E68" s="571">
        <f>E44</f>
        <v>230.14</v>
      </c>
      <c r="F68" s="428">
        <f>('F2'!Q64+SUM(F2.2!E12:E13))/12</f>
        <v>201.2532783802709</v>
      </c>
      <c r="G68" s="1003"/>
      <c r="H68" s="1004"/>
      <c r="I68" s="1004"/>
      <c r="J68" s="574"/>
      <c r="K68" s="375"/>
      <c r="L68" s="375"/>
      <c r="M68" s="375"/>
      <c r="N68" s="375"/>
    </row>
    <row r="69" spans="2:14" s="66" customFormat="1" x14ac:dyDescent="0.25">
      <c r="B69" s="106">
        <v>6</v>
      </c>
      <c r="C69" s="113" t="s">
        <v>240</v>
      </c>
      <c r="D69" s="124"/>
      <c r="E69" s="579">
        <f>SUM(E64:E66)-SUM(E67:E68)</f>
        <v>-135.5</v>
      </c>
      <c r="F69" s="579">
        <f>SUM(F64:F66)-SUM(F67:F68)</f>
        <v>-113.38595982678805</v>
      </c>
      <c r="G69" s="1003"/>
      <c r="H69" s="1004"/>
      <c r="I69" s="1004"/>
      <c r="J69" s="574"/>
      <c r="K69" s="375"/>
      <c r="L69" s="375"/>
      <c r="M69" s="375"/>
      <c r="N69" s="375"/>
    </row>
    <row r="70" spans="2:14" s="66" customFormat="1" x14ac:dyDescent="0.25">
      <c r="B70" s="106"/>
      <c r="C70" s="113"/>
      <c r="D70" s="124"/>
      <c r="E70" s="373"/>
      <c r="F70" s="575"/>
      <c r="G70" s="1003"/>
      <c r="H70" s="1004"/>
      <c r="I70" s="1004"/>
      <c r="J70" s="574"/>
      <c r="K70" s="375"/>
      <c r="L70" s="375"/>
      <c r="M70" s="375"/>
      <c r="N70" s="375"/>
    </row>
    <row r="71" spans="2:14" s="66" customFormat="1" x14ac:dyDescent="0.25">
      <c r="B71" s="106">
        <v>7</v>
      </c>
      <c r="C71" s="108" t="s">
        <v>238</v>
      </c>
      <c r="D71" s="1011"/>
      <c r="E71" s="390"/>
      <c r="F71" s="353"/>
      <c r="G71" s="1003"/>
      <c r="H71" s="1004"/>
      <c r="I71" s="1004"/>
      <c r="J71" s="574"/>
      <c r="K71" s="375"/>
      <c r="L71" s="375"/>
      <c r="M71" s="375"/>
      <c r="N71" s="375"/>
    </row>
    <row r="72" spans="2:14" s="559" customFormat="1" x14ac:dyDescent="0.25">
      <c r="B72" s="578">
        <v>8</v>
      </c>
      <c r="C72" s="995" t="s">
        <v>239</v>
      </c>
      <c r="D72" s="996"/>
      <c r="E72" s="555">
        <v>9.5000000000000001E-2</v>
      </c>
      <c r="F72" s="555">
        <f>NoWcRates!H14</f>
        <v>9.6572404371584694E-2</v>
      </c>
      <c r="G72" s="1012"/>
      <c r="H72" s="1013"/>
      <c r="I72" s="1013"/>
      <c r="J72" s="1014"/>
    </row>
    <row r="73" spans="2:14" s="66" customFormat="1" x14ac:dyDescent="0.25">
      <c r="B73" s="106">
        <f>B72+1</f>
        <v>9</v>
      </c>
      <c r="C73" s="108" t="s">
        <v>76</v>
      </c>
      <c r="D73" s="997"/>
      <c r="E73" s="390">
        <f>E49+E24</f>
        <v>0.89870000000000005</v>
      </c>
      <c r="F73" s="390">
        <f>F49+F24</f>
        <v>6.4221001172339864</v>
      </c>
      <c r="G73" s="1003"/>
      <c r="H73" s="1004"/>
      <c r="I73" s="1004"/>
      <c r="J73" s="574"/>
      <c r="K73" s="375"/>
      <c r="L73" s="375"/>
      <c r="M73" s="375"/>
      <c r="N73" s="375"/>
    </row>
    <row r="74" spans="2:14" s="66" customFormat="1" x14ac:dyDescent="0.25">
      <c r="B74" s="106">
        <f>B73+1</f>
        <v>10</v>
      </c>
      <c r="C74" s="998" t="s">
        <v>676</v>
      </c>
      <c r="D74" s="999"/>
      <c r="E74" s="428"/>
      <c r="F74" s="428">
        <v>8.8800000000000008</v>
      </c>
      <c r="G74" s="1003"/>
      <c r="H74" s="1004"/>
      <c r="I74" s="1004"/>
      <c r="J74" s="574"/>
      <c r="K74" s="375"/>
      <c r="L74" s="375"/>
      <c r="M74" s="375"/>
      <c r="N74" s="375"/>
    </row>
    <row r="75" spans="2:14" s="66" customFormat="1" ht="15.5" x14ac:dyDescent="0.25">
      <c r="B75" s="743"/>
      <c r="C75" s="1000"/>
      <c r="D75" s="997"/>
      <c r="E75" s="353"/>
      <c r="F75" s="353"/>
      <c r="G75" s="1003"/>
      <c r="H75" s="1004"/>
      <c r="I75" s="1004"/>
      <c r="J75" s="574"/>
      <c r="K75" s="375"/>
      <c r="L75" s="375"/>
      <c r="M75" s="375"/>
      <c r="N75" s="375"/>
    </row>
    <row r="76" spans="2:14" s="66" customFormat="1" ht="15.5" x14ac:dyDescent="0.25">
      <c r="B76" s="743">
        <v>11</v>
      </c>
      <c r="C76" s="1001" t="s">
        <v>328</v>
      </c>
      <c r="D76" s="997"/>
      <c r="E76" s="390"/>
      <c r="F76" s="353"/>
      <c r="G76" s="1003"/>
      <c r="H76" s="1004"/>
      <c r="I76" s="1004"/>
      <c r="J76" s="574"/>
      <c r="K76" s="375"/>
      <c r="L76" s="375"/>
      <c r="M76" s="375"/>
      <c r="N76" s="375"/>
    </row>
    <row r="77" spans="2:14" s="66" customFormat="1" x14ac:dyDescent="0.25">
      <c r="B77" s="106">
        <f>B76+1</f>
        <v>12</v>
      </c>
      <c r="C77" s="998" t="s">
        <v>1518</v>
      </c>
      <c r="D77" s="997"/>
      <c r="E77" s="459"/>
      <c r="F77" s="459">
        <f>F72</f>
        <v>9.6572404371584694E-2</v>
      </c>
      <c r="G77" s="1003"/>
      <c r="H77" s="1004"/>
      <c r="I77" s="1004"/>
      <c r="J77" s="574"/>
      <c r="K77" s="375"/>
      <c r="L77" s="375"/>
      <c r="M77" s="375"/>
      <c r="N77" s="375"/>
    </row>
    <row r="78" spans="2:14" s="66" customFormat="1" ht="15" x14ac:dyDescent="0.25">
      <c r="B78" s="106">
        <f>B77+1</f>
        <v>13</v>
      </c>
      <c r="C78" s="1000" t="s">
        <v>1955</v>
      </c>
      <c r="D78" s="997"/>
      <c r="E78" s="354">
        <v>38.44</v>
      </c>
      <c r="F78" s="354">
        <v>37.69</v>
      </c>
      <c r="G78" s="569"/>
      <c r="H78" s="1004"/>
      <c r="I78" s="1004"/>
      <c r="J78" s="574"/>
      <c r="K78" s="375"/>
      <c r="L78" s="375"/>
      <c r="M78" s="375"/>
      <c r="N78" s="375"/>
    </row>
    <row r="79" spans="2:14" s="66" customFormat="1" x14ac:dyDescent="0.25">
      <c r="B79" s="109" t="s">
        <v>449</v>
      </c>
      <c r="C79" s="277"/>
      <c r="D79" s="277"/>
      <c r="E79" s="574"/>
      <c r="F79" s="574"/>
      <c r="G79" s="1003"/>
      <c r="H79" s="1004"/>
      <c r="I79" s="1004"/>
      <c r="J79" s="574"/>
      <c r="K79" s="375"/>
      <c r="L79" s="375"/>
      <c r="M79" s="375"/>
      <c r="N79" s="375"/>
    </row>
    <row r="80" spans="2:14" s="66" customFormat="1" ht="18" customHeight="1" x14ac:dyDescent="0.25">
      <c r="B80" s="66">
        <v>1</v>
      </c>
      <c r="C80" s="277" t="s">
        <v>856</v>
      </c>
      <c r="D80" s="1002"/>
      <c r="E80" s="1003"/>
      <c r="F80" s="1003"/>
      <c r="G80" s="1003"/>
      <c r="H80" s="1003"/>
      <c r="I80" s="1003"/>
      <c r="J80" s="574"/>
      <c r="K80" s="375"/>
      <c r="L80" s="375"/>
      <c r="M80" s="375"/>
      <c r="N80" s="375"/>
    </row>
    <row r="81" spans="2:14" s="45" customFormat="1" x14ac:dyDescent="0.25">
      <c r="B81" s="66">
        <v>2</v>
      </c>
      <c r="C81" s="277" t="s">
        <v>448</v>
      </c>
      <c r="D81" s="1002"/>
      <c r="E81" s="1003"/>
      <c r="F81" s="1003"/>
      <c r="G81" s="574"/>
      <c r="H81" s="574"/>
      <c r="I81" s="574"/>
      <c r="J81" s="553"/>
      <c r="K81" s="569"/>
      <c r="L81" s="569"/>
      <c r="M81" s="569"/>
      <c r="N81" s="569"/>
    </row>
    <row r="82" spans="2:14" s="45" customFormat="1" x14ac:dyDescent="0.25">
      <c r="B82" s="122"/>
      <c r="C82" s="1009"/>
      <c r="D82" s="109"/>
      <c r="E82" s="1008"/>
      <c r="F82" s="1008"/>
      <c r="G82" s="574"/>
      <c r="H82" s="574"/>
      <c r="I82" s="574"/>
      <c r="J82" s="553"/>
      <c r="K82" s="569"/>
      <c r="L82" s="569"/>
      <c r="M82" s="569"/>
      <c r="N82" s="569"/>
    </row>
    <row r="83" spans="2:14" s="45" customFormat="1" x14ac:dyDescent="0.25">
      <c r="B83" s="104" t="s">
        <v>677</v>
      </c>
      <c r="C83" s="1009"/>
      <c r="D83" s="109"/>
      <c r="E83" s="1008"/>
      <c r="F83" s="1008"/>
      <c r="G83" s="574"/>
      <c r="H83" s="574"/>
      <c r="I83" s="574"/>
      <c r="J83" s="553"/>
      <c r="K83" s="569"/>
      <c r="L83" s="569"/>
      <c r="M83" s="569"/>
      <c r="N83" s="569"/>
    </row>
    <row r="84" spans="2:14" s="45" customFormat="1" x14ac:dyDescent="0.25">
      <c r="B84" s="122"/>
      <c r="C84" s="1009"/>
      <c r="D84" s="109"/>
      <c r="E84" s="1008"/>
      <c r="F84" s="1008"/>
      <c r="G84" s="574"/>
      <c r="H84" s="574"/>
      <c r="I84" s="574"/>
      <c r="J84" s="553"/>
      <c r="K84" s="569"/>
      <c r="L84" s="569"/>
      <c r="M84" s="569"/>
      <c r="N84" s="569"/>
    </row>
    <row r="85" spans="2:14" x14ac:dyDescent="0.25">
      <c r="B85" s="109"/>
      <c r="C85" s="988" t="s">
        <v>327</v>
      </c>
      <c r="D85" s="277"/>
      <c r="E85" s="574"/>
      <c r="F85" s="574"/>
      <c r="G85" s="574"/>
      <c r="H85" s="574"/>
      <c r="I85" s="574"/>
      <c r="J85" s="574"/>
      <c r="K85" s="574"/>
      <c r="L85" s="574"/>
    </row>
    <row r="86" spans="2:14" x14ac:dyDescent="0.25">
      <c r="B86" s="109"/>
      <c r="C86" s="988"/>
      <c r="D86" s="2126">
        <v>0.1</v>
      </c>
      <c r="E86" s="574"/>
      <c r="F86" s="574"/>
      <c r="G86" s="574"/>
      <c r="H86" s="574"/>
      <c r="I86" s="574"/>
      <c r="J86" s="574"/>
      <c r="K86" s="574"/>
      <c r="L86" s="574"/>
      <c r="N86" s="516" t="s">
        <v>16</v>
      </c>
    </row>
    <row r="87" spans="2:14" x14ac:dyDescent="0.25">
      <c r="B87" s="2351" t="s">
        <v>187</v>
      </c>
      <c r="C87" s="2381" t="s">
        <v>50</v>
      </c>
      <c r="D87" s="2381" t="s">
        <v>82</v>
      </c>
      <c r="E87" s="2190" t="s">
        <v>186</v>
      </c>
      <c r="F87" s="2191"/>
      <c r="G87" s="2190" t="s">
        <v>426</v>
      </c>
      <c r="H87" s="2197"/>
      <c r="I87" s="2190" t="s">
        <v>427</v>
      </c>
      <c r="J87" s="2191"/>
      <c r="K87" s="2190" t="s">
        <v>428</v>
      </c>
      <c r="L87" s="2191"/>
      <c r="M87" s="2190" t="s">
        <v>429</v>
      </c>
      <c r="N87" s="2191"/>
    </row>
    <row r="88" spans="2:14" s="66" customFormat="1" ht="28.5" customHeight="1" x14ac:dyDescent="0.25">
      <c r="B88" s="2351"/>
      <c r="C88" s="2381"/>
      <c r="D88" s="2381"/>
      <c r="E88" s="956" t="s">
        <v>404</v>
      </c>
      <c r="F88" s="956" t="s">
        <v>870</v>
      </c>
      <c r="G88" s="956" t="s">
        <v>404</v>
      </c>
      <c r="H88" s="956" t="s">
        <v>870</v>
      </c>
      <c r="I88" s="956" t="s">
        <v>404</v>
      </c>
      <c r="J88" s="956" t="s">
        <v>768</v>
      </c>
      <c r="K88" s="956" t="s">
        <v>404</v>
      </c>
      <c r="L88" s="956" t="s">
        <v>768</v>
      </c>
      <c r="M88" s="956" t="s">
        <v>404</v>
      </c>
      <c r="N88" s="956" t="s">
        <v>768</v>
      </c>
    </row>
    <row r="89" spans="2:14" s="45" customFormat="1" x14ac:dyDescent="0.25">
      <c r="B89" s="106">
        <v>1</v>
      </c>
      <c r="C89" s="993" t="s">
        <v>275</v>
      </c>
      <c r="D89" s="106"/>
      <c r="E89" s="571">
        <v>30.63</v>
      </c>
      <c r="F89" s="571">
        <f>F3.1!H11/12</f>
        <v>31.811477610427463</v>
      </c>
      <c r="G89" s="390">
        <v>31.5</v>
      </c>
      <c r="H89" s="353">
        <f>F3.1!K11/12</f>
        <v>33.369798187003077</v>
      </c>
      <c r="I89" s="390">
        <v>32.39</v>
      </c>
      <c r="J89" s="353">
        <f>F3.1!N11/12</f>
        <v>35.004454828476945</v>
      </c>
      <c r="K89" s="390">
        <v>33.31</v>
      </c>
      <c r="L89" s="353">
        <f>F3.1!Q11/12</f>
        <v>36.71918694180534</v>
      </c>
      <c r="M89" s="390">
        <v>34.26</v>
      </c>
      <c r="N89" s="353">
        <f>F3.1!S11/12</f>
        <v>38.517917112949156</v>
      </c>
    </row>
    <row r="90" spans="2:14" s="45" customFormat="1" x14ac:dyDescent="0.25">
      <c r="B90" s="106">
        <f>B89+1</f>
        <v>2</v>
      </c>
      <c r="C90" s="993" t="s">
        <v>329</v>
      </c>
      <c r="D90" s="106"/>
      <c r="E90" s="571">
        <v>24.64</v>
      </c>
      <c r="F90" s="571">
        <f>'F 5.3'!$K$9*10%*1%</f>
        <v>2.82199</v>
      </c>
      <c r="G90" s="390">
        <v>24.99</v>
      </c>
      <c r="H90" s="353">
        <f>'F 5.3'!$L$9*10%*1%</f>
        <v>2.9335200000000006</v>
      </c>
      <c r="I90" s="390">
        <v>25.27</v>
      </c>
      <c r="J90" s="353">
        <f>'F 5.3'!$M$9*10%*1%</f>
        <v>3.0367987985539999</v>
      </c>
      <c r="K90" s="390">
        <v>25.56</v>
      </c>
      <c r="L90" s="353">
        <f>'F 5.3'!$N$9*10%*1%</f>
        <v>3.160527597108</v>
      </c>
      <c r="M90" s="390">
        <v>25.84</v>
      </c>
      <c r="N90" s="353">
        <f>'F 5.3'!$O$9*10%*1%</f>
        <v>4.1014737956620007</v>
      </c>
    </row>
    <row r="91" spans="2:14" s="45" customFormat="1" ht="28" x14ac:dyDescent="0.25">
      <c r="B91" s="106">
        <f>B90+1</f>
        <v>3</v>
      </c>
      <c r="C91" s="994" t="s">
        <v>678</v>
      </c>
      <c r="D91" s="106"/>
      <c r="E91" s="571">
        <v>42.01</v>
      </c>
      <c r="F91" s="571">
        <f>'F13'!G91*1.5/12</f>
        <v>57.686991243874992</v>
      </c>
      <c r="G91" s="390">
        <v>42.38</v>
      </c>
      <c r="H91" s="353">
        <f>'F13'!G138*1.5/12</f>
        <v>66.168300214750005</v>
      </c>
      <c r="I91" s="390">
        <v>42.61</v>
      </c>
      <c r="J91" s="353">
        <f ca="1">'ARR-Summary'!Q30*1.5/12</f>
        <v>82.541026095107625</v>
      </c>
      <c r="K91" s="390">
        <v>43.02</v>
      </c>
      <c r="L91" s="353">
        <f ca="1">'ARR-Summary'!T30*1.5/12</f>
        <v>90.704224566095661</v>
      </c>
      <c r="M91" s="390">
        <v>43.52</v>
      </c>
      <c r="N91" s="353">
        <f ca="1">'ARR-Summary'!V30*1.5/12</f>
        <v>103.12122670463454</v>
      </c>
    </row>
    <row r="92" spans="2:14" s="45" customFormat="1" x14ac:dyDescent="0.25">
      <c r="B92" s="106">
        <f>B91+1</f>
        <v>4</v>
      </c>
      <c r="C92" s="61" t="s">
        <v>450</v>
      </c>
      <c r="D92" s="153"/>
      <c r="E92" s="571">
        <v>42.29</v>
      </c>
      <c r="F92" s="481">
        <f>$D$86*F135</f>
        <v>42.445781642199996</v>
      </c>
      <c r="G92" s="390">
        <v>43.56</v>
      </c>
      <c r="H92" s="481">
        <f>$D$86*H135</f>
        <v>43.614887542200002</v>
      </c>
      <c r="I92" s="390">
        <v>44.87</v>
      </c>
      <c r="J92" s="481">
        <f>$D$86*J135</f>
        <v>44.816194724695791</v>
      </c>
      <c r="K92" s="390">
        <v>46.21</v>
      </c>
      <c r="L92" s="481">
        <f>$D$86*L135</f>
        <v>46.05059012610122</v>
      </c>
      <c r="M92" s="390">
        <v>47.6</v>
      </c>
      <c r="N92" s="481">
        <f>$D$86*N135</f>
        <v>47.318985112174005</v>
      </c>
    </row>
    <row r="93" spans="2:14" x14ac:dyDescent="0.25">
      <c r="B93" s="106">
        <f>B92+1</f>
        <v>5</v>
      </c>
      <c r="C93" s="1015" t="s">
        <v>240</v>
      </c>
      <c r="D93" s="1016"/>
      <c r="E93" s="579">
        <f t="shared" ref="E93:N93" si="0">SUM(E89:E91)-E92</f>
        <v>54.99</v>
      </c>
      <c r="F93" s="579">
        <f t="shared" si="0"/>
        <v>49.874677212102462</v>
      </c>
      <c r="G93" s="579">
        <f t="shared" si="0"/>
        <v>55.31</v>
      </c>
      <c r="H93" s="579">
        <f t="shared" si="0"/>
        <v>58.856730859553089</v>
      </c>
      <c r="I93" s="579">
        <f t="shared" si="0"/>
        <v>55.4</v>
      </c>
      <c r="J93" s="579">
        <f t="shared" ca="1" si="0"/>
        <v>75.766084997442775</v>
      </c>
      <c r="K93" s="579">
        <f t="shared" si="0"/>
        <v>55.680000000000014</v>
      </c>
      <c r="L93" s="579">
        <f t="shared" ca="1" si="0"/>
        <v>84.533348978907782</v>
      </c>
      <c r="M93" s="579">
        <f t="shared" si="0"/>
        <v>56.02</v>
      </c>
      <c r="N93" s="579">
        <f t="shared" ca="1" si="0"/>
        <v>98.421632501071684</v>
      </c>
    </row>
    <row r="94" spans="2:14" x14ac:dyDescent="0.25">
      <c r="B94" s="106"/>
      <c r="C94" s="107"/>
      <c r="D94" s="1016"/>
      <c r="E94" s="481"/>
      <c r="F94" s="481"/>
      <c r="G94" s="390"/>
      <c r="H94" s="353"/>
      <c r="I94" s="390"/>
      <c r="J94" s="353"/>
      <c r="K94" s="390"/>
      <c r="L94" s="353"/>
      <c r="M94" s="390"/>
      <c r="N94" s="353"/>
    </row>
    <row r="95" spans="2:14" x14ac:dyDescent="0.25">
      <c r="B95" s="106">
        <v>6</v>
      </c>
      <c r="C95" s="108" t="s">
        <v>238</v>
      </c>
      <c r="D95" s="1016"/>
      <c r="E95" s="481"/>
      <c r="F95" s="481"/>
      <c r="G95" s="390"/>
      <c r="H95" s="353"/>
      <c r="I95" s="390"/>
      <c r="J95" s="353"/>
      <c r="K95" s="390"/>
      <c r="L95" s="353"/>
      <c r="M95" s="390"/>
      <c r="N95" s="353"/>
    </row>
    <row r="96" spans="2:14" s="66" customFormat="1" x14ac:dyDescent="0.25">
      <c r="B96" s="106">
        <f>B95+1</f>
        <v>7</v>
      </c>
      <c r="C96" s="998" t="s">
        <v>239</v>
      </c>
      <c r="D96" s="1016"/>
      <c r="E96" s="1017">
        <v>9.5000000000000001E-2</v>
      </c>
      <c r="F96" s="1017">
        <f>F140</f>
        <v>8.572602739726029E-2</v>
      </c>
      <c r="G96" s="555">
        <v>9.5000000000000001E-2</v>
      </c>
      <c r="H96" s="1017">
        <f>H140</f>
        <v>8.5000000000000006E-2</v>
      </c>
      <c r="I96" s="555">
        <v>9.5000000000000001E-2</v>
      </c>
      <c r="J96" s="1017">
        <f>J140</f>
        <v>9.5500000000000002E-2</v>
      </c>
      <c r="K96" s="555">
        <v>9.5000000000000001E-2</v>
      </c>
      <c r="L96" s="1017">
        <f>L140</f>
        <v>9.5500000000000002E-2</v>
      </c>
      <c r="M96" s="555">
        <v>9.5000000000000001E-2</v>
      </c>
      <c r="N96" s="1017">
        <f>N140</f>
        <v>9.5500000000000002E-2</v>
      </c>
    </row>
    <row r="97" spans="2:14" s="66" customFormat="1" x14ac:dyDescent="0.25">
      <c r="B97" s="106">
        <f>B96+1</f>
        <v>8</v>
      </c>
      <c r="C97" s="108" t="s">
        <v>76</v>
      </c>
      <c r="D97" s="1016"/>
      <c r="E97" s="579">
        <f t="shared" ref="E97:N97" si="1">(E93*E96)</f>
        <v>5.2240500000000001</v>
      </c>
      <c r="F97" s="579">
        <f t="shared" si="1"/>
        <v>4.2755579451142092</v>
      </c>
      <c r="G97" s="579">
        <f t="shared" si="1"/>
        <v>5.2544500000000003</v>
      </c>
      <c r="H97" s="579">
        <f t="shared" si="1"/>
        <v>5.0028221230620131</v>
      </c>
      <c r="I97" s="579">
        <f t="shared" si="1"/>
        <v>5.2629999999999999</v>
      </c>
      <c r="J97" s="579">
        <f t="shared" ca="1" si="1"/>
        <v>7.235661117255785</v>
      </c>
      <c r="K97" s="579">
        <f t="shared" si="1"/>
        <v>5.289600000000001</v>
      </c>
      <c r="L97" s="579">
        <f t="shared" ca="1" si="1"/>
        <v>8.0729348274856925</v>
      </c>
      <c r="M97" s="579">
        <f t="shared" si="1"/>
        <v>5.3219000000000003</v>
      </c>
      <c r="N97" s="579">
        <f t="shared" ca="1" si="1"/>
        <v>9.3992659038523456</v>
      </c>
    </row>
    <row r="98" spans="2:14" s="66" customFormat="1" x14ac:dyDescent="0.25">
      <c r="B98" s="106"/>
      <c r="C98" s="108" t="s">
        <v>1519</v>
      </c>
      <c r="D98" s="1016"/>
      <c r="E98" s="579"/>
      <c r="F98" s="579">
        <f>$D$86*F142</f>
        <v>1.0570000000000002</v>
      </c>
      <c r="G98" s="579"/>
      <c r="H98" s="579">
        <f>$D$86*H142</f>
        <v>0.99299999999999999</v>
      </c>
      <c r="I98" s="579"/>
      <c r="J98" s="579">
        <f>$D$86*J142</f>
        <v>0</v>
      </c>
      <c r="K98" s="579"/>
      <c r="L98" s="579">
        <f>$D$86*L142</f>
        <v>0</v>
      </c>
      <c r="M98" s="579"/>
      <c r="N98" s="579">
        <f>$D$86*N142</f>
        <v>0</v>
      </c>
    </row>
    <row r="99" spans="2:14" s="66" customFormat="1" x14ac:dyDescent="0.25">
      <c r="B99" s="106"/>
      <c r="C99" s="108"/>
      <c r="D99" s="1016"/>
      <c r="E99" s="481"/>
      <c r="F99" s="481"/>
      <c r="G99" s="353"/>
      <c r="H99" s="353"/>
      <c r="I99" s="353"/>
      <c r="J99" s="353"/>
      <c r="K99" s="353"/>
      <c r="L99" s="353"/>
      <c r="M99" s="353"/>
      <c r="N99" s="353"/>
    </row>
    <row r="100" spans="2:14" s="34" customFormat="1" ht="15" x14ac:dyDescent="0.25">
      <c r="B100" s="106">
        <v>9</v>
      </c>
      <c r="C100" s="1001" t="s">
        <v>328</v>
      </c>
      <c r="D100" s="997"/>
      <c r="E100" s="390">
        <f>E143*$D$86</f>
        <v>41.673500000000004</v>
      </c>
      <c r="F100" s="390">
        <f t="shared" ref="F100:N100" si="2">F143*$D$86</f>
        <v>42.445781642199996</v>
      </c>
      <c r="G100" s="390">
        <f t="shared" si="2"/>
        <v>42.924000000000007</v>
      </c>
      <c r="H100" s="390">
        <f t="shared" si="2"/>
        <v>43.614887542200002</v>
      </c>
      <c r="I100" s="390">
        <f t="shared" si="2"/>
        <v>44.212000000000003</v>
      </c>
      <c r="J100" s="390">
        <f t="shared" si="2"/>
        <v>44.816194724695791</v>
      </c>
      <c r="K100" s="390">
        <f t="shared" si="2"/>
        <v>45.538000000000004</v>
      </c>
      <c r="L100" s="390">
        <f t="shared" si="2"/>
        <v>46.05059012610122</v>
      </c>
      <c r="M100" s="390">
        <f t="shared" si="2"/>
        <v>46.904000000000003</v>
      </c>
      <c r="N100" s="390">
        <f t="shared" si="2"/>
        <v>47.318985112174005</v>
      </c>
    </row>
    <row r="101" spans="2:14" s="34" customFormat="1" x14ac:dyDescent="0.25">
      <c r="B101" s="106">
        <f>B100+1</f>
        <v>10</v>
      </c>
      <c r="C101" s="998" t="s">
        <v>679</v>
      </c>
      <c r="D101" s="997"/>
      <c r="E101" s="555">
        <v>5.3999999999999999E-2</v>
      </c>
      <c r="F101" s="555">
        <f>F102/F92</f>
        <v>4.0357367298354083E-2</v>
      </c>
      <c r="G101" s="555">
        <v>5.3999999999999999E-2</v>
      </c>
      <c r="H101" s="555">
        <f>H102/H92</f>
        <v>3.5881472689475627E-2</v>
      </c>
      <c r="I101" s="555">
        <v>5.3999999999999999E-2</v>
      </c>
      <c r="J101" s="555">
        <v>4.2500000000000003E-2</v>
      </c>
      <c r="K101" s="555">
        <v>5.3999999999999999E-2</v>
      </c>
      <c r="L101" s="555">
        <v>4.2500000000000003E-2</v>
      </c>
      <c r="M101" s="555">
        <v>5.3999999999999999E-2</v>
      </c>
      <c r="N101" s="555">
        <v>4.2500000000000003E-2</v>
      </c>
    </row>
    <row r="102" spans="2:14" s="34" customFormat="1" ht="15" x14ac:dyDescent="0.25">
      <c r="B102" s="106">
        <f>B101+1</f>
        <v>11</v>
      </c>
      <c r="C102" s="1000" t="s">
        <v>328</v>
      </c>
      <c r="D102" s="997"/>
      <c r="E102" s="390">
        <f>E100*E101</f>
        <v>2.2503690000000001</v>
      </c>
      <c r="F102" s="390">
        <f>D86*F145</f>
        <v>1.7130000000000001</v>
      </c>
      <c r="G102" s="390">
        <f t="shared" ref="G102:M102" si="3">G100*G101</f>
        <v>2.3178960000000002</v>
      </c>
      <c r="H102" s="390">
        <f>D86*H145</f>
        <v>1.5649663962</v>
      </c>
      <c r="I102" s="390">
        <f t="shared" si="3"/>
        <v>2.387448</v>
      </c>
      <c r="J102" s="390">
        <f>J145*D86</f>
        <v>1.8791604981715357</v>
      </c>
      <c r="K102" s="390">
        <f t="shared" si="3"/>
        <v>2.4590520000000002</v>
      </c>
      <c r="L102" s="390">
        <f>L145*D86</f>
        <v>1.9309191780794368</v>
      </c>
      <c r="M102" s="390">
        <f t="shared" si="3"/>
        <v>2.532816</v>
      </c>
      <c r="N102" s="353">
        <f>D86*N145</f>
        <v>1.9841034738133487</v>
      </c>
    </row>
    <row r="103" spans="2:14" s="66" customFormat="1" x14ac:dyDescent="0.25">
      <c r="B103" s="60"/>
      <c r="C103" s="60"/>
      <c r="D103" s="60"/>
      <c r="E103" s="496"/>
      <c r="F103" s="496"/>
      <c r="G103" s="375"/>
      <c r="H103" s="375"/>
      <c r="I103" s="375"/>
      <c r="J103" s="375"/>
      <c r="K103" s="375"/>
      <c r="L103" s="375"/>
      <c r="M103" s="375"/>
      <c r="N103" s="375"/>
    </row>
    <row r="104" spans="2:14" s="66" customFormat="1" x14ac:dyDescent="0.25">
      <c r="B104" s="45" t="s">
        <v>863</v>
      </c>
      <c r="C104" s="60" t="s">
        <v>871</v>
      </c>
      <c r="D104" s="60"/>
      <c r="E104" s="496"/>
      <c r="F104" s="496"/>
      <c r="G104" s="375"/>
      <c r="H104" s="375"/>
      <c r="I104" s="375"/>
      <c r="J104" s="375"/>
      <c r="K104" s="375"/>
      <c r="L104" s="375"/>
      <c r="M104" s="375"/>
      <c r="N104" s="375"/>
    </row>
    <row r="105" spans="2:14" s="66" customFormat="1" x14ac:dyDescent="0.25">
      <c r="E105" s="375"/>
      <c r="F105" s="375"/>
      <c r="G105" s="375"/>
      <c r="H105" s="375"/>
      <c r="I105" s="375"/>
      <c r="J105" s="375"/>
      <c r="K105" s="375"/>
      <c r="L105" s="375"/>
      <c r="M105" s="375"/>
      <c r="N105" s="375"/>
    </row>
    <row r="106" spans="2:14" s="66" customFormat="1" x14ac:dyDescent="0.25">
      <c r="B106" s="60"/>
      <c r="C106" s="60"/>
      <c r="D106" s="60"/>
      <c r="E106" s="496"/>
      <c r="F106" s="496"/>
      <c r="G106" s="375"/>
      <c r="H106" s="375"/>
      <c r="I106" s="375"/>
      <c r="J106" s="375"/>
      <c r="K106" s="375"/>
      <c r="L106" s="375"/>
      <c r="M106" s="375"/>
      <c r="N106" s="375"/>
    </row>
    <row r="107" spans="2:14" s="66" customFormat="1" x14ac:dyDescent="0.25">
      <c r="B107" s="109"/>
      <c r="C107" s="988" t="s">
        <v>284</v>
      </c>
      <c r="D107" s="277"/>
      <c r="E107" s="574"/>
      <c r="F107" s="574"/>
      <c r="G107" s="574"/>
      <c r="H107" s="574"/>
      <c r="I107" s="574"/>
      <c r="J107" s="574"/>
      <c r="K107" s="574"/>
      <c r="L107" s="375"/>
      <c r="M107" s="375"/>
      <c r="N107" s="375"/>
    </row>
    <row r="108" spans="2:14" s="66" customFormat="1" x14ac:dyDescent="0.25">
      <c r="B108" s="109"/>
      <c r="C108" s="988"/>
      <c r="D108" s="2127">
        <v>0.9</v>
      </c>
      <c r="E108" s="574"/>
      <c r="F108" s="574"/>
      <c r="G108" s="574"/>
      <c r="H108" s="574"/>
      <c r="I108" s="574"/>
      <c r="J108" s="574"/>
      <c r="K108" s="574"/>
      <c r="L108" s="375"/>
      <c r="M108" s="375"/>
      <c r="N108" s="375"/>
    </row>
    <row r="109" spans="2:14" s="66" customFormat="1" x14ac:dyDescent="0.25">
      <c r="B109" s="2351" t="s">
        <v>187</v>
      </c>
      <c r="C109" s="2381" t="s">
        <v>50</v>
      </c>
      <c r="D109" s="2381" t="s">
        <v>82</v>
      </c>
      <c r="E109" s="2190" t="s">
        <v>186</v>
      </c>
      <c r="F109" s="2191"/>
      <c r="G109" s="2190" t="s">
        <v>426</v>
      </c>
      <c r="H109" s="2197"/>
      <c r="I109" s="2190" t="s">
        <v>427</v>
      </c>
      <c r="J109" s="2191"/>
      <c r="K109" s="2190" t="s">
        <v>428</v>
      </c>
      <c r="L109" s="2191"/>
      <c r="M109" s="2190" t="s">
        <v>429</v>
      </c>
      <c r="N109" s="2191"/>
    </row>
    <row r="110" spans="2:14" s="66" customFormat="1" ht="28" x14ac:dyDescent="0.25">
      <c r="B110" s="2351"/>
      <c r="C110" s="2381"/>
      <c r="D110" s="2381"/>
      <c r="E110" s="956" t="s">
        <v>404</v>
      </c>
      <c r="F110" s="956" t="s">
        <v>870</v>
      </c>
      <c r="G110" s="956" t="s">
        <v>404</v>
      </c>
      <c r="H110" s="956" t="s">
        <v>870</v>
      </c>
      <c r="I110" s="956" t="s">
        <v>404</v>
      </c>
      <c r="J110" s="956" t="s">
        <v>768</v>
      </c>
      <c r="K110" s="956" t="s">
        <v>404</v>
      </c>
      <c r="L110" s="956" t="s">
        <v>768</v>
      </c>
      <c r="M110" s="956" t="s">
        <v>404</v>
      </c>
      <c r="N110" s="956" t="s">
        <v>768</v>
      </c>
    </row>
    <row r="111" spans="2:14" x14ac:dyDescent="0.25">
      <c r="B111" s="106">
        <v>1</v>
      </c>
      <c r="C111" s="993" t="s">
        <v>275</v>
      </c>
      <c r="D111" s="106"/>
      <c r="E111" s="571">
        <v>16.489999999999998</v>
      </c>
      <c r="F111" s="571">
        <f>F3.1!H41/12</f>
        <v>17.129257174845556</v>
      </c>
      <c r="G111" s="390">
        <v>16.96</v>
      </c>
      <c r="H111" s="353">
        <f>F3.1!K41/12</f>
        <v>17.968352869924733</v>
      </c>
      <c r="I111" s="390">
        <v>17.440000000000001</v>
      </c>
      <c r="J111" s="353">
        <f>F3.1!N41/12</f>
        <v>18.848552599949123</v>
      </c>
      <c r="K111" s="390">
        <v>17.940000000000001</v>
      </c>
      <c r="L111" s="353">
        <f>F3.1!Q41/12</f>
        <v>19.771869891741336</v>
      </c>
      <c r="M111" s="390">
        <v>18.45</v>
      </c>
      <c r="N111" s="353">
        <f>F3.1!S41/12</f>
        <v>20.740416906972623</v>
      </c>
    </row>
    <row r="112" spans="2:14" x14ac:dyDescent="0.25">
      <c r="B112" s="106">
        <f>B111+1</f>
        <v>2</v>
      </c>
      <c r="C112" s="993" t="s">
        <v>329</v>
      </c>
      <c r="D112" s="106"/>
      <c r="E112" s="571">
        <v>2.74</v>
      </c>
      <c r="F112" s="571">
        <f>'F 5.3'!$K$9*90%*1%</f>
        <v>25.397909999999996</v>
      </c>
      <c r="G112" s="390">
        <v>2.78</v>
      </c>
      <c r="H112" s="353">
        <f>'F 5.3'!$L$9*90%*1%</f>
        <v>26.401680000000002</v>
      </c>
      <c r="I112" s="390">
        <v>2.81</v>
      </c>
      <c r="J112" s="353">
        <f>'F 5.3'!$M$9*90%*1%</f>
        <v>27.331189186985998</v>
      </c>
      <c r="K112" s="390">
        <v>2.84</v>
      </c>
      <c r="L112" s="353">
        <f>'F 5.3'!$N$9*90%*1%</f>
        <v>28.444748373971997</v>
      </c>
      <c r="M112" s="390">
        <v>2.87</v>
      </c>
      <c r="N112" s="353">
        <f>'F 5.3'!$O$9*90%*1%</f>
        <v>36.913264160958001</v>
      </c>
    </row>
    <row r="113" spans="2:14" ht="28" x14ac:dyDescent="0.25">
      <c r="B113" s="106">
        <f>B112+1</f>
        <v>3</v>
      </c>
      <c r="C113" s="994" t="s">
        <v>278</v>
      </c>
      <c r="D113" s="106"/>
      <c r="E113" s="571">
        <v>378.06</v>
      </c>
      <c r="F113" s="571">
        <f>F134-F91</f>
        <v>233.71914084468753</v>
      </c>
      <c r="G113" s="390">
        <v>381.41</v>
      </c>
      <c r="H113" s="571">
        <f>H134-H91</f>
        <v>242.06239723354747</v>
      </c>
      <c r="I113" s="390">
        <v>383.46</v>
      </c>
      <c r="J113" s="571">
        <f ca="1">'ARR-Summary'!Q63*1.5/12</f>
        <v>525.50756031268736</v>
      </c>
      <c r="K113" s="390">
        <v>387.16</v>
      </c>
      <c r="L113" s="571">
        <f ca="1">'ARR-Summary'!T63*1.5/12</f>
        <v>448.61078614735834</v>
      </c>
      <c r="M113" s="390">
        <v>391.7</v>
      </c>
      <c r="N113" s="571">
        <f ca="1">'ARR-Summary'!V63*1.5/12</f>
        <v>355.59839260776408</v>
      </c>
    </row>
    <row r="114" spans="2:14" x14ac:dyDescent="0.25">
      <c r="B114" s="106">
        <f>B113+1</f>
        <v>4</v>
      </c>
      <c r="C114" s="61" t="s">
        <v>277</v>
      </c>
      <c r="D114" s="153"/>
      <c r="E114" s="571">
        <v>380.61</v>
      </c>
      <c r="F114" s="481">
        <f>$D$108*F135</f>
        <v>382.01203477979999</v>
      </c>
      <c r="G114" s="390">
        <v>392.02</v>
      </c>
      <c r="H114" s="481">
        <f>$D$108*H135</f>
        <v>392.53398787980001</v>
      </c>
      <c r="I114" s="390">
        <v>403.79</v>
      </c>
      <c r="J114" s="481">
        <f>$D$108*J135</f>
        <v>403.3457525222621</v>
      </c>
      <c r="K114" s="390">
        <v>415.9</v>
      </c>
      <c r="L114" s="481">
        <f>$D$108*L135</f>
        <v>414.45531113491097</v>
      </c>
      <c r="M114" s="390">
        <v>428.38</v>
      </c>
      <c r="N114" s="481">
        <f>$D$108*N135</f>
        <v>425.87086600956604</v>
      </c>
    </row>
    <row r="115" spans="2:14" ht="28" x14ac:dyDescent="0.25">
      <c r="B115" s="106">
        <f>B114+1</f>
        <v>5</v>
      </c>
      <c r="C115" s="1010" t="s">
        <v>330</v>
      </c>
      <c r="D115" s="1016"/>
      <c r="E115" s="571">
        <v>250.87</v>
      </c>
      <c r="F115" s="481">
        <f>('F2'!Q125+F2.2!H12+F2.2!H13)/12</f>
        <v>190.90579992700066</v>
      </c>
      <c r="G115" s="390">
        <v>226.11</v>
      </c>
      <c r="H115" s="353">
        <f>('F2'!Q186+F2.2!K12+F2.2!K13)/12</f>
        <v>232.51311065284969</v>
      </c>
      <c r="I115" s="390">
        <v>217.44</v>
      </c>
      <c r="J115" s="353">
        <f>('F2'!Q259+SUM(F2.2!P12:P13))/12</f>
        <v>327.73581282302348</v>
      </c>
      <c r="K115" s="390">
        <v>221.01</v>
      </c>
      <c r="L115" s="353">
        <f>'F2'!Q366/12</f>
        <v>249.8978060443562</v>
      </c>
      <c r="M115" s="390">
        <v>203.7</v>
      </c>
      <c r="N115" s="353">
        <f ca="1">'F2'!Q408/12</f>
        <v>179.27176154811863</v>
      </c>
    </row>
    <row r="116" spans="2:14" x14ac:dyDescent="0.25">
      <c r="B116" s="106">
        <f>B115+1</f>
        <v>6</v>
      </c>
      <c r="C116" s="1015" t="s">
        <v>240</v>
      </c>
      <c r="D116" s="1016"/>
      <c r="E116" s="1062">
        <f>SUM(E111:E113)-E114-E115+0.01</f>
        <v>-234.18</v>
      </c>
      <c r="F116" s="1062">
        <f>SUM(F111:F113)-F114-F115</f>
        <v>-296.67152668726754</v>
      </c>
      <c r="G116" s="1062">
        <f>SUM(G111:G113)-G114-G115-0.01</f>
        <v>-216.98999999999995</v>
      </c>
      <c r="H116" s="1062">
        <f>SUM(H111:H113)-H114-H115</f>
        <v>-338.61466842917753</v>
      </c>
      <c r="I116" s="1062">
        <f>SUM(I111:I113)-I114-I115</f>
        <v>-217.52000000000004</v>
      </c>
      <c r="J116" s="1062">
        <f ca="1">SUM(J111:J113)-J114-J115</f>
        <v>-159.39426324566313</v>
      </c>
      <c r="K116" s="1062">
        <f>SUM(K111:K113)-K114-K115</f>
        <v>-228.96999999999991</v>
      </c>
      <c r="L116" s="1062">
        <f ca="1">SUM(L111:L113)-L114-L115</f>
        <v>-167.52571276619548</v>
      </c>
      <c r="M116" s="1062">
        <f>SUM(M111:M113)-M114-M115+0.01</f>
        <v>-219.05</v>
      </c>
      <c r="N116" s="1062">
        <f ca="1">SUM(N111:N113)-N114-N115</f>
        <v>-191.89055388198997</v>
      </c>
    </row>
    <row r="117" spans="2:14" x14ac:dyDescent="0.25">
      <c r="B117" s="106"/>
      <c r="C117" s="1015"/>
      <c r="D117" s="1016"/>
      <c r="E117" s="571"/>
      <c r="F117" s="481"/>
      <c r="G117" s="390"/>
      <c r="H117" s="353"/>
      <c r="I117" s="390"/>
      <c r="J117" s="353"/>
      <c r="K117" s="390"/>
      <c r="L117" s="353"/>
      <c r="M117" s="390"/>
      <c r="N117" s="353"/>
    </row>
    <row r="118" spans="2:14" x14ac:dyDescent="0.25">
      <c r="B118" s="106">
        <v>7</v>
      </c>
      <c r="C118" s="108" t="s">
        <v>238</v>
      </c>
      <c r="D118" s="1016"/>
      <c r="E118" s="571"/>
      <c r="F118" s="481"/>
      <c r="G118" s="390"/>
      <c r="H118" s="353"/>
      <c r="I118" s="390"/>
      <c r="J118" s="353"/>
      <c r="K118" s="390"/>
      <c r="L118" s="353"/>
      <c r="M118" s="390"/>
      <c r="N118" s="353"/>
    </row>
    <row r="119" spans="2:14" x14ac:dyDescent="0.25">
      <c r="B119" s="106">
        <f>B118+1</f>
        <v>8</v>
      </c>
      <c r="C119" s="998" t="s">
        <v>239</v>
      </c>
      <c r="D119" s="1016"/>
      <c r="E119" s="1017">
        <v>9.5000000000000001E-2</v>
      </c>
      <c r="F119" s="1017">
        <f>F140</f>
        <v>8.572602739726029E-2</v>
      </c>
      <c r="G119" s="1017">
        <v>9.5000000000000001E-2</v>
      </c>
      <c r="H119" s="1017">
        <f>H140</f>
        <v>8.5000000000000006E-2</v>
      </c>
      <c r="I119" s="1017">
        <v>9.5000000000000001E-2</v>
      </c>
      <c r="J119" s="1017">
        <f>J140</f>
        <v>9.5500000000000002E-2</v>
      </c>
      <c r="K119" s="1017">
        <v>9.5000000000000001E-2</v>
      </c>
      <c r="L119" s="1017">
        <f>L140</f>
        <v>9.5500000000000002E-2</v>
      </c>
      <c r="M119" s="1017">
        <v>9.5000000000000001E-2</v>
      </c>
      <c r="N119" s="1017">
        <f>N140</f>
        <v>9.5500000000000002E-2</v>
      </c>
    </row>
    <row r="120" spans="2:14" x14ac:dyDescent="0.25">
      <c r="B120" s="106">
        <f>B119+1</f>
        <v>9</v>
      </c>
      <c r="C120" s="108" t="s">
        <v>76</v>
      </c>
      <c r="D120" s="1016"/>
      <c r="E120" s="481">
        <f>IF(E119*E116&gt;0,E116*E119,0)</f>
        <v>0</v>
      </c>
      <c r="F120" s="481">
        <f t="shared" ref="F120:N120" si="4">IF(F119*F116&gt;0,F116*F119,0)</f>
        <v>0</v>
      </c>
      <c r="G120" s="481">
        <f t="shared" si="4"/>
        <v>0</v>
      </c>
      <c r="H120" s="481">
        <f t="shared" si="4"/>
        <v>0</v>
      </c>
      <c r="I120" s="481">
        <f t="shared" si="4"/>
        <v>0</v>
      </c>
      <c r="J120" s="481">
        <f t="shared" ca="1" si="4"/>
        <v>0</v>
      </c>
      <c r="K120" s="481">
        <f t="shared" si="4"/>
        <v>0</v>
      </c>
      <c r="L120" s="481">
        <f ca="1">IF(L119*L116&gt;0,L116*L119,0)</f>
        <v>0</v>
      </c>
      <c r="M120" s="481">
        <f t="shared" si="4"/>
        <v>0</v>
      </c>
      <c r="N120" s="481">
        <f t="shared" ca="1" si="4"/>
        <v>0</v>
      </c>
    </row>
    <row r="121" spans="2:14" x14ac:dyDescent="0.25">
      <c r="B121" s="106"/>
      <c r="C121" s="108" t="s">
        <v>1519</v>
      </c>
      <c r="D121" s="1016"/>
      <c r="E121" s="481"/>
      <c r="F121" s="481">
        <f>$D$108*F142</f>
        <v>9.5129999999999999</v>
      </c>
      <c r="G121" s="353"/>
      <c r="H121" s="481">
        <f>$D$108*H142</f>
        <v>8.9369999999999994</v>
      </c>
      <c r="I121" s="353"/>
      <c r="J121" s="481">
        <f>$D$108*J142</f>
        <v>0</v>
      </c>
      <c r="K121" s="353"/>
      <c r="L121" s="481">
        <f>$D$108*L142</f>
        <v>0</v>
      </c>
      <c r="M121" s="353"/>
      <c r="N121" s="481">
        <f>$D$108*N142</f>
        <v>0</v>
      </c>
    </row>
    <row r="122" spans="2:14" s="34" customFormat="1" ht="15" x14ac:dyDescent="0.25">
      <c r="B122" s="106">
        <v>10</v>
      </c>
      <c r="C122" s="1001" t="s">
        <v>328</v>
      </c>
      <c r="D122" s="997"/>
      <c r="E122" s="481">
        <f>E143*$D$108</f>
        <v>375.06150000000002</v>
      </c>
      <c r="F122" s="481">
        <f>F143*$D$108</f>
        <v>382.01203477979999</v>
      </c>
      <c r="G122" s="481">
        <f t="shared" ref="G122:M122" si="5">G143*$D$108</f>
        <v>386.31600000000003</v>
      </c>
      <c r="H122" s="481">
        <f>H143*$D$108</f>
        <v>392.53398787980001</v>
      </c>
      <c r="I122" s="481">
        <f t="shared" si="5"/>
        <v>397.90800000000002</v>
      </c>
      <c r="J122" s="481">
        <f>J143*$D$108</f>
        <v>403.3457525222621</v>
      </c>
      <c r="K122" s="481">
        <f t="shared" si="5"/>
        <v>409.84199999999998</v>
      </c>
      <c r="L122" s="481">
        <f>L143*$D$108</f>
        <v>414.45531113491097</v>
      </c>
      <c r="M122" s="481">
        <f t="shared" si="5"/>
        <v>422.13600000000002</v>
      </c>
      <c r="N122" s="481">
        <f>N143*$D$108</f>
        <v>425.87086600956604</v>
      </c>
    </row>
    <row r="123" spans="2:14" s="34" customFormat="1" x14ac:dyDescent="0.25">
      <c r="B123" s="106">
        <f>B122+1</f>
        <v>11</v>
      </c>
      <c r="C123" s="998" t="s">
        <v>679</v>
      </c>
      <c r="D123" s="997"/>
      <c r="E123" s="459">
        <v>5.3999999999999999E-2</v>
      </c>
      <c r="F123" s="459">
        <f>F124/F114</f>
        <v>4.0357367298354076E-2</v>
      </c>
      <c r="G123" s="459">
        <v>5.3999999999999999E-2</v>
      </c>
      <c r="H123" s="459">
        <f>H124/H114</f>
        <v>3.5881472689475627E-2</v>
      </c>
      <c r="I123" s="459">
        <v>5.3999999999999999E-2</v>
      </c>
      <c r="J123" s="459">
        <v>4.2500000000000003E-2</v>
      </c>
      <c r="K123" s="459">
        <v>5.3999999999999999E-2</v>
      </c>
      <c r="L123" s="459">
        <v>4.2500000000000003E-2</v>
      </c>
      <c r="M123" s="459">
        <v>5.3999999999999999E-2</v>
      </c>
      <c r="N123" s="459">
        <v>4.2500000000000003E-2</v>
      </c>
    </row>
    <row r="124" spans="2:14" s="34" customFormat="1" ht="15" x14ac:dyDescent="0.25">
      <c r="B124" s="106">
        <f>B123+1</f>
        <v>12</v>
      </c>
      <c r="C124" s="1000" t="s">
        <v>328</v>
      </c>
      <c r="D124" s="997"/>
      <c r="E124" s="353">
        <f>E122*E123</f>
        <v>20.253321</v>
      </c>
      <c r="F124" s="353">
        <f>$D$108*F145</f>
        <v>15.417</v>
      </c>
      <c r="G124" s="353">
        <f t="shared" ref="G124:M124" si="6">G122*G123</f>
        <v>20.861064000000002</v>
      </c>
      <c r="H124" s="353">
        <f>$D$108*H145</f>
        <v>14.084697565800001</v>
      </c>
      <c r="I124" s="353">
        <f t="shared" si="6"/>
        <v>21.487031999999999</v>
      </c>
      <c r="J124" s="353">
        <f>$D$108*J145</f>
        <v>16.912444483543819</v>
      </c>
      <c r="K124" s="353">
        <f t="shared" si="6"/>
        <v>22.131467999999998</v>
      </c>
      <c r="L124" s="353">
        <f>$D$108*L145</f>
        <v>17.378272602714933</v>
      </c>
      <c r="M124" s="353">
        <f t="shared" si="6"/>
        <v>22.795344</v>
      </c>
      <c r="N124" s="353">
        <f>$D$108*N145</f>
        <v>17.856931264320139</v>
      </c>
    </row>
    <row r="126" spans="2:14" x14ac:dyDescent="0.25">
      <c r="B126" s="45" t="s">
        <v>863</v>
      </c>
      <c r="C126" s="60" t="s">
        <v>871</v>
      </c>
    </row>
    <row r="127" spans="2:14" x14ac:dyDescent="0.25">
      <c r="B127" s="66"/>
      <c r="C127" s="66"/>
    </row>
    <row r="128" spans="2:14" x14ac:dyDescent="0.25">
      <c r="B128" s="109"/>
      <c r="C128" s="988" t="s">
        <v>1253</v>
      </c>
      <c r="D128" s="277"/>
      <c r="E128" s="574"/>
      <c r="F128" s="1610"/>
      <c r="G128" s="574"/>
      <c r="H128" s="1610"/>
      <c r="I128" s="574"/>
      <c r="J128" s="574"/>
      <c r="K128" s="574"/>
      <c r="L128" s="375"/>
      <c r="M128" s="375"/>
      <c r="N128" s="375"/>
    </row>
    <row r="129" spans="2:15" x14ac:dyDescent="0.25">
      <c r="B129" s="109"/>
      <c r="C129" s="988"/>
      <c r="D129" s="277"/>
      <c r="E129" s="574"/>
      <c r="F129" s="574"/>
      <c r="G129" s="574"/>
      <c r="H129" s="574"/>
      <c r="I129" s="574"/>
      <c r="J129" s="574"/>
      <c r="K129" s="574"/>
      <c r="L129" s="375"/>
      <c r="M129" s="375"/>
      <c r="N129" s="375"/>
    </row>
    <row r="130" spans="2:15" x14ac:dyDescent="0.25">
      <c r="B130" s="2351" t="s">
        <v>187</v>
      </c>
      <c r="C130" s="2381" t="s">
        <v>50</v>
      </c>
      <c r="D130" s="2381" t="s">
        <v>82</v>
      </c>
      <c r="E130" s="2190" t="s">
        <v>186</v>
      </c>
      <c r="F130" s="2191"/>
      <c r="G130" s="2190" t="s">
        <v>426</v>
      </c>
      <c r="H130" s="2197"/>
      <c r="I130" s="2190" t="s">
        <v>427</v>
      </c>
      <c r="J130" s="2191"/>
      <c r="K130" s="2190" t="s">
        <v>428</v>
      </c>
      <c r="L130" s="2191"/>
      <c r="M130" s="2190" t="s">
        <v>429</v>
      </c>
      <c r="N130" s="2191"/>
    </row>
    <row r="131" spans="2:15" ht="28" x14ac:dyDescent="0.25">
      <c r="B131" s="2351"/>
      <c r="C131" s="2381"/>
      <c r="D131" s="2381"/>
      <c r="E131" s="956" t="s">
        <v>404</v>
      </c>
      <c r="F131" s="956" t="s">
        <v>870</v>
      </c>
      <c r="G131" s="956" t="s">
        <v>404</v>
      </c>
      <c r="H131" s="956" t="s">
        <v>870</v>
      </c>
      <c r="I131" s="956" t="s">
        <v>404</v>
      </c>
      <c r="J131" s="956" t="s">
        <v>768</v>
      </c>
      <c r="K131" s="956" t="s">
        <v>404</v>
      </c>
      <c r="L131" s="956" t="s">
        <v>768</v>
      </c>
      <c r="M131" s="956" t="s">
        <v>404</v>
      </c>
      <c r="N131" s="956" t="s">
        <v>768</v>
      </c>
    </row>
    <row r="132" spans="2:15" x14ac:dyDescent="0.25">
      <c r="B132" s="106">
        <v>1</v>
      </c>
      <c r="C132" s="993" t="s">
        <v>275</v>
      </c>
      <c r="D132" s="106"/>
      <c r="E132" s="571">
        <f t="shared" ref="E132:N132" si="7">E89+E111</f>
        <v>47.12</v>
      </c>
      <c r="F132" s="571">
        <f t="shared" si="7"/>
        <v>48.940734785273023</v>
      </c>
      <c r="G132" s="390">
        <f t="shared" si="7"/>
        <v>48.46</v>
      </c>
      <c r="H132" s="571">
        <f t="shared" si="7"/>
        <v>51.338151056927813</v>
      </c>
      <c r="I132" s="390">
        <f t="shared" si="7"/>
        <v>49.83</v>
      </c>
      <c r="J132" s="571">
        <f t="shared" si="7"/>
        <v>53.853007428426068</v>
      </c>
      <c r="K132" s="390">
        <f t="shared" si="7"/>
        <v>51.25</v>
      </c>
      <c r="L132" s="571">
        <f t="shared" si="7"/>
        <v>56.491056833546679</v>
      </c>
      <c r="M132" s="390">
        <f t="shared" si="7"/>
        <v>52.709999999999994</v>
      </c>
      <c r="N132" s="571">
        <f t="shared" si="7"/>
        <v>59.258334019921776</v>
      </c>
    </row>
    <row r="133" spans="2:15" x14ac:dyDescent="0.25">
      <c r="B133" s="106">
        <f>B132+1</f>
        <v>2</v>
      </c>
      <c r="C133" s="993" t="s">
        <v>329</v>
      </c>
      <c r="D133" s="106"/>
      <c r="E133" s="571">
        <f t="shared" ref="E133:N133" si="8">E90+E112</f>
        <v>27.380000000000003</v>
      </c>
      <c r="F133" s="571">
        <f t="shared" si="8"/>
        <v>28.219899999999996</v>
      </c>
      <c r="G133" s="390">
        <f t="shared" si="8"/>
        <v>27.77</v>
      </c>
      <c r="H133" s="571">
        <f t="shared" si="8"/>
        <v>29.335200000000004</v>
      </c>
      <c r="I133" s="390">
        <f t="shared" si="8"/>
        <v>28.08</v>
      </c>
      <c r="J133" s="571">
        <f t="shared" si="8"/>
        <v>30.367987985539997</v>
      </c>
      <c r="K133" s="390">
        <f t="shared" si="8"/>
        <v>28.4</v>
      </c>
      <c r="L133" s="571">
        <f t="shared" si="8"/>
        <v>31.605275971079998</v>
      </c>
      <c r="M133" s="390">
        <f t="shared" si="8"/>
        <v>28.71</v>
      </c>
      <c r="N133" s="571">
        <f t="shared" si="8"/>
        <v>41.014737956620003</v>
      </c>
    </row>
    <row r="134" spans="2:15" ht="28" x14ac:dyDescent="0.25">
      <c r="B134" s="106">
        <f>B133+1</f>
        <v>3</v>
      </c>
      <c r="C134" s="994" t="s">
        <v>278</v>
      </c>
      <c r="D134" s="106"/>
      <c r="E134" s="571">
        <f t="shared" ref="E134:M134" si="9">E91+E113</f>
        <v>420.07</v>
      </c>
      <c r="F134" s="571">
        <f>('F13'!K97-'F13'!G91)*1.5/12</f>
        <v>291.40613208856252</v>
      </c>
      <c r="G134" s="390">
        <f t="shared" si="9"/>
        <v>423.79</v>
      </c>
      <c r="H134" s="571">
        <f>('F13'!K145-'F13'!G138)*1.5/12</f>
        <v>308.23069744829746</v>
      </c>
      <c r="I134" s="390">
        <f t="shared" si="9"/>
        <v>426.07</v>
      </c>
      <c r="J134" s="571">
        <f ca="1">J113+J91</f>
        <v>608.04858640779503</v>
      </c>
      <c r="K134" s="390">
        <f>K91+K113</f>
        <v>430.18</v>
      </c>
      <c r="L134" s="571">
        <f ca="1">L113+L91</f>
        <v>539.31501071345406</v>
      </c>
      <c r="M134" s="390">
        <f t="shared" si="9"/>
        <v>435.21999999999997</v>
      </c>
      <c r="N134" s="571">
        <f ca="1">N113+N91</f>
        <v>458.71961931239861</v>
      </c>
    </row>
    <row r="135" spans="2:15" x14ac:dyDescent="0.25">
      <c r="B135" s="106">
        <f>B134+1</f>
        <v>4</v>
      </c>
      <c r="C135" s="61" t="s">
        <v>277</v>
      </c>
      <c r="D135" s="153"/>
      <c r="E135" s="571">
        <f>E92+E114</f>
        <v>422.90000000000003</v>
      </c>
      <c r="F135" s="481">
        <v>424.45781642199995</v>
      </c>
      <c r="G135" s="390">
        <f>G92+G114</f>
        <v>435.58</v>
      </c>
      <c r="H135" s="481">
        <v>436.148875422</v>
      </c>
      <c r="I135" s="390">
        <f>I92+I114</f>
        <v>448.66</v>
      </c>
      <c r="J135" s="481">
        <f>H135*(1+(H135/F135-1))</f>
        <v>448.16194724695788</v>
      </c>
      <c r="K135" s="390">
        <f>K92+K114</f>
        <v>462.10999999999996</v>
      </c>
      <c r="L135" s="481">
        <f>J135*(1+(J135/H135-1))</f>
        <v>460.50590126101218</v>
      </c>
      <c r="M135" s="390">
        <f>M92+M114</f>
        <v>475.98</v>
      </c>
      <c r="N135" s="481">
        <f>L135*(1+(L135/J135-1))</f>
        <v>473.18985112174005</v>
      </c>
      <c r="O135" s="1065"/>
    </row>
    <row r="136" spans="2:15" ht="28" x14ac:dyDescent="0.25">
      <c r="B136" s="106">
        <f>B135+1</f>
        <v>5</v>
      </c>
      <c r="C136" s="1010" t="s">
        <v>330</v>
      </c>
      <c r="D136" s="1016"/>
      <c r="E136" s="571">
        <f>E115</f>
        <v>250.87</v>
      </c>
      <c r="F136" s="481">
        <f>F115+F92</f>
        <v>233.35158156920065</v>
      </c>
      <c r="G136" s="390">
        <f>G115</f>
        <v>226.11</v>
      </c>
      <c r="H136" s="481">
        <f>H115</f>
        <v>232.51311065284969</v>
      </c>
      <c r="I136" s="390">
        <f>I115</f>
        <v>217.44</v>
      </c>
      <c r="J136" s="481">
        <f>J115</f>
        <v>327.73581282302348</v>
      </c>
      <c r="K136" s="390">
        <v>221.01</v>
      </c>
      <c r="L136" s="481">
        <f>L115</f>
        <v>249.8978060443562</v>
      </c>
      <c r="M136" s="390">
        <v>203.7</v>
      </c>
      <c r="N136" s="481">
        <f ca="1">N115</f>
        <v>179.27176154811863</v>
      </c>
    </row>
    <row r="137" spans="2:15" x14ac:dyDescent="0.25">
      <c r="B137" s="106">
        <f>B136+1</f>
        <v>6</v>
      </c>
      <c r="C137" s="1015" t="s">
        <v>240</v>
      </c>
      <c r="D137" s="1016"/>
      <c r="E137" s="1062">
        <f>SUM(E132:E134)-E135-E136</f>
        <v>-179.20000000000005</v>
      </c>
      <c r="F137" s="1062">
        <f>SUM(F132:F134)-F135-F136</f>
        <v>-289.24263111736502</v>
      </c>
      <c r="G137" s="1062">
        <f>SUM(G132:G134)-G135-G136-0.01</f>
        <v>-161.67999999999995</v>
      </c>
      <c r="H137" s="1062">
        <f>SUM(H132:H134)-H135-H136</f>
        <v>-279.75793756962446</v>
      </c>
      <c r="I137" s="1062">
        <f>SUM(I132:I134)-I135-I136</f>
        <v>-162.12</v>
      </c>
      <c r="J137" s="1062">
        <f ca="1">SUM(J132:J134)-J135-J136</f>
        <v>-83.628178248220252</v>
      </c>
      <c r="K137" s="1062">
        <f>SUM(K132:K134)-K135-K136</f>
        <v>-173.28999999999991</v>
      </c>
      <c r="L137" s="1062">
        <f ca="1">SUM(L132:L134)-L135-L136</f>
        <v>-82.992363787287701</v>
      </c>
      <c r="M137" s="1062">
        <f>SUM(M132:M134)-M135-M136+0.01</f>
        <v>-163.03000000000003</v>
      </c>
      <c r="N137" s="1062">
        <f ca="1">SUM(N132:N134)-N135-N136</f>
        <v>-93.468921380918317</v>
      </c>
    </row>
    <row r="138" spans="2:15" x14ac:dyDescent="0.25">
      <c r="B138" s="106"/>
      <c r="C138" s="1015"/>
      <c r="D138" s="1016"/>
      <c r="E138" s="571"/>
      <c r="F138" s="481"/>
      <c r="G138" s="390"/>
      <c r="H138" s="353"/>
      <c r="I138" s="390"/>
      <c r="J138" s="353"/>
      <c r="K138" s="390"/>
      <c r="L138" s="353"/>
      <c r="M138" s="390"/>
      <c r="N138" s="353"/>
    </row>
    <row r="139" spans="2:15" x14ac:dyDescent="0.25">
      <c r="B139" s="106">
        <v>7</v>
      </c>
      <c r="C139" s="108" t="s">
        <v>238</v>
      </c>
      <c r="D139" s="1016"/>
      <c r="E139" s="571"/>
      <c r="F139" s="481"/>
      <c r="G139" s="390"/>
      <c r="H139" s="353"/>
      <c r="I139" s="390"/>
      <c r="J139" s="353"/>
      <c r="K139" s="390"/>
      <c r="L139" s="353"/>
      <c r="M139" s="390"/>
      <c r="N139" s="353"/>
    </row>
    <row r="140" spans="2:15" x14ac:dyDescent="0.25">
      <c r="B140" s="106">
        <f>B139+1</f>
        <v>8</v>
      </c>
      <c r="C140" s="998" t="s">
        <v>239</v>
      </c>
      <c r="D140" s="1016"/>
      <c r="E140" s="1017">
        <v>9.5000000000000001E-2</v>
      </c>
      <c r="F140" s="1017">
        <f>NoWcRates!H25</f>
        <v>8.572602739726029E-2</v>
      </c>
      <c r="G140" s="1017">
        <v>9.5000000000000001E-2</v>
      </c>
      <c r="H140" s="1017">
        <f>NoWcRates!H29</f>
        <v>8.5000000000000006E-2</v>
      </c>
      <c r="I140" s="1017">
        <v>9.5000000000000001E-2</v>
      </c>
      <c r="J140" s="1017">
        <f>NoWcRates!H30</f>
        <v>9.5500000000000002E-2</v>
      </c>
      <c r="K140" s="1017">
        <v>9.5000000000000001E-2</v>
      </c>
      <c r="L140" s="1017">
        <f>J140</f>
        <v>9.5500000000000002E-2</v>
      </c>
      <c r="M140" s="1017">
        <v>9.5000000000000001E-2</v>
      </c>
      <c r="N140" s="1017">
        <f>L140</f>
        <v>9.5500000000000002E-2</v>
      </c>
    </row>
    <row r="141" spans="2:15" x14ac:dyDescent="0.25">
      <c r="B141" s="106">
        <f>B140+1</f>
        <v>9</v>
      </c>
      <c r="C141" s="108" t="s">
        <v>76</v>
      </c>
      <c r="D141" s="1016"/>
      <c r="E141" s="481">
        <f>E120+E97</f>
        <v>5.2240500000000001</v>
      </c>
      <c r="F141" s="481">
        <f>F120+F97</f>
        <v>4.2755579451142092</v>
      </c>
      <c r="G141" s="481">
        <f t="shared" ref="G141:N141" si="10">G120+G97</f>
        <v>5.2544500000000003</v>
      </c>
      <c r="H141" s="481">
        <f t="shared" si="10"/>
        <v>5.0028221230620131</v>
      </c>
      <c r="I141" s="481">
        <f t="shared" si="10"/>
        <v>5.2629999999999999</v>
      </c>
      <c r="J141" s="481">
        <f t="shared" ca="1" si="10"/>
        <v>7.235661117255785</v>
      </c>
      <c r="K141" s="481">
        <f t="shared" si="10"/>
        <v>5.289600000000001</v>
      </c>
      <c r="L141" s="481">
        <f t="shared" ca="1" si="10"/>
        <v>8.0729348274856925</v>
      </c>
      <c r="M141" s="481">
        <f t="shared" si="10"/>
        <v>5.3219000000000003</v>
      </c>
      <c r="N141" s="481">
        <f t="shared" ca="1" si="10"/>
        <v>9.3992659038523456</v>
      </c>
    </row>
    <row r="142" spans="2:15" x14ac:dyDescent="0.25">
      <c r="B142" s="106"/>
      <c r="C142" s="108" t="s">
        <v>1519</v>
      </c>
      <c r="D142" s="1016"/>
      <c r="E142" s="481"/>
      <c r="F142" s="481">
        <v>10.57</v>
      </c>
      <c r="G142" s="353"/>
      <c r="H142" s="353">
        <v>9.93</v>
      </c>
      <c r="I142" s="353"/>
      <c r="J142" s="353"/>
      <c r="K142" s="353"/>
      <c r="L142" s="353"/>
      <c r="M142" s="353"/>
      <c r="N142" s="353"/>
    </row>
    <row r="143" spans="2:15" ht="15" x14ac:dyDescent="0.25">
      <c r="B143" s="106">
        <v>10</v>
      </c>
      <c r="C143" s="1001" t="s">
        <v>328</v>
      </c>
      <c r="D143" s="997"/>
      <c r="E143" s="481">
        <f>416.735</f>
        <v>416.73500000000001</v>
      </c>
      <c r="F143" s="1018">
        <f>F135</f>
        <v>424.45781642199995</v>
      </c>
      <c r="G143" s="481">
        <f>429.24</f>
        <v>429.24</v>
      </c>
      <c r="H143" s="1018">
        <f>H135</f>
        <v>436.148875422</v>
      </c>
      <c r="I143" s="481">
        <f>442.12</f>
        <v>442.12</v>
      </c>
      <c r="J143" s="1018">
        <f>J135</f>
        <v>448.16194724695788</v>
      </c>
      <c r="K143" s="481">
        <f>455.38</f>
        <v>455.38</v>
      </c>
      <c r="L143" s="1018">
        <f>L135</f>
        <v>460.50590126101218</v>
      </c>
      <c r="M143" s="481">
        <f>469.04</f>
        <v>469.04</v>
      </c>
      <c r="N143" s="1018">
        <f>N135</f>
        <v>473.18985112174005</v>
      </c>
    </row>
    <row r="144" spans="2:15" x14ac:dyDescent="0.25">
      <c r="B144" s="106">
        <f>B143+1</f>
        <v>11</v>
      </c>
      <c r="C144" s="998" t="s">
        <v>679</v>
      </c>
      <c r="D144" s="997"/>
      <c r="E144" s="459">
        <v>5.3999999999999999E-2</v>
      </c>
      <c r="F144" s="459">
        <f>F145/AVERAGE(F135,F67)</f>
        <v>4.0745075127312756E-2</v>
      </c>
      <c r="G144" s="459">
        <v>5.3999999999999999E-2</v>
      </c>
      <c r="H144" s="459">
        <f>H145/AVERAGE(H135,F135)</f>
        <v>3.6368910700584643E-2</v>
      </c>
      <c r="I144" s="459">
        <v>5.3999999999999999E-2</v>
      </c>
      <c r="J144" s="459">
        <v>4.2500000000000003E-2</v>
      </c>
      <c r="K144" s="459">
        <v>5.3999999999999999E-2</v>
      </c>
      <c r="L144" s="459">
        <v>4.2500000000000003E-2</v>
      </c>
      <c r="M144" s="459">
        <v>5.3999999999999999E-2</v>
      </c>
      <c r="N144" s="459">
        <v>4.2500000000000003E-2</v>
      </c>
    </row>
    <row r="145" spans="2:14" ht="15" x14ac:dyDescent="0.25">
      <c r="B145" s="106">
        <f>B144+1</f>
        <v>12</v>
      </c>
      <c r="C145" s="1000" t="s">
        <v>328</v>
      </c>
      <c r="D145" s="997"/>
      <c r="E145" s="353">
        <f>E143*E144</f>
        <v>22.503689999999999</v>
      </c>
      <c r="F145" s="353">
        <v>17.13</v>
      </c>
      <c r="G145" s="353">
        <f t="shared" ref="G145:M145" si="11">G143*G144</f>
        <v>23.17896</v>
      </c>
      <c r="H145" s="353">
        <v>15.649663962</v>
      </c>
      <c r="I145" s="353">
        <f t="shared" si="11"/>
        <v>23.874479999999998</v>
      </c>
      <c r="J145" s="353">
        <f>(AVERAGE(J135,H135)*J144)</f>
        <v>18.791604981715356</v>
      </c>
      <c r="K145" s="353">
        <f t="shared" si="11"/>
        <v>24.590519999999998</v>
      </c>
      <c r="L145" s="353">
        <f>(AVERAGE(L135,J135)*L144)</f>
        <v>19.309191780794368</v>
      </c>
      <c r="M145" s="353">
        <f t="shared" si="11"/>
        <v>25.32816</v>
      </c>
      <c r="N145" s="353">
        <f>(AVERAGE(N135,L135)*N144)</f>
        <v>19.841034738133487</v>
      </c>
    </row>
    <row r="146" spans="2:14" x14ac:dyDescent="0.25">
      <c r="F146" s="1065"/>
      <c r="G146" s="1065"/>
      <c r="H146" s="1065"/>
    </row>
    <row r="147" spans="2:14" x14ac:dyDescent="0.25">
      <c r="B147" s="45" t="s">
        <v>863</v>
      </c>
      <c r="C147" s="60" t="s">
        <v>871</v>
      </c>
    </row>
  </sheetData>
  <mergeCells count="36">
    <mergeCell ref="D87:D88"/>
    <mergeCell ref="E13:F13"/>
    <mergeCell ref="D13:D14"/>
    <mergeCell ref="C13:C14"/>
    <mergeCell ref="B13:B14"/>
    <mergeCell ref="E87:F87"/>
    <mergeCell ref="C87:C88"/>
    <mergeCell ref="B87:B88"/>
    <mergeCell ref="B62:B63"/>
    <mergeCell ref="C62:C63"/>
    <mergeCell ref="D62:D63"/>
    <mergeCell ref="E62:F62"/>
    <mergeCell ref="B38:B39"/>
    <mergeCell ref="C38:C39"/>
    <mergeCell ref="D38:D39"/>
    <mergeCell ref="E38:F38"/>
    <mergeCell ref="G87:H87"/>
    <mergeCell ref="I87:J87"/>
    <mergeCell ref="I109:J109"/>
    <mergeCell ref="K87:L87"/>
    <mergeCell ref="M87:N87"/>
    <mergeCell ref="K109:L109"/>
    <mergeCell ref="M109:N109"/>
    <mergeCell ref="K130:L130"/>
    <mergeCell ref="M130:N130"/>
    <mergeCell ref="D109:D110"/>
    <mergeCell ref="C109:C110"/>
    <mergeCell ref="B130:B131"/>
    <mergeCell ref="C130:C131"/>
    <mergeCell ref="D130:D131"/>
    <mergeCell ref="B109:B110"/>
    <mergeCell ref="E109:F109"/>
    <mergeCell ref="G109:H109"/>
    <mergeCell ref="E130:F130"/>
    <mergeCell ref="G130:H130"/>
    <mergeCell ref="I130:J130"/>
  </mergeCells>
  <dataValidations disablePrompts="1" count="2">
    <dataValidation type="list" allowBlank="1" showInputMessage="1" showErrorMessage="1" sqref="O14 O17">
      <formula1>"1, 2"</formula1>
    </dataValidation>
    <dataValidation type="list" allowBlank="1" showInputMessage="1" showErrorMessage="1" sqref="O40">
      <formula1>"1,2"</formula1>
    </dataValidation>
  </dataValidations>
  <pageMargins left="0.74803149606299213" right="0.74803149606299213" top="0.98425196850393704" bottom="0.98425196850393704" header="0.51181102362204722" footer="0.51181102362204722"/>
  <pageSetup paperSize="9" scale="46" fitToHeight="2" orientation="landscape" r:id="rId1"/>
  <headerFooter alignWithMargins="0"/>
  <rowBreaks count="5" manualBreakCount="5">
    <brk id="33" max="16383" man="1"/>
    <brk id="58" max="16383" man="1"/>
    <brk id="81" min="1" max="13" man="1"/>
    <brk id="105" min="1" max="13" man="1"/>
    <brk id="12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0"/>
  <sheetViews>
    <sheetView showGridLines="0" workbookViewId="0">
      <selection activeCell="A2" sqref="A2"/>
    </sheetView>
  </sheetViews>
  <sheetFormatPr defaultRowHeight="14" x14ac:dyDescent="0.25"/>
  <cols>
    <col min="1" max="2" width="8.7265625" style="1196"/>
    <col min="3" max="3" width="21.81640625" style="1196" bestFit="1" customWidth="1"/>
    <col min="4" max="4" width="11.08984375" style="1196" bestFit="1" customWidth="1"/>
    <col min="5" max="5" width="10.6328125" style="1196" bestFit="1" customWidth="1"/>
    <col min="6" max="7" width="11.453125" style="1196" bestFit="1" customWidth="1"/>
    <col min="8" max="8" width="10.6328125" style="1196" customWidth="1"/>
    <col min="9" max="9" width="9.81640625" style="1196" bestFit="1" customWidth="1"/>
    <col min="10" max="10" width="10" style="1196" customWidth="1"/>
    <col min="11" max="11" width="8.7265625" style="1196"/>
    <col min="12" max="12" width="11.1796875" style="1196" hidden="1" customWidth="1"/>
    <col min="13" max="13" width="0" style="1196" hidden="1" customWidth="1"/>
    <col min="14" max="16384" width="8.7265625" style="1196"/>
  </cols>
  <sheetData>
    <row r="1" spans="3:13" x14ac:dyDescent="0.25">
      <c r="G1" s="1197" t="s">
        <v>1548</v>
      </c>
    </row>
    <row r="2" spans="3:13" x14ac:dyDescent="0.25">
      <c r="C2" s="1198" t="s">
        <v>1549</v>
      </c>
      <c r="D2" s="1199" t="s">
        <v>1550</v>
      </c>
      <c r="E2" s="1200" t="s">
        <v>1551</v>
      </c>
      <c r="I2" s="1198" t="str">
        <f>D2</f>
        <v>BEST</v>
      </c>
      <c r="L2" s="1198" t="s">
        <v>1550</v>
      </c>
    </row>
    <row r="3" spans="3:13" ht="26" x14ac:dyDescent="0.25">
      <c r="C3" s="1201" t="s">
        <v>1552</v>
      </c>
      <c r="D3" s="1202" t="s">
        <v>638</v>
      </c>
      <c r="I3" s="1203" t="s">
        <v>1552</v>
      </c>
      <c r="J3" s="1203" t="s">
        <v>1553</v>
      </c>
      <c r="L3" s="1203" t="s">
        <v>1552</v>
      </c>
      <c r="M3" s="1203" t="s">
        <v>1553</v>
      </c>
    </row>
    <row r="4" spans="3:13" x14ac:dyDescent="0.25">
      <c r="C4" s="1204" t="s">
        <v>1554</v>
      </c>
      <c r="D4" s="1205">
        <f>IF(D2="MSEDCL",95%,98%)</f>
        <v>0.98</v>
      </c>
      <c r="I4" s="1206">
        <f>D4</f>
        <v>0.98</v>
      </c>
      <c r="J4" s="1207">
        <v>0</v>
      </c>
      <c r="L4" s="1208">
        <v>0.98</v>
      </c>
      <c r="M4" s="1207">
        <v>0</v>
      </c>
    </row>
    <row r="5" spans="3:13" x14ac:dyDescent="0.25">
      <c r="C5" s="1204" t="s">
        <v>1555</v>
      </c>
      <c r="D5" s="1209">
        <v>66.28</v>
      </c>
      <c r="E5" s="1209">
        <v>60.56</v>
      </c>
      <c r="I5" s="1208">
        <f>IF(I4="100%","",MIN(I4+0.5%,100%))</f>
        <v>0.98499999999999999</v>
      </c>
      <c r="J5" s="1207">
        <f t="shared" ref="J5:J14" si="0">MIN(1.5%,J4+0.5%)</f>
        <v>5.0000000000000001E-3</v>
      </c>
      <c r="L5" s="1208">
        <f>L4+0.5%</f>
        <v>0.98499999999999999</v>
      </c>
      <c r="M5" s="1207">
        <f>MIN(1.5%,M4+0.5%)</f>
        <v>5.0000000000000001E-3</v>
      </c>
    </row>
    <row r="6" spans="3:13" x14ac:dyDescent="0.25">
      <c r="C6" s="1204" t="s">
        <v>1556</v>
      </c>
      <c r="D6" s="1210">
        <f>(1-(D5/8760))</f>
        <v>0.99243378995433795</v>
      </c>
      <c r="E6" s="1210">
        <f>(1-(E5/8760))</f>
        <v>0.99308675799086754</v>
      </c>
      <c r="I6" s="1208">
        <f t="shared" ref="I6:I14" si="1">IF(I5="100%","",MIN(I5+0.5%,100%))</f>
        <v>0.99</v>
      </c>
      <c r="J6" s="1207">
        <f t="shared" si="0"/>
        <v>0.01</v>
      </c>
      <c r="L6" s="1208">
        <f>L5+0.5%</f>
        <v>0.99</v>
      </c>
      <c r="M6" s="1207">
        <f>MIN(1.5%,M5+0.5%)</f>
        <v>0.01</v>
      </c>
    </row>
    <row r="7" spans="3:13" x14ac:dyDescent="0.25">
      <c r="C7" s="1204" t="s">
        <v>1557</v>
      </c>
      <c r="D7" s="1211">
        <f>IF(D6&lt;=I4,0,IF(D6&gt;=I14,J14,IF(D6&gt;=I13,J13,IF(D6&gt;=I12,J12,IF(D6&gt;=I11,J11,IF(D6&gt;=I10,J10,IF(D6&gt;=I9,J9,IF(D6&gt;=I8,J8,IF(D6&gt;=I7,J7,IF(D6&gt;=I6,J6,IF(D6&gt;=I5,J5,IF(D6&gt;=I4,J4))))))))))))</f>
        <v>0.01</v>
      </c>
      <c r="E7" s="1211">
        <f>IF(D6&lt;=I4,0,IF(D6&gt;=I14,J14,IF(D6&gt;=I13,J13,IF(D6&gt;=I12,J12,IF(D6&gt;=I11,J11,IF(D6&gt;=I10,J10,IF(D6&gt;=I9,J9,IF(D6&gt;=I8,J8,IF(D6&gt;=I7,J7,IF(D6&gt;=I6,J6,IF(D6&gt;=I5,J5,IF(D6&gt;=I4,J4))))))))))))</f>
        <v>0.01</v>
      </c>
      <c r="I7" s="1208">
        <f t="shared" si="1"/>
        <v>0.995</v>
      </c>
      <c r="J7" s="1207">
        <f t="shared" si="0"/>
        <v>1.4999999999999999E-2</v>
      </c>
      <c r="L7" s="1208">
        <f>L6+0.5%</f>
        <v>0.995</v>
      </c>
      <c r="M7" s="1207">
        <f>MIN(1.5%,M6+0.5%)</f>
        <v>1.4999999999999999E-2</v>
      </c>
    </row>
    <row r="8" spans="3:13" x14ac:dyDescent="0.25">
      <c r="D8" s="1196" t="s">
        <v>186</v>
      </c>
      <c r="E8" s="1196" t="s">
        <v>426</v>
      </c>
      <c r="I8" s="1208">
        <f t="shared" si="1"/>
        <v>1</v>
      </c>
      <c r="J8" s="1207">
        <f t="shared" si="0"/>
        <v>1.4999999999999999E-2</v>
      </c>
      <c r="L8" s="1208">
        <f>L7+0.5%</f>
        <v>1</v>
      </c>
      <c r="M8" s="1207">
        <f>MIN(1.5%,M7+0.5%)</f>
        <v>1.4999999999999999E-2</v>
      </c>
    </row>
    <row r="9" spans="3:13" x14ac:dyDescent="0.25">
      <c r="I9" s="1208">
        <f t="shared" si="1"/>
        <v>1</v>
      </c>
      <c r="J9" s="1207">
        <f t="shared" si="0"/>
        <v>1.4999999999999999E-2</v>
      </c>
      <c r="L9" s="1208"/>
      <c r="M9" s="1208"/>
    </row>
    <row r="10" spans="3:13" x14ac:dyDescent="0.25">
      <c r="I10" s="1208">
        <f t="shared" si="1"/>
        <v>1</v>
      </c>
      <c r="J10" s="1207">
        <f t="shared" si="0"/>
        <v>1.4999999999999999E-2</v>
      </c>
      <c r="L10" s="1208"/>
      <c r="M10" s="1208"/>
    </row>
    <row r="11" spans="3:13" x14ac:dyDescent="0.25">
      <c r="I11" s="1208">
        <f t="shared" si="1"/>
        <v>1</v>
      </c>
      <c r="J11" s="1207">
        <f t="shared" si="0"/>
        <v>1.4999999999999999E-2</v>
      </c>
      <c r="L11" s="1208"/>
      <c r="M11" s="1208"/>
    </row>
    <row r="12" spans="3:13" x14ac:dyDescent="0.25">
      <c r="I12" s="1208">
        <f t="shared" si="1"/>
        <v>1</v>
      </c>
      <c r="J12" s="1207">
        <f t="shared" si="0"/>
        <v>1.4999999999999999E-2</v>
      </c>
      <c r="L12" s="1208"/>
      <c r="M12" s="1208"/>
    </row>
    <row r="13" spans="3:13" x14ac:dyDescent="0.25">
      <c r="I13" s="1208">
        <f t="shared" si="1"/>
        <v>1</v>
      </c>
      <c r="J13" s="1207">
        <f t="shared" si="0"/>
        <v>1.4999999999999999E-2</v>
      </c>
      <c r="L13" s="1208"/>
      <c r="M13" s="1208"/>
    </row>
    <row r="14" spans="3:13" x14ac:dyDescent="0.25">
      <c r="I14" s="1208">
        <f t="shared" si="1"/>
        <v>1</v>
      </c>
      <c r="J14" s="1207">
        <f t="shared" si="0"/>
        <v>1.4999999999999999E-2</v>
      </c>
      <c r="L14" s="1208"/>
      <c r="M14" s="1208"/>
    </row>
    <row r="18" spans="2:10" ht="31.5" x14ac:dyDescent="0.25">
      <c r="C18" s="1201" t="s">
        <v>1558</v>
      </c>
      <c r="D18" s="1202" t="s">
        <v>178</v>
      </c>
      <c r="E18" s="1202" t="s">
        <v>179</v>
      </c>
      <c r="F18" s="1202" t="s">
        <v>186</v>
      </c>
      <c r="G18" s="1202" t="s">
        <v>426</v>
      </c>
      <c r="I18" s="1212" t="s">
        <v>1559</v>
      </c>
      <c r="J18" s="1212" t="s">
        <v>1560</v>
      </c>
    </row>
    <row r="19" spans="2:10" ht="28" x14ac:dyDescent="0.25">
      <c r="C19" s="1213" t="s">
        <v>1561</v>
      </c>
      <c r="D19" s="1214">
        <v>0</v>
      </c>
      <c r="E19" s="1214">
        <v>0</v>
      </c>
      <c r="F19" s="1214">
        <v>12162777</v>
      </c>
      <c r="G19" s="1214">
        <v>12235660</v>
      </c>
      <c r="H19" s="1215"/>
      <c r="I19" s="1216">
        <v>5.0000000000000001E-3</v>
      </c>
      <c r="J19" s="1216">
        <v>2.5000000000000001E-3</v>
      </c>
    </row>
    <row r="20" spans="2:10" x14ac:dyDescent="0.25">
      <c r="C20" s="1204" t="s">
        <v>1562</v>
      </c>
      <c r="D20" s="1214">
        <v>2750</v>
      </c>
      <c r="E20" s="1214">
        <v>2000</v>
      </c>
      <c r="F20" s="1214">
        <v>3476255</v>
      </c>
      <c r="G20" s="1214">
        <v>206055</v>
      </c>
      <c r="H20" s="1215"/>
      <c r="I20" s="1217">
        <f>I19+0.5%</f>
        <v>0.01</v>
      </c>
      <c r="J20" s="1216">
        <f>MIN(1%,J19+0.25%)</f>
        <v>5.0000000000000001E-3</v>
      </c>
    </row>
    <row r="21" spans="2:10" x14ac:dyDescent="0.25">
      <c r="C21" s="1204" t="s">
        <v>1563</v>
      </c>
      <c r="D21" s="1207" t="e">
        <f>D20/D19</f>
        <v>#DIV/0!</v>
      </c>
      <c r="E21" s="1210">
        <v>0.01</v>
      </c>
      <c r="F21" s="1210">
        <f>F20/F19</f>
        <v>0.28581096241425785</v>
      </c>
      <c r="G21" s="1210">
        <f>G20/G19</f>
        <v>1.6840530057226175E-2</v>
      </c>
      <c r="H21" s="1218"/>
      <c r="I21" s="1217">
        <f>I20+0.5%</f>
        <v>1.4999999999999999E-2</v>
      </c>
      <c r="J21" s="1216">
        <f>MIN(1%,J20+0.25%)</f>
        <v>7.4999999999999997E-3</v>
      </c>
    </row>
    <row r="22" spans="2:10" ht="28" x14ac:dyDescent="0.25">
      <c r="C22" s="1213" t="s">
        <v>1564</v>
      </c>
      <c r="D22" s="1210"/>
      <c r="E22" s="1210" t="e">
        <f>D21-E21</f>
        <v>#DIV/0!</v>
      </c>
      <c r="F22" s="1210">
        <f>E21-F21</f>
        <v>-0.27581096241425784</v>
      </c>
      <c r="G22" s="1210">
        <f>F21-G21</f>
        <v>0.26897043235703166</v>
      </c>
      <c r="H22" s="1218"/>
      <c r="I22" s="1217">
        <f>I21+0.5%</f>
        <v>0.02</v>
      </c>
      <c r="J22" s="1216">
        <f>MIN(1%,J21+0.25%)</f>
        <v>0.01</v>
      </c>
    </row>
    <row r="23" spans="2:10" x14ac:dyDescent="0.25">
      <c r="B23" s="1196">
        <f>IF(AND(B22&gt;0,B22&lt;5),1,0)</f>
        <v>0</v>
      </c>
      <c r="C23" s="1219" t="s">
        <v>1557</v>
      </c>
      <c r="D23" s="1219"/>
      <c r="E23" s="1211">
        <f>IF(E21&lt;1.5%,1%,(IF(AND(E22&gt;=$I19,E22&lt;$I20),$J19,IF(AND(E22&gt;=$I20,E22&lt;$I21),$J20,IF(AND(E22&gt;=$I21,E22&lt;$I22),$J21,IF(E22&gt;=$I22,$J22,0%))))))</f>
        <v>0.01</v>
      </c>
      <c r="F23" s="1211">
        <f>IF(F21&lt;1.5%,1%,(IF(AND(F22&gt;=$I19,F22&lt;$I20),$J19,IF(AND(F22&gt;=$I20,F22&lt;$I21),$J20,IF(AND(F22&gt;=$I21,F22&lt;$I22),$J21,IF(F22&gt;=$I22,$J22,0%))))))</f>
        <v>0</v>
      </c>
      <c r="G23" s="1211">
        <f>IF(G21&lt;1.5%,1%,(IF(AND(G22&gt;=$I19,G22&lt;$I20),$J19,IF(AND(G22&gt;=$I20,G22&lt;$I21),$J20,IF(AND(G22&gt;=$I21,G22&lt;$I22),$J21,IF(G22&gt;=$I22,$J22,0%))))))</f>
        <v>0.01</v>
      </c>
      <c r="H23" s="1220"/>
      <c r="I23" s="1221"/>
      <c r="J23" s="1222"/>
    </row>
    <row r="24" spans="2:10" x14ac:dyDescent="0.25">
      <c r="C24" s="1204"/>
      <c r="D24" s="1204"/>
      <c r="I24" s="1221"/>
      <c r="J24" s="1222"/>
    </row>
    <row r="25" spans="2:10" ht="31.5" x14ac:dyDescent="0.25">
      <c r="D25" s="1202" t="s">
        <v>178</v>
      </c>
      <c r="E25" s="1202" t="s">
        <v>179</v>
      </c>
      <c r="F25" s="1202" t="s">
        <v>186</v>
      </c>
      <c r="G25" s="1202" t="s">
        <v>426</v>
      </c>
      <c r="H25" s="1223"/>
      <c r="I25" s="1212" t="s">
        <v>1559</v>
      </c>
      <c r="J25" s="1212" t="s">
        <v>1560</v>
      </c>
    </row>
    <row r="26" spans="2:10" ht="28" x14ac:dyDescent="0.25">
      <c r="C26" s="1213" t="s">
        <v>1565</v>
      </c>
      <c r="D26" s="1224">
        <v>0.99</v>
      </c>
      <c r="E26" s="1224">
        <v>0.9799419835193971</v>
      </c>
      <c r="F26" s="1224">
        <v>0.9413401026695899</v>
      </c>
      <c r="G26" s="1224">
        <v>1.0124758118393378</v>
      </c>
      <c r="H26" s="1223"/>
      <c r="I26" s="1216">
        <v>5.0000000000000001E-3</v>
      </c>
      <c r="J26" s="1216">
        <v>2.5000000000000001E-3</v>
      </c>
    </row>
    <row r="27" spans="2:10" ht="28" x14ac:dyDescent="0.25">
      <c r="C27" s="1213" t="s">
        <v>1566</v>
      </c>
      <c r="D27" s="1208"/>
      <c r="E27" s="1210">
        <f>E26-D26</f>
        <v>-1.0058016480602894E-2</v>
      </c>
      <c r="F27" s="1210">
        <f>F26-E26</f>
        <v>-3.8601880849807202E-2</v>
      </c>
      <c r="G27" s="1210">
        <f>G26-F26</f>
        <v>7.1135709169747874E-2</v>
      </c>
      <c r="H27" s="1225"/>
      <c r="I27" s="1216">
        <f>I26+0.5%</f>
        <v>0.01</v>
      </c>
      <c r="J27" s="1216">
        <f>MIN(1%,J26+0.25%)</f>
        <v>5.0000000000000001E-3</v>
      </c>
    </row>
    <row r="28" spans="2:10" x14ac:dyDescent="0.25">
      <c r="I28" s="1216">
        <f>I27+0.5%</f>
        <v>1.4999999999999999E-2</v>
      </c>
      <c r="J28" s="1216">
        <f>MIN(1%,J27+0.25%)</f>
        <v>7.4999999999999997E-3</v>
      </c>
    </row>
    <row r="29" spans="2:10" x14ac:dyDescent="0.25">
      <c r="I29" s="1216">
        <f>I28+0.5%</f>
        <v>0.02</v>
      </c>
      <c r="J29" s="1216">
        <f>MIN(1%,J28+0.25%)</f>
        <v>0.01</v>
      </c>
    </row>
    <row r="30" spans="2:10" x14ac:dyDescent="0.25">
      <c r="C30" s="1219" t="s">
        <v>1557</v>
      </c>
      <c r="D30" s="1226"/>
      <c r="E30" s="1211">
        <f>IF(E26&gt;99%,1%,(IF(AND(E27&gt;=$I26,E27&lt;$I27),$J26,IF(AND(E27&gt;=$I27,E27&lt;$I28),$J27,IF(AND(E27&gt;=$I28,E27&lt;$I29),$J28,IF(E27&gt;=$I29,$J29,0%))))))</f>
        <v>0</v>
      </c>
      <c r="F30" s="1211">
        <f>IF(F26&gt;99%,1%,(IF(AND(F27&gt;=$I26,F27&lt;$I27),$J26,IF(AND(F27&gt;=$I27,F27&lt;$I28),$J27,IF(AND(F27&gt;=$I28,F27&lt;$I29),$J28,IF(F27&gt;=$I29,$J29,0%))))))</f>
        <v>0</v>
      </c>
      <c r="G30" s="1211">
        <f>IF(G26&gt;99%,1%,(IF(AND(G27&gt;=$I26,G27&lt;$I27),$J26,IF(AND(G27&gt;=$I27,G27&lt;$I28),$J27,IF(AND(G27&gt;=$I28,G27&lt;$I29),$J28,IF(G27&gt;=$I29,$J29,0%))))))</f>
        <v>0.01</v>
      </c>
    </row>
  </sheetData>
  <dataValidations count="1">
    <dataValidation type="list" allowBlank="1" showInputMessage="1" showErrorMessage="1" sqref="D2">
      <formula1>"MSEDCL, BEST"</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4"/>
  <sheetViews>
    <sheetView workbookViewId="0">
      <selection activeCell="I12" sqref="I12"/>
    </sheetView>
  </sheetViews>
  <sheetFormatPr defaultRowHeight="12.5" x14ac:dyDescent="0.25"/>
  <cols>
    <col min="2" max="2" width="16.1796875" bestFit="1" customWidth="1"/>
    <col min="7" max="7" width="16" bestFit="1" customWidth="1"/>
  </cols>
  <sheetData>
    <row r="1" spans="2:9" x14ac:dyDescent="0.25">
      <c r="G1" s="1397" t="s">
        <v>1613</v>
      </c>
      <c r="H1" s="410"/>
      <c r="I1" s="410"/>
    </row>
    <row r="2" spans="2:9" x14ac:dyDescent="0.25">
      <c r="B2" s="1241" t="s">
        <v>1609</v>
      </c>
      <c r="C2" s="1401">
        <v>0.02</v>
      </c>
      <c r="G2" s="410"/>
      <c r="H2" s="1397" t="s">
        <v>1610</v>
      </c>
      <c r="I2" s="1397" t="s">
        <v>1611</v>
      </c>
    </row>
    <row r="3" spans="2:9" x14ac:dyDescent="0.25">
      <c r="B3" s="1241" t="s">
        <v>1617</v>
      </c>
      <c r="C3" s="1396">
        <v>0.03</v>
      </c>
      <c r="G3" s="1397" t="s">
        <v>1612</v>
      </c>
      <c r="H3" s="1398">
        <v>0.65</v>
      </c>
      <c r="I3" s="1398">
        <v>0.35</v>
      </c>
    </row>
    <row r="4" spans="2:9" x14ac:dyDescent="0.25">
      <c r="G4" s="1397" t="s">
        <v>1614</v>
      </c>
      <c r="H4" s="410"/>
      <c r="I4" s="410"/>
    </row>
    <row r="5" spans="2:9" x14ac:dyDescent="0.25">
      <c r="G5" s="1397" t="s">
        <v>1615</v>
      </c>
      <c r="H5" s="410"/>
      <c r="I5" s="410"/>
    </row>
    <row r="6" spans="2:9" x14ac:dyDescent="0.25">
      <c r="G6" s="410"/>
      <c r="H6" s="410"/>
      <c r="I6" s="410"/>
    </row>
    <row r="7" spans="2:9" x14ac:dyDescent="0.25">
      <c r="G7" s="410"/>
      <c r="H7" s="410"/>
      <c r="I7" s="410"/>
    </row>
    <row r="8" spans="2:9" x14ac:dyDescent="0.25">
      <c r="G8" s="410"/>
      <c r="H8" s="410"/>
      <c r="I8" s="410"/>
    </row>
    <row r="9" spans="2:9" x14ac:dyDescent="0.25">
      <c r="G9" s="410"/>
      <c r="H9" s="410"/>
      <c r="I9" s="410"/>
    </row>
    <row r="10" spans="2:9" x14ac:dyDescent="0.25">
      <c r="G10" s="410"/>
      <c r="H10" s="410"/>
      <c r="I10" s="410"/>
    </row>
    <row r="11" spans="2:9" x14ac:dyDescent="0.25">
      <c r="G11" s="410"/>
      <c r="H11" s="410"/>
      <c r="I11" s="410"/>
    </row>
    <row r="12" spans="2:9" x14ac:dyDescent="0.25">
      <c r="G12" s="1397" t="s">
        <v>1616</v>
      </c>
      <c r="H12" s="1398">
        <v>0.9</v>
      </c>
      <c r="I12" s="1399">
        <v>0.1</v>
      </c>
    </row>
    <row r="13" spans="2:9" x14ac:dyDescent="0.25">
      <c r="G13" s="410"/>
      <c r="H13" s="410"/>
      <c r="I13" s="410"/>
    </row>
    <row r="14" spans="2:9" x14ac:dyDescent="0.25">
      <c r="G14" s="410"/>
      <c r="H14" s="410"/>
      <c r="I14" s="4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1"/>
  <sheetViews>
    <sheetView showGridLines="0" zoomScale="69" workbookViewId="0">
      <pane xSplit="3" ySplit="3" topLeftCell="H14" activePane="bottomRight" state="frozen"/>
      <selection pane="topRight" activeCell="D1" sqref="D1"/>
      <selection pane="bottomLeft" activeCell="A4" sqref="A4"/>
      <selection pane="bottomRight" activeCell="D25" sqref="D25:H25"/>
    </sheetView>
  </sheetViews>
  <sheetFormatPr defaultRowHeight="14.5" x14ac:dyDescent="0.25"/>
  <cols>
    <col min="1" max="1" width="3.7265625" style="1484" customWidth="1"/>
    <col min="2" max="2" width="58" style="1484" bestFit="1" customWidth="1"/>
    <col min="3" max="3" width="10.81640625" style="1484" customWidth="1"/>
    <col min="4" max="9" width="10.1796875" style="1484" customWidth="1"/>
    <col min="10" max="10" width="8.7265625" style="1484"/>
    <col min="11" max="11" width="8.81640625" style="1484" bestFit="1" customWidth="1"/>
    <col min="12" max="14" width="9.54296875" style="1484" bestFit="1" customWidth="1"/>
    <col min="15" max="16" width="10.26953125" style="1484" bestFit="1" customWidth="1"/>
    <col min="17" max="17" width="8.7265625" style="1484"/>
    <col min="18" max="18" width="9.36328125" style="1484" customWidth="1"/>
    <col min="19" max="23" width="9.36328125" style="1484" bestFit="1" customWidth="1"/>
    <col min="24" max="24" width="9.08984375" style="1484" bestFit="1" customWidth="1"/>
    <col min="25" max="16384" width="8.7265625" style="1484"/>
  </cols>
  <sheetData>
    <row r="1" spans="2:27" x14ac:dyDescent="0.25">
      <c r="B1" s="2158" t="s">
        <v>2010</v>
      </c>
      <c r="C1" s="2158"/>
      <c r="D1" s="2158"/>
      <c r="E1" s="2158"/>
      <c r="F1" s="2158"/>
      <c r="G1" s="2158"/>
      <c r="H1" s="2158"/>
      <c r="I1" s="2158"/>
      <c r="J1" s="2158"/>
      <c r="K1" s="2158"/>
      <c r="L1" s="2158"/>
      <c r="M1" s="2158"/>
      <c r="N1" s="2158"/>
      <c r="O1" s="2158"/>
      <c r="P1" s="2158"/>
      <c r="Q1" s="2158"/>
      <c r="R1" s="2158"/>
      <c r="S1" s="2158"/>
      <c r="T1" s="2158"/>
      <c r="U1" s="2158"/>
      <c r="V1" s="2158"/>
      <c r="W1" s="2158"/>
    </row>
    <row r="2" spans="2:27" x14ac:dyDescent="0.25">
      <c r="D2" s="2170" t="s">
        <v>1956</v>
      </c>
      <c r="E2" s="2170"/>
      <c r="F2" s="2170"/>
      <c r="G2" s="2170"/>
      <c r="H2" s="2170"/>
      <c r="I2" s="2170"/>
      <c r="K2" s="2170" t="s">
        <v>1965</v>
      </c>
      <c r="L2" s="2170"/>
      <c r="M2" s="2170"/>
      <c r="N2" s="2170"/>
      <c r="O2" s="2170"/>
      <c r="P2" s="2170"/>
      <c r="R2" s="2170" t="s">
        <v>1558</v>
      </c>
      <c r="S2" s="2170"/>
      <c r="T2" s="2170"/>
      <c r="U2" s="2170"/>
      <c r="V2" s="2170"/>
      <c r="W2" s="2170"/>
    </row>
    <row r="3" spans="2:27" x14ac:dyDescent="0.25">
      <c r="B3" s="2166" t="s">
        <v>1648</v>
      </c>
      <c r="C3" s="2166"/>
      <c r="D3" s="1483" t="s">
        <v>1649</v>
      </c>
      <c r="E3" s="1483" t="s">
        <v>1650</v>
      </c>
      <c r="F3" s="1483" t="s">
        <v>1651</v>
      </c>
      <c r="G3" s="1483" t="s">
        <v>1652</v>
      </c>
      <c r="H3" s="1483" t="s">
        <v>1653</v>
      </c>
      <c r="I3" s="1900" t="s">
        <v>1958</v>
      </c>
      <c r="K3" s="1483" t="s">
        <v>1649</v>
      </c>
      <c r="L3" s="1483" t="s">
        <v>1650</v>
      </c>
      <c r="M3" s="1483" t="s">
        <v>1651</v>
      </c>
      <c r="N3" s="1483" t="s">
        <v>1652</v>
      </c>
      <c r="O3" s="1483" t="s">
        <v>1653</v>
      </c>
      <c r="P3" s="1900" t="s">
        <v>1958</v>
      </c>
      <c r="R3" s="1483" t="s">
        <v>1649</v>
      </c>
      <c r="S3" s="1483" t="s">
        <v>1650</v>
      </c>
      <c r="T3" s="1483" t="s">
        <v>1651</v>
      </c>
      <c r="U3" s="1483" t="s">
        <v>1652</v>
      </c>
      <c r="V3" s="1483" t="s">
        <v>1653</v>
      </c>
      <c r="W3" s="1900" t="s">
        <v>1958</v>
      </c>
    </row>
    <row r="4" spans="2:27" x14ac:dyDescent="0.25">
      <c r="B4" s="1899" t="s">
        <v>1957</v>
      </c>
      <c r="C4" s="1899"/>
      <c r="D4" s="1911">
        <f>K4+R4</f>
        <v>3334.6552581776555</v>
      </c>
      <c r="E4" s="1911">
        <f t="shared" ref="E4:I4" ca="1" si="0">L4+S4</f>
        <v>2491.5090432945394</v>
      </c>
      <c r="F4" s="1911">
        <f t="shared" si="0"/>
        <v>3763.6200640834572</v>
      </c>
      <c r="G4" s="1911">
        <f t="shared" ca="1" si="0"/>
        <v>4864.3886912623602</v>
      </c>
      <c r="H4" s="1911">
        <f t="shared" ca="1" si="0"/>
        <v>4314.5200857076325</v>
      </c>
      <c r="I4" s="1911">
        <f t="shared" ca="1" si="0"/>
        <v>3669.7569544991893</v>
      </c>
      <c r="K4" s="1901">
        <f>'ARR-Summary'!F30</f>
        <v>633.59704776431033</v>
      </c>
      <c r="L4" s="1901">
        <f ca="1">'ARR-Summary'!$I$30</f>
        <v>638.6788369172923</v>
      </c>
      <c r="M4" s="1901">
        <f>'ARR-Summary'!$L$30</f>
        <v>666.60254989137775</v>
      </c>
      <c r="N4" s="1901">
        <f ca="1">'ARR-Summary'!$Q$30</f>
        <v>660.328208760861</v>
      </c>
      <c r="O4" s="1901">
        <f ca="1">'ARR-Summary'!$T$30</f>
        <v>725.63379652876529</v>
      </c>
      <c r="P4" s="1901">
        <f ca="1">'ARR-Summary'!$V$30</f>
        <v>824.9698136370763</v>
      </c>
      <c r="R4" s="1901">
        <f>'ARR-Summary'!$F$63</f>
        <v>2701.058210413345</v>
      </c>
      <c r="S4" s="1901">
        <f>'ARR-Summary'!$I$63</f>
        <v>1852.8302063772471</v>
      </c>
      <c r="T4" s="1901">
        <f>'ARR-Summary'!$L$63</f>
        <v>3097.0175141920795</v>
      </c>
      <c r="U4" s="1901">
        <f ca="1">'ARR-Summary'!$Q$63</f>
        <v>4204.0604825014989</v>
      </c>
      <c r="V4" s="1901">
        <f ca="1">'ARR-Summary'!$T$63</f>
        <v>3588.8862891788667</v>
      </c>
      <c r="W4" s="1901">
        <f ca="1">'ARR-Summary'!$V$63</f>
        <v>2844.7871408621131</v>
      </c>
      <c r="Z4" s="1915"/>
      <c r="AA4" s="1915"/>
    </row>
    <row r="5" spans="2:27" x14ac:dyDescent="0.25">
      <c r="B5" s="1913" t="s">
        <v>1644</v>
      </c>
      <c r="C5" s="1899"/>
      <c r="D5" s="1911">
        <f>K5+R5</f>
        <v>0</v>
      </c>
      <c r="E5" s="1911">
        <f t="shared" ref="E5" si="1">L5+S5</f>
        <v>0</v>
      </c>
      <c r="F5" s="1911">
        <f t="shared" ref="F5" si="2">M5+T5</f>
        <v>-340.93</v>
      </c>
      <c r="G5" s="1911">
        <f t="shared" ref="G5" si="3">N5+U5</f>
        <v>-206.65000000000003</v>
      </c>
      <c r="H5" s="1911">
        <f t="shared" ref="H5:I5" si="4">O5+V5</f>
        <v>-172.7</v>
      </c>
      <c r="I5" s="1911">
        <f t="shared" si="4"/>
        <v>-103.35</v>
      </c>
      <c r="K5" s="1901"/>
      <c r="L5" s="1901"/>
      <c r="M5" s="1901">
        <f>'ARR-Summary'!L95*'Tariff recovery-Wire and Retail'!D5/('Tariff recovery-Wire and Retail'!D5+'Tariff recovery-Wire and Retail'!D19)</f>
        <v>-13.31460907323396</v>
      </c>
      <c r="N5" s="1901">
        <f>'ARR-Summary'!$Q$95*M5/(M5+T5)</f>
        <v>-8.0704659753726506</v>
      </c>
      <c r="O5" s="1901">
        <f>'ARR-Summary'!$T$95*M5/(M5+T5)</f>
        <v>-6.7445897602073872</v>
      </c>
      <c r="P5" s="1901">
        <f>'ARR-Summary'!$V$95*M5/(M5+T5)</f>
        <v>-4.0362093324692152</v>
      </c>
      <c r="R5" s="1901"/>
      <c r="S5" s="1901"/>
      <c r="T5" s="1901">
        <f>'ARR-Summary'!L95*'Tariff recovery-Wire and Retail'!D19/('Tariff recovery-Wire and Retail'!D5+'Tariff recovery-Wire and Retail'!D19)</f>
        <v>-327.61539092676605</v>
      </c>
      <c r="U5" s="1901">
        <f>'ARR-Summary'!$Q$95*T5/(M5+T5)</f>
        <v>-198.57953402462738</v>
      </c>
      <c r="V5" s="1901">
        <f>'ARR-Summary'!$T$95*T5/(M5+T5)</f>
        <v>-165.9554102397926</v>
      </c>
      <c r="W5" s="1901">
        <f>'ARR-Summary'!$V$95*T5/(M5+T5)</f>
        <v>-99.313790667530782</v>
      </c>
    </row>
    <row r="6" spans="2:27" x14ac:dyDescent="0.25">
      <c r="B6" s="1913" t="s">
        <v>1960</v>
      </c>
      <c r="C6" s="1899"/>
      <c r="D6" s="1911">
        <f>K6+R6</f>
        <v>0</v>
      </c>
      <c r="E6" s="1911">
        <f t="shared" ref="E6" si="5">L6+S6</f>
        <v>0</v>
      </c>
      <c r="F6" s="1911">
        <f t="shared" ref="F6" si="6">M6+T6</f>
        <v>0</v>
      </c>
      <c r="G6" s="1911">
        <f t="shared" ref="G6" si="7">N6+U6</f>
        <v>0</v>
      </c>
      <c r="H6" s="1911">
        <f t="shared" ref="H6" ca="1" si="8">O6+V6</f>
        <v>933.9079319834791</v>
      </c>
      <c r="I6" s="1911">
        <f t="shared" ref="I6" ca="1" si="9">P6+W6</f>
        <v>851.36945264574683</v>
      </c>
      <c r="K6" s="1901"/>
      <c r="L6" s="1901"/>
      <c r="M6" s="1901"/>
      <c r="N6" s="1901"/>
      <c r="O6" s="1901">
        <f ca="1">K15</f>
        <v>454.45164036774452</v>
      </c>
      <c r="P6" s="1901">
        <f ca="1">O8</f>
        <v>227.42053876722824</v>
      </c>
      <c r="R6" s="1901"/>
      <c r="S6" s="1901"/>
      <c r="T6" s="1901"/>
      <c r="U6" s="1901"/>
      <c r="V6" s="1901">
        <f ca="1">R15</f>
        <v>479.45629161573464</v>
      </c>
      <c r="W6" s="1901">
        <f ca="1">V8</f>
        <v>623.94891387851862</v>
      </c>
    </row>
    <row r="7" spans="2:27" s="1914" customFormat="1" x14ac:dyDescent="0.25">
      <c r="B7" s="1913" t="s">
        <v>170</v>
      </c>
      <c r="C7" s="1913"/>
      <c r="D7" s="1911">
        <f>K7+R7</f>
        <v>3466.6764150945291</v>
      </c>
      <c r="E7" s="1911">
        <f t="shared" ref="E7" si="10">L7+S7</f>
        <v>2792.7449866595002</v>
      </c>
      <c r="F7" s="1911">
        <f t="shared" ref="F7" si="11">M7+T7</f>
        <v>2995.1919813043796</v>
      </c>
      <c r="G7" s="1911">
        <f t="shared" ref="G7" ca="1" si="12">N7+U7</f>
        <v>3667.9842475554724</v>
      </c>
      <c r="H7" s="1911">
        <f t="shared" ref="H7:I7" ca="1" si="13">O7+V7</f>
        <v>4224.3585650453642</v>
      </c>
      <c r="I7" s="1911">
        <f t="shared" ca="1" si="13"/>
        <v>4417.5127063852469</v>
      </c>
      <c r="K7" s="1912">
        <f>'F20'!$E$30</f>
        <v>610.67737147740024</v>
      </c>
      <c r="L7" s="1912">
        <f>'F20'!$E$136</f>
        <v>461.49592995099999</v>
      </c>
      <c r="M7" s="1912">
        <f>'F20'!$E$244</f>
        <v>529.34640171800004</v>
      </c>
      <c r="N7" s="1912">
        <f>F13.1!O98</f>
        <v>601.21189057547508</v>
      </c>
      <c r="O7" s="1912">
        <f ca="1">F14.1!O52</f>
        <v>945.92030836907418</v>
      </c>
      <c r="P7" s="1912">
        <f ca="1">F14.2!$O$52</f>
        <v>1048.6037929065383</v>
      </c>
      <c r="R7" s="1912">
        <f>'F20'!$E$65</f>
        <v>2855.9990436171288</v>
      </c>
      <c r="S7" s="1912">
        <f>'F20'!$E$174</f>
        <v>2331.2490567085001</v>
      </c>
      <c r="T7" s="1912">
        <f>'F20'!$E$281</f>
        <v>2465.8455795863797</v>
      </c>
      <c r="U7" s="1912">
        <f ca="1">F13.1!$T$98-N7</f>
        <v>3066.7723569799973</v>
      </c>
      <c r="V7" s="1912">
        <f ca="1">F14.1!$S$52-O7</f>
        <v>3278.4382566762902</v>
      </c>
      <c r="W7" s="1912">
        <f ca="1">F14.2!$S$52-P7</f>
        <v>3368.9089134787087</v>
      </c>
    </row>
    <row r="8" spans="2:27" x14ac:dyDescent="0.25">
      <c r="B8" s="1899" t="s">
        <v>1959</v>
      </c>
      <c r="C8" s="1899"/>
      <c r="D8" s="1911">
        <f t="shared" ref="D8:I8" si="14">D4-D7+D5+D6</f>
        <v>-132.02115691687368</v>
      </c>
      <c r="E8" s="1911">
        <f t="shared" ca="1" si="14"/>
        <v>-301.2359433649608</v>
      </c>
      <c r="F8" s="1911">
        <f t="shared" si="14"/>
        <v>427.49808277907761</v>
      </c>
      <c r="G8" s="1911">
        <f t="shared" ca="1" si="14"/>
        <v>989.75444370688774</v>
      </c>
      <c r="H8" s="1911">
        <f t="shared" ca="1" si="14"/>
        <v>851.36945264574729</v>
      </c>
      <c r="I8" s="1911">
        <f t="shared" ca="1" si="14"/>
        <v>0.26370075968918627</v>
      </c>
      <c r="J8" s="1915">
        <f>F8-F20</f>
        <v>0</v>
      </c>
      <c r="K8" s="1911">
        <f t="shared" ref="K8:P8" si="15">K4-K7+K5+K6</f>
        <v>22.919676286910089</v>
      </c>
      <c r="L8" s="1911">
        <f t="shared" ca="1" si="15"/>
        <v>177.18290696629231</v>
      </c>
      <c r="M8" s="1911">
        <f t="shared" si="15"/>
        <v>123.94153910014376</v>
      </c>
      <c r="N8" s="1911">
        <f t="shared" ca="1" si="15"/>
        <v>51.045852210013273</v>
      </c>
      <c r="O8" s="1911">
        <f t="shared" ca="1" si="15"/>
        <v>227.42053876722824</v>
      </c>
      <c r="P8" s="1911">
        <f t="shared" ca="1" si="15"/>
        <v>-0.2496498347029501</v>
      </c>
      <c r="Q8" s="1943"/>
      <c r="R8" s="1911">
        <f>R4-R7+R5</f>
        <v>-154.94083320378377</v>
      </c>
      <c r="S8" s="1911">
        <f t="shared" ref="S8" si="16">S4-S7+S5</f>
        <v>-478.418850331253</v>
      </c>
      <c r="T8" s="1911">
        <f t="shared" ref="T8" si="17">T4-T7+T5</f>
        <v>303.55654367893374</v>
      </c>
      <c r="U8" s="1911">
        <f t="shared" ref="U8" ca="1" si="18">U4-U7+U5</f>
        <v>938.70859149687419</v>
      </c>
      <c r="V8" s="1911">
        <f ca="1">V4-V7+V5+V6</f>
        <v>623.94891387851862</v>
      </c>
      <c r="W8" s="1911">
        <f ca="1">W4-W7+W5+W6</f>
        <v>0.51335059439225006</v>
      </c>
    </row>
    <row r="9" spans="2:27" x14ac:dyDescent="0.25">
      <c r="B9" s="1899"/>
      <c r="C9" s="1899"/>
      <c r="D9" s="1900"/>
      <c r="E9" s="1900"/>
      <c r="F9" s="1900"/>
      <c r="G9" s="1900"/>
      <c r="H9" s="1900"/>
      <c r="I9" s="1902"/>
      <c r="K9" s="1900"/>
      <c r="L9" s="1900"/>
      <c r="M9" s="1900"/>
      <c r="N9" s="1900"/>
      <c r="O9" s="1900"/>
      <c r="P9" s="1900"/>
      <c r="R9" s="1900"/>
      <c r="S9" s="1900"/>
      <c r="T9" s="1900"/>
      <c r="U9" s="1900"/>
      <c r="V9" s="1900"/>
      <c r="W9" s="1900"/>
    </row>
    <row r="10" spans="2:27" x14ac:dyDescent="0.25">
      <c r="B10" s="1485" t="s">
        <v>1654</v>
      </c>
      <c r="C10" s="1486" t="s">
        <v>83</v>
      </c>
      <c r="D10" s="1491">
        <v>0</v>
      </c>
      <c r="E10" s="1492">
        <f>D14</f>
        <v>-132.02115691687368</v>
      </c>
      <c r="F10" s="1492">
        <f ca="1">E14</f>
        <v>-433.25710028183357</v>
      </c>
      <c r="G10" s="1492">
        <f ca="1">F14</f>
        <v>-5.7590175027557962</v>
      </c>
      <c r="H10" s="1492">
        <f ca="1">G14</f>
        <v>-5.7590175027557962</v>
      </c>
      <c r="I10" s="1492">
        <f ca="1">H14</f>
        <v>-5.7590175027557962</v>
      </c>
      <c r="K10" s="1491">
        <v>0</v>
      </c>
      <c r="L10" s="1492">
        <f>K14</f>
        <v>22.919676286910089</v>
      </c>
      <c r="M10" s="1492">
        <f ca="1">L14</f>
        <v>200.1025832532024</v>
      </c>
      <c r="N10" s="1492">
        <f ca="1">M14</f>
        <v>324.04412235334615</v>
      </c>
      <c r="O10" s="1492">
        <f ca="1">N14</f>
        <v>375.08997456335942</v>
      </c>
      <c r="P10" s="1492"/>
      <c r="R10" s="1491">
        <v>0</v>
      </c>
      <c r="S10" s="1492">
        <f>R14</f>
        <v>-154.94083320378377</v>
      </c>
      <c r="T10" s="1492">
        <f>S14</f>
        <v>-633.35968353503677</v>
      </c>
      <c r="U10" s="1492">
        <f>T14</f>
        <v>-329.80313985610303</v>
      </c>
      <c r="V10" s="1492">
        <f ca="1">U14</f>
        <v>608.90545164077116</v>
      </c>
      <c r="W10" s="1492"/>
      <c r="X10" s="1915"/>
      <c r="Y10" s="1915"/>
      <c r="Z10" s="1915"/>
      <c r="AA10" s="1915"/>
    </row>
    <row r="11" spans="2:27" x14ac:dyDescent="0.25">
      <c r="B11" s="1487" t="s">
        <v>1655</v>
      </c>
      <c r="C11" s="1486" t="s">
        <v>89</v>
      </c>
      <c r="D11" s="1501">
        <f>'ARR-Summary'!F101</f>
        <v>-132.02115691687368</v>
      </c>
      <c r="E11" s="1501">
        <f ca="1">'ARR-Summary'!I101</f>
        <v>-301.23594336495989</v>
      </c>
      <c r="F11" s="1501">
        <f>'ARR-Summary'!L101</f>
        <v>427.49808277907778</v>
      </c>
      <c r="G11" s="1501">
        <v>0</v>
      </c>
      <c r="H11" s="1501">
        <v>0</v>
      </c>
      <c r="I11" s="1903"/>
      <c r="K11" s="1501">
        <f>K8</f>
        <v>22.919676286910089</v>
      </c>
      <c r="L11" s="1501">
        <f ca="1">L8</f>
        <v>177.18290696629231</v>
      </c>
      <c r="M11" s="1501">
        <f>M8</f>
        <v>123.94153910014376</v>
      </c>
      <c r="N11" s="1927">
        <f ca="1">N8</f>
        <v>51.045852210013273</v>
      </c>
      <c r="O11" s="1501">
        <v>0</v>
      </c>
      <c r="P11" s="1501"/>
      <c r="R11" s="1501">
        <f>R8</f>
        <v>-154.94083320378377</v>
      </c>
      <c r="S11" s="1501">
        <f>S8</f>
        <v>-478.418850331253</v>
      </c>
      <c r="T11" s="1501">
        <f>T8</f>
        <v>303.55654367893374</v>
      </c>
      <c r="U11" s="1501">
        <f ca="1">U8</f>
        <v>938.70859149687419</v>
      </c>
      <c r="V11" s="1501">
        <v>0</v>
      </c>
      <c r="W11" s="1501"/>
      <c r="Y11" s="1944"/>
      <c r="Z11" s="1924"/>
      <c r="AA11" s="1924"/>
    </row>
    <row r="12" spans="2:27" x14ac:dyDescent="0.25">
      <c r="B12" s="1500" t="s">
        <v>1688</v>
      </c>
      <c r="C12" s="1486" t="s">
        <v>90</v>
      </c>
      <c r="D12" s="1502">
        <v>0</v>
      </c>
      <c r="E12" s="1502"/>
      <c r="F12" s="1502"/>
      <c r="G12" s="1502"/>
      <c r="H12" s="1502"/>
      <c r="I12" s="1904"/>
      <c r="K12" s="1502">
        <v>0</v>
      </c>
      <c r="L12" s="1502"/>
      <c r="M12" s="1502"/>
      <c r="N12" s="1502"/>
      <c r="O12" s="1502"/>
      <c r="P12" s="1502"/>
      <c r="R12" s="1502">
        <v>0</v>
      </c>
      <c r="S12" s="1502"/>
      <c r="T12" s="1502"/>
      <c r="U12" s="1502"/>
      <c r="V12" s="1502"/>
      <c r="W12" s="1502"/>
    </row>
    <row r="13" spans="2:27" x14ac:dyDescent="0.25">
      <c r="B13" s="1487" t="s">
        <v>1656</v>
      </c>
      <c r="C13" s="1486" t="s">
        <v>1657</v>
      </c>
      <c r="D13" s="2167">
        <f ca="1">D25</f>
        <v>-50.087494220651159</v>
      </c>
      <c r="E13" s="2168"/>
      <c r="F13" s="2168"/>
      <c r="G13" s="2168"/>
      <c r="H13" s="2169"/>
      <c r="I13" s="1905"/>
      <c r="K13" s="2160">
        <f ca="1">K25</f>
        <v>79.361665804385083</v>
      </c>
      <c r="L13" s="2161"/>
      <c r="M13" s="2161"/>
      <c r="N13" s="2161"/>
      <c r="O13" s="2162"/>
      <c r="P13" s="1928"/>
      <c r="R13" s="2167">
        <f>R25</f>
        <v>-129.44916002503652</v>
      </c>
      <c r="S13" s="2168"/>
      <c r="T13" s="2168"/>
      <c r="U13" s="2168"/>
      <c r="V13" s="2169"/>
    </row>
    <row r="14" spans="2:27" ht="29" x14ac:dyDescent="0.25">
      <c r="B14" s="1485" t="s">
        <v>1658</v>
      </c>
      <c r="C14" s="1488" t="s">
        <v>1669</v>
      </c>
      <c r="D14" s="1502">
        <f>D10+D11-D12</f>
        <v>-132.02115691687368</v>
      </c>
      <c r="E14" s="1502">
        <f ca="1">E10+E11-E12+E13</f>
        <v>-433.25710028183357</v>
      </c>
      <c r="F14" s="1502">
        <f ca="1">F10+F11-F12+F13</f>
        <v>-5.7590175027557962</v>
      </c>
      <c r="G14" s="1502">
        <f ca="1">G10+G11-G12+G13</f>
        <v>-5.7590175027557962</v>
      </c>
      <c r="H14" s="1502">
        <f ca="1">H10+H11-H12</f>
        <v>-5.7590175027557962</v>
      </c>
      <c r="I14" s="1904"/>
      <c r="K14" s="1502">
        <f>K10+K11-K12</f>
        <v>22.919676286910089</v>
      </c>
      <c r="L14" s="1502">
        <f ca="1">L10+L11-L12+L13</f>
        <v>200.1025832532024</v>
      </c>
      <c r="M14" s="1502">
        <f ca="1">M10+M11-M12+M13</f>
        <v>324.04412235334615</v>
      </c>
      <c r="N14" s="1502">
        <f ca="1">N10+N11-N12+N13</f>
        <v>375.08997456335942</v>
      </c>
      <c r="O14" s="1502">
        <f ca="1">O10+O11-O12</f>
        <v>375.08997456335942</v>
      </c>
      <c r="P14" s="1502"/>
      <c r="R14" s="1502">
        <f>R10+R11-R12</f>
        <v>-154.94083320378377</v>
      </c>
      <c r="S14" s="1502">
        <f>S10+S11-S12+S13</f>
        <v>-633.35968353503677</v>
      </c>
      <c r="T14" s="1502">
        <f>T10+T11-T12+T13</f>
        <v>-329.80313985610303</v>
      </c>
      <c r="U14" s="1502">
        <f ca="1">U10+U11-U12+U13</f>
        <v>608.90545164077116</v>
      </c>
      <c r="V14" s="1502">
        <f ca="1">V10+V11-V12</f>
        <v>608.90545164077116</v>
      </c>
      <c r="W14" s="1502"/>
    </row>
    <row r="15" spans="2:27" x14ac:dyDescent="0.25">
      <c r="B15" s="1489" t="s">
        <v>1659</v>
      </c>
      <c r="C15" s="1483" t="s">
        <v>1660</v>
      </c>
      <c r="D15" s="2163">
        <f ca="1">D13+H14</f>
        <v>-55.846511723406955</v>
      </c>
      <c r="E15" s="2164"/>
      <c r="F15" s="2164"/>
      <c r="G15" s="2164"/>
      <c r="H15" s="2165"/>
      <c r="I15" s="1906"/>
      <c r="K15" s="2163">
        <f ca="1">K13+O14</f>
        <v>454.45164036774452</v>
      </c>
      <c r="L15" s="2164"/>
      <c r="M15" s="2164"/>
      <c r="N15" s="2164"/>
      <c r="O15" s="2165"/>
      <c r="P15" s="1929"/>
      <c r="R15" s="2163">
        <f ca="1">R13+V14</f>
        <v>479.45629161573464</v>
      </c>
      <c r="S15" s="2164"/>
      <c r="T15" s="2164"/>
      <c r="U15" s="2164"/>
      <c r="V15" s="2165"/>
    </row>
    <row r="16" spans="2:27" x14ac:dyDescent="0.25">
      <c r="C16" s="1490"/>
      <c r="D16" s="1503"/>
      <c r="E16" s="1503"/>
      <c r="F16" s="1503"/>
      <c r="G16" s="1503"/>
      <c r="H16" s="1503"/>
      <c r="I16" s="1503"/>
      <c r="K16" s="1503"/>
      <c r="L16" s="1503"/>
      <c r="M16" s="1503"/>
      <c r="N16" s="1503"/>
      <c r="O16" s="1503"/>
      <c r="P16" s="1503"/>
      <c r="R16" s="1503"/>
      <c r="S16" s="1503"/>
      <c r="T16" s="1503"/>
      <c r="U16" s="1503"/>
      <c r="V16" s="1503"/>
      <c r="W16" s="1503"/>
    </row>
    <row r="17" spans="2:23" x14ac:dyDescent="0.25">
      <c r="B17" s="2166" t="s">
        <v>1661</v>
      </c>
      <c r="C17" s="2166"/>
      <c r="D17" s="1504" t="s">
        <v>1649</v>
      </c>
      <c r="E17" s="1504" t="s">
        <v>1650</v>
      </c>
      <c r="F17" s="1504" t="s">
        <v>1651</v>
      </c>
      <c r="G17" s="1504" t="s">
        <v>1652</v>
      </c>
      <c r="H17" s="1504" t="s">
        <v>1653</v>
      </c>
      <c r="I17" s="1907"/>
      <c r="K17" s="1504" t="s">
        <v>1649</v>
      </c>
      <c r="L17" s="1504" t="s">
        <v>1650</v>
      </c>
      <c r="M17" s="1504" t="s">
        <v>1651</v>
      </c>
      <c r="N17" s="1504" t="s">
        <v>1652</v>
      </c>
      <c r="O17" s="1504" t="s">
        <v>1653</v>
      </c>
      <c r="P17" s="1504"/>
      <c r="R17" s="1504" t="s">
        <v>1649</v>
      </c>
      <c r="S17" s="1504" t="s">
        <v>1650</v>
      </c>
      <c r="T17" s="1504" t="s">
        <v>1651</v>
      </c>
      <c r="U17" s="1504" t="s">
        <v>1652</v>
      </c>
      <c r="V17" s="1504" t="s">
        <v>1653</v>
      </c>
      <c r="W17" s="1504"/>
    </row>
    <row r="18" spans="2:23" x14ac:dyDescent="0.25">
      <c r="B18" s="1487" t="s">
        <v>1662</v>
      </c>
      <c r="C18" s="1486" t="s">
        <v>83</v>
      </c>
      <c r="D18" s="1505">
        <f>NoWcRates!H14</f>
        <v>9.6572404371584694E-2</v>
      </c>
      <c r="E18" s="1505">
        <f>NoWcRates!H25</f>
        <v>8.572602739726029E-2</v>
      </c>
      <c r="F18" s="1505">
        <f>NoWcRates!H29</f>
        <v>8.5000000000000006E-2</v>
      </c>
      <c r="G18" s="1505">
        <f>NoWcRates!H30</f>
        <v>9.5500000000000002E-2</v>
      </c>
      <c r="H18" s="1505">
        <f>G18</f>
        <v>9.5500000000000002E-2</v>
      </c>
      <c r="I18" s="1908"/>
      <c r="K18" s="1505">
        <f>D18</f>
        <v>9.6572404371584694E-2</v>
      </c>
      <c r="L18" s="1505">
        <f t="shared" ref="L18:O18" si="19">E18</f>
        <v>8.572602739726029E-2</v>
      </c>
      <c r="M18" s="1505">
        <f t="shared" si="19"/>
        <v>8.5000000000000006E-2</v>
      </c>
      <c r="N18" s="1505">
        <f t="shared" si="19"/>
        <v>9.5500000000000002E-2</v>
      </c>
      <c r="O18" s="1505">
        <f t="shared" si="19"/>
        <v>9.5500000000000002E-2</v>
      </c>
      <c r="P18" s="1505"/>
      <c r="R18" s="1505">
        <f>D18</f>
        <v>9.6572404371584694E-2</v>
      </c>
      <c r="S18" s="1505">
        <f t="shared" ref="S18:V18" si="20">E18</f>
        <v>8.572602739726029E-2</v>
      </c>
      <c r="T18" s="1505">
        <f t="shared" si="20"/>
        <v>8.5000000000000006E-2</v>
      </c>
      <c r="U18" s="1505">
        <f t="shared" si="20"/>
        <v>9.5500000000000002E-2</v>
      </c>
      <c r="V18" s="1505">
        <f t="shared" si="20"/>
        <v>9.5500000000000002E-2</v>
      </c>
      <c r="W18" s="1505"/>
    </row>
    <row r="19" spans="2:23" x14ac:dyDescent="0.25">
      <c r="B19" s="1485" t="s">
        <v>1654</v>
      </c>
      <c r="C19" s="1486" t="s">
        <v>89</v>
      </c>
      <c r="D19" s="1502">
        <v>0</v>
      </c>
      <c r="E19" s="1502">
        <f>D22</f>
        <v>-132.02115691687368</v>
      </c>
      <c r="F19" s="1502">
        <f ca="1">E22</f>
        <v>-433.25710028183357</v>
      </c>
      <c r="G19" s="1502">
        <f ca="1">F22</f>
        <v>-5.7590175027557962</v>
      </c>
      <c r="H19" s="1502">
        <f ca="1">G22</f>
        <v>-5.7590175027557962</v>
      </c>
      <c r="I19" s="1904"/>
      <c r="K19" s="1502">
        <v>0</v>
      </c>
      <c r="L19" s="1502">
        <f>K22</f>
        <v>22.919676286910089</v>
      </c>
      <c r="M19" s="1502">
        <f ca="1">L22</f>
        <v>200.1025832532024</v>
      </c>
      <c r="N19" s="1502">
        <f ca="1">M22</f>
        <v>324.04412235334615</v>
      </c>
      <c r="O19" s="1502">
        <f ca="1">N22</f>
        <v>324.04412235334615</v>
      </c>
      <c r="P19" s="1502"/>
      <c r="R19" s="1502">
        <v>0</v>
      </c>
      <c r="S19" s="1502">
        <f>R22</f>
        <v>-154.94083320378377</v>
      </c>
      <c r="T19" s="1502">
        <f>S22</f>
        <v>-633.35968353503677</v>
      </c>
      <c r="U19" s="1502">
        <f>T22</f>
        <v>-329.80313985610303</v>
      </c>
      <c r="V19" s="1502">
        <f>U22</f>
        <v>-329.80313985610303</v>
      </c>
      <c r="W19" s="1502"/>
    </row>
    <row r="20" spans="2:23" x14ac:dyDescent="0.25">
      <c r="B20" s="1487" t="s">
        <v>1655</v>
      </c>
      <c r="C20" s="1486" t="s">
        <v>90</v>
      </c>
      <c r="D20" s="1491">
        <f>D11</f>
        <v>-132.02115691687368</v>
      </c>
      <c r="E20" s="1491">
        <f ca="1">E11</f>
        <v>-301.23594336495989</v>
      </c>
      <c r="F20" s="1491">
        <f>F11</f>
        <v>427.49808277907778</v>
      </c>
      <c r="G20" s="1491">
        <f>G11</f>
        <v>0</v>
      </c>
      <c r="H20" s="1491">
        <f ca="1">-H19</f>
        <v>5.7590175027557962</v>
      </c>
      <c r="I20" s="1909"/>
      <c r="K20" s="1491">
        <f>K11</f>
        <v>22.919676286910089</v>
      </c>
      <c r="L20" s="1491">
        <f ca="1">L11</f>
        <v>177.18290696629231</v>
      </c>
      <c r="M20" s="1491">
        <f>M11</f>
        <v>123.94153910014376</v>
      </c>
      <c r="N20" s="1491"/>
      <c r="O20" s="1491">
        <f ca="1">-O19</f>
        <v>-324.04412235334615</v>
      </c>
      <c r="P20" s="1491"/>
      <c r="R20" s="1491">
        <f>R11</f>
        <v>-154.94083320378377</v>
      </c>
      <c r="S20" s="1491">
        <f>S11</f>
        <v>-478.418850331253</v>
      </c>
      <c r="T20" s="1491">
        <f>T11</f>
        <v>303.55654367893374</v>
      </c>
      <c r="U20" s="1491"/>
      <c r="V20" s="1491">
        <f>-V19</f>
        <v>329.80313985610303</v>
      </c>
      <c r="W20" s="1491"/>
    </row>
    <row r="21" spans="2:23" x14ac:dyDescent="0.25">
      <c r="B21" s="1487" t="s">
        <v>1663</v>
      </c>
      <c r="C21" s="1486" t="s">
        <v>1657</v>
      </c>
      <c r="D21" s="1501">
        <v>0</v>
      </c>
      <c r="E21" s="1501">
        <v>0</v>
      </c>
      <c r="F21" s="1501">
        <v>0</v>
      </c>
      <c r="G21" s="1501">
        <v>0</v>
      </c>
      <c r="H21" s="1501">
        <v>0</v>
      </c>
      <c r="I21" s="1903"/>
      <c r="K21" s="1501">
        <v>0</v>
      </c>
      <c r="L21" s="1501">
        <v>0</v>
      </c>
      <c r="M21" s="1501">
        <v>0</v>
      </c>
      <c r="N21" s="1501">
        <v>0</v>
      </c>
      <c r="O21" s="1501">
        <v>0</v>
      </c>
      <c r="P21" s="1501"/>
      <c r="R21" s="1501">
        <v>0</v>
      </c>
      <c r="S21" s="1501">
        <v>0</v>
      </c>
      <c r="T21" s="1501">
        <v>0</v>
      </c>
      <c r="U21" s="1501">
        <v>0</v>
      </c>
      <c r="V21" s="1501">
        <v>0</v>
      </c>
      <c r="W21" s="1501"/>
    </row>
    <row r="22" spans="2:23" x14ac:dyDescent="0.25">
      <c r="B22" s="1485" t="s">
        <v>1658</v>
      </c>
      <c r="C22" s="1488" t="s">
        <v>1670</v>
      </c>
      <c r="D22" s="1491">
        <f>D19+D20-D21</f>
        <v>-132.02115691687368</v>
      </c>
      <c r="E22" s="1491">
        <f ca="1">E19+E20-E21</f>
        <v>-433.25710028183357</v>
      </c>
      <c r="F22" s="1491">
        <f ca="1">F19+F20-F21</f>
        <v>-5.7590175027557962</v>
      </c>
      <c r="G22" s="1491">
        <f ca="1">G19+G20-G21</f>
        <v>-5.7590175027557962</v>
      </c>
      <c r="H22" s="1491">
        <f ca="1">H19+H20-H21</f>
        <v>0</v>
      </c>
      <c r="I22" s="1909"/>
      <c r="K22" s="1491">
        <f>K19+K20-K21</f>
        <v>22.919676286910089</v>
      </c>
      <c r="L22" s="1491">
        <f ca="1">L19+L20-L21</f>
        <v>200.1025832532024</v>
      </c>
      <c r="M22" s="1491">
        <f ca="1">M19+M20-M21</f>
        <v>324.04412235334615</v>
      </c>
      <c r="N22" s="1491">
        <f ca="1">N19+N20-N21</f>
        <v>324.04412235334615</v>
      </c>
      <c r="O22" s="1491">
        <f ca="1">O19+O20-O21</f>
        <v>0</v>
      </c>
      <c r="P22" s="1491"/>
      <c r="R22" s="1491">
        <f>R19+R20-R21</f>
        <v>-154.94083320378377</v>
      </c>
      <c r="S22" s="1491">
        <f>S19+S20-S21</f>
        <v>-633.35968353503677</v>
      </c>
      <c r="T22" s="1491">
        <f>T19+T20-T21</f>
        <v>-329.80313985610303</v>
      </c>
      <c r="U22" s="1491">
        <f>U19+U20-U21</f>
        <v>-329.80313985610303</v>
      </c>
      <c r="V22" s="1491">
        <f>V19+V20-V21</f>
        <v>0</v>
      </c>
      <c r="W22" s="1491"/>
    </row>
    <row r="23" spans="2:23" ht="29" x14ac:dyDescent="0.25">
      <c r="B23" s="1485" t="s">
        <v>1664</v>
      </c>
      <c r="C23" s="1488" t="s">
        <v>1671</v>
      </c>
      <c r="D23" s="1491">
        <f>AVERAGE(D19,D22)</f>
        <v>-66.010578458436839</v>
      </c>
      <c r="E23" s="1491">
        <f ca="1">AVERAGE(E19,E22)</f>
        <v>-282.63912859935363</v>
      </c>
      <c r="F23" s="1491">
        <f ca="1">AVERAGE(F19,F22)</f>
        <v>-219.50805889229468</v>
      </c>
      <c r="G23" s="1491">
        <f ca="1">AVERAGE(G19,G22)</f>
        <v>-5.7590175027557962</v>
      </c>
      <c r="H23" s="1491">
        <f ca="1">AVERAGE(H19,H22)</f>
        <v>-2.8795087513778981</v>
      </c>
      <c r="I23" s="1909"/>
      <c r="K23" s="1491">
        <f>AVERAGE(K19,K22)</f>
        <v>11.459838143455045</v>
      </c>
      <c r="L23" s="1491">
        <f ca="1">AVERAGE(L19,L22)</f>
        <v>111.51112977005624</v>
      </c>
      <c r="M23" s="1491">
        <f ca="1">AVERAGE(M19,M22)</f>
        <v>262.07335280327425</v>
      </c>
      <c r="N23" s="1491">
        <f ca="1">AVERAGE(N19,N22)</f>
        <v>324.04412235334615</v>
      </c>
      <c r="O23" s="1491">
        <f ca="1">AVERAGE(O19,O22)</f>
        <v>162.02206117667308</v>
      </c>
      <c r="P23" s="1491"/>
      <c r="R23" s="1491">
        <f>AVERAGE(R19,R22)</f>
        <v>-77.470416601891884</v>
      </c>
      <c r="S23" s="1491">
        <f>AVERAGE(S19,S22)</f>
        <v>-394.15025836941027</v>
      </c>
      <c r="T23" s="1491">
        <f>AVERAGE(T19,T22)</f>
        <v>-481.5814116955699</v>
      </c>
      <c r="U23" s="1491">
        <f>AVERAGE(U19,U22)</f>
        <v>-329.80313985610303</v>
      </c>
      <c r="V23" s="1491">
        <f>AVERAGE(V19,V22)</f>
        <v>-164.90156992805152</v>
      </c>
      <c r="W23" s="1491"/>
    </row>
    <row r="24" spans="2:23" x14ac:dyDescent="0.25">
      <c r="B24" s="1487" t="s">
        <v>1665</v>
      </c>
      <c r="C24" s="1488" t="s">
        <v>1666</v>
      </c>
      <c r="D24" s="1491">
        <f>D23*D18</f>
        <v>-6.3748002756903803</v>
      </c>
      <c r="E24" s="1491">
        <f ca="1">E23*E18</f>
        <v>-24.229529681845964</v>
      </c>
      <c r="F24" s="1491">
        <f ca="1">F23*F18</f>
        <v>-18.658185005845048</v>
      </c>
      <c r="G24" s="1491">
        <f ca="1">G23*G18</f>
        <v>-0.54998617151317852</v>
      </c>
      <c r="H24" s="1491">
        <f ca="1">H23*H18</f>
        <v>-0.27499308575658926</v>
      </c>
      <c r="I24" s="1909"/>
      <c r="K24" s="1491">
        <f>K23*K18</f>
        <v>1.1067041232226509</v>
      </c>
      <c r="L24" s="1491">
        <f ca="1">L23*L18</f>
        <v>9.5594061657672889</v>
      </c>
      <c r="M24" s="1491">
        <f ca="1">M23*M18</f>
        <v>22.276234988278311</v>
      </c>
      <c r="N24" s="1491">
        <f ca="1">N23*N18</f>
        <v>30.94621368474456</v>
      </c>
      <c r="O24" s="1491">
        <f ca="1">O23*O18</f>
        <v>15.47310684237228</v>
      </c>
      <c r="P24" s="1491"/>
      <c r="R24" s="1491">
        <f>R23*R18</f>
        <v>-7.4815043989130317</v>
      </c>
      <c r="S24" s="1491">
        <f>S23*S18</f>
        <v>-33.788935847613288</v>
      </c>
      <c r="T24" s="1491">
        <f>T23*T18</f>
        <v>-40.934419994123445</v>
      </c>
      <c r="U24" s="1491">
        <f>U23*U18</f>
        <v>-31.496199856257839</v>
      </c>
      <c r="V24" s="1491">
        <f>V23*V18</f>
        <v>-15.748099928128919</v>
      </c>
      <c r="W24" s="1491"/>
    </row>
    <row r="25" spans="2:23" x14ac:dyDescent="0.25">
      <c r="B25" s="1489" t="s">
        <v>1667</v>
      </c>
      <c r="C25" s="1483" t="s">
        <v>1668</v>
      </c>
      <c r="D25" s="2159">
        <f ca="1">SUM(D24:H24)</f>
        <v>-50.087494220651159</v>
      </c>
      <c r="E25" s="2159"/>
      <c r="F25" s="2159"/>
      <c r="G25" s="2159"/>
      <c r="H25" s="2159"/>
      <c r="I25" s="1910"/>
      <c r="K25" s="2159">
        <f ca="1">SUM(K24:O24)</f>
        <v>79.361665804385083</v>
      </c>
      <c r="L25" s="2159"/>
      <c r="M25" s="2159"/>
      <c r="N25" s="2159"/>
      <c r="O25" s="2159"/>
      <c r="P25" s="1910"/>
      <c r="R25" s="2159">
        <f>SUM(R24:V24)</f>
        <v>-129.44916002503652</v>
      </c>
      <c r="S25" s="2159"/>
      <c r="T25" s="2159"/>
      <c r="U25" s="2159"/>
      <c r="V25" s="2159"/>
    </row>
    <row r="27" spans="2:23" x14ac:dyDescent="0.25">
      <c r="K27" s="1915">
        <f>K20+R20-D20</f>
        <v>0</v>
      </c>
      <c r="L27" s="1915">
        <f t="shared" ref="L27:O27" ca="1" si="21">L20+S20-E20</f>
        <v>-7.9580786405131221E-13</v>
      </c>
      <c r="M27" s="1915">
        <f t="shared" si="21"/>
        <v>0</v>
      </c>
      <c r="N27" s="1915">
        <f>N20+U20-G20</f>
        <v>0</v>
      </c>
      <c r="O27" s="1915">
        <f t="shared" ca="1" si="21"/>
        <v>1.0800249583553523E-12</v>
      </c>
    </row>
    <row r="29" spans="2:23" x14ac:dyDescent="0.25">
      <c r="K29" s="2104" t="s">
        <v>2009</v>
      </c>
      <c r="L29" s="2103"/>
      <c r="M29" s="2103"/>
      <c r="N29" s="2103"/>
      <c r="O29" s="2103"/>
      <c r="P29" s="2105">
        <f ca="1">K15+O4+P4+O5+P5-F13.2!P52-F13.3!P52</f>
        <v>754.12102039147624</v>
      </c>
      <c r="R29" s="2104" t="s">
        <v>2009</v>
      </c>
      <c r="S29" s="2103"/>
      <c r="T29" s="2103"/>
      <c r="U29" s="2103"/>
      <c r="V29" s="2103"/>
      <c r="W29" s="2105">
        <f ca="1">R15+V4+W4+V5+W5-(F13.2!T52-F13.2!P52)-(F13.3!T52-F13.3!P52)</f>
        <v>816.35225245369156</v>
      </c>
    </row>
    <row r="30" spans="2:23" x14ac:dyDescent="0.25">
      <c r="W30" s="2106">
        <f ca="1">'Gap Determination'!E21-P29-W29</f>
        <v>5.1159076974727213E-12</v>
      </c>
    </row>
    <row r="31" spans="2:23" x14ac:dyDescent="0.25">
      <c r="W31" s="1915"/>
    </row>
  </sheetData>
  <mergeCells count="15">
    <mergeCell ref="B1:W1"/>
    <mergeCell ref="R25:V25"/>
    <mergeCell ref="K13:O13"/>
    <mergeCell ref="K15:O15"/>
    <mergeCell ref="K25:O25"/>
    <mergeCell ref="B3:C3"/>
    <mergeCell ref="D13:H13"/>
    <mergeCell ref="D15:H15"/>
    <mergeCell ref="B17:C17"/>
    <mergeCell ref="D25:H25"/>
    <mergeCell ref="K2:P2"/>
    <mergeCell ref="R2:W2"/>
    <mergeCell ref="D2:I2"/>
    <mergeCell ref="R13:V13"/>
    <mergeCell ref="R15:V1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5"/>
  <sheetViews>
    <sheetView showGridLines="0" view="pageBreakPreview" topLeftCell="C169" zoomScale="75" zoomScaleNormal="75" zoomScaleSheetLayoutView="85" workbookViewId="0">
      <selection activeCell="E139" sqref="E139"/>
    </sheetView>
  </sheetViews>
  <sheetFormatPr defaultColWidth="9.1796875" defaultRowHeight="14" x14ac:dyDescent="0.25"/>
  <cols>
    <col min="1" max="1" width="6.26953125" style="15" customWidth="1"/>
    <col min="2" max="2" width="8.26953125" style="613" customWidth="1"/>
    <col min="3" max="3" width="64" style="375" customWidth="1"/>
    <col min="4" max="6" width="18.54296875" style="375" customWidth="1"/>
    <col min="7" max="10" width="18.81640625" style="375" customWidth="1"/>
    <col min="11" max="12" width="20.26953125" style="375" customWidth="1"/>
    <col min="13" max="16" width="12.453125" style="375" customWidth="1"/>
    <col min="17" max="17" width="14.1796875" style="375" customWidth="1"/>
    <col min="18" max="18" width="9.1796875" style="375"/>
    <col min="19" max="19" width="8" style="375" bestFit="1" customWidth="1"/>
    <col min="20" max="20" width="11.6328125" style="15" customWidth="1"/>
    <col min="21" max="21" width="12.08984375" style="15" customWidth="1"/>
    <col min="22" max="16384" width="9.1796875" style="15"/>
  </cols>
  <sheetData>
    <row r="1" spans="2:12" x14ac:dyDescent="0.25">
      <c r="G1" s="565"/>
      <c r="H1" s="565"/>
      <c r="I1" s="565"/>
    </row>
    <row r="2" spans="2:12" x14ac:dyDescent="0.25">
      <c r="G2" s="565"/>
      <c r="H2" s="565"/>
      <c r="I2" s="565"/>
    </row>
    <row r="3" spans="2:12" x14ac:dyDescent="0.25">
      <c r="G3" s="565"/>
      <c r="H3" s="565"/>
      <c r="I3" s="565"/>
    </row>
    <row r="4" spans="2:12" x14ac:dyDescent="0.25">
      <c r="G4" s="565" t="s">
        <v>1027</v>
      </c>
      <c r="H4" s="565"/>
      <c r="I4" s="565"/>
    </row>
    <row r="5" spans="2:12" x14ac:dyDescent="0.25">
      <c r="G5" s="523" t="s">
        <v>826</v>
      </c>
      <c r="H5" s="523"/>
      <c r="I5" s="523"/>
    </row>
    <row r="6" spans="2:12" x14ac:dyDescent="0.25">
      <c r="G6" s="523" t="s">
        <v>494</v>
      </c>
      <c r="H6" s="523"/>
      <c r="I6" s="523"/>
    </row>
    <row r="7" spans="2:12" x14ac:dyDescent="0.25">
      <c r="G7" s="565"/>
      <c r="H7" s="565"/>
      <c r="I7" s="565"/>
    </row>
    <row r="8" spans="2:12" x14ac:dyDescent="0.25">
      <c r="G8" s="565"/>
      <c r="H8" s="565"/>
      <c r="I8" s="565"/>
    </row>
    <row r="9" spans="2:12" x14ac:dyDescent="0.25">
      <c r="B9" s="614" t="s">
        <v>327</v>
      </c>
      <c r="C9" s="580"/>
      <c r="D9" s="580"/>
      <c r="E9" s="580"/>
      <c r="F9" s="580"/>
      <c r="J9" s="580"/>
      <c r="K9" s="580"/>
      <c r="L9" s="580"/>
    </row>
    <row r="10" spans="2:12" x14ac:dyDescent="0.25">
      <c r="D10" s="1499">
        <f>90%</f>
        <v>0.9</v>
      </c>
      <c r="F10" s="398" t="s">
        <v>16</v>
      </c>
    </row>
    <row r="11" spans="2:12" ht="27" customHeight="1" x14ac:dyDescent="0.25">
      <c r="B11" s="2395" t="s">
        <v>190</v>
      </c>
      <c r="C11" s="2192" t="s">
        <v>50</v>
      </c>
      <c r="D11" s="2190" t="s">
        <v>179</v>
      </c>
      <c r="E11" s="2197"/>
      <c r="F11" s="2191"/>
    </row>
    <row r="12" spans="2:12" ht="27" customHeight="1" x14ac:dyDescent="0.25">
      <c r="B12" s="2395"/>
      <c r="C12" s="2192"/>
      <c r="D12" s="488" t="s">
        <v>842</v>
      </c>
      <c r="E12" s="2098" t="s">
        <v>405</v>
      </c>
      <c r="F12" s="2098" t="s">
        <v>406</v>
      </c>
    </row>
    <row r="13" spans="2:12" x14ac:dyDescent="0.25">
      <c r="B13" s="615"/>
      <c r="C13" s="488"/>
      <c r="D13" s="488" t="s">
        <v>668</v>
      </c>
      <c r="E13" s="488" t="s">
        <v>582</v>
      </c>
      <c r="F13" s="488" t="s">
        <v>675</v>
      </c>
    </row>
    <row r="14" spans="2:12" x14ac:dyDescent="0.25">
      <c r="B14" s="561">
        <v>1</v>
      </c>
      <c r="C14" s="581" t="s">
        <v>51</v>
      </c>
      <c r="D14" s="353">
        <f>D52*90%</f>
        <v>795.85199999999998</v>
      </c>
      <c r="E14" s="353">
        <f>$D$10*E52</f>
        <v>795.85199999999998</v>
      </c>
      <c r="F14" s="353">
        <f>E14-D14</f>
        <v>0</v>
      </c>
    </row>
    <row r="15" spans="2:12" x14ac:dyDescent="0.25">
      <c r="B15" s="616">
        <f>B14+1</f>
        <v>2</v>
      </c>
      <c r="C15" s="581" t="s">
        <v>52</v>
      </c>
      <c r="D15" s="353">
        <f>D53*90%</f>
        <v>0</v>
      </c>
      <c r="E15" s="353">
        <f>$D$10*E53</f>
        <v>219.11400000000003</v>
      </c>
      <c r="F15" s="353">
        <f t="shared" ref="F15:F24" si="0">E15-D15</f>
        <v>219.11400000000003</v>
      </c>
    </row>
    <row r="16" spans="2:12" x14ac:dyDescent="0.25">
      <c r="B16" s="616">
        <f t="shared" ref="B16:B24" si="1">B15+1</f>
        <v>3</v>
      </c>
      <c r="C16" s="581" t="s">
        <v>451</v>
      </c>
      <c r="D16" s="353">
        <f>D54*90%</f>
        <v>0</v>
      </c>
      <c r="E16" s="353">
        <f>$D$10*E54</f>
        <v>91.629000000000005</v>
      </c>
      <c r="F16" s="353">
        <f t="shared" si="0"/>
        <v>91.629000000000005</v>
      </c>
    </row>
    <row r="17" spans="2:6" x14ac:dyDescent="0.25">
      <c r="B17" s="616">
        <f t="shared" si="1"/>
        <v>4</v>
      </c>
      <c r="C17" s="581" t="s">
        <v>53</v>
      </c>
      <c r="D17" s="353">
        <f>D55*90%</f>
        <v>34.776000000000003</v>
      </c>
      <c r="E17" s="353">
        <f>$D$10*E55</f>
        <v>38.245500000000014</v>
      </c>
      <c r="F17" s="353">
        <f t="shared" si="0"/>
        <v>3.4695000000000107</v>
      </c>
    </row>
    <row r="18" spans="2:6" ht="28" x14ac:dyDescent="0.25">
      <c r="B18" s="616">
        <f t="shared" si="1"/>
        <v>5</v>
      </c>
      <c r="C18" s="583" t="s">
        <v>54</v>
      </c>
      <c r="D18" s="353">
        <f>D56*90%</f>
        <v>10.664999999999999</v>
      </c>
      <c r="E18" s="353">
        <f>$D$10*E56</f>
        <v>5.2866000000000009</v>
      </c>
      <c r="F18" s="353">
        <f t="shared" si="0"/>
        <v>-5.3783999999999983</v>
      </c>
    </row>
    <row r="19" spans="2:6" x14ac:dyDescent="0.25">
      <c r="B19" s="616">
        <f t="shared" si="1"/>
        <v>6</v>
      </c>
      <c r="C19" s="581" t="s">
        <v>55</v>
      </c>
      <c r="D19" s="353">
        <f>D14+D17-D18</f>
        <v>819.96299999999997</v>
      </c>
      <c r="E19" s="353">
        <f>E14+E17-E18</f>
        <v>828.81089999999995</v>
      </c>
      <c r="F19" s="353">
        <f t="shared" si="0"/>
        <v>8.8478999999999814</v>
      </c>
    </row>
    <row r="20" spans="2:6" x14ac:dyDescent="0.25">
      <c r="B20" s="616"/>
      <c r="C20" s="581"/>
      <c r="D20" s="353"/>
      <c r="E20" s="353"/>
      <c r="F20" s="353">
        <f t="shared" si="0"/>
        <v>0</v>
      </c>
    </row>
    <row r="21" spans="2:6" x14ac:dyDescent="0.25">
      <c r="B21" s="616"/>
      <c r="C21" s="458" t="s">
        <v>250</v>
      </c>
      <c r="D21" s="459">
        <v>0.155</v>
      </c>
      <c r="E21" s="459">
        <v>0.155</v>
      </c>
      <c r="F21" s="459">
        <f t="shared" si="0"/>
        <v>0</v>
      </c>
    </row>
    <row r="22" spans="2:6" x14ac:dyDescent="0.25">
      <c r="B22" s="616">
        <v>7</v>
      </c>
      <c r="C22" s="344" t="s">
        <v>251</v>
      </c>
      <c r="D22" s="353">
        <f>138.83*(90%)</f>
        <v>124.94700000000002</v>
      </c>
      <c r="E22" s="353">
        <f>E14*E21</f>
        <v>123.35705999999999</v>
      </c>
      <c r="F22" s="353">
        <f t="shared" si="0"/>
        <v>-1.589940000000027</v>
      </c>
    </row>
    <row r="23" spans="2:6" x14ac:dyDescent="0.25">
      <c r="B23" s="616">
        <f t="shared" si="1"/>
        <v>8</v>
      </c>
      <c r="C23" s="344" t="s">
        <v>252</v>
      </c>
      <c r="D23" s="353">
        <f>2.1*(90%)</f>
        <v>1.8900000000000001</v>
      </c>
      <c r="E23" s="353">
        <f>(E21/2)*(E17-E18)</f>
        <v>2.554314750000001</v>
      </c>
      <c r="F23" s="353">
        <f t="shared" si="0"/>
        <v>0.66431475000000084</v>
      </c>
    </row>
    <row r="24" spans="2:6" x14ac:dyDescent="0.25">
      <c r="B24" s="616">
        <f t="shared" si="1"/>
        <v>9</v>
      </c>
      <c r="C24" s="458" t="s">
        <v>253</v>
      </c>
      <c r="D24" s="354">
        <f>D22+D23</f>
        <v>126.83700000000002</v>
      </c>
      <c r="E24" s="354">
        <f>E22+E23</f>
        <v>125.91137474999999</v>
      </c>
      <c r="F24" s="353">
        <f t="shared" si="0"/>
        <v>-0.92562525000002438</v>
      </c>
    </row>
    <row r="25" spans="2:6" x14ac:dyDescent="0.25">
      <c r="B25" s="613" t="s">
        <v>872</v>
      </c>
    </row>
    <row r="28" spans="2:6" x14ac:dyDescent="0.25">
      <c r="B28" s="614" t="s">
        <v>284</v>
      </c>
    </row>
    <row r="29" spans="2:6" x14ac:dyDescent="0.25">
      <c r="B29" s="614"/>
      <c r="D29" s="1499">
        <f>10%</f>
        <v>0.1</v>
      </c>
      <c r="F29" s="398" t="s">
        <v>16</v>
      </c>
    </row>
    <row r="30" spans="2:6" ht="27" customHeight="1" x14ac:dyDescent="0.25">
      <c r="B30" s="2395" t="s">
        <v>190</v>
      </c>
      <c r="C30" s="2192" t="s">
        <v>50</v>
      </c>
      <c r="D30" s="2190" t="s">
        <v>179</v>
      </c>
      <c r="E30" s="2197"/>
      <c r="F30" s="2191"/>
    </row>
    <row r="31" spans="2:6" ht="27" customHeight="1" x14ac:dyDescent="0.25">
      <c r="B31" s="2395"/>
      <c r="C31" s="2192"/>
      <c r="D31" s="488" t="s">
        <v>842</v>
      </c>
      <c r="E31" s="2098" t="s">
        <v>405</v>
      </c>
      <c r="F31" s="2098" t="s">
        <v>406</v>
      </c>
    </row>
    <row r="32" spans="2:6" x14ac:dyDescent="0.25">
      <c r="B32" s="615"/>
      <c r="C32" s="488"/>
      <c r="D32" s="488" t="s">
        <v>668</v>
      </c>
      <c r="E32" s="488" t="s">
        <v>582</v>
      </c>
      <c r="F32" s="488" t="s">
        <v>675</v>
      </c>
    </row>
    <row r="33" spans="1:6" ht="14.5" x14ac:dyDescent="0.25">
      <c r="A33" s="731"/>
      <c r="B33" s="561">
        <v>1</v>
      </c>
      <c r="C33" s="581" t="s">
        <v>51</v>
      </c>
      <c r="D33" s="353">
        <f>D52*$D$29</f>
        <v>88.427999999999997</v>
      </c>
      <c r="E33" s="353">
        <f>$D$29*E52</f>
        <v>88.427999999999997</v>
      </c>
      <c r="F33" s="353">
        <f>E33-D33</f>
        <v>0</v>
      </c>
    </row>
    <row r="34" spans="1:6" x14ac:dyDescent="0.25">
      <c r="B34" s="616">
        <f>B33+1</f>
        <v>2</v>
      </c>
      <c r="C34" s="581" t="s">
        <v>52</v>
      </c>
      <c r="D34" s="353">
        <f>D53*$D$29</f>
        <v>0</v>
      </c>
      <c r="E34" s="353">
        <f>$D$29*E53</f>
        <v>24.346000000000004</v>
      </c>
      <c r="F34" s="353">
        <f t="shared" ref="F34:F43" si="2">E34-D34</f>
        <v>24.346000000000004</v>
      </c>
    </row>
    <row r="35" spans="1:6" x14ac:dyDescent="0.25">
      <c r="B35" s="616">
        <f t="shared" ref="B35:B43" si="3">B34+1</f>
        <v>3</v>
      </c>
      <c r="C35" s="581" t="s">
        <v>451</v>
      </c>
      <c r="D35" s="353">
        <f>D54*$D$29</f>
        <v>0</v>
      </c>
      <c r="E35" s="353">
        <f>$D$29*E54</f>
        <v>10.181000000000001</v>
      </c>
      <c r="F35" s="353">
        <f t="shared" si="2"/>
        <v>10.181000000000001</v>
      </c>
    </row>
    <row r="36" spans="1:6" x14ac:dyDescent="0.25">
      <c r="B36" s="616">
        <f t="shared" si="3"/>
        <v>4</v>
      </c>
      <c r="C36" s="581" t="s">
        <v>53</v>
      </c>
      <c r="D36" s="353">
        <f>D55*$D$29</f>
        <v>3.8640000000000003</v>
      </c>
      <c r="E36" s="353">
        <f>$D$29*E55</f>
        <v>4.2495000000000012</v>
      </c>
      <c r="F36" s="353">
        <f t="shared" si="2"/>
        <v>0.38550000000000084</v>
      </c>
    </row>
    <row r="37" spans="1:6" ht="28" x14ac:dyDescent="0.25">
      <c r="B37" s="616">
        <f t="shared" si="3"/>
        <v>5</v>
      </c>
      <c r="C37" s="583" t="s">
        <v>54</v>
      </c>
      <c r="D37" s="353">
        <f>D56*$D$29</f>
        <v>1.1850000000000001</v>
      </c>
      <c r="E37" s="353">
        <f>$D$29*E56</f>
        <v>0.58740000000000003</v>
      </c>
      <c r="F37" s="353">
        <f t="shared" si="2"/>
        <v>-0.59760000000000002</v>
      </c>
    </row>
    <row r="38" spans="1:6" ht="14.5" x14ac:dyDescent="0.25">
      <c r="B38" s="793">
        <f t="shared" si="3"/>
        <v>6</v>
      </c>
      <c r="C38" s="581" t="s">
        <v>55</v>
      </c>
      <c r="D38" s="353">
        <f>D33+D36-D37</f>
        <v>91.106999999999999</v>
      </c>
      <c r="E38" s="353">
        <f>E33+E36-E37</f>
        <v>92.090099999999993</v>
      </c>
      <c r="F38" s="353">
        <f t="shared" si="2"/>
        <v>0.9830999999999932</v>
      </c>
    </row>
    <row r="39" spans="1:6" x14ac:dyDescent="0.25">
      <c r="B39" s="616"/>
      <c r="C39" s="581"/>
      <c r="D39" s="353"/>
      <c r="E39" s="353"/>
      <c r="F39" s="353">
        <f t="shared" si="2"/>
        <v>0</v>
      </c>
    </row>
    <row r="40" spans="1:6" x14ac:dyDescent="0.25">
      <c r="B40" s="616"/>
      <c r="C40" s="458" t="s">
        <v>250</v>
      </c>
      <c r="D40" s="459">
        <v>0.17499999999999999</v>
      </c>
      <c r="E40" s="459">
        <v>0.17499999999999999</v>
      </c>
      <c r="F40" s="459">
        <f t="shared" si="2"/>
        <v>0</v>
      </c>
    </row>
    <row r="41" spans="1:6" x14ac:dyDescent="0.25">
      <c r="B41" s="616">
        <v>7</v>
      </c>
      <c r="C41" s="344" t="s">
        <v>251</v>
      </c>
      <c r="D41" s="353">
        <f>138.83*(10%)</f>
        <v>13.883000000000003</v>
      </c>
      <c r="E41" s="353">
        <f>E40*E33</f>
        <v>15.474899999999998</v>
      </c>
      <c r="F41" s="353">
        <f t="shared" si="2"/>
        <v>1.5918999999999954</v>
      </c>
    </row>
    <row r="42" spans="1:6" x14ac:dyDescent="0.25">
      <c r="B42" s="616">
        <f t="shared" si="3"/>
        <v>8</v>
      </c>
      <c r="C42" s="344" t="s">
        <v>252</v>
      </c>
      <c r="D42" s="353">
        <f>2.1*(10%)</f>
        <v>0.21000000000000002</v>
      </c>
      <c r="E42" s="353">
        <f>(E40/2)*(E36-E37)</f>
        <v>0.32043375000000007</v>
      </c>
      <c r="F42" s="353">
        <f t="shared" si="2"/>
        <v>0.11043375000000005</v>
      </c>
    </row>
    <row r="43" spans="1:6" x14ac:dyDescent="0.25">
      <c r="B43" s="616">
        <f t="shared" si="3"/>
        <v>9</v>
      </c>
      <c r="C43" s="458" t="s">
        <v>253</v>
      </c>
      <c r="D43" s="354">
        <f>D41+D42</f>
        <v>14.093000000000004</v>
      </c>
      <c r="E43" s="354">
        <f>E41+E42</f>
        <v>15.795333749999998</v>
      </c>
      <c r="F43" s="354">
        <f t="shared" si="2"/>
        <v>1.702333749999994</v>
      </c>
    </row>
    <row r="44" spans="1:6" x14ac:dyDescent="0.25">
      <c r="B44" s="613" t="s">
        <v>413</v>
      </c>
      <c r="E44"/>
    </row>
    <row r="47" spans="1:6" x14ac:dyDescent="0.25">
      <c r="B47" s="614" t="s">
        <v>1240</v>
      </c>
    </row>
    <row r="48" spans="1:6" x14ac:dyDescent="0.25">
      <c r="B48" s="614"/>
      <c r="F48" s="398" t="s">
        <v>16</v>
      </c>
    </row>
    <row r="49" spans="2:7" x14ac:dyDescent="0.25">
      <c r="B49" s="2395" t="s">
        <v>190</v>
      </c>
      <c r="C49" s="2192" t="s">
        <v>50</v>
      </c>
      <c r="D49" s="2190" t="s">
        <v>179</v>
      </c>
      <c r="E49" s="2197"/>
      <c r="F49" s="2191"/>
    </row>
    <row r="50" spans="2:7" ht="28" x14ac:dyDescent="0.25">
      <c r="B50" s="2395"/>
      <c r="C50" s="2192"/>
      <c r="D50" s="488" t="s">
        <v>842</v>
      </c>
      <c r="E50" s="636" t="s">
        <v>405</v>
      </c>
      <c r="F50" s="637" t="s">
        <v>406</v>
      </c>
    </row>
    <row r="51" spans="2:7" x14ac:dyDescent="0.25">
      <c r="B51" s="615"/>
      <c r="C51" s="488"/>
      <c r="D51" s="488" t="s">
        <v>668</v>
      </c>
      <c r="E51" s="488" t="s">
        <v>582</v>
      </c>
      <c r="F51" s="488" t="s">
        <v>675</v>
      </c>
    </row>
    <row r="52" spans="2:7" x14ac:dyDescent="0.25">
      <c r="B52" s="561">
        <v>1</v>
      </c>
      <c r="C52" s="581" t="s">
        <v>51</v>
      </c>
      <c r="D52" s="353">
        <v>884.28</v>
      </c>
      <c r="E52" s="353">
        <v>884.28</v>
      </c>
      <c r="F52" s="353">
        <f>E52-D52</f>
        <v>0</v>
      </c>
    </row>
    <row r="53" spans="2:7" x14ac:dyDescent="0.25">
      <c r="B53" s="616">
        <f>B52+1</f>
        <v>2</v>
      </c>
      <c r="C53" s="581" t="s">
        <v>52</v>
      </c>
      <c r="D53" s="353">
        <v>0</v>
      </c>
      <c r="E53" s="353">
        <f>'F4'!E43</f>
        <v>243.46000000000004</v>
      </c>
      <c r="F53" s="353">
        <f t="shared" ref="F53:F62" si="4">E53-D53</f>
        <v>243.46000000000004</v>
      </c>
    </row>
    <row r="54" spans="2:7" x14ac:dyDescent="0.25">
      <c r="B54" s="616">
        <f t="shared" ref="B54:B62" si="5">B53+1</f>
        <v>3</v>
      </c>
      <c r="C54" s="581" t="s">
        <v>451</v>
      </c>
      <c r="D54" s="353">
        <v>0</v>
      </c>
      <c r="E54" s="374">
        <f>SUM(Grant!D3:D5)</f>
        <v>101.81</v>
      </c>
      <c r="F54" s="353">
        <f t="shared" si="4"/>
        <v>101.81</v>
      </c>
    </row>
    <row r="55" spans="2:7" x14ac:dyDescent="0.25">
      <c r="B55" s="616">
        <f t="shared" si="5"/>
        <v>4</v>
      </c>
      <c r="C55" s="581" t="s">
        <v>53</v>
      </c>
      <c r="D55" s="353">
        <f>38.64</f>
        <v>38.64</v>
      </c>
      <c r="E55" s="353">
        <f>(E53-E54)*30%</f>
        <v>42.495000000000012</v>
      </c>
      <c r="F55" s="353">
        <f t="shared" si="4"/>
        <v>3.8550000000000111</v>
      </c>
    </row>
    <row r="56" spans="2:7" ht="28" x14ac:dyDescent="0.25">
      <c r="B56" s="616">
        <f t="shared" si="5"/>
        <v>5</v>
      </c>
      <c r="C56" s="583" t="s">
        <v>54</v>
      </c>
      <c r="D56" s="353">
        <f>11.85</f>
        <v>11.85</v>
      </c>
      <c r="E56" s="353">
        <f>'F5'!F27*30%</f>
        <v>5.8740000000000006</v>
      </c>
      <c r="F56" s="353">
        <f t="shared" si="4"/>
        <v>-5.9759999999999991</v>
      </c>
    </row>
    <row r="57" spans="2:7" x14ac:dyDescent="0.25">
      <c r="B57" s="616">
        <f t="shared" si="5"/>
        <v>6</v>
      </c>
      <c r="C57" s="581" t="s">
        <v>55</v>
      </c>
      <c r="D57" s="353">
        <f>D52+D55-D56-0.01</f>
        <v>911.06</v>
      </c>
      <c r="E57" s="353">
        <f>E52+E55-E56</f>
        <v>920.90099999999995</v>
      </c>
      <c r="F57" s="353">
        <f t="shared" si="4"/>
        <v>9.8410000000000082</v>
      </c>
    </row>
    <row r="58" spans="2:7" x14ac:dyDescent="0.25">
      <c r="B58" s="616"/>
      <c r="C58" s="581"/>
      <c r="D58" s="353"/>
      <c r="E58" s="353"/>
      <c r="F58" s="353">
        <f t="shared" si="4"/>
        <v>0</v>
      </c>
    </row>
    <row r="59" spans="2:7" x14ac:dyDescent="0.25">
      <c r="B59" s="616"/>
      <c r="C59" s="458" t="s">
        <v>250</v>
      </c>
      <c r="D59" s="353"/>
      <c r="E59" s="459">
        <f>(15.5%*90%+17.5%*10%)</f>
        <v>0.157</v>
      </c>
      <c r="F59" s="399">
        <f t="shared" si="4"/>
        <v>0.157</v>
      </c>
    </row>
    <row r="60" spans="2:7" x14ac:dyDescent="0.25">
      <c r="B60" s="616">
        <v>7</v>
      </c>
      <c r="C60" s="344" t="s">
        <v>251</v>
      </c>
      <c r="D60" s="353">
        <f>138.83</f>
        <v>138.83000000000001</v>
      </c>
      <c r="E60" s="353">
        <f>E52*E59</f>
        <v>138.83196000000001</v>
      </c>
      <c r="F60" s="353">
        <f t="shared" si="4"/>
        <v>1.9599999999968531E-3</v>
      </c>
    </row>
    <row r="61" spans="2:7" x14ac:dyDescent="0.25">
      <c r="B61" s="616">
        <f t="shared" si="5"/>
        <v>8</v>
      </c>
      <c r="C61" s="344" t="s">
        <v>252</v>
      </c>
      <c r="D61" s="353">
        <f>2.1</f>
        <v>2.1</v>
      </c>
      <c r="E61" s="353">
        <f>(E59/2)*(E55-E56)</f>
        <v>2.8747485000000008</v>
      </c>
      <c r="F61" s="353">
        <f t="shared" si="4"/>
        <v>0.77474850000000073</v>
      </c>
      <c r="G61" s="635"/>
    </row>
    <row r="62" spans="2:7" x14ac:dyDescent="0.25">
      <c r="B62" s="616">
        <f t="shared" si="5"/>
        <v>9</v>
      </c>
      <c r="C62" s="458" t="s">
        <v>253</v>
      </c>
      <c r="D62" s="354">
        <f>140.93</f>
        <v>140.93</v>
      </c>
      <c r="E62" s="354">
        <f>SUM(E60:E61)</f>
        <v>141.70670850000002</v>
      </c>
      <c r="F62" s="354">
        <f t="shared" si="4"/>
        <v>0.77670850000001224</v>
      </c>
    </row>
    <row r="63" spans="2:7" x14ac:dyDescent="0.25">
      <c r="B63" s="613" t="s">
        <v>413</v>
      </c>
    </row>
    <row r="70" spans="2:17" ht="62.25" customHeight="1" x14ac:dyDescent="0.25">
      <c r="B70" s="2396" t="s">
        <v>1252</v>
      </c>
      <c r="C70" s="2396"/>
      <c r="D70" s="2396"/>
      <c r="E70" s="2396"/>
      <c r="F70" s="2396"/>
      <c r="G70" s="2396"/>
      <c r="H70" s="2396"/>
      <c r="I70" s="2396"/>
      <c r="J70" s="2396"/>
      <c r="K70" s="2396"/>
      <c r="L70" s="2396"/>
      <c r="M70" s="584"/>
    </row>
    <row r="73" spans="2:17" x14ac:dyDescent="0.25">
      <c r="B73" s="614" t="s">
        <v>327</v>
      </c>
    </row>
    <row r="74" spans="2:17" x14ac:dyDescent="0.25">
      <c r="I74" s="398"/>
      <c r="P74" s="398" t="s">
        <v>16</v>
      </c>
    </row>
    <row r="75" spans="2:17" ht="15" customHeight="1" x14ac:dyDescent="0.25">
      <c r="B75" s="2387" t="s">
        <v>190</v>
      </c>
      <c r="C75" s="2194" t="s">
        <v>50</v>
      </c>
      <c r="D75" s="2263" t="s">
        <v>186</v>
      </c>
      <c r="E75" s="2264"/>
      <c r="F75" s="2265"/>
      <c r="G75" s="2263" t="s">
        <v>426</v>
      </c>
      <c r="H75" s="2264"/>
      <c r="I75" s="2265"/>
      <c r="J75" s="2263" t="s">
        <v>427</v>
      </c>
      <c r="K75" s="2264"/>
      <c r="L75" s="2265"/>
      <c r="M75" s="2263" t="s">
        <v>428</v>
      </c>
      <c r="N75" s="2265"/>
      <c r="O75" s="2263" t="s">
        <v>429</v>
      </c>
      <c r="P75" s="2265"/>
      <c r="Q75" s="2392" t="s">
        <v>39</v>
      </c>
    </row>
    <row r="76" spans="2:17" ht="28" x14ac:dyDescent="0.25">
      <c r="B76" s="2391"/>
      <c r="C76" s="2195"/>
      <c r="D76" s="517" t="s">
        <v>404</v>
      </c>
      <c r="E76" s="518" t="s">
        <v>405</v>
      </c>
      <c r="F76" s="518" t="s">
        <v>406</v>
      </c>
      <c r="G76" s="517" t="s">
        <v>404</v>
      </c>
      <c r="H76" s="518" t="s">
        <v>405</v>
      </c>
      <c r="I76" s="518" t="s">
        <v>406</v>
      </c>
      <c r="J76" s="518" t="s">
        <v>404</v>
      </c>
      <c r="K76" s="518" t="s">
        <v>72</v>
      </c>
      <c r="L76" s="518" t="s">
        <v>409</v>
      </c>
      <c r="M76" s="518" t="s">
        <v>404</v>
      </c>
      <c r="N76" s="518" t="s">
        <v>805</v>
      </c>
      <c r="O76" s="518" t="s">
        <v>404</v>
      </c>
      <c r="P76" s="518" t="s">
        <v>805</v>
      </c>
      <c r="Q76" s="2393"/>
    </row>
    <row r="77" spans="2:17" x14ac:dyDescent="0.25">
      <c r="B77" s="2388"/>
      <c r="C77" s="2196"/>
      <c r="D77" s="518" t="s">
        <v>73</v>
      </c>
      <c r="E77" s="518" t="s">
        <v>74</v>
      </c>
      <c r="F77" s="518" t="s">
        <v>806</v>
      </c>
      <c r="G77" s="518" t="s">
        <v>411</v>
      </c>
      <c r="H77" s="518" t="s">
        <v>412</v>
      </c>
      <c r="I77" s="518" t="s">
        <v>439</v>
      </c>
      <c r="J77" s="518" t="s">
        <v>668</v>
      </c>
      <c r="K77" s="518" t="s">
        <v>582</v>
      </c>
      <c r="L77" s="518" t="s">
        <v>857</v>
      </c>
      <c r="M77" s="518" t="s">
        <v>782</v>
      </c>
      <c r="N77" s="518" t="s">
        <v>583</v>
      </c>
      <c r="O77" s="518" t="s">
        <v>760</v>
      </c>
      <c r="P77" s="518" t="s">
        <v>585</v>
      </c>
      <c r="Q77" s="2394"/>
    </row>
    <row r="78" spans="2:17" x14ac:dyDescent="0.25">
      <c r="B78" s="616">
        <v>1</v>
      </c>
      <c r="C78" s="344" t="s">
        <v>749</v>
      </c>
      <c r="D78" s="353">
        <f>D156*90%</f>
        <v>819.95399999999995</v>
      </c>
      <c r="E78" s="353">
        <f>E156*90%</f>
        <v>828.81089999999995</v>
      </c>
      <c r="F78" s="390">
        <f>E78-D78</f>
        <v>8.856899999999996</v>
      </c>
      <c r="G78" s="353">
        <f>918.55*(90%)</f>
        <v>826.69499999999994</v>
      </c>
      <c r="H78" s="390">
        <f>H156*90%</f>
        <v>855.48149999999998</v>
      </c>
      <c r="I78" s="390">
        <f>H78-G78</f>
        <v>28.786500000000046</v>
      </c>
      <c r="J78" s="353">
        <f>924.11*(90%)</f>
        <v>831.69900000000007</v>
      </c>
      <c r="K78" s="390">
        <f>H82</f>
        <v>878.45969363057998</v>
      </c>
      <c r="L78" s="390">
        <f>K78-J78</f>
        <v>46.760693630579908</v>
      </c>
      <c r="M78" s="353">
        <f>929.74*(90%)</f>
        <v>836.76600000000008</v>
      </c>
      <c r="N78" s="390">
        <f>K82</f>
        <v>895.34683035017997</v>
      </c>
      <c r="O78" s="353">
        <f>935.33*(90%)</f>
        <v>841.79700000000003</v>
      </c>
      <c r="P78" s="390">
        <f>N82</f>
        <v>1051.3845960697799</v>
      </c>
      <c r="Q78" s="390"/>
    </row>
    <row r="79" spans="2:17" x14ac:dyDescent="0.25">
      <c r="B79" s="616">
        <f>B78+1</f>
        <v>2</v>
      </c>
      <c r="C79" s="344" t="s">
        <v>680</v>
      </c>
      <c r="D79" s="353">
        <f t="shared" ref="D79:E81" si="6">D157*90%</f>
        <v>0</v>
      </c>
      <c r="E79" s="353">
        <f t="shared" si="6"/>
        <v>111.19500000000001</v>
      </c>
      <c r="F79" s="390">
        <f t="shared" ref="F79:F88" si="7">E79-D79</f>
        <v>111.19500000000001</v>
      </c>
      <c r="G79" s="353">
        <f>0*(90%)</f>
        <v>0</v>
      </c>
      <c r="H79" s="353">
        <f>H157*90%</f>
        <v>94.325060070000006</v>
      </c>
      <c r="I79" s="390">
        <f t="shared" ref="I79:I88" si="8">H79-G79</f>
        <v>94.325060070000006</v>
      </c>
      <c r="J79" s="353">
        <f>0*(90%)</f>
        <v>0</v>
      </c>
      <c r="K79" s="390">
        <f>K157*90%</f>
        <v>115.39406006999998</v>
      </c>
      <c r="L79" s="390">
        <f>L157*90%</f>
        <v>115.39406006999998</v>
      </c>
      <c r="M79" s="353">
        <f>0*(90%)</f>
        <v>0</v>
      </c>
      <c r="N79" s="390">
        <f>N157*90%</f>
        <v>579.22949007000011</v>
      </c>
      <c r="O79" s="353">
        <f>0*(90%)</f>
        <v>0</v>
      </c>
      <c r="P79" s="390">
        <f>P157*90%</f>
        <v>525.93657507</v>
      </c>
      <c r="Q79" s="390"/>
    </row>
    <row r="80" spans="2:17" x14ac:dyDescent="0.25">
      <c r="B80" s="616">
        <f t="shared" ref="B80:B89" si="9">B79+1</f>
        <v>3</v>
      </c>
      <c r="C80" s="344" t="s">
        <v>750</v>
      </c>
      <c r="D80" s="353">
        <f t="shared" si="6"/>
        <v>17.415000000000003</v>
      </c>
      <c r="E80" s="353">
        <f t="shared" si="6"/>
        <v>33.358500000000006</v>
      </c>
      <c r="F80" s="390">
        <f t="shared" si="7"/>
        <v>15.943500000000004</v>
      </c>
      <c r="G80" s="353">
        <f>17.41*(90%)</f>
        <v>15.669</v>
      </c>
      <c r="H80" s="353">
        <f>H158*90%</f>
        <v>28.297518021000002</v>
      </c>
      <c r="I80" s="390">
        <f t="shared" si="8"/>
        <v>12.628518021000001</v>
      </c>
      <c r="J80" s="353">
        <f>17.48*(90%)</f>
        <v>15.732000000000001</v>
      </c>
      <c r="K80" s="390">
        <f>K79*30%</f>
        <v>34.61821802099999</v>
      </c>
      <c r="L80" s="390">
        <f t="shared" ref="L80:L88" si="10">K80-J80</f>
        <v>18.886218020999991</v>
      </c>
      <c r="M80" s="353">
        <f>17.45*(90%)</f>
        <v>15.705</v>
      </c>
      <c r="N80" s="390">
        <f>N79*30%</f>
        <v>173.76884702100003</v>
      </c>
      <c r="O80" s="353">
        <f>17.42*(90%)</f>
        <v>15.678000000000003</v>
      </c>
      <c r="P80" s="390">
        <f>P79*30%</f>
        <v>157.780972521</v>
      </c>
      <c r="Q80" s="390"/>
    </row>
    <row r="81" spans="2:19" ht="28" x14ac:dyDescent="0.3">
      <c r="B81" s="617">
        <f t="shared" si="9"/>
        <v>4</v>
      </c>
      <c r="C81" s="585" t="s">
        <v>54</v>
      </c>
      <c r="D81" s="353">
        <f t="shared" si="6"/>
        <v>10.664999999999999</v>
      </c>
      <c r="E81" s="353">
        <f t="shared" si="6"/>
        <v>6.6878999999999991</v>
      </c>
      <c r="F81" s="390">
        <f t="shared" si="7"/>
        <v>-3.9771000000000001</v>
      </c>
      <c r="G81" s="353">
        <f>11.85*(90%)</f>
        <v>10.664999999999999</v>
      </c>
      <c r="H81" s="353">
        <f>H159*90%</f>
        <v>5.3193243904200003</v>
      </c>
      <c r="I81" s="390">
        <f t="shared" si="8"/>
        <v>-5.3456756095799989</v>
      </c>
      <c r="J81" s="353">
        <f>11.85*(90%)</f>
        <v>10.664999999999999</v>
      </c>
      <c r="K81" s="390">
        <f>K159*90%</f>
        <v>17.731081301400003</v>
      </c>
      <c r="L81" s="390">
        <f t="shared" si="10"/>
        <v>7.0660813014000041</v>
      </c>
      <c r="M81" s="353">
        <f>11.85*(90%)</f>
        <v>10.664999999999999</v>
      </c>
      <c r="N81" s="390">
        <f>N159*90%</f>
        <v>17.731081301400003</v>
      </c>
      <c r="O81" s="353">
        <f>11.85*(90%)</f>
        <v>10.664999999999999</v>
      </c>
      <c r="P81" s="390">
        <f>P159*90%</f>
        <v>17.731081301400003</v>
      </c>
      <c r="Q81" s="390"/>
    </row>
    <row r="82" spans="2:19" x14ac:dyDescent="0.25">
      <c r="B82" s="616">
        <f t="shared" si="9"/>
        <v>5</v>
      </c>
      <c r="C82" s="344" t="s">
        <v>55</v>
      </c>
      <c r="D82" s="353">
        <f>D78+D80-D81</f>
        <v>826.70399999999995</v>
      </c>
      <c r="E82" s="353">
        <f t="shared" ref="E82:P82" si="11">E78+E80-E81</f>
        <v>855.48149999999998</v>
      </c>
      <c r="F82" s="353">
        <f t="shared" si="11"/>
        <v>28.7775</v>
      </c>
      <c r="G82" s="353">
        <f t="shared" si="11"/>
        <v>831.69899999999996</v>
      </c>
      <c r="H82" s="353">
        <f t="shared" si="11"/>
        <v>878.45969363057998</v>
      </c>
      <c r="I82" s="353">
        <f t="shared" si="11"/>
        <v>46.76069363058005</v>
      </c>
      <c r="J82" s="353">
        <f t="shared" si="11"/>
        <v>836.76600000000008</v>
      </c>
      <c r="K82" s="353">
        <f t="shared" si="11"/>
        <v>895.34683035017997</v>
      </c>
      <c r="L82" s="353">
        <f t="shared" si="11"/>
        <v>58.580830350179895</v>
      </c>
      <c r="M82" s="353">
        <f t="shared" si="11"/>
        <v>841.80600000000015</v>
      </c>
      <c r="N82" s="353">
        <f t="shared" si="11"/>
        <v>1051.3845960697799</v>
      </c>
      <c r="O82" s="353">
        <f t="shared" si="11"/>
        <v>846.81000000000006</v>
      </c>
      <c r="P82" s="353">
        <f t="shared" si="11"/>
        <v>1191.4344872893798</v>
      </c>
      <c r="Q82" s="390"/>
    </row>
    <row r="83" spans="2:19" x14ac:dyDescent="0.25">
      <c r="B83" s="616"/>
      <c r="C83" s="344"/>
      <c r="D83" s="353"/>
      <c r="E83" s="390"/>
      <c r="F83" s="390">
        <f t="shared" si="7"/>
        <v>0</v>
      </c>
      <c r="G83" s="353">
        <f>0*(90%)</f>
        <v>0</v>
      </c>
      <c r="H83" s="390"/>
      <c r="I83" s="390">
        <f t="shared" si="8"/>
        <v>0</v>
      </c>
      <c r="J83" s="353">
        <f>0*(90%)</f>
        <v>0</v>
      </c>
      <c r="K83" s="390"/>
      <c r="L83" s="390">
        <f t="shared" si="10"/>
        <v>0</v>
      </c>
      <c r="M83" s="353">
        <f>0*(90%)</f>
        <v>0</v>
      </c>
      <c r="N83" s="390"/>
      <c r="O83" s="353">
        <f>0*(90%)</f>
        <v>0</v>
      </c>
      <c r="P83" s="390"/>
      <c r="Q83" s="390"/>
    </row>
    <row r="84" spans="2:19" x14ac:dyDescent="0.25">
      <c r="B84" s="616"/>
      <c r="C84" s="458" t="s">
        <v>250</v>
      </c>
      <c r="D84" s="353"/>
      <c r="E84" s="390"/>
      <c r="F84" s="390">
        <f t="shared" si="7"/>
        <v>0</v>
      </c>
      <c r="G84" s="353">
        <f>0*(90%)</f>
        <v>0</v>
      </c>
      <c r="H84" s="390"/>
      <c r="I84" s="390">
        <f t="shared" si="8"/>
        <v>0</v>
      </c>
      <c r="J84" s="353">
        <f>0*(90%)</f>
        <v>0</v>
      </c>
      <c r="K84" s="390"/>
      <c r="L84" s="390">
        <f t="shared" si="10"/>
        <v>0</v>
      </c>
      <c r="M84" s="353">
        <f>0*(90%)</f>
        <v>0</v>
      </c>
      <c r="N84" s="390"/>
      <c r="O84" s="353">
        <f>0*(90%)</f>
        <v>0</v>
      </c>
      <c r="P84" s="390"/>
      <c r="Q84" s="390"/>
    </row>
    <row r="85" spans="2:19" s="477" customFormat="1" x14ac:dyDescent="0.25">
      <c r="B85" s="618">
        <v>6</v>
      </c>
      <c r="C85" s="458" t="s">
        <v>684</v>
      </c>
      <c r="D85" s="612">
        <v>0.14000000000000001</v>
      </c>
      <c r="E85" s="612">
        <v>0.14000000000000001</v>
      </c>
      <c r="F85" s="612"/>
      <c r="G85" s="612">
        <v>0.14000000000000001</v>
      </c>
      <c r="H85" s="612">
        <v>0.14000000000000001</v>
      </c>
      <c r="I85" s="612"/>
      <c r="J85" s="612">
        <v>0.14000000000000001</v>
      </c>
      <c r="K85" s="612">
        <v>0.14000000000000001</v>
      </c>
      <c r="L85" s="612"/>
      <c r="M85" s="612">
        <v>0.14000000000000001</v>
      </c>
      <c r="N85" s="612">
        <v>0.14000000000000001</v>
      </c>
      <c r="O85" s="612">
        <v>0.14000000000000001</v>
      </c>
      <c r="P85" s="612">
        <v>0.14000000000000001</v>
      </c>
      <c r="Q85" s="364"/>
      <c r="R85" s="398"/>
      <c r="S85" s="398"/>
    </row>
    <row r="86" spans="2:19" x14ac:dyDescent="0.25">
      <c r="B86" s="616">
        <v>7</v>
      </c>
      <c r="C86" s="344" t="s">
        <v>686</v>
      </c>
      <c r="D86" s="353">
        <f>D164*90%</f>
        <v>0</v>
      </c>
      <c r="E86" s="390">
        <v>0</v>
      </c>
      <c r="F86" s="390">
        <f t="shared" si="7"/>
        <v>0</v>
      </c>
      <c r="G86" s="353">
        <f>0*(90%)</f>
        <v>0</v>
      </c>
      <c r="H86" s="390">
        <v>0</v>
      </c>
      <c r="I86" s="390">
        <f t="shared" si="8"/>
        <v>0</v>
      </c>
      <c r="J86" s="353">
        <f>0*(90%)</f>
        <v>0</v>
      </c>
      <c r="K86" s="390">
        <v>0</v>
      </c>
      <c r="L86" s="390">
        <f t="shared" si="10"/>
        <v>0</v>
      </c>
      <c r="M86" s="353">
        <f>0*(90%)</f>
        <v>0</v>
      </c>
      <c r="N86" s="390">
        <v>0</v>
      </c>
      <c r="O86" s="353">
        <f>0*(90%)</f>
        <v>0</v>
      </c>
      <c r="P86" s="390">
        <v>0</v>
      </c>
      <c r="Q86" s="390"/>
    </row>
    <row r="87" spans="2:19" x14ac:dyDescent="0.25">
      <c r="B87" s="616">
        <v>8</v>
      </c>
      <c r="C87" s="344" t="s">
        <v>681</v>
      </c>
      <c r="D87" s="353">
        <f>D165*90%</f>
        <v>116.02349099999999</v>
      </c>
      <c r="E87" s="390">
        <f>E85*E78</f>
        <v>116.03352600000001</v>
      </c>
      <c r="F87" s="390">
        <f t="shared" si="7"/>
        <v>1.0035000000016225E-2</v>
      </c>
      <c r="G87" s="353">
        <f>G78*G85</f>
        <v>115.7373</v>
      </c>
      <c r="H87" s="390">
        <f>H85*H78</f>
        <v>119.76741000000001</v>
      </c>
      <c r="I87" s="390">
        <f t="shared" si="8"/>
        <v>4.0301100000000076</v>
      </c>
      <c r="J87" s="353">
        <f>J78*J85</f>
        <v>116.43786000000001</v>
      </c>
      <c r="K87" s="390">
        <f>K85*K78</f>
        <v>122.9843571082812</v>
      </c>
      <c r="L87" s="390">
        <f t="shared" si="10"/>
        <v>6.5464971082811871</v>
      </c>
      <c r="M87" s="353">
        <f>M78*M85</f>
        <v>117.14724000000002</v>
      </c>
      <c r="N87" s="390">
        <f>N85*N78</f>
        <v>125.34855624902521</v>
      </c>
      <c r="O87" s="353">
        <f>O78*O85</f>
        <v>117.85158000000001</v>
      </c>
      <c r="P87" s="390">
        <f>P85*P78</f>
        <v>147.19384344976922</v>
      </c>
      <c r="Q87" s="390"/>
    </row>
    <row r="88" spans="2:19" x14ac:dyDescent="0.25">
      <c r="B88" s="616">
        <f t="shared" si="9"/>
        <v>9</v>
      </c>
      <c r="C88" s="344" t="s">
        <v>682</v>
      </c>
      <c r="D88" s="353">
        <f>D166*90%</f>
        <v>0.47756250000000011</v>
      </c>
      <c r="E88" s="390">
        <f>(E80-E81)*(E85/2)</f>
        <v>1.8669420000000008</v>
      </c>
      <c r="F88" s="390">
        <f t="shared" si="7"/>
        <v>1.3893795000000007</v>
      </c>
      <c r="G88" s="353">
        <f>(G80-G81)*G85/2</f>
        <v>0.35028000000000015</v>
      </c>
      <c r="H88" s="390">
        <f>(H80-H81)*(H85/2)</f>
        <v>1.6084735541406003</v>
      </c>
      <c r="I88" s="390">
        <f t="shared" si="8"/>
        <v>1.2581935541406002</v>
      </c>
      <c r="J88" s="353">
        <f>(J80-J81)*J85/2</f>
        <v>0.35469000000000017</v>
      </c>
      <c r="K88" s="390">
        <f>(K80-K81)*(K85/2)</f>
        <v>1.1820995703719992</v>
      </c>
      <c r="L88" s="390">
        <f t="shared" si="10"/>
        <v>0.82740957037199903</v>
      </c>
      <c r="M88" s="353">
        <f>(M80-M81)*M85/2</f>
        <v>0.35280000000000011</v>
      </c>
      <c r="N88" s="390">
        <f>(N80-N81)*(N85/2)</f>
        <v>10.922643600372004</v>
      </c>
      <c r="O88" s="353">
        <f>(O80-O81)*O85/2</f>
        <v>0.35091000000000028</v>
      </c>
      <c r="P88" s="390">
        <f>(P80-P81)*(P85/2)</f>
        <v>9.8034923853720013</v>
      </c>
      <c r="Q88" s="390"/>
    </row>
    <row r="89" spans="2:19" s="22" customFormat="1" x14ac:dyDescent="0.25">
      <c r="B89" s="618">
        <f t="shared" si="9"/>
        <v>10</v>
      </c>
      <c r="C89" s="458" t="s">
        <v>253</v>
      </c>
      <c r="D89" s="354">
        <f>115.27</f>
        <v>115.27</v>
      </c>
      <c r="E89" s="354">
        <f t="shared" ref="E89:P89" si="12">SUM(E86:E88)</f>
        <v>117.900468</v>
      </c>
      <c r="F89" s="354">
        <f t="shared" si="12"/>
        <v>1.3994145000000169</v>
      </c>
      <c r="G89" s="354">
        <f t="shared" si="12"/>
        <v>116.08758</v>
      </c>
      <c r="H89" s="354">
        <f t="shared" si="12"/>
        <v>121.37588355414061</v>
      </c>
      <c r="I89" s="354">
        <f t="shared" si="12"/>
        <v>5.288303554140608</v>
      </c>
      <c r="J89" s="354">
        <f t="shared" si="12"/>
        <v>116.79255000000002</v>
      </c>
      <c r="K89" s="354">
        <f t="shared" si="12"/>
        <v>124.1664566786532</v>
      </c>
      <c r="L89" s="354">
        <f t="shared" si="12"/>
        <v>7.3739066786531859</v>
      </c>
      <c r="M89" s="354">
        <f t="shared" si="12"/>
        <v>117.50004000000003</v>
      </c>
      <c r="N89" s="354">
        <f t="shared" si="12"/>
        <v>136.27119984939722</v>
      </c>
      <c r="O89" s="354">
        <f t="shared" si="12"/>
        <v>118.20249000000001</v>
      </c>
      <c r="P89" s="354">
        <f t="shared" si="12"/>
        <v>156.99733583514123</v>
      </c>
      <c r="Q89" s="364"/>
      <c r="R89" s="398"/>
      <c r="S89" s="398"/>
    </row>
    <row r="90" spans="2:19" x14ac:dyDescent="0.25">
      <c r="B90" s="619"/>
      <c r="C90" s="586"/>
      <c r="D90" s="496"/>
      <c r="E90" s="496"/>
      <c r="F90" s="496"/>
      <c r="G90" s="496"/>
      <c r="H90" s="496"/>
      <c r="I90" s="496"/>
    </row>
    <row r="91" spans="2:19" ht="44.5" customHeight="1" x14ac:dyDescent="0.25">
      <c r="B91" s="2386" t="s">
        <v>1242</v>
      </c>
      <c r="C91" s="2386"/>
      <c r="D91" s="2386"/>
      <c r="E91" s="2386"/>
      <c r="F91" s="2386"/>
      <c r="G91" s="2386"/>
      <c r="H91" s="2386"/>
      <c r="I91" s="2386"/>
      <c r="J91" s="611"/>
      <c r="K91" s="611"/>
    </row>
    <row r="92" spans="2:19" x14ac:dyDescent="0.25">
      <c r="B92" s="613" t="s">
        <v>873</v>
      </c>
    </row>
    <row r="93" spans="2:19" x14ac:dyDescent="0.25">
      <c r="B93" s="613" t="s">
        <v>685</v>
      </c>
    </row>
    <row r="94" spans="2:19" x14ac:dyDescent="0.25">
      <c r="B94" s="619"/>
      <c r="C94" s="586"/>
      <c r="D94" s="496"/>
      <c r="E94" s="496"/>
      <c r="F94" s="496"/>
      <c r="G94" s="496"/>
      <c r="H94" s="496"/>
      <c r="I94" s="496"/>
    </row>
    <row r="96" spans="2:19" s="1" customFormat="1" x14ac:dyDescent="0.3">
      <c r="B96" s="613"/>
      <c r="C96" s="587" t="s">
        <v>858</v>
      </c>
      <c r="D96" s="375"/>
      <c r="E96" s="375"/>
      <c r="F96" s="375"/>
      <c r="G96" s="375"/>
      <c r="H96" s="375"/>
      <c r="I96" s="375"/>
      <c r="J96" s="375"/>
      <c r="K96" s="375"/>
      <c r="L96" s="375"/>
      <c r="M96" s="375"/>
      <c r="N96" s="425"/>
      <c r="O96" s="425"/>
      <c r="P96" s="425"/>
      <c r="Q96" s="425"/>
      <c r="R96" s="425"/>
      <c r="S96" s="425"/>
    </row>
    <row r="97" spans="2:21" s="1" customFormat="1" x14ac:dyDescent="0.3">
      <c r="B97" s="613"/>
      <c r="C97" s="375"/>
      <c r="D97" s="375"/>
      <c r="E97" s="375"/>
      <c r="F97" s="375"/>
      <c r="G97" s="375"/>
      <c r="H97" s="375"/>
      <c r="I97" s="375"/>
      <c r="J97" s="375"/>
      <c r="K97" s="375"/>
      <c r="L97" s="375"/>
      <c r="M97" s="375"/>
      <c r="N97" s="425"/>
      <c r="O97" s="425"/>
      <c r="P97" s="425"/>
      <c r="Q97" s="425"/>
      <c r="R97" s="425"/>
      <c r="S97" s="425"/>
    </row>
    <row r="98" spans="2:21" s="1" customFormat="1" x14ac:dyDescent="0.3">
      <c r="B98" s="2387" t="s">
        <v>187</v>
      </c>
      <c r="C98" s="2389" t="s">
        <v>50</v>
      </c>
      <c r="D98" s="588" t="s">
        <v>859</v>
      </c>
      <c r="E98" s="480" t="s">
        <v>186</v>
      </c>
      <c r="F98" s="1183" t="s">
        <v>426</v>
      </c>
      <c r="G98" s="1227" t="s">
        <v>427</v>
      </c>
      <c r="H98" s="1227" t="s">
        <v>428</v>
      </c>
      <c r="I98" s="1227" t="s">
        <v>429</v>
      </c>
      <c r="J98" s="375"/>
      <c r="K98" s="375"/>
      <c r="L98" s="375"/>
      <c r="M98" s="375"/>
      <c r="N98" s="425"/>
      <c r="O98" s="425"/>
      <c r="P98" s="425"/>
      <c r="Q98" s="425"/>
      <c r="R98" s="425"/>
      <c r="S98" s="2385" t="s">
        <v>1256</v>
      </c>
      <c r="T98" s="2385"/>
      <c r="U98" s="2385"/>
    </row>
    <row r="99" spans="2:21" s="1" customFormat="1" ht="28" x14ac:dyDescent="0.3">
      <c r="B99" s="2388"/>
      <c r="C99" s="2390"/>
      <c r="D99" s="589"/>
      <c r="E99" s="488" t="s">
        <v>405</v>
      </c>
      <c r="F99" s="1183" t="s">
        <v>405</v>
      </c>
      <c r="G99" s="1227" t="s">
        <v>1530</v>
      </c>
      <c r="H99" s="1227" t="s">
        <v>1530</v>
      </c>
      <c r="I99" s="1227" t="s">
        <v>1530</v>
      </c>
      <c r="J99" s="375"/>
      <c r="K99" s="375"/>
      <c r="L99" s="375"/>
      <c r="M99" s="375"/>
      <c r="N99" s="425"/>
      <c r="O99" s="425"/>
      <c r="P99" s="425"/>
      <c r="Q99" s="425"/>
      <c r="R99" s="425"/>
      <c r="S99" s="362" t="s">
        <v>746</v>
      </c>
      <c r="T99" s="362" t="s">
        <v>1254</v>
      </c>
      <c r="U99" s="639" t="s">
        <v>1255</v>
      </c>
    </row>
    <row r="100" spans="2:21" s="1" customFormat="1" x14ac:dyDescent="0.3">
      <c r="B100" s="561">
        <v>1</v>
      </c>
      <c r="C100" s="344" t="s">
        <v>864</v>
      </c>
      <c r="D100" s="582" t="s">
        <v>638</v>
      </c>
      <c r="E100" s="459">
        <f>'Add ROE'!D6</f>
        <v>0.99243378995433795</v>
      </c>
      <c r="F100" s="459">
        <f>'Add ROE'!E6</f>
        <v>0.99308675799086754</v>
      </c>
      <c r="G100" s="1230"/>
      <c r="H100" s="1230"/>
      <c r="I100" s="1230"/>
      <c r="J100" s="375"/>
      <c r="K100" s="375"/>
      <c r="L100" s="375"/>
      <c r="M100" s="375"/>
      <c r="N100" s="425"/>
      <c r="O100" s="425"/>
      <c r="P100" s="425"/>
      <c r="Q100" s="425"/>
      <c r="R100" s="425"/>
      <c r="S100" s="638" t="s">
        <v>732</v>
      </c>
      <c r="T100" s="638">
        <v>62.986586565606501</v>
      </c>
      <c r="U100" s="1042">
        <f>(1-(T100/8760))</f>
        <v>0.9928097503920541</v>
      </c>
    </row>
    <row r="101" spans="2:21" s="1" customFormat="1" x14ac:dyDescent="0.3">
      <c r="B101" s="616">
        <f>B100+1</f>
        <v>2</v>
      </c>
      <c r="C101" s="344" t="s">
        <v>862</v>
      </c>
      <c r="D101" s="582" t="s">
        <v>638</v>
      </c>
      <c r="E101" s="459">
        <f>'Add ROE'!D7</f>
        <v>0.01</v>
      </c>
      <c r="F101" s="459">
        <f>'Add ROE'!E7</f>
        <v>0.01</v>
      </c>
      <c r="G101" s="1230"/>
      <c r="H101" s="1230"/>
      <c r="I101" s="1230"/>
      <c r="J101" s="375"/>
      <c r="K101" s="375"/>
      <c r="L101" s="375"/>
      <c r="M101" s="375"/>
      <c r="N101" s="425"/>
      <c r="O101" s="425"/>
      <c r="P101" s="425"/>
      <c r="Q101" s="425"/>
      <c r="R101" s="425"/>
      <c r="S101" s="638" t="s">
        <v>733</v>
      </c>
      <c r="T101" s="638">
        <v>70.559688524228704</v>
      </c>
      <c r="U101" s="1042">
        <f>(1-(T101/8760))</f>
        <v>0.99194524103604698</v>
      </c>
    </row>
    <row r="102" spans="2:21" s="1" customFormat="1" x14ac:dyDescent="0.3">
      <c r="B102" s="616"/>
      <c r="C102" s="344"/>
      <c r="D102" s="344"/>
      <c r="E102" s="353"/>
      <c r="F102" s="353"/>
      <c r="G102" s="1228"/>
      <c r="H102" s="1228"/>
      <c r="I102" s="1228"/>
      <c r="J102" s="375"/>
      <c r="K102" s="375"/>
      <c r="L102" s="375"/>
      <c r="M102" s="375"/>
      <c r="N102" s="425"/>
      <c r="O102" s="425"/>
      <c r="P102" s="425"/>
      <c r="Q102" s="425"/>
      <c r="R102" s="425"/>
    </row>
    <row r="103" spans="2:21" s="1" customFormat="1" x14ac:dyDescent="0.3">
      <c r="B103" s="616"/>
      <c r="C103" s="458" t="s">
        <v>860</v>
      </c>
      <c r="D103" s="344"/>
      <c r="E103" s="353"/>
      <c r="F103" s="353"/>
      <c r="G103" s="1228"/>
      <c r="H103" s="1228"/>
      <c r="I103" s="1228"/>
      <c r="J103" s="375"/>
      <c r="K103" s="375"/>
      <c r="L103" s="375"/>
      <c r="M103" s="375"/>
      <c r="N103" s="425"/>
      <c r="O103" s="425"/>
      <c r="P103" s="425"/>
      <c r="Q103" s="425"/>
      <c r="R103" s="425"/>
      <c r="S103" s="425"/>
    </row>
    <row r="104" spans="2:21" s="1" customFormat="1" x14ac:dyDescent="0.3">
      <c r="B104" s="616">
        <v>3</v>
      </c>
      <c r="C104" s="344" t="s">
        <v>251</v>
      </c>
      <c r="D104" s="582" t="s">
        <v>400</v>
      </c>
      <c r="E104" s="353">
        <f>E78*E101</f>
        <v>8.2881090000000004</v>
      </c>
      <c r="F104" s="353">
        <f>H78*F101</f>
        <v>8.5548149999999996</v>
      </c>
      <c r="G104" s="1228"/>
      <c r="H104" s="1228"/>
      <c r="I104" s="1228"/>
      <c r="J104" s="375"/>
      <c r="K104" s="375"/>
      <c r="L104" s="375"/>
      <c r="M104" s="375"/>
      <c r="N104" s="425"/>
      <c r="O104" s="425"/>
      <c r="P104" s="425"/>
      <c r="Q104" s="425"/>
      <c r="R104" s="425"/>
      <c r="S104" s="425"/>
    </row>
    <row r="105" spans="2:21" s="1" customFormat="1" x14ac:dyDescent="0.3">
      <c r="B105" s="616">
        <v>4</v>
      </c>
      <c r="C105" s="344" t="s">
        <v>252</v>
      </c>
      <c r="D105" s="582" t="s">
        <v>400</v>
      </c>
      <c r="E105" s="353">
        <f>(E80-E81)*(E101/2)</f>
        <v>0.13335300000000003</v>
      </c>
      <c r="F105" s="353">
        <f>(H80-H81)*(F101/2)</f>
        <v>0.11489096815290001</v>
      </c>
      <c r="G105" s="1228"/>
      <c r="H105" s="1228"/>
      <c r="I105" s="1228"/>
      <c r="J105" s="375"/>
      <c r="K105" s="375"/>
      <c r="L105" s="375"/>
      <c r="M105" s="375"/>
      <c r="N105" s="425"/>
      <c r="O105" s="425"/>
      <c r="P105" s="425"/>
      <c r="Q105" s="425"/>
      <c r="R105" s="425"/>
      <c r="S105" s="425"/>
    </row>
    <row r="106" spans="2:21" s="1" customFormat="1" x14ac:dyDescent="0.3">
      <c r="B106" s="618">
        <v>5</v>
      </c>
      <c r="C106" s="458" t="s">
        <v>861</v>
      </c>
      <c r="D106" s="582" t="s">
        <v>400</v>
      </c>
      <c r="E106" s="353">
        <f>E104+E105</f>
        <v>8.421462</v>
      </c>
      <c r="F106" s="353">
        <f>F104+F105</f>
        <v>8.6697059681529005</v>
      </c>
      <c r="G106" s="1228"/>
      <c r="H106" s="1228"/>
      <c r="I106" s="1228"/>
      <c r="J106" s="375"/>
      <c r="K106" s="375"/>
      <c r="L106" s="375"/>
      <c r="M106" s="375"/>
      <c r="N106" s="425"/>
      <c r="O106" s="425"/>
      <c r="P106" s="425"/>
      <c r="Q106" s="425"/>
      <c r="R106" s="425"/>
      <c r="S106" s="425"/>
    </row>
    <row r="107" spans="2:21" s="1" customFormat="1" ht="15" customHeight="1" x14ac:dyDescent="0.3">
      <c r="B107" s="402">
        <v>6</v>
      </c>
      <c r="C107" s="354" t="s">
        <v>1520</v>
      </c>
      <c r="D107" s="1043" t="s">
        <v>400</v>
      </c>
      <c r="E107" s="354">
        <f>E106+E89</f>
        <v>126.32193000000001</v>
      </c>
      <c r="F107" s="354">
        <f>F106+H89</f>
        <v>130.04558952229351</v>
      </c>
      <c r="G107" s="1229">
        <f>G106+K89</f>
        <v>124.1664566786532</v>
      </c>
      <c r="H107" s="1229">
        <f>H106+N89</f>
        <v>136.27119984939722</v>
      </c>
      <c r="I107" s="1229">
        <f>I106+P89</f>
        <v>156.99733583514123</v>
      </c>
      <c r="J107" s="375"/>
      <c r="K107" s="375"/>
      <c r="L107" s="375"/>
      <c r="M107" s="375"/>
      <c r="N107" s="425"/>
      <c r="O107" s="425"/>
      <c r="P107" s="425"/>
      <c r="Q107" s="425"/>
      <c r="R107" s="425"/>
      <c r="S107" s="425"/>
    </row>
    <row r="108" spans="2:21" s="1" customFormat="1" ht="15" customHeight="1" x14ac:dyDescent="0.3">
      <c r="B108" s="620" t="s">
        <v>887</v>
      </c>
      <c r="C108" s="375"/>
      <c r="D108" s="375"/>
      <c r="E108" s="375"/>
      <c r="F108" s="375"/>
      <c r="G108" s="375"/>
      <c r="H108" s="375"/>
      <c r="I108" s="375"/>
      <c r="J108" s="375"/>
      <c r="K108" s="375"/>
      <c r="L108" s="375"/>
      <c r="M108" s="375"/>
      <c r="N108" s="425"/>
      <c r="O108" s="425"/>
      <c r="P108" s="425"/>
      <c r="Q108" s="425"/>
      <c r="R108" s="425"/>
      <c r="S108" s="425"/>
    </row>
    <row r="110" spans="2:21" x14ac:dyDescent="0.25">
      <c r="B110" s="614" t="s">
        <v>284</v>
      </c>
    </row>
    <row r="111" spans="2:21" ht="15" customHeight="1" x14ac:dyDescent="0.25">
      <c r="P111" s="398" t="s">
        <v>16</v>
      </c>
    </row>
    <row r="112" spans="2:21" ht="15" customHeight="1" x14ac:dyDescent="0.25">
      <c r="B112" s="2387" t="s">
        <v>190</v>
      </c>
      <c r="C112" s="2194" t="s">
        <v>50</v>
      </c>
      <c r="D112" s="2263" t="s">
        <v>186</v>
      </c>
      <c r="E112" s="2264"/>
      <c r="F112" s="2265"/>
      <c r="G112" s="2263" t="s">
        <v>426</v>
      </c>
      <c r="H112" s="2264"/>
      <c r="I112" s="2265"/>
      <c r="J112" s="2263" t="s">
        <v>427</v>
      </c>
      <c r="K112" s="2264"/>
      <c r="L112" s="2265"/>
      <c r="M112" s="2263" t="s">
        <v>428</v>
      </c>
      <c r="N112" s="2265"/>
      <c r="O112" s="2263" t="s">
        <v>429</v>
      </c>
      <c r="P112" s="2265"/>
      <c r="Q112" s="2392" t="s">
        <v>39</v>
      </c>
    </row>
    <row r="113" spans="2:19" ht="28" x14ac:dyDescent="0.25">
      <c r="B113" s="2391"/>
      <c r="C113" s="2195"/>
      <c r="D113" s="517" t="s">
        <v>404</v>
      </c>
      <c r="E113" s="518" t="s">
        <v>405</v>
      </c>
      <c r="F113" s="518" t="s">
        <v>406</v>
      </c>
      <c r="G113" s="517" t="s">
        <v>404</v>
      </c>
      <c r="H113" s="518" t="s">
        <v>405</v>
      </c>
      <c r="I113" s="518" t="s">
        <v>406</v>
      </c>
      <c r="J113" s="518" t="s">
        <v>404</v>
      </c>
      <c r="K113" s="518" t="s">
        <v>72</v>
      </c>
      <c r="L113" s="518" t="s">
        <v>409</v>
      </c>
      <c r="M113" s="518" t="s">
        <v>404</v>
      </c>
      <c r="N113" s="518" t="s">
        <v>805</v>
      </c>
      <c r="O113" s="518" t="s">
        <v>404</v>
      </c>
      <c r="P113" s="518" t="s">
        <v>805</v>
      </c>
      <c r="Q113" s="2393"/>
    </row>
    <row r="114" spans="2:19" x14ac:dyDescent="0.25">
      <c r="B114" s="2388"/>
      <c r="C114" s="2196"/>
      <c r="D114" s="518" t="s">
        <v>73</v>
      </c>
      <c r="E114" s="518" t="s">
        <v>74</v>
      </c>
      <c r="F114" s="518" t="s">
        <v>806</v>
      </c>
      <c r="G114" s="518" t="s">
        <v>411</v>
      </c>
      <c r="H114" s="518" t="s">
        <v>412</v>
      </c>
      <c r="I114" s="518" t="s">
        <v>439</v>
      </c>
      <c r="J114" s="518" t="s">
        <v>668</v>
      </c>
      <c r="K114" s="518" t="s">
        <v>582</v>
      </c>
      <c r="L114" s="518" t="s">
        <v>857</v>
      </c>
      <c r="M114" s="518" t="s">
        <v>782</v>
      </c>
      <c r="N114" s="518" t="s">
        <v>583</v>
      </c>
      <c r="O114" s="518" t="s">
        <v>760</v>
      </c>
      <c r="P114" s="518" t="s">
        <v>585</v>
      </c>
      <c r="Q114" s="2394"/>
    </row>
    <row r="115" spans="2:19" x14ac:dyDescent="0.25">
      <c r="B115" s="616">
        <v>1</v>
      </c>
      <c r="C115" s="344" t="s">
        <v>749</v>
      </c>
      <c r="D115" s="353">
        <f>D156*10%</f>
        <v>91.105999999999995</v>
      </c>
      <c r="E115" s="390">
        <f>E156*10%</f>
        <v>92.090100000000007</v>
      </c>
      <c r="F115" s="390">
        <f>E115-D115</f>
        <v>0.98410000000001219</v>
      </c>
      <c r="G115" s="353">
        <f>918.55*(10%)</f>
        <v>91.855000000000004</v>
      </c>
      <c r="H115" s="390">
        <f>H156*10%</f>
        <v>95.0535</v>
      </c>
      <c r="I115" s="390">
        <f>H115-G115</f>
        <v>3.1984999999999957</v>
      </c>
      <c r="J115" s="353">
        <f>924.11*(10%)</f>
        <v>92.411000000000001</v>
      </c>
      <c r="K115" s="390">
        <f>H119</f>
        <v>97.606632625619994</v>
      </c>
      <c r="L115" s="390">
        <f>K115-J115</f>
        <v>5.195632625619993</v>
      </c>
      <c r="M115" s="353">
        <f>929.74*(10%)</f>
        <v>92.974000000000004</v>
      </c>
      <c r="N115" s="390">
        <f>K119</f>
        <v>99.482981150019995</v>
      </c>
      <c r="O115" s="353">
        <f>935.33*(10%)</f>
        <v>93.533000000000015</v>
      </c>
      <c r="P115" s="390">
        <f>N119</f>
        <v>116.82051067441999</v>
      </c>
      <c r="Q115" s="353"/>
    </row>
    <row r="116" spans="2:19" x14ac:dyDescent="0.25">
      <c r="B116" s="616">
        <f>B115+1</f>
        <v>2</v>
      </c>
      <c r="C116" s="344" t="s">
        <v>1528</v>
      </c>
      <c r="D116" s="353">
        <f t="shared" ref="D116:E118" si="13">D157*10%</f>
        <v>0</v>
      </c>
      <c r="E116" s="390">
        <f t="shared" si="13"/>
        <v>12.355000000000002</v>
      </c>
      <c r="F116" s="390">
        <f t="shared" ref="F116:F126" si="14">E116-D116</f>
        <v>12.355000000000002</v>
      </c>
      <c r="G116" s="353">
        <f>0*(10%)</f>
        <v>0</v>
      </c>
      <c r="H116" s="390">
        <f>H157*10%</f>
        <v>10.480562230000002</v>
      </c>
      <c r="I116" s="390">
        <f t="shared" ref="I116:I126" si="15">H116-G116</f>
        <v>10.480562230000002</v>
      </c>
      <c r="J116" s="353">
        <f>0*(10%)</f>
        <v>0</v>
      </c>
      <c r="K116" s="390">
        <f>K157*10%</f>
        <v>12.821562229999998</v>
      </c>
      <c r="L116" s="390">
        <f t="shared" ref="L116:L126" si="16">K116-J116</f>
        <v>12.821562229999998</v>
      </c>
      <c r="M116" s="353">
        <f>0*(10%)</f>
        <v>0</v>
      </c>
      <c r="N116" s="390">
        <f>N157*10%</f>
        <v>64.358832230000004</v>
      </c>
      <c r="O116" s="353">
        <f>0*(10%)</f>
        <v>0</v>
      </c>
      <c r="P116" s="390">
        <f>P157*10%</f>
        <v>58.437397230000002</v>
      </c>
      <c r="Q116" s="353"/>
    </row>
    <row r="117" spans="2:19" x14ac:dyDescent="0.25">
      <c r="B117" s="616">
        <f t="shared" ref="B117:B126" si="17">B116+1</f>
        <v>3</v>
      </c>
      <c r="C117" s="344" t="s">
        <v>750</v>
      </c>
      <c r="D117" s="353">
        <f t="shared" si="13"/>
        <v>1.9350000000000003</v>
      </c>
      <c r="E117" s="390">
        <f t="shared" si="13"/>
        <v>3.7065000000000006</v>
      </c>
      <c r="F117" s="390">
        <f t="shared" si="14"/>
        <v>1.7715000000000003</v>
      </c>
      <c r="G117" s="353">
        <f>17.41*(10%)</f>
        <v>1.7410000000000001</v>
      </c>
      <c r="H117" s="390">
        <f>H158*10%</f>
        <v>3.1441686690000004</v>
      </c>
      <c r="I117" s="390">
        <f t="shared" si="15"/>
        <v>1.4031686690000003</v>
      </c>
      <c r="J117" s="353">
        <f>17.48*(10%)</f>
        <v>1.7480000000000002</v>
      </c>
      <c r="K117" s="390">
        <f>K116*30%</f>
        <v>3.8464686689999992</v>
      </c>
      <c r="L117" s="390">
        <f t="shared" si="16"/>
        <v>2.098468668999999</v>
      </c>
      <c r="M117" s="353">
        <f>17.45*(10%)</f>
        <v>1.7450000000000001</v>
      </c>
      <c r="N117" s="390">
        <f>N116*30%</f>
        <v>19.307649669</v>
      </c>
      <c r="O117" s="353">
        <f>17.42*(10%)</f>
        <v>1.7420000000000002</v>
      </c>
      <c r="P117" s="390">
        <f>P116*30%</f>
        <v>17.531219169</v>
      </c>
      <c r="Q117" s="353"/>
    </row>
    <row r="118" spans="2:19" ht="28" x14ac:dyDescent="0.3">
      <c r="B118" s="617">
        <f t="shared" si="17"/>
        <v>4</v>
      </c>
      <c r="C118" s="585" t="s">
        <v>54</v>
      </c>
      <c r="D118" s="353">
        <f t="shared" si="13"/>
        <v>1.1850000000000001</v>
      </c>
      <c r="E118" s="390">
        <f t="shared" si="13"/>
        <v>0.74309999999999998</v>
      </c>
      <c r="F118" s="390">
        <f t="shared" si="14"/>
        <v>-0.44190000000000007</v>
      </c>
      <c r="G118" s="353">
        <f>11.85*(10%)</f>
        <v>1.1850000000000001</v>
      </c>
      <c r="H118" s="390">
        <f>H159*10%</f>
        <v>0.59103604338000004</v>
      </c>
      <c r="I118" s="390">
        <f t="shared" si="15"/>
        <v>-0.59396395662000001</v>
      </c>
      <c r="J118" s="353">
        <f>11.85*(10%)</f>
        <v>1.1850000000000001</v>
      </c>
      <c r="K118" s="390">
        <f>K159*10%</f>
        <v>1.9701201446000003</v>
      </c>
      <c r="L118" s="390">
        <f t="shared" si="16"/>
        <v>0.78512014460000024</v>
      </c>
      <c r="M118" s="353">
        <f>11.85*(10%)</f>
        <v>1.1850000000000001</v>
      </c>
      <c r="N118" s="390">
        <f>N159*10%</f>
        <v>1.9701201446000003</v>
      </c>
      <c r="O118" s="353">
        <f>11.85*(10%)</f>
        <v>1.1850000000000001</v>
      </c>
      <c r="P118" s="390">
        <f>P159*10%</f>
        <v>1.9701201446000003</v>
      </c>
      <c r="Q118" s="353"/>
    </row>
    <row r="119" spans="2:19" x14ac:dyDescent="0.25">
      <c r="B119" s="616">
        <f t="shared" si="17"/>
        <v>5</v>
      </c>
      <c r="C119" s="344" t="s">
        <v>55</v>
      </c>
      <c r="D119" s="353">
        <f>D115+D117-D118</f>
        <v>91.855999999999995</v>
      </c>
      <c r="E119" s="353">
        <f>E115+E117-E118</f>
        <v>95.053500000000014</v>
      </c>
      <c r="F119" s="390">
        <f t="shared" si="14"/>
        <v>3.1975000000000193</v>
      </c>
      <c r="G119" s="353">
        <f>924.11*(10%)</f>
        <v>92.411000000000001</v>
      </c>
      <c r="H119" s="353">
        <f>H115+H117-H118</f>
        <v>97.606632625619994</v>
      </c>
      <c r="I119" s="390">
        <f t="shared" si="15"/>
        <v>5.195632625619993</v>
      </c>
      <c r="J119" s="353">
        <f>929.74*(10%)</f>
        <v>92.974000000000004</v>
      </c>
      <c r="K119" s="353">
        <f>K115+K117-K118</f>
        <v>99.482981150019995</v>
      </c>
      <c r="L119" s="390">
        <f t="shared" si="16"/>
        <v>6.5089811500199914</v>
      </c>
      <c r="M119" s="353">
        <f>935.33*(10%)</f>
        <v>93.533000000000015</v>
      </c>
      <c r="N119" s="353">
        <f>N115+N117-N118</f>
        <v>116.82051067441999</v>
      </c>
      <c r="O119" s="353">
        <f>940.89*(10%)</f>
        <v>94.088999999999999</v>
      </c>
      <c r="P119" s="353">
        <f>P115+P117-P118</f>
        <v>132.38160969882</v>
      </c>
      <c r="Q119" s="353"/>
    </row>
    <row r="120" spans="2:19" x14ac:dyDescent="0.25">
      <c r="B120" s="616"/>
      <c r="C120" s="344"/>
      <c r="D120" s="390"/>
      <c r="E120" s="390"/>
      <c r="F120" s="390">
        <f t="shared" si="14"/>
        <v>0</v>
      </c>
      <c r="G120" s="353"/>
      <c r="H120" s="390"/>
      <c r="I120" s="390"/>
      <c r="J120" s="390"/>
      <c r="K120" s="390"/>
      <c r="L120" s="390"/>
      <c r="M120" s="390"/>
      <c r="N120" s="390"/>
      <c r="O120" s="390"/>
      <c r="P120" s="390"/>
      <c r="Q120" s="353"/>
    </row>
    <row r="121" spans="2:19" x14ac:dyDescent="0.25">
      <c r="B121" s="616"/>
      <c r="C121" s="458" t="s">
        <v>250</v>
      </c>
      <c r="D121" s="390"/>
      <c r="E121" s="390"/>
      <c r="F121" s="390">
        <f t="shared" si="14"/>
        <v>0</v>
      </c>
      <c r="G121" s="390"/>
      <c r="H121" s="390"/>
      <c r="I121" s="390">
        <f t="shared" si="15"/>
        <v>0</v>
      </c>
      <c r="J121" s="390"/>
      <c r="K121" s="390"/>
      <c r="L121" s="390">
        <f t="shared" si="16"/>
        <v>0</v>
      </c>
      <c r="M121" s="390"/>
      <c r="N121" s="390"/>
      <c r="O121" s="390"/>
      <c r="P121" s="390"/>
      <c r="Q121" s="353"/>
    </row>
    <row r="122" spans="2:19" x14ac:dyDescent="0.25">
      <c r="B122" s="616">
        <v>6</v>
      </c>
      <c r="C122" s="344" t="s">
        <v>684</v>
      </c>
      <c r="D122" s="612">
        <v>0.155</v>
      </c>
      <c r="E122" s="612">
        <v>0.155</v>
      </c>
      <c r="F122" s="612">
        <f t="shared" si="14"/>
        <v>0</v>
      </c>
      <c r="G122" s="612">
        <v>0.155</v>
      </c>
      <c r="H122" s="612">
        <v>0.155</v>
      </c>
      <c r="I122" s="612">
        <f t="shared" si="15"/>
        <v>0</v>
      </c>
      <c r="J122" s="612">
        <v>0.155</v>
      </c>
      <c r="K122" s="612">
        <v>0.155</v>
      </c>
      <c r="L122" s="612">
        <f t="shared" si="16"/>
        <v>0</v>
      </c>
      <c r="M122" s="612">
        <v>0.155</v>
      </c>
      <c r="N122" s="612">
        <v>0.155</v>
      </c>
      <c r="O122" s="612">
        <v>0.155</v>
      </c>
      <c r="P122" s="612">
        <v>0.155</v>
      </c>
      <c r="Q122" s="555"/>
    </row>
    <row r="123" spans="2:19" x14ac:dyDescent="0.25">
      <c r="B123" s="616">
        <v>7</v>
      </c>
      <c r="C123" s="344" t="s">
        <v>686</v>
      </c>
      <c r="D123" s="353">
        <f t="shared" ref="D123:E125" si="18">D164*10%</f>
        <v>0</v>
      </c>
      <c r="E123" s="353">
        <f t="shared" si="18"/>
        <v>0</v>
      </c>
      <c r="F123" s="390">
        <f t="shared" si="14"/>
        <v>0</v>
      </c>
      <c r="G123" s="353">
        <f>0*(90%)</f>
        <v>0</v>
      </c>
      <c r="H123" s="353">
        <f>H164*10%</f>
        <v>0</v>
      </c>
      <c r="I123" s="390">
        <f t="shared" si="15"/>
        <v>0</v>
      </c>
      <c r="J123" s="353">
        <f>0*(90%)</f>
        <v>0</v>
      </c>
      <c r="K123" s="353">
        <f>K164*10%</f>
        <v>0</v>
      </c>
      <c r="L123" s="390">
        <f t="shared" si="16"/>
        <v>0</v>
      </c>
      <c r="M123" s="353">
        <f>0*(90%)</f>
        <v>0</v>
      </c>
      <c r="N123" s="353">
        <f>N164*10%</f>
        <v>0</v>
      </c>
      <c r="O123" s="353">
        <f>0*(90%)</f>
        <v>0</v>
      </c>
      <c r="P123" s="353">
        <f>P164*10%</f>
        <v>0</v>
      </c>
      <c r="Q123" s="353"/>
    </row>
    <row r="124" spans="2:19" x14ac:dyDescent="0.25">
      <c r="B124" s="616">
        <v>8</v>
      </c>
      <c r="C124" s="344" t="s">
        <v>681</v>
      </c>
      <c r="D124" s="353">
        <f t="shared" si="18"/>
        <v>12.891499</v>
      </c>
      <c r="E124" s="353">
        <f>E122*E115</f>
        <v>14.273965500000001</v>
      </c>
      <c r="F124" s="390">
        <f t="shared" si="14"/>
        <v>1.3824665000000014</v>
      </c>
      <c r="G124" s="353">
        <f>G115*G122</f>
        <v>14.237525</v>
      </c>
      <c r="H124" s="353">
        <f>H115*H122</f>
        <v>14.733292499999999</v>
      </c>
      <c r="I124" s="390">
        <f t="shared" si="15"/>
        <v>0.49576749999999947</v>
      </c>
      <c r="J124" s="353">
        <f>J115*J122</f>
        <v>14.323705</v>
      </c>
      <c r="K124" s="353">
        <f>K115*K122</f>
        <v>15.1290280569711</v>
      </c>
      <c r="L124" s="390">
        <f t="shared" si="16"/>
        <v>0.8053230569710994</v>
      </c>
      <c r="M124" s="353">
        <f>M115*M122</f>
        <v>14.410970000000001</v>
      </c>
      <c r="N124" s="353">
        <f>N115*N122</f>
        <v>15.419862078253098</v>
      </c>
      <c r="O124" s="353">
        <f>O115*O122</f>
        <v>14.497615000000001</v>
      </c>
      <c r="P124" s="353">
        <f>P115*P122</f>
        <v>18.1071791545351</v>
      </c>
      <c r="Q124" s="353"/>
    </row>
    <row r="125" spans="2:19" x14ac:dyDescent="0.25">
      <c r="B125" s="616">
        <f t="shared" si="17"/>
        <v>9</v>
      </c>
      <c r="C125" s="344" t="s">
        <v>682</v>
      </c>
      <c r="D125" s="353">
        <f t="shared" si="18"/>
        <v>5.3062500000000012E-2</v>
      </c>
      <c r="E125" s="353">
        <f>(E122/2)*(E117-E118)</f>
        <v>0.22966350000000005</v>
      </c>
      <c r="F125" s="390">
        <f t="shared" si="14"/>
        <v>0.17660100000000004</v>
      </c>
      <c r="G125" s="353">
        <f>(G117-G118)*G122/2</f>
        <v>4.3090000000000003E-2</v>
      </c>
      <c r="H125" s="353">
        <f>(H122/2)*(H117-H118)</f>
        <v>0.19786777848555004</v>
      </c>
      <c r="I125" s="390">
        <f t="shared" si="15"/>
        <v>0.15477777848555002</v>
      </c>
      <c r="J125" s="353">
        <f>(J117-J118)*J122/2</f>
        <v>4.3632500000000012E-2</v>
      </c>
      <c r="K125" s="353">
        <f>(K122/2)*(K117-K118)</f>
        <v>0.14541701064099991</v>
      </c>
      <c r="L125" s="390">
        <f t="shared" si="16"/>
        <v>0.10178451064099989</v>
      </c>
      <c r="M125" s="353">
        <f>(M117-M118)*M122/2</f>
        <v>4.3400000000000001E-2</v>
      </c>
      <c r="N125" s="353">
        <f>(N122/2)*(N117-N118)</f>
        <v>1.343658538141</v>
      </c>
      <c r="O125" s="353">
        <f>(O117-O118)*O122/2</f>
        <v>4.3167500000000011E-2</v>
      </c>
      <c r="P125" s="353">
        <f>(P122/2)*(P117-P118)</f>
        <v>1.2059851743909999</v>
      </c>
      <c r="Q125" s="353"/>
    </row>
    <row r="126" spans="2:19" s="22" customFormat="1" x14ac:dyDescent="0.25">
      <c r="B126" s="618">
        <f t="shared" si="17"/>
        <v>10</v>
      </c>
      <c r="C126" s="458" t="s">
        <v>253</v>
      </c>
      <c r="D126" s="354">
        <v>14.18</v>
      </c>
      <c r="E126" s="354">
        <f>SUM(E123:E125)</f>
        <v>14.503629000000002</v>
      </c>
      <c r="F126" s="364">
        <f t="shared" si="14"/>
        <v>0.32362900000000216</v>
      </c>
      <c r="G126" s="354">
        <f>SUM(G124,G125)</f>
        <v>14.280614999999999</v>
      </c>
      <c r="H126" s="354">
        <f>SUM(H123:H125)</f>
        <v>14.931160278485549</v>
      </c>
      <c r="I126" s="364">
        <f t="shared" si="15"/>
        <v>0.65054527848555033</v>
      </c>
      <c r="J126" s="354">
        <f>SUM(J124,J125)</f>
        <v>14.3673375</v>
      </c>
      <c r="K126" s="354">
        <f>SUM(K123:K125)</f>
        <v>15.274445067612099</v>
      </c>
      <c r="L126" s="364">
        <f t="shared" si="16"/>
        <v>0.90710756761209943</v>
      </c>
      <c r="M126" s="354">
        <f>SUM(M124,M125)</f>
        <v>14.454370000000001</v>
      </c>
      <c r="N126" s="354">
        <f>SUM(N123:N125)</f>
        <v>16.7635206163941</v>
      </c>
      <c r="O126" s="354">
        <f>SUM(O124,O125)</f>
        <v>14.540782500000001</v>
      </c>
      <c r="P126" s="354">
        <f>SUM(P123:P125)</f>
        <v>19.313164328926099</v>
      </c>
      <c r="Q126" s="354"/>
      <c r="R126" s="398"/>
      <c r="S126" s="398"/>
    </row>
    <row r="129" spans="2:19" ht="27.75" customHeight="1" x14ac:dyDescent="0.25">
      <c r="C129" s="2386" t="s">
        <v>683</v>
      </c>
      <c r="D129" s="2386"/>
      <c r="E129" s="2386"/>
      <c r="F129" s="2386"/>
      <c r="G129" s="2386"/>
      <c r="H129" s="2386"/>
      <c r="I129" s="2386"/>
      <c r="J129" s="2386"/>
      <c r="K129" s="2386"/>
      <c r="L129" s="2386"/>
    </row>
    <row r="130" spans="2:19" x14ac:dyDescent="0.25">
      <c r="C130" s="375" t="s">
        <v>685</v>
      </c>
    </row>
    <row r="132" spans="2:19" s="119" customFormat="1" x14ac:dyDescent="0.3">
      <c r="B132" s="613"/>
      <c r="C132" s="587" t="s">
        <v>858</v>
      </c>
      <c r="D132" s="375"/>
      <c r="E132" s="375"/>
      <c r="F132" s="375"/>
      <c r="G132" s="426"/>
      <c r="H132" s="426"/>
      <c r="I132" s="426"/>
      <c r="J132" s="426"/>
      <c r="K132" s="426"/>
      <c r="L132" s="426"/>
      <c r="M132" s="426"/>
      <c r="N132" s="426"/>
      <c r="O132" s="426"/>
      <c r="P132" s="426"/>
      <c r="Q132" s="426"/>
      <c r="R132" s="426"/>
      <c r="S132" s="426"/>
    </row>
    <row r="133" spans="2:19" s="119" customFormat="1" x14ac:dyDescent="0.3">
      <c r="B133" s="613"/>
      <c r="C133" s="375"/>
      <c r="D133" s="375"/>
      <c r="E133" s="375"/>
      <c r="F133" s="375"/>
      <c r="G133" s="426"/>
      <c r="H133" s="426"/>
      <c r="I133" s="426"/>
      <c r="J133" s="426"/>
      <c r="K133" s="426"/>
      <c r="L133" s="426"/>
      <c r="M133" s="426"/>
      <c r="N133" s="426"/>
      <c r="O133" s="426"/>
      <c r="P133" s="426"/>
      <c r="Q133" s="426"/>
      <c r="R133" s="426"/>
      <c r="S133" s="426"/>
    </row>
    <row r="134" spans="2:19" s="119" customFormat="1" x14ac:dyDescent="0.3">
      <c r="B134" s="2387" t="s">
        <v>187</v>
      </c>
      <c r="C134" s="2389" t="s">
        <v>50</v>
      </c>
      <c r="D134" s="588" t="s">
        <v>859</v>
      </c>
      <c r="E134" s="480" t="s">
        <v>186</v>
      </c>
      <c r="F134" s="1183" t="s">
        <v>426</v>
      </c>
      <c r="G134" s="1227" t="s">
        <v>426</v>
      </c>
      <c r="H134" s="1227" t="s">
        <v>426</v>
      </c>
      <c r="I134" s="1227" t="s">
        <v>426</v>
      </c>
      <c r="J134" s="426"/>
      <c r="K134" s="426"/>
      <c r="L134" s="426"/>
      <c r="M134" s="426"/>
      <c r="N134" s="426"/>
      <c r="O134" s="426"/>
      <c r="P134" s="426"/>
      <c r="Q134" s="426"/>
      <c r="R134" s="426"/>
      <c r="S134" s="426"/>
    </row>
    <row r="135" spans="2:19" s="119" customFormat="1" ht="28" x14ac:dyDescent="0.3">
      <c r="B135" s="2388"/>
      <c r="C135" s="2390"/>
      <c r="D135" s="589"/>
      <c r="E135" s="488" t="s">
        <v>405</v>
      </c>
      <c r="F135" s="1183" t="s">
        <v>405</v>
      </c>
      <c r="G135" s="1227" t="s">
        <v>1530</v>
      </c>
      <c r="H135" s="1227" t="s">
        <v>1530</v>
      </c>
      <c r="I135" s="1227" t="s">
        <v>1530</v>
      </c>
      <c r="J135" s="426"/>
      <c r="K135" s="426"/>
      <c r="L135" s="426"/>
      <c r="M135" s="426"/>
      <c r="N135" s="426"/>
      <c r="O135" s="426"/>
      <c r="P135" s="426"/>
      <c r="Q135" s="426"/>
      <c r="R135" s="426"/>
      <c r="S135" s="426"/>
    </row>
    <row r="136" spans="2:19" s="119" customFormat="1" x14ac:dyDescent="0.3">
      <c r="B136" s="561">
        <v>1</v>
      </c>
      <c r="C136" s="344" t="s">
        <v>865</v>
      </c>
      <c r="D136" s="582" t="s">
        <v>638</v>
      </c>
      <c r="E136" s="1169">
        <f>'Add ROE'!F21</f>
        <v>0.28581096241425785</v>
      </c>
      <c r="F136" s="1169">
        <v>1.6799999999999999E-2</v>
      </c>
      <c r="G136" s="1230"/>
      <c r="H136" s="1230"/>
      <c r="I136" s="1230"/>
      <c r="J136" s="426"/>
      <c r="K136" s="426"/>
      <c r="L136" s="426"/>
      <c r="M136" s="426"/>
      <c r="N136" s="426"/>
      <c r="O136" s="426"/>
      <c r="P136" s="426"/>
      <c r="Q136" s="426"/>
      <c r="R136" s="426"/>
      <c r="S136" s="426"/>
    </row>
    <row r="137" spans="2:19" s="119" customFormat="1" x14ac:dyDescent="0.3">
      <c r="B137" s="616">
        <f>B136+1</f>
        <v>2</v>
      </c>
      <c r="C137" s="344" t="s">
        <v>868</v>
      </c>
      <c r="D137" s="582" t="s">
        <v>638</v>
      </c>
      <c r="E137" s="1169">
        <f>'Add ROE'!F23</f>
        <v>0</v>
      </c>
      <c r="F137" s="1169">
        <f>'Add ROE'!G23</f>
        <v>0.01</v>
      </c>
      <c r="G137" s="1230"/>
      <c r="H137" s="1230"/>
      <c r="I137" s="1230"/>
      <c r="J137" s="426"/>
      <c r="K137" s="426"/>
      <c r="L137" s="426"/>
      <c r="M137" s="426"/>
      <c r="N137" s="426"/>
      <c r="O137" s="426"/>
      <c r="P137" s="426"/>
      <c r="Q137" s="426"/>
      <c r="R137" s="426"/>
      <c r="S137" s="426"/>
    </row>
    <row r="138" spans="2:19" s="119" customFormat="1" x14ac:dyDescent="0.3">
      <c r="B138" s="616"/>
      <c r="C138" s="344"/>
      <c r="D138" s="344"/>
      <c r="E138" s="1169"/>
      <c r="F138" s="1169"/>
      <c r="G138" s="1230"/>
      <c r="H138" s="1230"/>
      <c r="I138" s="1230"/>
      <c r="J138" s="426"/>
      <c r="K138" s="426"/>
      <c r="L138" s="426"/>
      <c r="M138" s="426"/>
      <c r="N138" s="426"/>
      <c r="O138" s="426"/>
      <c r="P138" s="426"/>
      <c r="Q138" s="426"/>
      <c r="R138" s="426"/>
      <c r="S138" s="426"/>
    </row>
    <row r="139" spans="2:19" s="119" customFormat="1" x14ac:dyDescent="0.3">
      <c r="B139" s="616">
        <v>3</v>
      </c>
      <c r="C139" s="344" t="s">
        <v>866</v>
      </c>
      <c r="D139" s="582" t="s">
        <v>638</v>
      </c>
      <c r="E139" s="1169">
        <f>'F16'!AF85</f>
        <v>0.9413401026695899</v>
      </c>
      <c r="F139" s="1169">
        <f>'F16'!AF127</f>
        <v>1.0124758118393378</v>
      </c>
      <c r="G139" s="1230"/>
      <c r="H139" s="1230"/>
      <c r="I139" s="1230"/>
      <c r="J139" s="426"/>
      <c r="K139" s="426"/>
      <c r="L139" s="426"/>
      <c r="M139" s="426"/>
      <c r="N139" s="426"/>
      <c r="O139" s="426"/>
      <c r="P139" s="426"/>
      <c r="Q139" s="426"/>
      <c r="R139" s="426"/>
      <c r="S139" s="426"/>
    </row>
    <row r="140" spans="2:19" s="119" customFormat="1" x14ac:dyDescent="0.3">
      <c r="B140" s="616">
        <v>4</v>
      </c>
      <c r="C140" s="344" t="s">
        <v>867</v>
      </c>
      <c r="D140" s="582" t="s">
        <v>638</v>
      </c>
      <c r="E140" s="1169">
        <f>'Add ROE'!F30</f>
        <v>0</v>
      </c>
      <c r="F140" s="1169">
        <f>'Add ROE'!G30</f>
        <v>0.01</v>
      </c>
      <c r="G140" s="1230"/>
      <c r="H140" s="1230"/>
      <c r="I140" s="1230"/>
      <c r="J140" s="426"/>
      <c r="K140" s="426"/>
      <c r="L140" s="426"/>
      <c r="M140" s="426"/>
      <c r="N140" s="426"/>
      <c r="O140" s="426"/>
      <c r="P140" s="426"/>
      <c r="Q140" s="426"/>
      <c r="R140" s="426"/>
      <c r="S140" s="426"/>
    </row>
    <row r="141" spans="2:19" s="119" customFormat="1" x14ac:dyDescent="0.3">
      <c r="B141" s="616"/>
      <c r="C141" s="344"/>
      <c r="D141" s="344"/>
      <c r="E141" s="1169"/>
      <c r="F141" s="1169"/>
      <c r="G141" s="1230"/>
      <c r="H141" s="1230"/>
      <c r="I141" s="1230"/>
      <c r="J141" s="426"/>
      <c r="K141" s="426"/>
      <c r="L141" s="426"/>
      <c r="M141" s="426"/>
      <c r="N141" s="426"/>
      <c r="O141" s="426"/>
      <c r="P141" s="426"/>
      <c r="Q141" s="426"/>
      <c r="R141" s="426"/>
      <c r="S141" s="426"/>
    </row>
    <row r="142" spans="2:19" s="119" customFormat="1" x14ac:dyDescent="0.3">
      <c r="B142" s="616">
        <v>5</v>
      </c>
      <c r="C142" s="344" t="s">
        <v>869</v>
      </c>
      <c r="D142" s="582" t="s">
        <v>638</v>
      </c>
      <c r="E142" s="1169">
        <f>E140+E137</f>
        <v>0</v>
      </c>
      <c r="F142" s="1169">
        <f>F140+F137</f>
        <v>0.02</v>
      </c>
      <c r="G142" s="1230"/>
      <c r="H142" s="1230"/>
      <c r="I142" s="1230"/>
      <c r="J142" s="426"/>
      <c r="K142" s="426"/>
      <c r="L142" s="426"/>
      <c r="M142" s="426"/>
      <c r="N142" s="426"/>
      <c r="O142" s="426"/>
      <c r="P142" s="426"/>
      <c r="Q142" s="426"/>
      <c r="R142" s="426"/>
      <c r="S142" s="426"/>
    </row>
    <row r="143" spans="2:19" s="119" customFormat="1" x14ac:dyDescent="0.3">
      <c r="B143" s="616"/>
      <c r="C143" s="344"/>
      <c r="D143" s="344"/>
      <c r="E143" s="374"/>
      <c r="F143" s="374"/>
      <c r="G143" s="1228"/>
      <c r="H143" s="1228"/>
      <c r="I143" s="1228"/>
      <c r="J143" s="426"/>
      <c r="K143" s="426"/>
      <c r="L143" s="426"/>
      <c r="M143" s="426"/>
      <c r="N143" s="426"/>
      <c r="O143" s="426"/>
      <c r="P143" s="426"/>
      <c r="Q143" s="426"/>
      <c r="R143" s="426"/>
      <c r="S143" s="426"/>
    </row>
    <row r="144" spans="2:19" s="119" customFormat="1" x14ac:dyDescent="0.3">
      <c r="B144" s="616"/>
      <c r="C144" s="458" t="s">
        <v>860</v>
      </c>
      <c r="D144" s="344"/>
      <c r="E144" s="374"/>
      <c r="F144" s="374"/>
      <c r="G144" s="1228"/>
      <c r="H144" s="1228"/>
      <c r="I144" s="1228"/>
      <c r="J144" s="426"/>
      <c r="K144" s="426"/>
      <c r="L144" s="426"/>
      <c r="M144" s="426"/>
      <c r="N144" s="426"/>
      <c r="O144" s="426"/>
      <c r="P144" s="426"/>
      <c r="Q144" s="426"/>
      <c r="R144" s="426"/>
      <c r="S144" s="426"/>
    </row>
    <row r="145" spans="2:19" s="119" customFormat="1" x14ac:dyDescent="0.3">
      <c r="B145" s="616">
        <v>6</v>
      </c>
      <c r="C145" s="344" t="s">
        <v>251</v>
      </c>
      <c r="D145" s="582" t="s">
        <v>400</v>
      </c>
      <c r="E145" s="374">
        <f>E115*E142</f>
        <v>0</v>
      </c>
      <c r="F145" s="374">
        <f>H115*F142</f>
        <v>1.90107</v>
      </c>
      <c r="G145" s="1228"/>
      <c r="H145" s="1228"/>
      <c r="I145" s="1228"/>
      <c r="J145" s="426"/>
      <c r="K145" s="426"/>
      <c r="L145" s="426"/>
      <c r="M145" s="426"/>
      <c r="N145" s="426"/>
      <c r="O145" s="426"/>
      <c r="P145" s="426"/>
      <c r="Q145" s="426"/>
      <c r="R145" s="426"/>
      <c r="S145" s="426"/>
    </row>
    <row r="146" spans="2:19" s="119" customFormat="1" x14ac:dyDescent="0.3">
      <c r="B146" s="616">
        <v>7</v>
      </c>
      <c r="C146" s="344" t="s">
        <v>252</v>
      </c>
      <c r="D146" s="582" t="s">
        <v>400</v>
      </c>
      <c r="E146" s="353">
        <f>(E117-E118)*(E142/2)</f>
        <v>0</v>
      </c>
      <c r="F146" s="353">
        <f>(H117-H118)*(F142/2)</f>
        <v>2.5531326256200006E-2</v>
      </c>
      <c r="G146" s="1228"/>
      <c r="H146" s="1228"/>
      <c r="I146" s="1228"/>
      <c r="J146" s="426"/>
      <c r="K146" s="426"/>
      <c r="L146" s="426"/>
      <c r="M146" s="426"/>
      <c r="N146" s="426"/>
      <c r="O146" s="426"/>
      <c r="P146" s="426"/>
      <c r="Q146" s="426"/>
      <c r="R146" s="426"/>
      <c r="S146" s="426"/>
    </row>
    <row r="147" spans="2:19" s="119" customFormat="1" x14ac:dyDescent="0.3">
      <c r="B147" s="618">
        <v>8</v>
      </c>
      <c r="C147" s="458" t="s">
        <v>861</v>
      </c>
      <c r="D147" s="582" t="s">
        <v>400</v>
      </c>
      <c r="E147" s="353">
        <f>E145+E146</f>
        <v>0</v>
      </c>
      <c r="F147" s="353">
        <f>F145+F146</f>
        <v>1.9266013262562001</v>
      </c>
      <c r="G147" s="1228"/>
      <c r="H147" s="1228"/>
      <c r="I147" s="1228"/>
      <c r="J147" s="426"/>
      <c r="K147" s="426"/>
      <c r="L147" s="426"/>
      <c r="M147" s="426"/>
      <c r="N147" s="426"/>
      <c r="O147" s="426"/>
      <c r="P147" s="426"/>
      <c r="Q147" s="426"/>
      <c r="R147" s="426"/>
      <c r="S147" s="426"/>
    </row>
    <row r="148" spans="2:19" x14ac:dyDescent="0.25">
      <c r="B148" s="1094">
        <v>9</v>
      </c>
      <c r="C148" s="354" t="s">
        <v>1521</v>
      </c>
      <c r="D148" s="1043" t="s">
        <v>400</v>
      </c>
      <c r="E148" s="354">
        <f>E147+E126</f>
        <v>14.503629000000002</v>
      </c>
      <c r="F148" s="354">
        <f>F147+H126</f>
        <v>16.85776160474175</v>
      </c>
      <c r="G148" s="1229">
        <f>G147+K126</f>
        <v>15.274445067612099</v>
      </c>
      <c r="H148" s="1229">
        <f>H147+N126</f>
        <v>16.7635206163941</v>
      </c>
      <c r="I148" s="1229">
        <f>I147+P126</f>
        <v>19.313164328926099</v>
      </c>
    </row>
    <row r="149" spans="2:19" x14ac:dyDescent="0.25">
      <c r="B149" s="621" t="s">
        <v>888</v>
      </c>
      <c r="G149" s="635"/>
    </row>
    <row r="151" spans="2:19" x14ac:dyDescent="0.25">
      <c r="B151" s="614" t="s">
        <v>1240</v>
      </c>
    </row>
    <row r="152" spans="2:19" x14ac:dyDescent="0.25">
      <c r="I152" s="398"/>
    </row>
    <row r="153" spans="2:19" x14ac:dyDescent="0.25">
      <c r="B153" s="2387" t="s">
        <v>190</v>
      </c>
      <c r="C153" s="2194" t="s">
        <v>50</v>
      </c>
      <c r="D153" s="2263" t="s">
        <v>186</v>
      </c>
      <c r="E153" s="2264"/>
      <c r="F153" s="2265"/>
      <c r="G153" s="2263" t="s">
        <v>426</v>
      </c>
      <c r="H153" s="2264"/>
      <c r="I153" s="2265"/>
      <c r="J153" s="2263" t="s">
        <v>427</v>
      </c>
      <c r="K153" s="2264"/>
      <c r="L153" s="2265"/>
      <c r="M153" s="2263" t="s">
        <v>428</v>
      </c>
      <c r="N153" s="2265"/>
      <c r="O153" s="2263" t="s">
        <v>429</v>
      </c>
      <c r="P153" s="2265"/>
      <c r="Q153" s="2392" t="s">
        <v>39</v>
      </c>
    </row>
    <row r="154" spans="2:19" ht="28" x14ac:dyDescent="0.25">
      <c r="B154" s="2391"/>
      <c r="C154" s="2195"/>
      <c r="D154" s="517" t="s">
        <v>404</v>
      </c>
      <c r="E154" s="518" t="s">
        <v>405</v>
      </c>
      <c r="F154" s="518" t="s">
        <v>406</v>
      </c>
      <c r="G154" s="517" t="s">
        <v>404</v>
      </c>
      <c r="H154" s="518" t="s">
        <v>405</v>
      </c>
      <c r="I154" s="518" t="s">
        <v>406</v>
      </c>
      <c r="J154" s="1150" t="s">
        <v>404</v>
      </c>
      <c r="K154" s="1150" t="s">
        <v>72</v>
      </c>
      <c r="L154" s="1150" t="s">
        <v>409</v>
      </c>
      <c r="M154" s="1150" t="s">
        <v>404</v>
      </c>
      <c r="N154" s="1150" t="s">
        <v>805</v>
      </c>
      <c r="O154" s="1150" t="s">
        <v>404</v>
      </c>
      <c r="P154" s="1150" t="s">
        <v>805</v>
      </c>
      <c r="Q154" s="2393"/>
    </row>
    <row r="155" spans="2:19" x14ac:dyDescent="0.25">
      <c r="B155" s="2388"/>
      <c r="C155" s="2196"/>
      <c r="D155" s="518" t="s">
        <v>73</v>
      </c>
      <c r="E155" s="518" t="s">
        <v>74</v>
      </c>
      <c r="F155" s="518" t="s">
        <v>806</v>
      </c>
      <c r="G155" s="518" t="s">
        <v>411</v>
      </c>
      <c r="H155" s="518" t="s">
        <v>412</v>
      </c>
      <c r="I155" s="518" t="s">
        <v>439</v>
      </c>
      <c r="J155" s="1150" t="s">
        <v>668</v>
      </c>
      <c r="K155" s="1150" t="s">
        <v>582</v>
      </c>
      <c r="L155" s="1150" t="s">
        <v>857</v>
      </c>
      <c r="M155" s="1150" t="s">
        <v>782</v>
      </c>
      <c r="N155" s="1150" t="s">
        <v>583</v>
      </c>
      <c r="O155" s="1150" t="s">
        <v>760</v>
      </c>
      <c r="P155" s="1150" t="s">
        <v>585</v>
      </c>
      <c r="Q155" s="2394"/>
    </row>
    <row r="156" spans="2:19" x14ac:dyDescent="0.25">
      <c r="B156" s="616">
        <v>1</v>
      </c>
      <c r="C156" s="344" t="s">
        <v>749</v>
      </c>
      <c r="D156" s="353">
        <v>911.06</v>
      </c>
      <c r="E156" s="390">
        <f>E57</f>
        <v>920.90099999999995</v>
      </c>
      <c r="F156" s="390">
        <f>E156-D156</f>
        <v>9.8410000000000082</v>
      </c>
      <c r="G156" s="353">
        <v>918.55</v>
      </c>
      <c r="H156" s="390">
        <f>E160</f>
        <v>950.53499999999997</v>
      </c>
      <c r="I156" s="390">
        <f>H156-G156</f>
        <v>31.985000000000014</v>
      </c>
      <c r="J156" s="353">
        <f>924.11</f>
        <v>924.11</v>
      </c>
      <c r="K156" s="390">
        <f>H160</f>
        <v>976.0663262562</v>
      </c>
      <c r="L156" s="390">
        <f>K156-J156</f>
        <v>51.956326256199986</v>
      </c>
      <c r="M156" s="353">
        <f>929.74</f>
        <v>929.74</v>
      </c>
      <c r="N156" s="390">
        <f>K160</f>
        <v>994.82981150019998</v>
      </c>
      <c r="O156" s="353">
        <f>935.33</f>
        <v>935.33</v>
      </c>
      <c r="P156" s="390">
        <f>N160</f>
        <v>1168.2051067442001</v>
      </c>
      <c r="Q156" s="353"/>
    </row>
    <row r="157" spans="2:19" x14ac:dyDescent="0.25">
      <c r="B157" s="616">
        <f>B156+1</f>
        <v>2</v>
      </c>
      <c r="C157" s="344" t="s">
        <v>1529</v>
      </c>
      <c r="D157" s="353">
        <f>0*(90%)</f>
        <v>0</v>
      </c>
      <c r="E157" s="390">
        <f>'F4'!H45-SUM(Grant!E3:E5)</f>
        <v>123.55000000000001</v>
      </c>
      <c r="F157" s="390">
        <f t="shared" ref="F157:F162" si="19">E157-D157</f>
        <v>123.55000000000001</v>
      </c>
      <c r="G157" s="353">
        <f>0*(90%)</f>
        <v>0</v>
      </c>
      <c r="H157" s="390">
        <f>'F4'!K45-SUM(Grant!F3:F5)</f>
        <v>104.80562230000001</v>
      </c>
      <c r="I157" s="390">
        <f t="shared" ref="I157:I162" si="20">H157-G157</f>
        <v>104.80562230000001</v>
      </c>
      <c r="J157" s="353">
        <f>0</f>
        <v>0</v>
      </c>
      <c r="K157" s="390">
        <f>'F4'!P45-SUM(Grant!G3:G5)</f>
        <v>128.21562229999998</v>
      </c>
      <c r="L157" s="390">
        <f>K157-J157</f>
        <v>128.21562229999998</v>
      </c>
      <c r="M157" s="353">
        <f>0</f>
        <v>0</v>
      </c>
      <c r="N157" s="390">
        <f>'F4'!S45-SUM(Grant!H3:H5)</f>
        <v>643.58832230000007</v>
      </c>
      <c r="O157" s="353">
        <f>0</f>
        <v>0</v>
      </c>
      <c r="P157" s="390">
        <f>'F4'!U45-SUM(Grant!I3:I5)</f>
        <v>584.37397229999999</v>
      </c>
      <c r="Q157" s="353"/>
    </row>
    <row r="158" spans="2:19" x14ac:dyDescent="0.25">
      <c r="B158" s="616">
        <f t="shared" ref="B158:B167" si="21">B157+1</f>
        <v>3</v>
      </c>
      <c r="C158" s="344" t="s">
        <v>750</v>
      </c>
      <c r="D158" s="353">
        <v>19.350000000000001</v>
      </c>
      <c r="E158" s="390">
        <f>E157*30%</f>
        <v>37.065000000000005</v>
      </c>
      <c r="F158" s="390">
        <f t="shared" si="19"/>
        <v>17.715000000000003</v>
      </c>
      <c r="G158" s="353">
        <v>17.41</v>
      </c>
      <c r="H158" s="390">
        <f>H157*30%</f>
        <v>31.441686690000001</v>
      </c>
      <c r="I158" s="390">
        <f t="shared" si="20"/>
        <v>14.031686690000001</v>
      </c>
      <c r="J158" s="353">
        <f>17.48</f>
        <v>17.48</v>
      </c>
      <c r="K158" s="390">
        <f>K157*30%</f>
        <v>38.464686689999994</v>
      </c>
      <c r="L158" s="390">
        <f>K158-J158</f>
        <v>20.984686689999993</v>
      </c>
      <c r="M158" s="353">
        <f>17.45</f>
        <v>17.45</v>
      </c>
      <c r="N158" s="390">
        <f>N157*30%</f>
        <v>193.07649669000003</v>
      </c>
      <c r="O158" s="353">
        <f>17.42</f>
        <v>17.420000000000002</v>
      </c>
      <c r="P158" s="390">
        <f>P157*30%</f>
        <v>175.31219168999999</v>
      </c>
      <c r="Q158" s="353"/>
    </row>
    <row r="159" spans="2:19" ht="28" x14ac:dyDescent="0.3">
      <c r="B159" s="617">
        <f t="shared" si="21"/>
        <v>4</v>
      </c>
      <c r="C159" s="585" t="s">
        <v>54</v>
      </c>
      <c r="D159" s="353">
        <f>11.85</f>
        <v>11.85</v>
      </c>
      <c r="E159" s="390">
        <f>'F5'!J27*30%</f>
        <v>7.4309999999999992</v>
      </c>
      <c r="F159" s="390">
        <f t="shared" si="19"/>
        <v>-4.4190000000000005</v>
      </c>
      <c r="G159" s="353">
        <v>11.85</v>
      </c>
      <c r="H159" s="390">
        <f>'F5'!O27*30%</f>
        <v>5.9103604338000002</v>
      </c>
      <c r="I159" s="390">
        <f t="shared" si="20"/>
        <v>-5.9396395661999994</v>
      </c>
      <c r="J159" s="353">
        <f>11.85</f>
        <v>11.85</v>
      </c>
      <c r="K159" s="390">
        <f>'F5'!F47</f>
        <v>19.701201446000002</v>
      </c>
      <c r="L159" s="390">
        <f>K159-J159</f>
        <v>7.8512014460000028</v>
      </c>
      <c r="M159" s="353">
        <f>11.85</f>
        <v>11.85</v>
      </c>
      <c r="N159" s="390">
        <f>'F5'!J47</f>
        <v>19.701201446000002</v>
      </c>
      <c r="O159" s="353">
        <f>11.85</f>
        <v>11.85</v>
      </c>
      <c r="P159" s="390">
        <f>'F5'!N47</f>
        <v>19.701201446000002</v>
      </c>
      <c r="Q159" s="353"/>
    </row>
    <row r="160" spans="2:19" x14ac:dyDescent="0.25">
      <c r="B160" s="616">
        <f t="shared" si="21"/>
        <v>5</v>
      </c>
      <c r="C160" s="344" t="s">
        <v>55</v>
      </c>
      <c r="D160" s="353">
        <f>D156+D158-D159-0.01</f>
        <v>918.55</v>
      </c>
      <c r="E160" s="390">
        <f>E156+E158-E159</f>
        <v>950.53499999999997</v>
      </c>
      <c r="F160" s="390">
        <f t="shared" si="19"/>
        <v>31.985000000000014</v>
      </c>
      <c r="G160" s="390">
        <f>G156+G158-G159</f>
        <v>924.1099999999999</v>
      </c>
      <c r="H160" s="390">
        <f>H156+H158-H159</f>
        <v>976.0663262562</v>
      </c>
      <c r="I160" s="390">
        <f t="shared" si="20"/>
        <v>51.9563262562001</v>
      </c>
      <c r="J160" s="353">
        <f>929.74</f>
        <v>929.74</v>
      </c>
      <c r="K160" s="390">
        <f>K156+K158-K159</f>
        <v>994.82981150019998</v>
      </c>
      <c r="L160" s="390">
        <f>K160-J160</f>
        <v>65.089811500199971</v>
      </c>
      <c r="M160" s="353">
        <f>935.33</f>
        <v>935.33</v>
      </c>
      <c r="N160" s="390">
        <f>N156+N158-N159</f>
        <v>1168.2051067442001</v>
      </c>
      <c r="O160" s="353">
        <f>940.89</f>
        <v>940.89</v>
      </c>
      <c r="P160" s="390">
        <f>P156+P158-P159</f>
        <v>1323.8160969882001</v>
      </c>
      <c r="Q160" s="353"/>
    </row>
    <row r="161" spans="2:17" x14ac:dyDescent="0.25">
      <c r="B161" s="616"/>
      <c r="C161" s="344"/>
      <c r="D161" s="353">
        <f>0*(90%)</f>
        <v>0</v>
      </c>
      <c r="E161" s="390"/>
      <c r="F161" s="390">
        <f t="shared" si="19"/>
        <v>0</v>
      </c>
      <c r="G161" s="353">
        <f>0*(90%)</f>
        <v>0</v>
      </c>
      <c r="H161" s="390"/>
      <c r="I161" s="390">
        <f t="shared" si="20"/>
        <v>0</v>
      </c>
      <c r="J161" s="390"/>
      <c r="K161" s="390"/>
      <c r="L161" s="390"/>
      <c r="M161" s="390"/>
      <c r="N161" s="390"/>
      <c r="O161" s="390"/>
      <c r="P161" s="390"/>
      <c r="Q161" s="353"/>
    </row>
    <row r="162" spans="2:17" x14ac:dyDescent="0.25">
      <c r="B162" s="616"/>
      <c r="C162" s="458" t="s">
        <v>250</v>
      </c>
      <c r="D162" s="353">
        <f>0*(90%)</f>
        <v>0</v>
      </c>
      <c r="E162" s="390"/>
      <c r="F162" s="390">
        <f t="shared" si="19"/>
        <v>0</v>
      </c>
      <c r="G162" s="353">
        <f>0*(90%)</f>
        <v>0</v>
      </c>
      <c r="H162" s="390"/>
      <c r="I162" s="390">
        <f t="shared" si="20"/>
        <v>0</v>
      </c>
      <c r="J162" s="390"/>
      <c r="K162" s="390"/>
      <c r="L162" s="390">
        <f t="shared" ref="L162:L167" si="22">K162-J162</f>
        <v>0</v>
      </c>
      <c r="M162" s="390"/>
      <c r="N162" s="390"/>
      <c r="O162" s="390"/>
      <c r="P162" s="390"/>
      <c r="Q162" s="353"/>
    </row>
    <row r="163" spans="2:17" x14ac:dyDescent="0.25">
      <c r="B163" s="618">
        <v>6</v>
      </c>
      <c r="C163" s="458" t="s">
        <v>684</v>
      </c>
      <c r="D163" s="612">
        <v>0.14149999999999999</v>
      </c>
      <c r="E163" s="612">
        <v>0.14149999999999999</v>
      </c>
      <c r="F163" s="612"/>
      <c r="G163" s="612">
        <v>0.14149999999999999</v>
      </c>
      <c r="H163" s="612">
        <v>0.14149999999999999</v>
      </c>
      <c r="I163" s="612"/>
      <c r="J163" s="612">
        <v>0.14149999999999999</v>
      </c>
      <c r="K163" s="612">
        <v>0.14149999999999999</v>
      </c>
      <c r="L163" s="612"/>
      <c r="M163" s="612">
        <v>0.14149999999999999</v>
      </c>
      <c r="N163" s="612">
        <v>0.14149999999999999</v>
      </c>
      <c r="O163" s="612">
        <v>0.14149999999999999</v>
      </c>
      <c r="P163" s="612">
        <v>0.14149999999999999</v>
      </c>
      <c r="Q163" s="555"/>
    </row>
    <row r="164" spans="2:17" x14ac:dyDescent="0.25">
      <c r="B164" s="616">
        <v>7</v>
      </c>
      <c r="C164" s="344" t="s">
        <v>686</v>
      </c>
      <c r="D164" s="353">
        <f>0*(90%)</f>
        <v>0</v>
      </c>
      <c r="E164" s="390">
        <v>0</v>
      </c>
      <c r="F164" s="390">
        <f>E164-D164</f>
        <v>0</v>
      </c>
      <c r="G164" s="353">
        <f>0*(90%)</f>
        <v>0</v>
      </c>
      <c r="H164" s="390">
        <v>0</v>
      </c>
      <c r="I164" s="390">
        <f>H164-G164</f>
        <v>0</v>
      </c>
      <c r="J164" s="353">
        <f>0</f>
        <v>0</v>
      </c>
      <c r="K164" s="353">
        <f>K205*10%</f>
        <v>0</v>
      </c>
      <c r="L164" s="390">
        <f t="shared" si="22"/>
        <v>0</v>
      </c>
      <c r="M164" s="353">
        <f>0</f>
        <v>0</v>
      </c>
      <c r="N164" s="353">
        <f>N205*10%</f>
        <v>0</v>
      </c>
      <c r="O164" s="353">
        <f>0</f>
        <v>0</v>
      </c>
      <c r="P164" s="353">
        <f>P205*10%</f>
        <v>0</v>
      </c>
      <c r="Q164" s="353"/>
    </row>
    <row r="165" spans="2:17" x14ac:dyDescent="0.25">
      <c r="B165" s="616">
        <v>8</v>
      </c>
      <c r="C165" s="344" t="s">
        <v>681</v>
      </c>
      <c r="D165" s="353">
        <f>D156*D163</f>
        <v>128.91498999999999</v>
      </c>
      <c r="E165" s="390">
        <f>E163*E156</f>
        <v>130.30749149999997</v>
      </c>
      <c r="F165" s="390">
        <f>E165-D165</f>
        <v>1.3925014999999803</v>
      </c>
      <c r="G165" s="353">
        <f>G156*G163</f>
        <v>129.97482499999998</v>
      </c>
      <c r="H165" s="390">
        <f>H163*H156</f>
        <v>134.50070249999999</v>
      </c>
      <c r="I165" s="390">
        <f>H165-G165</f>
        <v>4.5258775000000071</v>
      </c>
      <c r="J165" s="353">
        <f>J156*J163</f>
        <v>130.76156499999999</v>
      </c>
      <c r="K165" s="390">
        <f>K163*K156</f>
        <v>138.11338516525228</v>
      </c>
      <c r="L165" s="390">
        <f t="shared" si="22"/>
        <v>7.3518201652522919</v>
      </c>
      <c r="M165" s="353">
        <f>M156*M163</f>
        <v>131.55821</v>
      </c>
      <c r="N165" s="390">
        <f>N163*N156</f>
        <v>140.76841832727828</v>
      </c>
      <c r="O165" s="353">
        <f>O156*O163</f>
        <v>132.34919499999998</v>
      </c>
      <c r="P165" s="390">
        <f>P163*P156</f>
        <v>165.30102260430431</v>
      </c>
      <c r="Q165" s="353"/>
    </row>
    <row r="166" spans="2:17" x14ac:dyDescent="0.25">
      <c r="B166" s="616">
        <f t="shared" si="21"/>
        <v>9</v>
      </c>
      <c r="C166" s="344" t="s">
        <v>682</v>
      </c>
      <c r="D166" s="353">
        <f>(D158-D159)*D163/2</f>
        <v>0.53062500000000012</v>
      </c>
      <c r="E166" s="390">
        <f>(E158-E159)*(E163/2)</f>
        <v>2.0966055000000003</v>
      </c>
      <c r="F166" s="390">
        <f>E166-D166</f>
        <v>1.5659805000000002</v>
      </c>
      <c r="G166" s="353">
        <f>(G158-G159)*G163/2</f>
        <v>0.39337</v>
      </c>
      <c r="H166" s="390">
        <f>(H158-H159)*(H163/2)</f>
        <v>1.8063413326261499</v>
      </c>
      <c r="I166" s="390">
        <f>H166-G166</f>
        <v>1.4129713326261499</v>
      </c>
      <c r="J166" s="353">
        <f>(J158-J159)*J163/2</f>
        <v>0.39832250000000002</v>
      </c>
      <c r="K166" s="353">
        <f>(K163/2)*(K158-K159)</f>
        <v>1.3275165810129992</v>
      </c>
      <c r="L166" s="390">
        <f t="shared" si="22"/>
        <v>0.92919408101299916</v>
      </c>
      <c r="M166" s="353">
        <f>(M158-M159)*M163/2</f>
        <v>0.39619999999999994</v>
      </c>
      <c r="N166" s="353">
        <f>(N163/2)*(N158-N159)</f>
        <v>12.266302138513002</v>
      </c>
      <c r="O166" s="353">
        <f>(O158-O159)*O163/2</f>
        <v>0.39407750000000014</v>
      </c>
      <c r="P166" s="353">
        <f>(P163/2)*(P158-P159)</f>
        <v>11.009477559762999</v>
      </c>
      <c r="Q166" s="353"/>
    </row>
    <row r="167" spans="2:17" x14ac:dyDescent="0.25">
      <c r="B167" s="618">
        <f t="shared" si="21"/>
        <v>10</v>
      </c>
      <c r="C167" s="458" t="s">
        <v>253</v>
      </c>
      <c r="D167" s="354">
        <f>SUM(D165,D166)</f>
        <v>129.44561499999998</v>
      </c>
      <c r="E167" s="364">
        <f>SUM(E165:E166)</f>
        <v>132.40409699999998</v>
      </c>
      <c r="F167" s="364">
        <f>E167-D167</f>
        <v>2.9584820000000036</v>
      </c>
      <c r="G167" s="354">
        <f>SUM(G165,G166)</f>
        <v>130.36819499999999</v>
      </c>
      <c r="H167" s="364">
        <f>SUM(H165:H166)</f>
        <v>136.30704383262614</v>
      </c>
      <c r="I167" s="364">
        <f>H167-G167</f>
        <v>5.9388488326261495</v>
      </c>
      <c r="J167" s="354">
        <f>SUM(J165,J166)</f>
        <v>131.1598875</v>
      </c>
      <c r="K167" s="354">
        <f>SUM(K164:K166)</f>
        <v>139.44090174626527</v>
      </c>
      <c r="L167" s="364">
        <f t="shared" si="22"/>
        <v>8.281014246265272</v>
      </c>
      <c r="M167" s="354">
        <f>SUM(M165,M166)</f>
        <v>131.95441</v>
      </c>
      <c r="N167" s="354">
        <f>SUM(N164:N166)</f>
        <v>153.03472046579128</v>
      </c>
      <c r="O167" s="354">
        <f>SUM(O165,O166)</f>
        <v>132.74327249999999</v>
      </c>
      <c r="P167" s="354">
        <f>SUM(P164:P166)</f>
        <v>176.31050016406732</v>
      </c>
      <c r="Q167" s="354"/>
    </row>
    <row r="168" spans="2:17" x14ac:dyDescent="0.25">
      <c r="B168" s="619"/>
      <c r="C168" s="586"/>
      <c r="D168" s="496"/>
      <c r="E168" s="496"/>
      <c r="F168" s="496"/>
      <c r="G168" s="496"/>
      <c r="H168" s="496"/>
      <c r="I168" s="496"/>
    </row>
    <row r="169" spans="2:17" x14ac:dyDescent="0.25">
      <c r="B169" s="2386" t="s">
        <v>1242</v>
      </c>
      <c r="C169" s="2386"/>
      <c r="D169" s="2386"/>
      <c r="E169" s="2386"/>
      <c r="F169" s="2386"/>
      <c r="G169" s="2386"/>
      <c r="H169" s="2386"/>
      <c r="I169" s="2386"/>
    </row>
    <row r="170" spans="2:17" x14ac:dyDescent="0.25">
      <c r="B170" s="613" t="s">
        <v>873</v>
      </c>
    </row>
    <row r="171" spans="2:17" x14ac:dyDescent="0.25">
      <c r="B171" s="613" t="s">
        <v>685</v>
      </c>
    </row>
    <row r="172" spans="2:17" x14ac:dyDescent="0.25">
      <c r="B172" s="619"/>
      <c r="C172" s="586"/>
      <c r="D172" s="496"/>
      <c r="E172" s="496"/>
      <c r="F172" s="496"/>
      <c r="G172" s="496"/>
      <c r="H172" s="496"/>
      <c r="I172" s="496"/>
    </row>
    <row r="174" spans="2:17" x14ac:dyDescent="0.25">
      <c r="C174" s="587" t="s">
        <v>858</v>
      </c>
    </row>
    <row r="176" spans="2:17" x14ac:dyDescent="0.25">
      <c r="B176" s="2387" t="s">
        <v>187</v>
      </c>
      <c r="C176" s="2389" t="s">
        <v>50</v>
      </c>
      <c r="D176" s="588" t="s">
        <v>859</v>
      </c>
      <c r="E176" s="493" t="s">
        <v>186</v>
      </c>
      <c r="F176" s="1183" t="s">
        <v>426</v>
      </c>
      <c r="G176" s="1227" t="s">
        <v>426</v>
      </c>
      <c r="H176" s="1227" t="s">
        <v>426</v>
      </c>
      <c r="I176" s="1227" t="s">
        <v>426</v>
      </c>
    </row>
    <row r="177" spans="2:9" ht="28" x14ac:dyDescent="0.25">
      <c r="B177" s="2388"/>
      <c r="C177" s="2390"/>
      <c r="D177" s="589"/>
      <c r="E177" s="492" t="s">
        <v>405</v>
      </c>
      <c r="F177" s="1183" t="s">
        <v>405</v>
      </c>
      <c r="G177" s="1227" t="s">
        <v>1530</v>
      </c>
      <c r="H177" s="1227" t="s">
        <v>1530</v>
      </c>
      <c r="I177" s="1227" t="s">
        <v>1530</v>
      </c>
    </row>
    <row r="178" spans="2:9" x14ac:dyDescent="0.25">
      <c r="B178" s="616"/>
      <c r="C178" s="458" t="s">
        <v>860</v>
      </c>
      <c r="D178" s="344"/>
      <c r="E178" s="353"/>
      <c r="F178" s="353"/>
      <c r="G178" s="1228"/>
      <c r="H178" s="1228"/>
      <c r="I178" s="1228"/>
    </row>
    <row r="179" spans="2:9" x14ac:dyDescent="0.25">
      <c r="B179" s="616">
        <v>1</v>
      </c>
      <c r="C179" s="344" t="s">
        <v>1513</v>
      </c>
      <c r="D179" s="582" t="s">
        <v>400</v>
      </c>
      <c r="E179" s="353">
        <f>SUM(E104:E105)</f>
        <v>8.421462</v>
      </c>
      <c r="F179" s="353">
        <f>SUM(F104:F105)</f>
        <v>8.6697059681529005</v>
      </c>
      <c r="G179" s="1228"/>
      <c r="H179" s="1228"/>
      <c r="I179" s="1228"/>
    </row>
    <row r="180" spans="2:9" x14ac:dyDescent="0.25">
      <c r="B180" s="616">
        <v>2</v>
      </c>
      <c r="C180" s="344" t="s">
        <v>1514</v>
      </c>
      <c r="D180" s="582" t="s">
        <v>400</v>
      </c>
      <c r="E180" s="353">
        <f>SUM(E145:E146)</f>
        <v>0</v>
      </c>
      <c r="F180" s="353">
        <f>SUM(F145:F146)</f>
        <v>1.9266013262562001</v>
      </c>
      <c r="G180" s="1228"/>
      <c r="H180" s="1228"/>
      <c r="I180" s="1228"/>
    </row>
    <row r="181" spans="2:9" x14ac:dyDescent="0.25">
      <c r="B181" s="618">
        <v>3</v>
      </c>
      <c r="C181" s="458" t="s">
        <v>1515</v>
      </c>
      <c r="D181" s="1043" t="s">
        <v>400</v>
      </c>
      <c r="E181" s="354">
        <f>SUM(E179:E180)</f>
        <v>8.421462</v>
      </c>
      <c r="F181" s="354">
        <f>SUM(F179:F180)</f>
        <v>10.596307294409101</v>
      </c>
      <c r="G181" s="1229"/>
      <c r="H181" s="1229"/>
      <c r="I181" s="1229"/>
    </row>
    <row r="182" spans="2:9" x14ac:dyDescent="0.25">
      <c r="B182" s="618">
        <v>4</v>
      </c>
      <c r="C182" s="458" t="s">
        <v>1516</v>
      </c>
      <c r="D182" s="1043" t="s">
        <v>400</v>
      </c>
      <c r="E182" s="354">
        <f>E167</f>
        <v>132.40409699999998</v>
      </c>
      <c r="F182" s="354">
        <f>H167</f>
        <v>136.30704383262614</v>
      </c>
      <c r="G182" s="1229">
        <f>K167</f>
        <v>139.44090174626527</v>
      </c>
      <c r="H182" s="1229">
        <f>N167</f>
        <v>153.03472046579128</v>
      </c>
      <c r="I182" s="1229">
        <f>P167</f>
        <v>176.31050016406732</v>
      </c>
    </row>
    <row r="183" spans="2:9" x14ac:dyDescent="0.25">
      <c r="B183" s="618">
        <v>5</v>
      </c>
      <c r="C183" s="458" t="s">
        <v>253</v>
      </c>
      <c r="D183" s="1043" t="s">
        <v>400</v>
      </c>
      <c r="E183" s="354">
        <f>SUM(E181:E182)</f>
        <v>140.82555899999997</v>
      </c>
      <c r="F183" s="354">
        <f>SUM(F181:F182)</f>
        <v>146.90335112703525</v>
      </c>
      <c r="G183" s="1229">
        <f>SUM(G181:G182)</f>
        <v>139.44090174626527</v>
      </c>
      <c r="H183" s="1229">
        <f>SUM(H181:H182)</f>
        <v>153.03472046579128</v>
      </c>
      <c r="I183" s="1229">
        <f>SUM(I181:I182)</f>
        <v>176.31050016406732</v>
      </c>
    </row>
    <row r="185" spans="2:9" x14ac:dyDescent="0.25">
      <c r="B185" s="620" t="s">
        <v>887</v>
      </c>
    </row>
  </sheetData>
  <mergeCells count="44">
    <mergeCell ref="B49:B50"/>
    <mergeCell ref="C49:C50"/>
    <mergeCell ref="D49:F49"/>
    <mergeCell ref="B91:I91"/>
    <mergeCell ref="B134:B135"/>
    <mergeCell ref="C134:C135"/>
    <mergeCell ref="D75:F75"/>
    <mergeCell ref="B75:B77"/>
    <mergeCell ref="C75:C77"/>
    <mergeCell ref="B70:L70"/>
    <mergeCell ref="G75:I75"/>
    <mergeCell ref="J75:L75"/>
    <mergeCell ref="C129:L129"/>
    <mergeCell ref="B112:B114"/>
    <mergeCell ref="C98:C99"/>
    <mergeCell ref="B98:B99"/>
    <mergeCell ref="B11:B12"/>
    <mergeCell ref="C11:C12"/>
    <mergeCell ref="D11:F11"/>
    <mergeCell ref="B30:B31"/>
    <mergeCell ref="C30:C31"/>
    <mergeCell ref="D30:F30"/>
    <mergeCell ref="M75:N75"/>
    <mergeCell ref="O75:P75"/>
    <mergeCell ref="Q75:Q77"/>
    <mergeCell ref="D112:F112"/>
    <mergeCell ref="G112:I112"/>
    <mergeCell ref="J112:L112"/>
    <mergeCell ref="M112:N112"/>
    <mergeCell ref="O112:P112"/>
    <mergeCell ref="Q112:Q114"/>
    <mergeCell ref="S98:U98"/>
    <mergeCell ref="B169:I169"/>
    <mergeCell ref="B176:B177"/>
    <mergeCell ref="C176:C177"/>
    <mergeCell ref="C112:C114"/>
    <mergeCell ref="B153:B155"/>
    <mergeCell ref="C153:C155"/>
    <mergeCell ref="D153:F153"/>
    <mergeCell ref="G153:I153"/>
    <mergeCell ref="J153:L153"/>
    <mergeCell ref="M153:N153"/>
    <mergeCell ref="O153:P153"/>
    <mergeCell ref="Q153:Q155"/>
  </mergeCells>
  <pageMargins left="1.0236220472440944" right="0.23622047244094491" top="0.98425196850393704" bottom="0.98425196850393704" header="0.23622047244094491" footer="0.23622047244094491"/>
  <pageSetup paperSize="9" scale="33" orientation="landscape" r:id="rId1"/>
  <headerFooter alignWithMargins="0">
    <oddHeader>&amp;F</oddHeader>
  </headerFooter>
  <rowBreaks count="4" manualBreakCount="4">
    <brk id="25" max="16383" man="1"/>
    <brk id="45" max="16383" man="1"/>
    <brk id="108" max="16" man="1"/>
    <brk id="149" max="1638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showGridLines="0" view="pageBreakPreview" topLeftCell="J82" zoomScale="75" zoomScaleNormal="75" zoomScaleSheetLayoutView="75" workbookViewId="0"/>
  </sheetViews>
  <sheetFormatPr defaultColWidth="9.1796875" defaultRowHeight="14" x14ac:dyDescent="0.3"/>
  <cols>
    <col min="1" max="1" width="4.1796875" style="5" customWidth="1"/>
    <col min="2" max="2" width="6.26953125" style="5" customWidth="1"/>
    <col min="3" max="3" width="61.7265625" style="5" customWidth="1"/>
    <col min="4" max="5" width="14.54296875" style="426" bestFit="1" customWidth="1"/>
    <col min="6" max="6" width="21.1796875" style="426" bestFit="1" customWidth="1"/>
    <col min="7" max="7" width="12.54296875" style="426" bestFit="1" customWidth="1"/>
    <col min="8" max="8" width="13.1796875" style="426" bestFit="1" customWidth="1"/>
    <col min="9" max="9" width="21.1796875" style="426" bestFit="1" customWidth="1"/>
    <col min="10" max="10" width="12.54296875" style="426" bestFit="1" customWidth="1"/>
    <col min="11" max="11" width="13.1796875" style="426" bestFit="1" customWidth="1"/>
    <col min="12" max="12" width="23.26953125" style="426" customWidth="1"/>
    <col min="13" max="13" width="12.08984375" style="426" bestFit="1" customWidth="1"/>
    <col min="14" max="14" width="18.26953125" style="426" bestFit="1" customWidth="1"/>
    <col min="15" max="15" width="11.6328125" style="426" bestFit="1" customWidth="1"/>
    <col min="16" max="16" width="14.1796875" style="426" bestFit="1" customWidth="1"/>
    <col min="17" max="17" width="20.36328125" style="426" bestFit="1" customWidth="1"/>
    <col min="18" max="20" width="15.7265625" style="426" customWidth="1"/>
    <col min="21" max="21" width="16.54296875" style="426" customWidth="1"/>
    <col min="22" max="22" width="16.54296875" style="5" customWidth="1"/>
    <col min="23" max="16384" width="9.1796875" style="5"/>
  </cols>
  <sheetData>
    <row r="1" spans="2:22" x14ac:dyDescent="0.3">
      <c r="B1" s="41"/>
    </row>
    <row r="2" spans="2:22" x14ac:dyDescent="0.3">
      <c r="C2" s="73"/>
      <c r="D2" s="590"/>
      <c r="E2" s="590"/>
      <c r="F2" s="590"/>
      <c r="G2" s="590"/>
      <c r="H2" s="590"/>
      <c r="I2" s="590"/>
      <c r="J2" s="590"/>
      <c r="K2" s="590"/>
      <c r="L2" s="523" t="s">
        <v>1027</v>
      </c>
      <c r="M2" s="590"/>
      <c r="N2" s="590"/>
      <c r="O2" s="590"/>
      <c r="P2" s="590"/>
      <c r="Q2" s="590"/>
      <c r="R2" s="590"/>
      <c r="S2" s="590"/>
      <c r="T2" s="590"/>
    </row>
    <row r="3" spans="2:22" x14ac:dyDescent="0.3">
      <c r="C3" s="45"/>
      <c r="D3" s="519"/>
      <c r="E3" s="519"/>
      <c r="F3" s="519"/>
      <c r="G3" s="519"/>
      <c r="H3" s="519"/>
      <c r="I3" s="519"/>
      <c r="J3" s="519"/>
      <c r="K3" s="519"/>
      <c r="L3" s="523" t="s">
        <v>826</v>
      </c>
      <c r="M3" s="519"/>
      <c r="N3" s="519"/>
      <c r="O3" s="519"/>
      <c r="P3" s="519"/>
      <c r="Q3" s="519"/>
      <c r="R3" s="519"/>
      <c r="S3" s="519"/>
      <c r="T3" s="519"/>
    </row>
    <row r="4" spans="2:22" s="51" customFormat="1" x14ac:dyDescent="0.3">
      <c r="C4" s="156"/>
      <c r="D4" s="591"/>
      <c r="E4" s="591"/>
      <c r="F4" s="591"/>
      <c r="G4" s="591"/>
      <c r="H4" s="591"/>
      <c r="I4" s="591"/>
      <c r="J4" s="591"/>
      <c r="K4" s="591"/>
      <c r="L4" s="523" t="s">
        <v>495</v>
      </c>
      <c r="M4" s="591"/>
      <c r="N4" s="591"/>
      <c r="O4" s="591"/>
      <c r="P4" s="591"/>
      <c r="Q4" s="591"/>
      <c r="R4" s="591"/>
      <c r="S4" s="591"/>
      <c r="T4" s="591"/>
      <c r="U4" s="592"/>
    </row>
    <row r="5" spans="2:22" s="51" customFormat="1" x14ac:dyDescent="0.3">
      <c r="C5" s="156"/>
      <c r="D5" s="591"/>
      <c r="E5" s="591"/>
      <c r="F5" s="591"/>
      <c r="G5" s="591"/>
      <c r="H5" s="591"/>
      <c r="I5" s="591"/>
      <c r="J5" s="591"/>
      <c r="K5" s="591"/>
      <c r="L5" s="523"/>
      <c r="M5" s="591"/>
      <c r="N5" s="591"/>
      <c r="O5" s="591"/>
      <c r="P5" s="591"/>
      <c r="Q5" s="591"/>
      <c r="R5" s="591"/>
      <c r="S5" s="591"/>
      <c r="T5" s="591"/>
      <c r="U5" s="592"/>
    </row>
    <row r="6" spans="2:22" x14ac:dyDescent="0.3">
      <c r="C6" s="120" t="s">
        <v>327</v>
      </c>
      <c r="D6" s="568"/>
      <c r="E6" s="568"/>
      <c r="F6" s="568"/>
      <c r="G6" s="568"/>
      <c r="H6" s="568"/>
      <c r="I6" s="2128">
        <v>0.1</v>
      </c>
    </row>
    <row r="7" spans="2:22" x14ac:dyDescent="0.3">
      <c r="C7" s="46"/>
      <c r="D7" s="593"/>
      <c r="E7" s="593"/>
      <c r="F7" s="593"/>
      <c r="G7" s="593"/>
      <c r="H7" s="593"/>
      <c r="I7" s="593"/>
      <c r="L7" s="524"/>
      <c r="N7" s="532"/>
      <c r="S7" s="524" t="s">
        <v>16</v>
      </c>
      <c r="T7" s="524"/>
    </row>
    <row r="8" spans="2:22" s="15" customFormat="1" ht="12.75" customHeight="1" x14ac:dyDescent="0.25">
      <c r="B8" s="2177" t="s">
        <v>187</v>
      </c>
      <c r="C8" s="2182" t="s">
        <v>50</v>
      </c>
      <c r="D8" s="2190" t="s">
        <v>804</v>
      </c>
      <c r="E8" s="2197"/>
      <c r="F8" s="2191"/>
      <c r="G8" s="2190" t="s">
        <v>186</v>
      </c>
      <c r="H8" s="2197"/>
      <c r="I8" s="2191"/>
      <c r="J8" s="2190" t="s">
        <v>426</v>
      </c>
      <c r="K8" s="2197"/>
      <c r="L8" s="2191"/>
      <c r="M8" s="2190" t="s">
        <v>427</v>
      </c>
      <c r="N8" s="2197"/>
      <c r="O8" s="2197"/>
      <c r="P8" s="2197"/>
      <c r="Q8" s="2191"/>
      <c r="R8" s="2190" t="s">
        <v>428</v>
      </c>
      <c r="S8" s="2191"/>
      <c r="T8" s="2190" t="s">
        <v>429</v>
      </c>
      <c r="U8" s="2191"/>
      <c r="V8" s="2174" t="s">
        <v>39</v>
      </c>
    </row>
    <row r="9" spans="2:22" s="15" customFormat="1" ht="41.5" customHeight="1" x14ac:dyDescent="0.25">
      <c r="B9" s="2178"/>
      <c r="C9" s="2182"/>
      <c r="D9" s="427" t="s">
        <v>404</v>
      </c>
      <c r="E9" s="488" t="s">
        <v>1716</v>
      </c>
      <c r="F9" s="488" t="s">
        <v>406</v>
      </c>
      <c r="G9" s="427" t="s">
        <v>404</v>
      </c>
      <c r="H9" s="488" t="s">
        <v>1716</v>
      </c>
      <c r="I9" s="488" t="s">
        <v>406</v>
      </c>
      <c r="J9" s="427" t="s">
        <v>404</v>
      </c>
      <c r="K9" s="488" t="s">
        <v>405</v>
      </c>
      <c r="L9" s="488" t="s">
        <v>406</v>
      </c>
      <c r="M9" s="488" t="s">
        <v>404</v>
      </c>
      <c r="N9" s="488" t="s">
        <v>408</v>
      </c>
      <c r="O9" s="488" t="s">
        <v>333</v>
      </c>
      <c r="P9" s="488" t="s">
        <v>72</v>
      </c>
      <c r="Q9" s="488" t="s">
        <v>409</v>
      </c>
      <c r="R9" s="488" t="s">
        <v>404</v>
      </c>
      <c r="S9" s="488" t="s">
        <v>805</v>
      </c>
      <c r="T9" s="488" t="s">
        <v>404</v>
      </c>
      <c r="U9" s="488" t="s">
        <v>805</v>
      </c>
      <c r="V9" s="2174"/>
    </row>
    <row r="10" spans="2:22" s="15" customFormat="1" x14ac:dyDescent="0.25">
      <c r="B10" s="2179"/>
      <c r="C10" s="2183"/>
      <c r="D10" s="488" t="s">
        <v>73</v>
      </c>
      <c r="E10" s="488" t="s">
        <v>74</v>
      </c>
      <c r="F10" s="488" t="s">
        <v>806</v>
      </c>
      <c r="G10" s="488" t="s">
        <v>411</v>
      </c>
      <c r="H10" s="488" t="s">
        <v>412</v>
      </c>
      <c r="I10" s="488" t="s">
        <v>439</v>
      </c>
      <c r="J10" s="488" t="s">
        <v>668</v>
      </c>
      <c r="K10" s="488" t="s">
        <v>582</v>
      </c>
      <c r="L10" s="488" t="s">
        <v>675</v>
      </c>
      <c r="M10" s="488" t="s">
        <v>782</v>
      </c>
      <c r="N10" s="488" t="s">
        <v>583</v>
      </c>
      <c r="O10" s="488" t="s">
        <v>760</v>
      </c>
      <c r="P10" s="488" t="s">
        <v>807</v>
      </c>
      <c r="Q10" s="488" t="s">
        <v>808</v>
      </c>
      <c r="R10" s="488" t="s">
        <v>784</v>
      </c>
      <c r="S10" s="488" t="s">
        <v>762</v>
      </c>
      <c r="T10" s="488" t="s">
        <v>763</v>
      </c>
      <c r="U10" s="488" t="s">
        <v>764</v>
      </c>
      <c r="V10" s="2397"/>
    </row>
    <row r="11" spans="2:22" s="8" customFormat="1" ht="15.75" customHeight="1" x14ac:dyDescent="0.3">
      <c r="B11" s="63">
        <v>1</v>
      </c>
      <c r="C11" s="75" t="s">
        <v>1019</v>
      </c>
      <c r="D11" s="413"/>
      <c r="E11" s="343">
        <f>$I$6*E63</f>
        <v>0.89400000000000002</v>
      </c>
      <c r="F11" s="413">
        <f>D11-E11</f>
        <v>-0.89400000000000002</v>
      </c>
      <c r="G11" s="413"/>
      <c r="H11" s="343">
        <f>$I$6*H63</f>
        <v>0</v>
      </c>
      <c r="I11" s="413">
        <f>H11-G11</f>
        <v>0</v>
      </c>
      <c r="J11" s="353"/>
      <c r="K11" s="343">
        <f>$I$6*K63</f>
        <v>0</v>
      </c>
      <c r="L11" s="353">
        <f>K11-J11</f>
        <v>0</v>
      </c>
      <c r="M11" s="353"/>
      <c r="N11" s="353"/>
      <c r="O11" s="353"/>
      <c r="P11" s="353">
        <f>SUM(N11,O11)</f>
        <v>0</v>
      </c>
      <c r="Q11" s="353">
        <f>P11-M11</f>
        <v>0</v>
      </c>
      <c r="R11" s="353"/>
      <c r="S11" s="343">
        <f>$I$6*S63</f>
        <v>0</v>
      </c>
      <c r="T11" s="353"/>
      <c r="U11" s="343">
        <f>$I$6*U63</f>
        <v>0</v>
      </c>
      <c r="V11" s="25"/>
    </row>
    <row r="12" spans="2:22" s="8" customFormat="1" ht="15.75" customHeight="1" x14ac:dyDescent="0.3">
      <c r="B12" s="63">
        <f>B11+1</f>
        <v>2</v>
      </c>
      <c r="C12" s="52" t="s">
        <v>1414</v>
      </c>
      <c r="D12" s="348"/>
      <c r="E12" s="343">
        <f t="shared" ref="E12:E26" si="0">$I$6*E64</f>
        <v>0.11100000000000002</v>
      </c>
      <c r="F12" s="413">
        <f t="shared" ref="F12:F26" si="1">D12-E12</f>
        <v>-0.11100000000000002</v>
      </c>
      <c r="G12" s="348"/>
      <c r="H12" s="343">
        <f t="shared" ref="H12:H26" si="2">$I$6*H64</f>
        <v>0.20600000000000002</v>
      </c>
      <c r="I12" s="413">
        <f t="shared" ref="I12:I27" si="3">H12-G12</f>
        <v>0.20600000000000002</v>
      </c>
      <c r="J12" s="353"/>
      <c r="K12" s="343">
        <f t="shared" ref="K12:K26" si="4">$I$6*K64</f>
        <v>0.17900000000000002</v>
      </c>
      <c r="L12" s="353">
        <f t="shared" ref="L12:L27" si="5">K12-J12</f>
        <v>0.17900000000000002</v>
      </c>
      <c r="M12" s="353"/>
      <c r="N12" s="353"/>
      <c r="O12" s="353"/>
      <c r="P12" s="353">
        <f t="shared" ref="P12:P26" si="6">SUM(N12,O12)</f>
        <v>0</v>
      </c>
      <c r="Q12" s="353">
        <f t="shared" ref="Q12:Q27" si="7">P12-M12</f>
        <v>0</v>
      </c>
      <c r="R12" s="353"/>
      <c r="S12" s="343">
        <f t="shared" ref="S12:S26" si="8">$I$6*S64</f>
        <v>0</v>
      </c>
      <c r="T12" s="353"/>
      <c r="U12" s="343">
        <f t="shared" ref="U12:U26" si="9">$I$6*U64</f>
        <v>0</v>
      </c>
      <c r="V12" s="25"/>
    </row>
    <row r="13" spans="2:22" s="8" customFormat="1" ht="15.75" customHeight="1" x14ac:dyDescent="0.3">
      <c r="B13" s="63">
        <f t="shared" ref="B13:B26" si="10">B12+1</f>
        <v>3</v>
      </c>
      <c r="C13" s="53" t="s">
        <v>163</v>
      </c>
      <c r="D13" s="594"/>
      <c r="E13" s="343">
        <f t="shared" si="0"/>
        <v>0</v>
      </c>
      <c r="F13" s="413">
        <f t="shared" si="1"/>
        <v>0</v>
      </c>
      <c r="G13" s="594"/>
      <c r="H13" s="343">
        <f t="shared" si="2"/>
        <v>0</v>
      </c>
      <c r="I13" s="413">
        <f t="shared" si="3"/>
        <v>0</v>
      </c>
      <c r="J13" s="353"/>
      <c r="K13" s="343">
        <f t="shared" si="4"/>
        <v>0.97100000000000009</v>
      </c>
      <c r="L13" s="353">
        <f t="shared" si="5"/>
        <v>0.97100000000000009</v>
      </c>
      <c r="M13" s="353"/>
      <c r="N13" s="353"/>
      <c r="O13" s="353"/>
      <c r="P13" s="353">
        <f t="shared" si="6"/>
        <v>0</v>
      </c>
      <c r="Q13" s="353">
        <f t="shared" si="7"/>
        <v>0</v>
      </c>
      <c r="R13" s="353"/>
      <c r="S13" s="343">
        <f t="shared" si="8"/>
        <v>0</v>
      </c>
      <c r="T13" s="353"/>
      <c r="U13" s="343">
        <f t="shared" si="9"/>
        <v>0</v>
      </c>
      <c r="V13" s="25"/>
    </row>
    <row r="14" spans="2:22" s="8" customFormat="1" ht="15.75" customHeight="1" x14ac:dyDescent="0.3">
      <c r="B14" s="63">
        <f t="shared" si="10"/>
        <v>4</v>
      </c>
      <c r="C14" s="53" t="s">
        <v>180</v>
      </c>
      <c r="D14" s="594"/>
      <c r="E14" s="343">
        <f t="shared" si="0"/>
        <v>0.41399999999999998</v>
      </c>
      <c r="F14" s="413">
        <f t="shared" si="1"/>
        <v>-0.41399999999999998</v>
      </c>
      <c r="G14" s="594"/>
      <c r="H14" s="343">
        <f t="shared" si="2"/>
        <v>0.40199999999999997</v>
      </c>
      <c r="I14" s="413">
        <f t="shared" si="3"/>
        <v>0.40199999999999997</v>
      </c>
      <c r="J14" s="353"/>
      <c r="K14" s="343">
        <f t="shared" si="4"/>
        <v>0.41</v>
      </c>
      <c r="L14" s="353">
        <f t="shared" si="5"/>
        <v>0.41</v>
      </c>
      <c r="M14" s="353"/>
      <c r="N14" s="353"/>
      <c r="O14" s="353"/>
      <c r="P14" s="353">
        <f t="shared" si="6"/>
        <v>0</v>
      </c>
      <c r="Q14" s="353">
        <f t="shared" si="7"/>
        <v>0</v>
      </c>
      <c r="R14" s="353"/>
      <c r="S14" s="343">
        <f t="shared" si="8"/>
        <v>0</v>
      </c>
      <c r="T14" s="353"/>
      <c r="U14" s="343">
        <f t="shared" si="9"/>
        <v>0</v>
      </c>
      <c r="V14" s="25"/>
    </row>
    <row r="15" spans="2:22" s="8" customFormat="1" ht="15.75" customHeight="1" x14ac:dyDescent="0.3">
      <c r="B15" s="63">
        <f t="shared" si="10"/>
        <v>5</v>
      </c>
      <c r="C15" s="53" t="s">
        <v>1415</v>
      </c>
      <c r="D15" s="594"/>
      <c r="E15" s="343">
        <f t="shared" si="0"/>
        <v>0</v>
      </c>
      <c r="F15" s="413">
        <f t="shared" si="1"/>
        <v>0</v>
      </c>
      <c r="G15" s="594"/>
      <c r="H15" s="343">
        <f t="shared" si="2"/>
        <v>0</v>
      </c>
      <c r="I15" s="413">
        <f t="shared" si="3"/>
        <v>0</v>
      </c>
      <c r="J15" s="353"/>
      <c r="K15" s="343">
        <f t="shared" si="4"/>
        <v>0</v>
      </c>
      <c r="L15" s="353">
        <f t="shared" si="5"/>
        <v>0</v>
      </c>
      <c r="M15" s="353"/>
      <c r="N15" s="353"/>
      <c r="O15" s="353"/>
      <c r="P15" s="353">
        <f t="shared" si="6"/>
        <v>0</v>
      </c>
      <c r="Q15" s="353">
        <f t="shared" si="7"/>
        <v>0</v>
      </c>
      <c r="R15" s="353"/>
      <c r="S15" s="343">
        <f t="shared" si="8"/>
        <v>0</v>
      </c>
      <c r="T15" s="353"/>
      <c r="U15" s="343">
        <f t="shared" si="9"/>
        <v>0</v>
      </c>
      <c r="V15" s="25"/>
    </row>
    <row r="16" spans="2:22" s="8" customFormat="1" x14ac:dyDescent="0.3">
      <c r="B16" s="63">
        <f t="shared" si="10"/>
        <v>6</v>
      </c>
      <c r="C16" s="54" t="s">
        <v>164</v>
      </c>
      <c r="D16" s="595"/>
      <c r="E16" s="343">
        <f t="shared" si="0"/>
        <v>0</v>
      </c>
      <c r="F16" s="413">
        <f t="shared" si="1"/>
        <v>0</v>
      </c>
      <c r="G16" s="595"/>
      <c r="H16" s="343">
        <f t="shared" si="2"/>
        <v>0</v>
      </c>
      <c r="I16" s="413">
        <f t="shared" si="3"/>
        <v>0</v>
      </c>
      <c r="J16" s="353"/>
      <c r="K16" s="343">
        <f t="shared" si="4"/>
        <v>0</v>
      </c>
      <c r="L16" s="353">
        <f t="shared" si="5"/>
        <v>0</v>
      </c>
      <c r="M16" s="353"/>
      <c r="N16" s="353"/>
      <c r="O16" s="353"/>
      <c r="P16" s="353">
        <f t="shared" si="6"/>
        <v>0</v>
      </c>
      <c r="Q16" s="353">
        <f t="shared" si="7"/>
        <v>0</v>
      </c>
      <c r="R16" s="353"/>
      <c r="S16" s="343">
        <f t="shared" si="8"/>
        <v>0</v>
      </c>
      <c r="T16" s="353"/>
      <c r="U16" s="343">
        <f t="shared" si="9"/>
        <v>0</v>
      </c>
      <c r="V16" s="25"/>
    </row>
    <row r="17" spans="2:22" s="8" customFormat="1" ht="15.75" customHeight="1" x14ac:dyDescent="0.3">
      <c r="B17" s="63">
        <f t="shared" si="10"/>
        <v>7</v>
      </c>
      <c r="C17" s="54" t="s">
        <v>1416</v>
      </c>
      <c r="D17" s="595"/>
      <c r="E17" s="343">
        <f t="shared" si="0"/>
        <v>0</v>
      </c>
      <c r="F17" s="413">
        <f t="shared" si="1"/>
        <v>0</v>
      </c>
      <c r="G17" s="595"/>
      <c r="H17" s="343">
        <f t="shared" si="2"/>
        <v>0</v>
      </c>
      <c r="I17" s="413">
        <f t="shared" si="3"/>
        <v>0</v>
      </c>
      <c r="J17" s="353"/>
      <c r="K17" s="343">
        <f t="shared" si="4"/>
        <v>0</v>
      </c>
      <c r="L17" s="353">
        <f t="shared" si="5"/>
        <v>0</v>
      </c>
      <c r="M17" s="353"/>
      <c r="N17" s="353"/>
      <c r="O17" s="353"/>
      <c r="P17" s="353">
        <f t="shared" si="6"/>
        <v>0</v>
      </c>
      <c r="Q17" s="353">
        <f t="shared" si="7"/>
        <v>0</v>
      </c>
      <c r="R17" s="353"/>
      <c r="S17" s="343">
        <f t="shared" si="8"/>
        <v>0</v>
      </c>
      <c r="T17" s="353"/>
      <c r="U17" s="343">
        <f t="shared" si="9"/>
        <v>0</v>
      </c>
      <c r="V17" s="25"/>
    </row>
    <row r="18" spans="2:22" ht="15.75" customHeight="1" x14ac:dyDescent="0.3">
      <c r="B18" s="63">
        <f t="shared" si="10"/>
        <v>8</v>
      </c>
      <c r="C18" s="54" t="s">
        <v>165</v>
      </c>
      <c r="D18" s="595"/>
      <c r="E18" s="343">
        <f t="shared" si="0"/>
        <v>0</v>
      </c>
      <c r="F18" s="413">
        <f t="shared" si="1"/>
        <v>0</v>
      </c>
      <c r="G18" s="595"/>
      <c r="H18" s="343">
        <f t="shared" si="2"/>
        <v>0</v>
      </c>
      <c r="I18" s="413">
        <f t="shared" si="3"/>
        <v>0</v>
      </c>
      <c r="J18" s="353"/>
      <c r="K18" s="343">
        <f t="shared" si="4"/>
        <v>0</v>
      </c>
      <c r="L18" s="353">
        <f t="shared" si="5"/>
        <v>0</v>
      </c>
      <c r="M18" s="353"/>
      <c r="N18" s="353"/>
      <c r="O18" s="353"/>
      <c r="P18" s="353">
        <f t="shared" si="6"/>
        <v>0</v>
      </c>
      <c r="Q18" s="353">
        <f t="shared" si="7"/>
        <v>0</v>
      </c>
      <c r="R18" s="353"/>
      <c r="S18" s="343">
        <f t="shared" si="8"/>
        <v>0</v>
      </c>
      <c r="T18" s="353"/>
      <c r="U18" s="343">
        <f t="shared" si="9"/>
        <v>0</v>
      </c>
      <c r="V18" s="25"/>
    </row>
    <row r="19" spans="2:22" s="119" customFormat="1" x14ac:dyDescent="0.3">
      <c r="B19" s="63">
        <f t="shared" si="10"/>
        <v>9</v>
      </c>
      <c r="C19" s="75" t="s">
        <v>331</v>
      </c>
      <c r="D19" s="413"/>
      <c r="E19" s="343">
        <f t="shared" si="0"/>
        <v>0</v>
      </c>
      <c r="F19" s="413">
        <f t="shared" si="1"/>
        <v>0</v>
      </c>
      <c r="G19" s="413"/>
      <c r="H19" s="343">
        <f t="shared" si="2"/>
        <v>0</v>
      </c>
      <c r="I19" s="413">
        <f t="shared" si="3"/>
        <v>0</v>
      </c>
      <c r="J19" s="353"/>
      <c r="K19" s="343">
        <f t="shared" si="4"/>
        <v>0</v>
      </c>
      <c r="L19" s="353">
        <f t="shared" si="5"/>
        <v>0</v>
      </c>
      <c r="M19" s="353"/>
      <c r="N19" s="353"/>
      <c r="O19" s="353"/>
      <c r="P19" s="353">
        <f t="shared" si="6"/>
        <v>0</v>
      </c>
      <c r="Q19" s="353">
        <f t="shared" si="7"/>
        <v>0</v>
      </c>
      <c r="R19" s="353"/>
      <c r="S19" s="343">
        <f t="shared" si="8"/>
        <v>0</v>
      </c>
      <c r="T19" s="353"/>
      <c r="U19" s="343">
        <f t="shared" si="9"/>
        <v>0</v>
      </c>
      <c r="V19" s="25"/>
    </row>
    <row r="20" spans="2:22" ht="29" customHeight="1" x14ac:dyDescent="0.3">
      <c r="B20" s="63">
        <f t="shared" si="10"/>
        <v>10</v>
      </c>
      <c r="C20" s="75" t="s">
        <v>1417</v>
      </c>
      <c r="D20" s="595"/>
      <c r="E20" s="343">
        <f t="shared" si="0"/>
        <v>0.06</v>
      </c>
      <c r="F20" s="413">
        <f t="shared" si="1"/>
        <v>-0.06</v>
      </c>
      <c r="G20" s="595"/>
      <c r="H20" s="343">
        <f t="shared" si="2"/>
        <v>2.0000000000000004E-2</v>
      </c>
      <c r="I20" s="413">
        <f t="shared" si="3"/>
        <v>2.0000000000000004E-2</v>
      </c>
      <c r="J20" s="353"/>
      <c r="K20" s="343">
        <f t="shared" si="4"/>
        <v>2.4E-2</v>
      </c>
      <c r="L20" s="353">
        <f t="shared" si="5"/>
        <v>2.4E-2</v>
      </c>
      <c r="M20" s="353"/>
      <c r="N20" s="353"/>
      <c r="O20" s="353"/>
      <c r="P20" s="353">
        <f t="shared" si="6"/>
        <v>0</v>
      </c>
      <c r="Q20" s="353">
        <f t="shared" si="7"/>
        <v>0</v>
      </c>
      <c r="R20" s="353"/>
      <c r="S20" s="343">
        <f t="shared" si="8"/>
        <v>0</v>
      </c>
      <c r="T20" s="353"/>
      <c r="U20" s="343">
        <f t="shared" si="9"/>
        <v>0</v>
      </c>
      <c r="V20" s="25"/>
    </row>
    <row r="21" spans="2:22" ht="15.75" customHeight="1" x14ac:dyDescent="0.3">
      <c r="B21" s="63">
        <f t="shared" si="10"/>
        <v>11</v>
      </c>
      <c r="C21" s="54" t="s">
        <v>1020</v>
      </c>
      <c r="D21" s="594"/>
      <c r="E21" s="343">
        <f t="shared" si="0"/>
        <v>0.73499999999999999</v>
      </c>
      <c r="F21" s="413">
        <f t="shared" si="1"/>
        <v>-0.73499999999999999</v>
      </c>
      <c r="G21" s="594"/>
      <c r="H21" s="343">
        <f t="shared" si="2"/>
        <v>0.27799999999999997</v>
      </c>
      <c r="I21" s="413">
        <f t="shared" si="3"/>
        <v>0.27799999999999997</v>
      </c>
      <c r="J21" s="353"/>
      <c r="K21" s="343">
        <f t="shared" si="4"/>
        <v>0.28500000000000003</v>
      </c>
      <c r="L21" s="353">
        <f t="shared" si="5"/>
        <v>0.28500000000000003</v>
      </c>
      <c r="M21" s="353"/>
      <c r="N21" s="353"/>
      <c r="O21" s="353"/>
      <c r="P21" s="353">
        <f t="shared" si="6"/>
        <v>0</v>
      </c>
      <c r="Q21" s="353">
        <f t="shared" si="7"/>
        <v>0</v>
      </c>
      <c r="R21" s="353"/>
      <c r="S21" s="343">
        <f t="shared" si="8"/>
        <v>0</v>
      </c>
      <c r="T21" s="353"/>
      <c r="U21" s="343">
        <f t="shared" si="9"/>
        <v>0</v>
      </c>
      <c r="V21" s="25"/>
    </row>
    <row r="22" spans="2:22" ht="15.75" customHeight="1" x14ac:dyDescent="0.3">
      <c r="B22" s="63">
        <f t="shared" si="10"/>
        <v>12</v>
      </c>
      <c r="C22" s="54" t="s">
        <v>332</v>
      </c>
      <c r="D22" s="594"/>
      <c r="E22" s="343">
        <f t="shared" si="0"/>
        <v>0.58600000000000008</v>
      </c>
      <c r="F22" s="413">
        <f t="shared" si="1"/>
        <v>-0.58600000000000008</v>
      </c>
      <c r="G22" s="594"/>
      <c r="H22" s="343">
        <f t="shared" si="2"/>
        <v>0</v>
      </c>
      <c r="I22" s="413">
        <f t="shared" si="3"/>
        <v>0</v>
      </c>
      <c r="J22" s="353"/>
      <c r="K22" s="343">
        <f t="shared" si="4"/>
        <v>0</v>
      </c>
      <c r="L22" s="353">
        <f t="shared" si="5"/>
        <v>0</v>
      </c>
      <c r="M22" s="353"/>
      <c r="N22" s="353"/>
      <c r="O22" s="353"/>
      <c r="P22" s="353">
        <f t="shared" si="6"/>
        <v>0</v>
      </c>
      <c r="Q22" s="353">
        <f t="shared" si="7"/>
        <v>0</v>
      </c>
      <c r="R22" s="353"/>
      <c r="S22" s="343">
        <f t="shared" si="8"/>
        <v>0</v>
      </c>
      <c r="T22" s="353"/>
      <c r="U22" s="343">
        <f t="shared" si="9"/>
        <v>0</v>
      </c>
      <c r="V22" s="25"/>
    </row>
    <row r="23" spans="2:22" ht="15.75" customHeight="1" x14ac:dyDescent="0.3">
      <c r="B23" s="63">
        <f t="shared" si="10"/>
        <v>13</v>
      </c>
      <c r="C23" s="54" t="s">
        <v>181</v>
      </c>
      <c r="D23" s="594"/>
      <c r="E23" s="343">
        <f t="shared" si="0"/>
        <v>2.1000000000000001E-2</v>
      </c>
      <c r="F23" s="413">
        <f t="shared" si="1"/>
        <v>-2.1000000000000001E-2</v>
      </c>
      <c r="G23" s="594"/>
      <c r="H23" s="343">
        <f t="shared" si="2"/>
        <v>1.6E-2</v>
      </c>
      <c r="I23" s="413">
        <f t="shared" si="3"/>
        <v>1.6E-2</v>
      </c>
      <c r="J23" s="353"/>
      <c r="K23" s="343">
        <f t="shared" si="4"/>
        <v>2.1000000000000001E-2</v>
      </c>
      <c r="L23" s="353">
        <f t="shared" si="5"/>
        <v>2.1000000000000001E-2</v>
      </c>
      <c r="M23" s="353"/>
      <c r="N23" s="353"/>
      <c r="O23" s="353"/>
      <c r="P23" s="353">
        <f t="shared" si="6"/>
        <v>0</v>
      </c>
      <c r="Q23" s="353">
        <f t="shared" si="7"/>
        <v>0</v>
      </c>
      <c r="R23" s="353"/>
      <c r="S23" s="343">
        <f t="shared" si="8"/>
        <v>0</v>
      </c>
      <c r="T23" s="353"/>
      <c r="U23" s="343">
        <f t="shared" si="9"/>
        <v>0</v>
      </c>
      <c r="V23" s="25"/>
    </row>
    <row r="24" spans="2:22" s="1" customFormat="1" x14ac:dyDescent="0.3">
      <c r="B24" s="63">
        <f t="shared" si="10"/>
        <v>14</v>
      </c>
      <c r="C24" s="54" t="s">
        <v>1021</v>
      </c>
      <c r="D24" s="594"/>
      <c r="E24" s="343">
        <f t="shared" si="0"/>
        <v>0</v>
      </c>
      <c r="F24" s="413">
        <f t="shared" si="1"/>
        <v>0</v>
      </c>
      <c r="G24" s="594"/>
      <c r="H24" s="343">
        <f t="shared" si="2"/>
        <v>0</v>
      </c>
      <c r="I24" s="413">
        <f t="shared" si="3"/>
        <v>0</v>
      </c>
      <c r="J24" s="353"/>
      <c r="K24" s="343">
        <f t="shared" si="4"/>
        <v>0</v>
      </c>
      <c r="L24" s="353">
        <f t="shared" si="5"/>
        <v>0</v>
      </c>
      <c r="M24" s="353"/>
      <c r="N24" s="353"/>
      <c r="O24" s="353"/>
      <c r="P24" s="353">
        <f t="shared" si="6"/>
        <v>0</v>
      </c>
      <c r="Q24" s="353">
        <f t="shared" si="7"/>
        <v>0</v>
      </c>
      <c r="R24" s="353"/>
      <c r="S24" s="343">
        <f t="shared" si="8"/>
        <v>0</v>
      </c>
      <c r="T24" s="353"/>
      <c r="U24" s="343">
        <f t="shared" si="9"/>
        <v>0</v>
      </c>
      <c r="V24" s="25"/>
    </row>
    <row r="25" spans="2:22" s="1" customFormat="1" x14ac:dyDescent="0.3">
      <c r="B25" s="63">
        <f t="shared" si="10"/>
        <v>15</v>
      </c>
      <c r="C25" s="54" t="s">
        <v>1022</v>
      </c>
      <c r="D25" s="594"/>
      <c r="E25" s="343">
        <f t="shared" si="0"/>
        <v>0.34200000000000003</v>
      </c>
      <c r="F25" s="413">
        <f t="shared" si="1"/>
        <v>-0.34200000000000003</v>
      </c>
      <c r="G25" s="594"/>
      <c r="H25" s="343">
        <f t="shared" si="2"/>
        <v>0.22900000000000001</v>
      </c>
      <c r="I25" s="413">
        <f t="shared" si="3"/>
        <v>0.22900000000000001</v>
      </c>
      <c r="J25" s="353"/>
      <c r="K25" s="343">
        <f t="shared" si="4"/>
        <v>1.4999999999999999E-2</v>
      </c>
      <c r="L25" s="353">
        <f t="shared" si="5"/>
        <v>1.4999999999999999E-2</v>
      </c>
      <c r="M25" s="353"/>
      <c r="N25" s="353"/>
      <c r="O25" s="353"/>
      <c r="P25" s="353">
        <f t="shared" si="6"/>
        <v>0</v>
      </c>
      <c r="Q25" s="353">
        <f t="shared" si="7"/>
        <v>0</v>
      </c>
      <c r="R25" s="353"/>
      <c r="S25" s="343">
        <f t="shared" si="8"/>
        <v>0</v>
      </c>
      <c r="T25" s="353"/>
      <c r="U25" s="343">
        <f t="shared" si="9"/>
        <v>0</v>
      </c>
      <c r="V25" s="25"/>
    </row>
    <row r="26" spans="2:22" s="1" customFormat="1" x14ac:dyDescent="0.3">
      <c r="B26" s="63">
        <f t="shared" si="10"/>
        <v>16</v>
      </c>
      <c r="C26" s="54" t="s">
        <v>1418</v>
      </c>
      <c r="D26" s="595"/>
      <c r="E26" s="343">
        <f t="shared" si="0"/>
        <v>0.76400000000000001</v>
      </c>
      <c r="F26" s="413">
        <f t="shared" si="1"/>
        <v>-0.76400000000000001</v>
      </c>
      <c r="G26" s="595"/>
      <c r="H26" s="343">
        <f t="shared" si="2"/>
        <v>0.59299999999999997</v>
      </c>
      <c r="I26" s="413">
        <f t="shared" si="3"/>
        <v>0.59299999999999997</v>
      </c>
      <c r="J26" s="353"/>
      <c r="K26" s="343">
        <f t="shared" si="4"/>
        <v>0.77900000000000003</v>
      </c>
      <c r="L26" s="353">
        <f t="shared" si="5"/>
        <v>0.77900000000000003</v>
      </c>
      <c r="M26" s="353"/>
      <c r="N26" s="353"/>
      <c r="O26" s="353"/>
      <c r="P26" s="353">
        <f t="shared" si="6"/>
        <v>0</v>
      </c>
      <c r="Q26" s="353">
        <f t="shared" si="7"/>
        <v>0</v>
      </c>
      <c r="R26" s="353"/>
      <c r="S26" s="343">
        <f t="shared" si="8"/>
        <v>0</v>
      </c>
      <c r="T26" s="353"/>
      <c r="U26" s="343">
        <f t="shared" si="9"/>
        <v>0</v>
      </c>
      <c r="V26" s="25"/>
    </row>
    <row r="27" spans="2:22" s="1" customFormat="1" x14ac:dyDescent="0.3">
      <c r="B27" s="115"/>
      <c r="C27" s="50" t="s">
        <v>145</v>
      </c>
      <c r="D27" s="417">
        <f>$I$6*D79</f>
        <v>5.3630000000000004</v>
      </c>
      <c r="E27" s="417">
        <f>SUM(E11:E26)</f>
        <v>3.9269999999999996</v>
      </c>
      <c r="F27" s="418">
        <f>E27-D27</f>
        <v>-1.4360000000000008</v>
      </c>
      <c r="G27" s="417">
        <f>$I$6*G79</f>
        <v>5.5240000000000009</v>
      </c>
      <c r="H27" s="417">
        <f>SUM(H11:H26)</f>
        <v>1.744</v>
      </c>
      <c r="I27" s="413">
        <f t="shared" si="3"/>
        <v>-3.7800000000000011</v>
      </c>
      <c r="J27" s="417">
        <f>$I$6*J79</f>
        <v>5.69</v>
      </c>
      <c r="K27" s="417">
        <f>SUM(K11:K26)</f>
        <v>2.6840000000000002</v>
      </c>
      <c r="L27" s="353">
        <f t="shared" si="5"/>
        <v>-3.0060000000000002</v>
      </c>
      <c r="M27" s="417">
        <f>$I$6*M79</f>
        <v>5.8610000000000007</v>
      </c>
      <c r="N27" s="417">
        <f t="shared" ref="N27:O27" si="11">$I$6*N79</f>
        <v>1.9800000000000002</v>
      </c>
      <c r="O27" s="417">
        <f t="shared" si="11"/>
        <v>1.9800000000000002</v>
      </c>
      <c r="P27" s="417">
        <f>$I$6*P79</f>
        <v>3.9600000000000004</v>
      </c>
      <c r="Q27" s="353">
        <f t="shared" si="7"/>
        <v>-1.9010000000000002</v>
      </c>
      <c r="R27" s="417">
        <f>$I$6*R79</f>
        <v>6.0360000000000005</v>
      </c>
      <c r="S27" s="417">
        <f>$I$6*S79</f>
        <v>4.0788000000000002</v>
      </c>
      <c r="T27" s="417">
        <f>$I$6*T79</f>
        <v>6.2170000000000005</v>
      </c>
      <c r="U27" s="417">
        <f>$I$6*U79</f>
        <v>4.2011640000000012</v>
      </c>
      <c r="V27" s="28"/>
    </row>
    <row r="28" spans="2:22" s="1" customFormat="1" x14ac:dyDescent="0.3">
      <c r="B28" s="329"/>
      <c r="C28" s="130"/>
      <c r="D28" s="596"/>
      <c r="E28" s="596"/>
      <c r="F28" s="596"/>
      <c r="G28" s="596"/>
      <c r="H28" s="596"/>
      <c r="I28" s="596"/>
      <c r="J28" s="496"/>
      <c r="K28" s="496"/>
      <c r="L28" s="496"/>
      <c r="M28" s="496"/>
      <c r="N28" s="496"/>
      <c r="O28" s="496"/>
      <c r="P28" s="496"/>
      <c r="Q28" s="496"/>
      <c r="R28" s="496"/>
      <c r="S28" s="496"/>
      <c r="T28" s="496"/>
      <c r="U28" s="496"/>
      <c r="V28" s="128"/>
    </row>
    <row r="29" spans="2:22" x14ac:dyDescent="0.3">
      <c r="B29" s="15" t="s">
        <v>850</v>
      </c>
      <c r="C29" s="36"/>
      <c r="D29" s="576"/>
      <c r="E29" s="576"/>
      <c r="F29" s="576"/>
      <c r="G29" s="576"/>
      <c r="H29" s="576"/>
      <c r="I29" s="576"/>
      <c r="J29" s="425"/>
      <c r="K29" s="425"/>
      <c r="L29" s="425"/>
      <c r="M29" s="425"/>
      <c r="N29" s="425"/>
      <c r="O29" s="425"/>
      <c r="P29" s="425"/>
      <c r="Q29" s="425"/>
      <c r="R29" s="425"/>
      <c r="S29" s="425"/>
      <c r="T29" s="425"/>
      <c r="U29" s="425"/>
      <c r="V29" s="1"/>
    </row>
    <row r="30" spans="2:22" x14ac:dyDescent="0.3">
      <c r="B30" s="119"/>
      <c r="C30" s="36"/>
      <c r="D30" s="576"/>
      <c r="E30" s="576"/>
      <c r="F30" s="576"/>
      <c r="G30" s="576"/>
      <c r="H30" s="576"/>
      <c r="I30" s="576"/>
      <c r="J30" s="425"/>
      <c r="K30" s="425"/>
      <c r="L30" s="425"/>
      <c r="M30" s="425"/>
      <c r="N30" s="425"/>
      <c r="O30" s="425"/>
      <c r="P30" s="425"/>
      <c r="Q30" s="425"/>
      <c r="R30" s="425"/>
      <c r="S30" s="425"/>
      <c r="T30" s="425"/>
      <c r="U30" s="425"/>
      <c r="V30" s="1"/>
    </row>
    <row r="31" spans="2:22" s="15" customFormat="1" ht="12.75" customHeight="1" x14ac:dyDescent="0.3">
      <c r="B31" s="119"/>
      <c r="C31" s="36"/>
      <c r="D31" s="576"/>
      <c r="E31" s="576"/>
      <c r="F31" s="576"/>
      <c r="G31" s="576"/>
      <c r="H31" s="576"/>
      <c r="I31" s="576"/>
      <c r="J31" s="425"/>
      <c r="K31" s="425"/>
      <c r="L31" s="425"/>
      <c r="M31" s="425"/>
      <c r="N31" s="425"/>
      <c r="O31" s="425"/>
      <c r="P31" s="425"/>
      <c r="Q31" s="425"/>
      <c r="R31" s="425"/>
      <c r="S31" s="425"/>
      <c r="T31" s="425"/>
      <c r="U31" s="425"/>
      <c r="V31" s="1"/>
    </row>
    <row r="32" spans="2:22" s="15" customFormat="1" ht="41.5" customHeight="1" x14ac:dyDescent="0.3">
      <c r="B32" s="5"/>
      <c r="C32" s="120" t="s">
        <v>284</v>
      </c>
      <c r="D32" s="568"/>
      <c r="E32" s="568"/>
      <c r="F32" s="568"/>
      <c r="G32" s="568"/>
      <c r="H32" s="568"/>
      <c r="I32" s="568"/>
      <c r="J32" s="426"/>
      <c r="K32" s="426"/>
      <c r="L32" s="426"/>
      <c r="M32" s="426"/>
      <c r="N32" s="426"/>
      <c r="O32" s="426"/>
      <c r="P32" s="426"/>
      <c r="Q32" s="426"/>
      <c r="R32" s="426"/>
      <c r="S32" s="426"/>
      <c r="T32" s="426"/>
      <c r="U32" s="426"/>
      <c r="V32" s="5"/>
    </row>
    <row r="33" spans="1:22" s="15" customFormat="1" ht="14.5" x14ac:dyDescent="0.3">
      <c r="A33" s="731"/>
      <c r="B33" s="119"/>
      <c r="C33" s="41"/>
      <c r="D33" s="597"/>
      <c r="E33" s="597"/>
      <c r="F33" s="597"/>
      <c r="G33" s="597"/>
      <c r="H33" s="597"/>
      <c r="I33" s="597">
        <v>0.9</v>
      </c>
      <c r="J33" s="426"/>
      <c r="K33" s="426"/>
      <c r="L33" s="524"/>
      <c r="M33" s="426"/>
      <c r="N33" s="532"/>
      <c r="O33" s="426"/>
      <c r="P33" s="426"/>
      <c r="Q33" s="426"/>
      <c r="R33" s="426"/>
      <c r="S33" s="524" t="s">
        <v>16</v>
      </c>
      <c r="T33" s="524"/>
      <c r="U33" s="426"/>
      <c r="V33" s="5"/>
    </row>
    <row r="34" spans="1:22" x14ac:dyDescent="0.3">
      <c r="B34" s="2177" t="s">
        <v>187</v>
      </c>
      <c r="C34" s="2182" t="s">
        <v>50</v>
      </c>
      <c r="D34" s="2190" t="s">
        <v>804</v>
      </c>
      <c r="E34" s="2197"/>
      <c r="F34" s="2191"/>
      <c r="G34" s="2190" t="s">
        <v>186</v>
      </c>
      <c r="H34" s="2197"/>
      <c r="I34" s="2191"/>
      <c r="J34" s="2190" t="s">
        <v>426</v>
      </c>
      <c r="K34" s="2197"/>
      <c r="L34" s="2191"/>
      <c r="M34" s="2190" t="s">
        <v>427</v>
      </c>
      <c r="N34" s="2197"/>
      <c r="O34" s="2197"/>
      <c r="P34" s="2197"/>
      <c r="Q34" s="2191"/>
      <c r="R34" s="2190" t="s">
        <v>428</v>
      </c>
      <c r="S34" s="2191"/>
      <c r="T34" s="2190" t="s">
        <v>429</v>
      </c>
      <c r="U34" s="2191"/>
      <c r="V34" s="2174" t="s">
        <v>39</v>
      </c>
    </row>
    <row r="35" spans="1:22" ht="28" x14ac:dyDescent="0.3">
      <c r="B35" s="2178"/>
      <c r="C35" s="2182"/>
      <c r="D35" s="427" t="s">
        <v>404</v>
      </c>
      <c r="E35" s="488" t="s">
        <v>1716</v>
      </c>
      <c r="F35" s="488" t="s">
        <v>406</v>
      </c>
      <c r="G35" s="427" t="s">
        <v>404</v>
      </c>
      <c r="H35" s="488" t="s">
        <v>1716</v>
      </c>
      <c r="I35" s="488" t="s">
        <v>406</v>
      </c>
      <c r="J35" s="427" t="s">
        <v>404</v>
      </c>
      <c r="K35" s="488" t="s">
        <v>405</v>
      </c>
      <c r="L35" s="488" t="s">
        <v>406</v>
      </c>
      <c r="M35" s="488" t="s">
        <v>404</v>
      </c>
      <c r="N35" s="488" t="s">
        <v>408</v>
      </c>
      <c r="O35" s="488" t="s">
        <v>333</v>
      </c>
      <c r="P35" s="488" t="s">
        <v>72</v>
      </c>
      <c r="Q35" s="488" t="s">
        <v>409</v>
      </c>
      <c r="R35" s="488" t="s">
        <v>404</v>
      </c>
      <c r="S35" s="488" t="s">
        <v>805</v>
      </c>
      <c r="T35" s="488" t="s">
        <v>404</v>
      </c>
      <c r="U35" s="488" t="s">
        <v>805</v>
      </c>
      <c r="V35" s="2174"/>
    </row>
    <row r="36" spans="1:22" x14ac:dyDescent="0.3">
      <c r="B36" s="2179"/>
      <c r="C36" s="2183"/>
      <c r="D36" s="488" t="s">
        <v>73</v>
      </c>
      <c r="E36" s="488" t="s">
        <v>74</v>
      </c>
      <c r="F36" s="488" t="s">
        <v>806</v>
      </c>
      <c r="G36" s="488" t="s">
        <v>411</v>
      </c>
      <c r="H36" s="488" t="s">
        <v>412</v>
      </c>
      <c r="I36" s="488" t="s">
        <v>439</v>
      </c>
      <c r="J36" s="488" t="s">
        <v>668</v>
      </c>
      <c r="K36" s="488" t="s">
        <v>582</v>
      </c>
      <c r="L36" s="488" t="s">
        <v>675</v>
      </c>
      <c r="M36" s="488" t="s">
        <v>782</v>
      </c>
      <c r="N36" s="488" t="s">
        <v>583</v>
      </c>
      <c r="O36" s="488" t="s">
        <v>760</v>
      </c>
      <c r="P36" s="488" t="s">
        <v>807</v>
      </c>
      <c r="Q36" s="488" t="s">
        <v>808</v>
      </c>
      <c r="R36" s="488" t="s">
        <v>784</v>
      </c>
      <c r="S36" s="488" t="s">
        <v>762</v>
      </c>
      <c r="T36" s="488" t="s">
        <v>763</v>
      </c>
      <c r="U36" s="488" t="s">
        <v>764</v>
      </c>
      <c r="V36" s="2397"/>
    </row>
    <row r="37" spans="1:22" x14ac:dyDescent="0.3">
      <c r="B37" s="63">
        <v>1</v>
      </c>
      <c r="C37" s="75" t="s">
        <v>1019</v>
      </c>
      <c r="D37" s="598"/>
      <c r="E37" s="414">
        <f>$I$33*E63</f>
        <v>8.0459999999999994</v>
      </c>
      <c r="F37" s="415">
        <f>E37-D37</f>
        <v>8.0459999999999994</v>
      </c>
      <c r="G37" s="413"/>
      <c r="H37" s="414">
        <f>$I$33*H63</f>
        <v>0</v>
      </c>
      <c r="I37" s="413">
        <f>H37-G37</f>
        <v>0</v>
      </c>
      <c r="J37" s="353"/>
      <c r="K37" s="414">
        <f>$I$33*K63</f>
        <v>0</v>
      </c>
      <c r="L37" s="353">
        <f>K37-J37</f>
        <v>0</v>
      </c>
      <c r="M37" s="353"/>
      <c r="N37" s="353"/>
      <c r="O37" s="353"/>
      <c r="P37" s="353">
        <f>SUM(N37,O37)</f>
        <v>0</v>
      </c>
      <c r="Q37" s="353">
        <f>P37-M37</f>
        <v>0</v>
      </c>
      <c r="R37" s="353"/>
      <c r="S37" s="414">
        <f>$I$33*S63</f>
        <v>0</v>
      </c>
      <c r="T37" s="353"/>
      <c r="U37" s="414">
        <f>$I$33*U63</f>
        <v>0</v>
      </c>
      <c r="V37" s="25"/>
    </row>
    <row r="38" spans="1:22" ht="14.5" x14ac:dyDescent="0.3">
      <c r="B38" s="786">
        <f>B37+1</f>
        <v>2</v>
      </c>
      <c r="C38" s="52" t="s">
        <v>1414</v>
      </c>
      <c r="D38" s="599"/>
      <c r="E38" s="414">
        <f t="shared" ref="E38:E52" si="12">$I$33*E64</f>
        <v>0.99900000000000011</v>
      </c>
      <c r="F38" s="415">
        <f t="shared" ref="F38:F52" si="13">E38-D38</f>
        <v>0.99900000000000011</v>
      </c>
      <c r="G38" s="348"/>
      <c r="H38" s="414">
        <f t="shared" ref="H38:H52" si="14">$I$33*H64</f>
        <v>1.8540000000000001</v>
      </c>
      <c r="I38" s="413">
        <f t="shared" ref="I38:I53" si="15">H38-G38</f>
        <v>1.8540000000000001</v>
      </c>
      <c r="J38" s="353"/>
      <c r="K38" s="414">
        <f t="shared" ref="K38:K52" si="16">$I$33*K64</f>
        <v>1.611</v>
      </c>
      <c r="L38" s="353">
        <f t="shared" ref="L38:L53" si="17">K38-J38</f>
        <v>1.611</v>
      </c>
      <c r="M38" s="353"/>
      <c r="N38" s="353"/>
      <c r="O38" s="353"/>
      <c r="P38" s="353">
        <f t="shared" ref="P38:P52" si="18">SUM(N38,O38)</f>
        <v>0</v>
      </c>
      <c r="Q38" s="353">
        <f t="shared" ref="Q38:Q53" si="19">P38-M38</f>
        <v>0</v>
      </c>
      <c r="R38" s="353"/>
      <c r="S38" s="414">
        <f t="shared" ref="S38:S52" si="20">$I$33*S64</f>
        <v>0</v>
      </c>
      <c r="T38" s="353"/>
      <c r="U38" s="414">
        <f t="shared" ref="U38:U52" si="21">$I$33*U64</f>
        <v>0</v>
      </c>
      <c r="V38" s="25"/>
    </row>
    <row r="39" spans="1:22" x14ac:dyDescent="0.3">
      <c r="B39" s="63">
        <f t="shared" ref="B39:B52" si="22">B38+1</f>
        <v>3</v>
      </c>
      <c r="C39" s="53" t="s">
        <v>163</v>
      </c>
      <c r="D39" s="600"/>
      <c r="E39" s="414">
        <f t="shared" si="12"/>
        <v>0</v>
      </c>
      <c r="F39" s="415">
        <f t="shared" si="13"/>
        <v>0</v>
      </c>
      <c r="G39" s="594"/>
      <c r="H39" s="414">
        <f t="shared" si="14"/>
        <v>0</v>
      </c>
      <c r="I39" s="413">
        <f t="shared" si="15"/>
        <v>0</v>
      </c>
      <c r="J39" s="353"/>
      <c r="K39" s="414">
        <f t="shared" si="16"/>
        <v>8.7390000000000008</v>
      </c>
      <c r="L39" s="353">
        <f t="shared" si="17"/>
        <v>8.7390000000000008</v>
      </c>
      <c r="M39" s="353"/>
      <c r="N39" s="353"/>
      <c r="O39" s="353"/>
      <c r="P39" s="353">
        <f t="shared" si="18"/>
        <v>0</v>
      </c>
      <c r="Q39" s="353">
        <f t="shared" si="19"/>
        <v>0</v>
      </c>
      <c r="R39" s="353"/>
      <c r="S39" s="414">
        <f t="shared" si="20"/>
        <v>0</v>
      </c>
      <c r="T39" s="353"/>
      <c r="U39" s="414">
        <f t="shared" si="21"/>
        <v>0</v>
      </c>
      <c r="V39" s="25"/>
    </row>
    <row r="40" spans="1:22" x14ac:dyDescent="0.3">
      <c r="B40" s="63">
        <f t="shared" si="22"/>
        <v>4</v>
      </c>
      <c r="C40" s="53" t="s">
        <v>180</v>
      </c>
      <c r="D40" s="600"/>
      <c r="E40" s="414">
        <f t="shared" si="12"/>
        <v>3.726</v>
      </c>
      <c r="F40" s="415">
        <f t="shared" si="13"/>
        <v>3.726</v>
      </c>
      <c r="G40" s="594"/>
      <c r="H40" s="414">
        <f t="shared" si="14"/>
        <v>3.6179999999999999</v>
      </c>
      <c r="I40" s="413">
        <f t="shared" si="15"/>
        <v>3.6179999999999999</v>
      </c>
      <c r="J40" s="353"/>
      <c r="K40" s="414">
        <f t="shared" si="16"/>
        <v>3.69</v>
      </c>
      <c r="L40" s="353">
        <f t="shared" si="17"/>
        <v>3.69</v>
      </c>
      <c r="M40" s="353"/>
      <c r="N40" s="353"/>
      <c r="O40" s="353"/>
      <c r="P40" s="353">
        <f t="shared" si="18"/>
        <v>0</v>
      </c>
      <c r="Q40" s="353">
        <f t="shared" si="19"/>
        <v>0</v>
      </c>
      <c r="R40" s="353"/>
      <c r="S40" s="414">
        <f t="shared" si="20"/>
        <v>0</v>
      </c>
      <c r="T40" s="353"/>
      <c r="U40" s="414">
        <f t="shared" si="21"/>
        <v>0</v>
      </c>
      <c r="V40" s="25"/>
    </row>
    <row r="41" spans="1:22" x14ac:dyDescent="0.3">
      <c r="B41" s="63">
        <f t="shared" si="22"/>
        <v>5</v>
      </c>
      <c r="C41" s="53" t="s">
        <v>1415</v>
      </c>
      <c r="D41" s="600"/>
      <c r="E41" s="414">
        <f t="shared" si="12"/>
        <v>0</v>
      </c>
      <c r="F41" s="415">
        <f t="shared" si="13"/>
        <v>0</v>
      </c>
      <c r="G41" s="594"/>
      <c r="H41" s="414">
        <f t="shared" si="14"/>
        <v>0</v>
      </c>
      <c r="I41" s="413">
        <f t="shared" si="15"/>
        <v>0</v>
      </c>
      <c r="J41" s="353"/>
      <c r="K41" s="414">
        <f t="shared" si="16"/>
        <v>0</v>
      </c>
      <c r="L41" s="353">
        <f t="shared" si="17"/>
        <v>0</v>
      </c>
      <c r="M41" s="353"/>
      <c r="N41" s="353"/>
      <c r="O41" s="353"/>
      <c r="P41" s="353">
        <f t="shared" si="18"/>
        <v>0</v>
      </c>
      <c r="Q41" s="353">
        <f t="shared" si="19"/>
        <v>0</v>
      </c>
      <c r="R41" s="353"/>
      <c r="S41" s="414">
        <f t="shared" si="20"/>
        <v>0</v>
      </c>
      <c r="T41" s="353"/>
      <c r="U41" s="414">
        <f t="shared" si="21"/>
        <v>0</v>
      </c>
      <c r="V41" s="25"/>
    </row>
    <row r="42" spans="1:22" x14ac:dyDescent="0.3">
      <c r="B42" s="63">
        <f t="shared" si="22"/>
        <v>6</v>
      </c>
      <c r="C42" s="54" t="s">
        <v>164</v>
      </c>
      <c r="D42" s="601"/>
      <c r="E42" s="414">
        <f t="shared" si="12"/>
        <v>0</v>
      </c>
      <c r="F42" s="415">
        <f t="shared" si="13"/>
        <v>0</v>
      </c>
      <c r="G42" s="595"/>
      <c r="H42" s="414">
        <f t="shared" si="14"/>
        <v>0</v>
      </c>
      <c r="I42" s="413">
        <f t="shared" si="15"/>
        <v>0</v>
      </c>
      <c r="J42" s="353"/>
      <c r="K42" s="414">
        <f t="shared" si="16"/>
        <v>0</v>
      </c>
      <c r="L42" s="353">
        <f t="shared" si="17"/>
        <v>0</v>
      </c>
      <c r="M42" s="353"/>
      <c r="N42" s="353"/>
      <c r="O42" s="353"/>
      <c r="P42" s="353">
        <f t="shared" si="18"/>
        <v>0</v>
      </c>
      <c r="Q42" s="353">
        <f t="shared" si="19"/>
        <v>0</v>
      </c>
      <c r="R42" s="353"/>
      <c r="S42" s="414">
        <f t="shared" si="20"/>
        <v>0</v>
      </c>
      <c r="T42" s="353"/>
      <c r="U42" s="414">
        <f t="shared" si="21"/>
        <v>0</v>
      </c>
      <c r="V42" s="25"/>
    </row>
    <row r="43" spans="1:22" ht="30" customHeight="1" x14ac:dyDescent="0.3">
      <c r="B43" s="63">
        <f t="shared" si="22"/>
        <v>7</v>
      </c>
      <c r="C43" s="54" t="s">
        <v>1416</v>
      </c>
      <c r="D43" s="601"/>
      <c r="E43" s="414">
        <f t="shared" si="12"/>
        <v>0</v>
      </c>
      <c r="F43" s="415">
        <f t="shared" si="13"/>
        <v>0</v>
      </c>
      <c r="G43" s="595"/>
      <c r="H43" s="414">
        <f t="shared" si="14"/>
        <v>0</v>
      </c>
      <c r="I43" s="413">
        <f t="shared" si="15"/>
        <v>0</v>
      </c>
      <c r="J43" s="353"/>
      <c r="K43" s="414">
        <f t="shared" si="16"/>
        <v>0</v>
      </c>
      <c r="L43" s="353">
        <f t="shared" si="17"/>
        <v>0</v>
      </c>
      <c r="M43" s="353"/>
      <c r="N43" s="353"/>
      <c r="O43" s="353"/>
      <c r="P43" s="353">
        <f t="shared" si="18"/>
        <v>0</v>
      </c>
      <c r="Q43" s="353">
        <f t="shared" si="19"/>
        <v>0</v>
      </c>
      <c r="R43" s="353"/>
      <c r="S43" s="414">
        <f t="shared" si="20"/>
        <v>0</v>
      </c>
      <c r="T43" s="353"/>
      <c r="U43" s="414">
        <f t="shared" si="21"/>
        <v>0</v>
      </c>
      <c r="V43" s="25"/>
    </row>
    <row r="44" spans="1:22" s="119" customFormat="1" x14ac:dyDescent="0.3">
      <c r="B44" s="63">
        <f t="shared" si="22"/>
        <v>8</v>
      </c>
      <c r="C44" s="54" t="s">
        <v>165</v>
      </c>
      <c r="D44" s="601"/>
      <c r="E44" s="414">
        <f t="shared" si="12"/>
        <v>0</v>
      </c>
      <c r="F44" s="415">
        <f t="shared" si="13"/>
        <v>0</v>
      </c>
      <c r="G44" s="595"/>
      <c r="H44" s="414">
        <f t="shared" si="14"/>
        <v>0</v>
      </c>
      <c r="I44" s="413">
        <f t="shared" si="15"/>
        <v>0</v>
      </c>
      <c r="J44" s="353"/>
      <c r="K44" s="414">
        <f t="shared" si="16"/>
        <v>0</v>
      </c>
      <c r="L44" s="353">
        <f t="shared" si="17"/>
        <v>0</v>
      </c>
      <c r="M44" s="353"/>
      <c r="N44" s="353"/>
      <c r="O44" s="353"/>
      <c r="P44" s="353">
        <f t="shared" si="18"/>
        <v>0</v>
      </c>
      <c r="Q44" s="353">
        <f t="shared" si="19"/>
        <v>0</v>
      </c>
      <c r="R44" s="353"/>
      <c r="S44" s="414">
        <f t="shared" si="20"/>
        <v>0</v>
      </c>
      <c r="T44" s="353"/>
      <c r="U44" s="414">
        <f t="shared" si="21"/>
        <v>0</v>
      </c>
      <c r="V44" s="25"/>
    </row>
    <row r="45" spans="1:22" s="119" customFormat="1" x14ac:dyDescent="0.3">
      <c r="B45" s="63">
        <f t="shared" si="22"/>
        <v>9</v>
      </c>
      <c r="C45" s="75" t="s">
        <v>331</v>
      </c>
      <c r="D45" s="598"/>
      <c r="E45" s="414">
        <f t="shared" si="12"/>
        <v>0</v>
      </c>
      <c r="F45" s="415">
        <f t="shared" si="13"/>
        <v>0</v>
      </c>
      <c r="G45" s="413"/>
      <c r="H45" s="414">
        <f t="shared" si="14"/>
        <v>0</v>
      </c>
      <c r="I45" s="413">
        <f t="shared" si="15"/>
        <v>0</v>
      </c>
      <c r="J45" s="353"/>
      <c r="K45" s="414">
        <f t="shared" si="16"/>
        <v>0</v>
      </c>
      <c r="L45" s="353">
        <f t="shared" si="17"/>
        <v>0</v>
      </c>
      <c r="M45" s="353"/>
      <c r="N45" s="353"/>
      <c r="O45" s="353"/>
      <c r="P45" s="353">
        <f t="shared" si="18"/>
        <v>0</v>
      </c>
      <c r="Q45" s="353">
        <f t="shared" si="19"/>
        <v>0</v>
      </c>
      <c r="R45" s="353"/>
      <c r="S45" s="414">
        <f t="shared" si="20"/>
        <v>0</v>
      </c>
      <c r="T45" s="353"/>
      <c r="U45" s="414">
        <f t="shared" si="21"/>
        <v>0</v>
      </c>
      <c r="V45" s="25"/>
    </row>
    <row r="46" spans="1:22" ht="28" x14ac:dyDescent="0.3">
      <c r="B46" s="63">
        <f t="shared" si="22"/>
        <v>10</v>
      </c>
      <c r="C46" s="75" t="s">
        <v>1417</v>
      </c>
      <c r="D46" s="598"/>
      <c r="E46" s="414">
        <f t="shared" si="12"/>
        <v>0.54</v>
      </c>
      <c r="F46" s="415">
        <f t="shared" si="13"/>
        <v>0.54</v>
      </c>
      <c r="G46" s="413"/>
      <c r="H46" s="414">
        <f t="shared" si="14"/>
        <v>0.18000000000000002</v>
      </c>
      <c r="I46" s="413">
        <f t="shared" si="15"/>
        <v>0.18000000000000002</v>
      </c>
      <c r="J46" s="353"/>
      <c r="K46" s="414">
        <f t="shared" si="16"/>
        <v>0.216</v>
      </c>
      <c r="L46" s="353">
        <f t="shared" si="17"/>
        <v>0.216</v>
      </c>
      <c r="M46" s="353"/>
      <c r="N46" s="353"/>
      <c r="O46" s="353"/>
      <c r="P46" s="353">
        <f t="shared" si="18"/>
        <v>0</v>
      </c>
      <c r="Q46" s="353">
        <f t="shared" si="19"/>
        <v>0</v>
      </c>
      <c r="R46" s="353"/>
      <c r="S46" s="414">
        <f t="shared" si="20"/>
        <v>0</v>
      </c>
      <c r="T46" s="353"/>
      <c r="U46" s="414">
        <f t="shared" si="21"/>
        <v>0</v>
      </c>
      <c r="V46" s="25"/>
    </row>
    <row r="47" spans="1:22" x14ac:dyDescent="0.3">
      <c r="B47" s="63">
        <f t="shared" si="22"/>
        <v>11</v>
      </c>
      <c r="C47" s="54" t="s">
        <v>1020</v>
      </c>
      <c r="D47" s="601"/>
      <c r="E47" s="414">
        <f t="shared" si="12"/>
        <v>6.6150000000000002</v>
      </c>
      <c r="F47" s="415">
        <f t="shared" si="13"/>
        <v>6.6150000000000002</v>
      </c>
      <c r="G47" s="595"/>
      <c r="H47" s="414">
        <f t="shared" si="14"/>
        <v>2.5019999999999998</v>
      </c>
      <c r="I47" s="413">
        <f t="shared" si="15"/>
        <v>2.5019999999999998</v>
      </c>
      <c r="J47" s="353"/>
      <c r="K47" s="414">
        <f t="shared" si="16"/>
        <v>2.5649999999999999</v>
      </c>
      <c r="L47" s="353">
        <f t="shared" si="17"/>
        <v>2.5649999999999999</v>
      </c>
      <c r="M47" s="353"/>
      <c r="N47" s="353"/>
      <c r="O47" s="353"/>
      <c r="P47" s="353">
        <f t="shared" si="18"/>
        <v>0</v>
      </c>
      <c r="Q47" s="353">
        <f t="shared" si="19"/>
        <v>0</v>
      </c>
      <c r="R47" s="353"/>
      <c r="S47" s="414">
        <f t="shared" si="20"/>
        <v>0</v>
      </c>
      <c r="T47" s="353"/>
      <c r="U47" s="414">
        <f t="shared" si="21"/>
        <v>0</v>
      </c>
      <c r="V47" s="25"/>
    </row>
    <row r="48" spans="1:22" x14ac:dyDescent="0.3">
      <c r="B48" s="63">
        <f t="shared" si="22"/>
        <v>12</v>
      </c>
      <c r="C48" s="53" t="s">
        <v>332</v>
      </c>
      <c r="D48" s="600"/>
      <c r="E48" s="414">
        <f t="shared" si="12"/>
        <v>5.274</v>
      </c>
      <c r="F48" s="415">
        <f t="shared" si="13"/>
        <v>5.274</v>
      </c>
      <c r="G48" s="594"/>
      <c r="H48" s="414">
        <f t="shared" si="14"/>
        <v>0</v>
      </c>
      <c r="I48" s="413">
        <f t="shared" si="15"/>
        <v>0</v>
      </c>
      <c r="J48" s="353"/>
      <c r="K48" s="414">
        <f t="shared" si="16"/>
        <v>0</v>
      </c>
      <c r="L48" s="353">
        <f t="shared" si="17"/>
        <v>0</v>
      </c>
      <c r="M48" s="353"/>
      <c r="N48" s="353"/>
      <c r="O48" s="353"/>
      <c r="P48" s="353">
        <f t="shared" si="18"/>
        <v>0</v>
      </c>
      <c r="Q48" s="353">
        <f t="shared" si="19"/>
        <v>0</v>
      </c>
      <c r="R48" s="353"/>
      <c r="S48" s="414">
        <f t="shared" si="20"/>
        <v>0</v>
      </c>
      <c r="T48" s="353"/>
      <c r="U48" s="414">
        <f t="shared" si="21"/>
        <v>0</v>
      </c>
      <c r="V48" s="25"/>
    </row>
    <row r="49" spans="2:23" x14ac:dyDescent="0.3">
      <c r="B49" s="63">
        <f t="shared" si="22"/>
        <v>13</v>
      </c>
      <c r="C49" s="783" t="s">
        <v>181</v>
      </c>
      <c r="D49" s="600"/>
      <c r="E49" s="414">
        <f t="shared" si="12"/>
        <v>0.189</v>
      </c>
      <c r="F49" s="415">
        <f t="shared" si="13"/>
        <v>0.189</v>
      </c>
      <c r="G49" s="594"/>
      <c r="H49" s="414">
        <f t="shared" si="14"/>
        <v>0.14400000000000002</v>
      </c>
      <c r="I49" s="413">
        <f t="shared" si="15"/>
        <v>0.14400000000000002</v>
      </c>
      <c r="J49" s="353"/>
      <c r="K49" s="414">
        <f t="shared" si="16"/>
        <v>0.189</v>
      </c>
      <c r="L49" s="353">
        <f t="shared" si="17"/>
        <v>0.189</v>
      </c>
      <c r="M49" s="353"/>
      <c r="N49" s="353"/>
      <c r="O49" s="353"/>
      <c r="P49" s="353">
        <f t="shared" si="18"/>
        <v>0</v>
      </c>
      <c r="Q49" s="353">
        <f t="shared" si="19"/>
        <v>0</v>
      </c>
      <c r="R49" s="353"/>
      <c r="S49" s="414">
        <f t="shared" si="20"/>
        <v>0</v>
      </c>
      <c r="T49" s="353"/>
      <c r="U49" s="414">
        <f t="shared" si="21"/>
        <v>0</v>
      </c>
      <c r="V49" s="25"/>
    </row>
    <row r="50" spans="2:23" x14ac:dyDescent="0.3">
      <c r="B50" s="63">
        <f t="shared" si="22"/>
        <v>14</v>
      </c>
      <c r="C50" s="783" t="s">
        <v>1021</v>
      </c>
      <c r="D50" s="600"/>
      <c r="E50" s="414">
        <f t="shared" si="12"/>
        <v>0</v>
      </c>
      <c r="F50" s="415">
        <f t="shared" si="13"/>
        <v>0</v>
      </c>
      <c r="G50" s="594"/>
      <c r="H50" s="414">
        <f t="shared" si="14"/>
        <v>0</v>
      </c>
      <c r="I50" s="413">
        <f t="shared" si="15"/>
        <v>0</v>
      </c>
      <c r="J50" s="353"/>
      <c r="K50" s="414">
        <f t="shared" si="16"/>
        <v>0</v>
      </c>
      <c r="L50" s="353">
        <f t="shared" si="17"/>
        <v>0</v>
      </c>
      <c r="M50" s="353"/>
      <c r="N50" s="353"/>
      <c r="O50" s="353"/>
      <c r="P50" s="353">
        <f t="shared" si="18"/>
        <v>0</v>
      </c>
      <c r="Q50" s="353">
        <f t="shared" si="19"/>
        <v>0</v>
      </c>
      <c r="R50" s="353"/>
      <c r="S50" s="414">
        <f t="shared" si="20"/>
        <v>0</v>
      </c>
      <c r="T50" s="353"/>
      <c r="U50" s="414">
        <f t="shared" si="21"/>
        <v>0</v>
      </c>
      <c r="V50" s="25"/>
    </row>
    <row r="51" spans="2:23" x14ac:dyDescent="0.3">
      <c r="B51" s="63">
        <f t="shared" si="22"/>
        <v>15</v>
      </c>
      <c r="C51" s="783" t="s">
        <v>1022</v>
      </c>
      <c r="D51" s="601"/>
      <c r="E51" s="414">
        <f t="shared" si="12"/>
        <v>3.0779999999999998</v>
      </c>
      <c r="F51" s="415">
        <f t="shared" si="13"/>
        <v>3.0779999999999998</v>
      </c>
      <c r="G51" s="595"/>
      <c r="H51" s="414">
        <f t="shared" si="14"/>
        <v>2.0609999999999999</v>
      </c>
      <c r="I51" s="413">
        <f t="shared" si="15"/>
        <v>2.0609999999999999</v>
      </c>
      <c r="J51" s="353"/>
      <c r="K51" s="414">
        <f t="shared" si="16"/>
        <v>0.13500000000000001</v>
      </c>
      <c r="L51" s="353">
        <f t="shared" si="17"/>
        <v>0.13500000000000001</v>
      </c>
      <c r="M51" s="353"/>
      <c r="N51" s="353"/>
      <c r="O51" s="353"/>
      <c r="P51" s="353">
        <f t="shared" si="18"/>
        <v>0</v>
      </c>
      <c r="Q51" s="353">
        <f t="shared" si="19"/>
        <v>0</v>
      </c>
      <c r="R51" s="353"/>
      <c r="S51" s="414">
        <f t="shared" si="20"/>
        <v>0</v>
      </c>
      <c r="T51" s="353"/>
      <c r="U51" s="414">
        <f t="shared" si="21"/>
        <v>0</v>
      </c>
      <c r="V51" s="25"/>
    </row>
    <row r="52" spans="2:23" x14ac:dyDescent="0.3">
      <c r="B52" s="63">
        <f t="shared" si="22"/>
        <v>16</v>
      </c>
      <c r="C52" s="783" t="s">
        <v>1418</v>
      </c>
      <c r="E52" s="414">
        <f t="shared" si="12"/>
        <v>6.8759999999999994</v>
      </c>
      <c r="F52" s="415">
        <f t="shared" si="13"/>
        <v>6.8759999999999994</v>
      </c>
      <c r="G52" s="595"/>
      <c r="H52" s="414">
        <f t="shared" si="14"/>
        <v>5.3369999999999997</v>
      </c>
      <c r="I52" s="413">
        <f t="shared" si="15"/>
        <v>5.3369999999999997</v>
      </c>
      <c r="J52" s="353"/>
      <c r="K52" s="414">
        <f t="shared" si="16"/>
        <v>7.0110000000000001</v>
      </c>
      <c r="L52" s="353">
        <f t="shared" si="17"/>
        <v>7.0110000000000001</v>
      </c>
      <c r="M52" s="353"/>
      <c r="N52" s="353"/>
      <c r="O52" s="353"/>
      <c r="P52" s="353">
        <f t="shared" si="18"/>
        <v>0</v>
      </c>
      <c r="Q52" s="353">
        <f t="shared" si="19"/>
        <v>0</v>
      </c>
      <c r="R52" s="353"/>
      <c r="S52" s="414">
        <f t="shared" si="20"/>
        <v>0</v>
      </c>
      <c r="T52" s="353"/>
      <c r="U52" s="414">
        <f t="shared" si="21"/>
        <v>0</v>
      </c>
      <c r="V52" s="25"/>
    </row>
    <row r="53" spans="2:23" s="8" customFormat="1" x14ac:dyDescent="0.3">
      <c r="B53" s="115"/>
      <c r="C53" s="50" t="s">
        <v>145</v>
      </c>
      <c r="D53" s="354">
        <f>$I$33*D79</f>
        <v>48.267000000000003</v>
      </c>
      <c r="E53" s="416">
        <f>SUM(E37:E52)</f>
        <v>35.343000000000004</v>
      </c>
      <c r="F53" s="418">
        <f>E53-D53</f>
        <v>-12.923999999999999</v>
      </c>
      <c r="G53" s="354">
        <f>$I$33*G79</f>
        <v>49.716000000000001</v>
      </c>
      <c r="H53" s="417">
        <f>SUM(H37:H52)</f>
        <v>15.696</v>
      </c>
      <c r="I53" s="418">
        <f t="shared" si="15"/>
        <v>-34.020000000000003</v>
      </c>
      <c r="J53" s="354">
        <f>$I$33*J79</f>
        <v>51.21</v>
      </c>
      <c r="K53" s="417">
        <f>SUM(K37:K52)</f>
        <v>24.156000000000002</v>
      </c>
      <c r="L53" s="354">
        <f t="shared" si="17"/>
        <v>-27.053999999999998</v>
      </c>
      <c r="M53" s="354">
        <f>$I$33*M79</f>
        <v>52.749000000000002</v>
      </c>
      <c r="N53" s="417">
        <f t="shared" ref="N53:O53" si="23">$I33*N79</f>
        <v>17.82</v>
      </c>
      <c r="O53" s="417">
        <f t="shared" si="23"/>
        <v>17.82</v>
      </c>
      <c r="P53" s="417">
        <f>$I33*P79</f>
        <v>35.64</v>
      </c>
      <c r="Q53" s="354">
        <f t="shared" si="19"/>
        <v>-17.109000000000002</v>
      </c>
      <c r="R53" s="354">
        <f>$I$33*R79</f>
        <v>54.323999999999998</v>
      </c>
      <c r="S53" s="354">
        <f>$I$33*S79</f>
        <v>36.709200000000003</v>
      </c>
      <c r="T53" s="354">
        <f>$I$33*T79</f>
        <v>55.953000000000003</v>
      </c>
      <c r="U53" s="354">
        <f>$I$33*U79</f>
        <v>37.810476000000008</v>
      </c>
      <c r="V53" s="38"/>
    </row>
    <row r="54" spans="2:23" x14ac:dyDescent="0.3">
      <c r="B54" s="15"/>
    </row>
    <row r="55" spans="2:23" x14ac:dyDescent="0.3">
      <c r="B55" s="15" t="s">
        <v>850</v>
      </c>
    </row>
    <row r="58" spans="2:23" x14ac:dyDescent="0.3">
      <c r="B58" s="119"/>
      <c r="C58" s="120" t="s">
        <v>1240</v>
      </c>
      <c r="D58" s="568"/>
      <c r="E58" s="568"/>
      <c r="F58" s="568"/>
      <c r="G58" s="568"/>
      <c r="H58" s="568"/>
      <c r="I58" s="568"/>
      <c r="V58" s="119"/>
      <c r="W58" s="15"/>
    </row>
    <row r="59" spans="2:23" x14ac:dyDescent="0.3">
      <c r="B59" s="119"/>
      <c r="C59" s="41"/>
      <c r="D59" s="597"/>
      <c r="E59" s="597"/>
      <c r="F59" s="597"/>
      <c r="G59" s="597"/>
      <c r="H59" s="597"/>
      <c r="I59" s="2129">
        <v>0.9</v>
      </c>
      <c r="L59" s="524"/>
      <c r="N59" s="532"/>
      <c r="S59" s="524" t="s">
        <v>16</v>
      </c>
      <c r="T59" s="524"/>
      <c r="V59" s="119"/>
      <c r="W59" s="15"/>
    </row>
    <row r="60" spans="2:23" x14ac:dyDescent="0.3">
      <c r="B60" s="2177" t="s">
        <v>187</v>
      </c>
      <c r="C60" s="2182" t="s">
        <v>740</v>
      </c>
      <c r="D60" s="2190" t="s">
        <v>804</v>
      </c>
      <c r="E60" s="2197"/>
      <c r="F60" s="2191"/>
      <c r="G60" s="2190" t="s">
        <v>186</v>
      </c>
      <c r="H60" s="2197"/>
      <c r="I60" s="2191"/>
      <c r="J60" s="2190" t="s">
        <v>426</v>
      </c>
      <c r="K60" s="2197"/>
      <c r="L60" s="2191"/>
      <c r="M60" s="2190" t="s">
        <v>427</v>
      </c>
      <c r="N60" s="2197"/>
      <c r="O60" s="2197"/>
      <c r="P60" s="2197"/>
      <c r="Q60" s="2191"/>
      <c r="R60" s="2190" t="s">
        <v>428</v>
      </c>
      <c r="S60" s="2191"/>
      <c r="T60" s="2190" t="s">
        <v>429</v>
      </c>
      <c r="U60" s="2191"/>
      <c r="V60" s="2174" t="s">
        <v>39</v>
      </c>
      <c r="W60" s="119"/>
    </row>
    <row r="61" spans="2:23" ht="28" x14ac:dyDescent="0.3">
      <c r="B61" s="2178"/>
      <c r="C61" s="2182"/>
      <c r="D61" s="427" t="s">
        <v>404</v>
      </c>
      <c r="E61" s="488" t="s">
        <v>1716</v>
      </c>
      <c r="F61" s="488" t="s">
        <v>406</v>
      </c>
      <c r="G61" s="427" t="s">
        <v>404</v>
      </c>
      <c r="H61" s="488" t="s">
        <v>1715</v>
      </c>
      <c r="I61" s="488" t="s">
        <v>406</v>
      </c>
      <c r="J61" s="427" t="s">
        <v>404</v>
      </c>
      <c r="K61" s="488" t="s">
        <v>405</v>
      </c>
      <c r="L61" s="488" t="s">
        <v>406</v>
      </c>
      <c r="M61" s="488" t="s">
        <v>404</v>
      </c>
      <c r="N61" s="488" t="s">
        <v>408</v>
      </c>
      <c r="O61" s="488" t="s">
        <v>333</v>
      </c>
      <c r="P61" s="488" t="s">
        <v>72</v>
      </c>
      <c r="Q61" s="488" t="s">
        <v>409</v>
      </c>
      <c r="R61" s="488" t="s">
        <v>404</v>
      </c>
      <c r="S61" s="488" t="s">
        <v>805</v>
      </c>
      <c r="T61" s="488" t="s">
        <v>404</v>
      </c>
      <c r="U61" s="488" t="s">
        <v>805</v>
      </c>
      <c r="V61" s="2174"/>
      <c r="W61" s="119"/>
    </row>
    <row r="62" spans="2:23" x14ac:dyDescent="0.3">
      <c r="B62" s="2179"/>
      <c r="C62" s="2183"/>
      <c r="D62" s="488" t="s">
        <v>73</v>
      </c>
      <c r="E62" s="488" t="s">
        <v>74</v>
      </c>
      <c r="F62" s="488" t="s">
        <v>806</v>
      </c>
      <c r="G62" s="488" t="s">
        <v>411</v>
      </c>
      <c r="H62" s="488" t="s">
        <v>1714</v>
      </c>
      <c r="I62" s="488" t="s">
        <v>439</v>
      </c>
      <c r="J62" s="488" t="s">
        <v>668</v>
      </c>
      <c r="K62" s="488" t="s">
        <v>582</v>
      </c>
      <c r="L62" s="488" t="s">
        <v>675</v>
      </c>
      <c r="M62" s="488" t="s">
        <v>782</v>
      </c>
      <c r="N62" s="488" t="s">
        <v>583</v>
      </c>
      <c r="O62" s="488" t="s">
        <v>760</v>
      </c>
      <c r="P62" s="488" t="s">
        <v>807</v>
      </c>
      <c r="Q62" s="488" t="s">
        <v>808</v>
      </c>
      <c r="R62" s="488" t="s">
        <v>784</v>
      </c>
      <c r="S62" s="488" t="s">
        <v>762</v>
      </c>
      <c r="T62" s="488" t="s">
        <v>763</v>
      </c>
      <c r="U62" s="488" t="s">
        <v>764</v>
      </c>
      <c r="V62" s="2397"/>
      <c r="W62" s="119"/>
    </row>
    <row r="63" spans="2:23" x14ac:dyDescent="0.3">
      <c r="B63" s="63">
        <v>1</v>
      </c>
      <c r="C63" s="75" t="s">
        <v>1019</v>
      </c>
      <c r="D63" s="598"/>
      <c r="E63" s="412">
        <v>8.94</v>
      </c>
      <c r="F63" s="415">
        <f>E63-D63</f>
        <v>8.94</v>
      </c>
      <c r="G63" s="413"/>
      <c r="H63" s="413">
        <v>0</v>
      </c>
      <c r="I63" s="415">
        <f>H63-G63</f>
        <v>0</v>
      </c>
      <c r="J63" s="353"/>
      <c r="K63" s="353">
        <v>0</v>
      </c>
      <c r="L63" s="415">
        <f>K63-J63</f>
        <v>0</v>
      </c>
      <c r="M63" s="353"/>
      <c r="N63" s="353"/>
      <c r="O63" s="353"/>
      <c r="P63" s="353">
        <f>SUM(N63,O63)</f>
        <v>0</v>
      </c>
      <c r="Q63" s="353">
        <f>P63-M63</f>
        <v>0</v>
      </c>
      <c r="R63" s="353"/>
      <c r="S63" s="353"/>
      <c r="T63" s="353"/>
      <c r="U63" s="353"/>
      <c r="V63" s="25"/>
      <c r="W63" s="119"/>
    </row>
    <row r="64" spans="2:23" x14ac:dyDescent="0.3">
      <c r="B64" s="63">
        <f>B63+1</f>
        <v>2</v>
      </c>
      <c r="C64" s="52" t="s">
        <v>1414</v>
      </c>
      <c r="D64" s="599"/>
      <c r="E64" s="412">
        <v>1.1100000000000001</v>
      </c>
      <c r="F64" s="415">
        <f>E64-D64</f>
        <v>1.1100000000000001</v>
      </c>
      <c r="G64" s="348"/>
      <c r="H64" s="413">
        <v>2.06</v>
      </c>
      <c r="I64" s="415">
        <f t="shared" ref="I64:I78" si="24">H64-G64</f>
        <v>2.06</v>
      </c>
      <c r="J64" s="353"/>
      <c r="K64" s="353">
        <v>1.79</v>
      </c>
      <c r="L64" s="415">
        <f t="shared" ref="L64:L78" si="25">K64-J64</f>
        <v>1.79</v>
      </c>
      <c r="M64" s="353"/>
      <c r="N64" s="353"/>
      <c r="O64" s="353"/>
      <c r="P64" s="353">
        <f t="shared" ref="P64:P78" si="26">SUM(N64,O64)</f>
        <v>0</v>
      </c>
      <c r="Q64" s="353">
        <f t="shared" ref="Q64:Q78" si="27">P64-M64</f>
        <v>0</v>
      </c>
      <c r="R64" s="353"/>
      <c r="S64" s="353"/>
      <c r="T64" s="353"/>
      <c r="U64" s="353"/>
      <c r="V64" s="25"/>
      <c r="W64" s="119"/>
    </row>
    <row r="65" spans="2:23" x14ac:dyDescent="0.3">
      <c r="B65" s="63">
        <f t="shared" ref="B65:B78" si="28">B64+1</f>
        <v>3</v>
      </c>
      <c r="C65" s="53" t="s">
        <v>163</v>
      </c>
      <c r="D65" s="600"/>
      <c r="E65" s="412">
        <v>0</v>
      </c>
      <c r="F65" s="415">
        <f t="shared" ref="F65:F78" si="29">E65-D65</f>
        <v>0</v>
      </c>
      <c r="G65" s="594"/>
      <c r="H65" s="413">
        <v>0</v>
      </c>
      <c r="I65" s="415">
        <f t="shared" si="24"/>
        <v>0</v>
      </c>
      <c r="J65" s="353"/>
      <c r="K65" s="353">
        <v>9.7100000000000009</v>
      </c>
      <c r="L65" s="415">
        <f t="shared" si="25"/>
        <v>9.7100000000000009</v>
      </c>
      <c r="M65" s="353"/>
      <c r="N65" s="353"/>
      <c r="O65" s="353"/>
      <c r="P65" s="353">
        <f t="shared" si="26"/>
        <v>0</v>
      </c>
      <c r="Q65" s="353">
        <f t="shared" si="27"/>
        <v>0</v>
      </c>
      <c r="R65" s="353"/>
      <c r="S65" s="353"/>
      <c r="T65" s="353"/>
      <c r="U65" s="353"/>
      <c r="V65" s="25"/>
      <c r="W65" s="119"/>
    </row>
    <row r="66" spans="2:23" x14ac:dyDescent="0.3">
      <c r="B66" s="63">
        <f t="shared" si="28"/>
        <v>4</v>
      </c>
      <c r="C66" s="53" t="s">
        <v>180</v>
      </c>
      <c r="D66" s="600"/>
      <c r="E66" s="412">
        <v>4.1399999999999997</v>
      </c>
      <c r="F66" s="415">
        <f t="shared" si="29"/>
        <v>4.1399999999999997</v>
      </c>
      <c r="G66" s="594"/>
      <c r="H66" s="413">
        <v>4.0199999999999996</v>
      </c>
      <c r="I66" s="415">
        <f t="shared" si="24"/>
        <v>4.0199999999999996</v>
      </c>
      <c r="J66" s="353"/>
      <c r="K66" s="353">
        <v>4.0999999999999996</v>
      </c>
      <c r="L66" s="415">
        <f t="shared" si="25"/>
        <v>4.0999999999999996</v>
      </c>
      <c r="M66" s="353"/>
      <c r="N66" s="353"/>
      <c r="O66" s="353"/>
      <c r="P66" s="353">
        <f t="shared" si="26"/>
        <v>0</v>
      </c>
      <c r="Q66" s="353">
        <f t="shared" si="27"/>
        <v>0</v>
      </c>
      <c r="R66" s="353"/>
      <c r="S66" s="353"/>
      <c r="T66" s="353"/>
      <c r="U66" s="353"/>
      <c r="V66" s="25"/>
      <c r="W66" s="119"/>
    </row>
    <row r="67" spans="2:23" x14ac:dyDescent="0.3">
      <c r="B67" s="63">
        <f t="shared" si="28"/>
        <v>5</v>
      </c>
      <c r="C67" s="53" t="s">
        <v>1415</v>
      </c>
      <c r="D67" s="600"/>
      <c r="E67" s="412">
        <v>0</v>
      </c>
      <c r="F67" s="415">
        <f t="shared" si="29"/>
        <v>0</v>
      </c>
      <c r="G67" s="594"/>
      <c r="H67" s="413">
        <v>0</v>
      </c>
      <c r="I67" s="415">
        <f t="shared" si="24"/>
        <v>0</v>
      </c>
      <c r="J67" s="353"/>
      <c r="K67" s="353">
        <v>0</v>
      </c>
      <c r="L67" s="415">
        <f t="shared" si="25"/>
        <v>0</v>
      </c>
      <c r="M67" s="353"/>
      <c r="N67" s="353"/>
      <c r="O67" s="353"/>
      <c r="P67" s="353">
        <f t="shared" si="26"/>
        <v>0</v>
      </c>
      <c r="Q67" s="353">
        <f t="shared" si="27"/>
        <v>0</v>
      </c>
      <c r="R67" s="353"/>
      <c r="S67" s="353"/>
      <c r="T67" s="353"/>
      <c r="U67" s="353"/>
      <c r="V67" s="25"/>
      <c r="W67" s="119"/>
    </row>
    <row r="68" spans="2:23" x14ac:dyDescent="0.3">
      <c r="B68" s="63">
        <f t="shared" si="28"/>
        <v>6</v>
      </c>
      <c r="C68" s="54" t="s">
        <v>164</v>
      </c>
      <c r="D68" s="601"/>
      <c r="E68" s="412">
        <v>0</v>
      </c>
      <c r="F68" s="415">
        <f t="shared" si="29"/>
        <v>0</v>
      </c>
      <c r="G68" s="595"/>
      <c r="H68" s="413">
        <v>0</v>
      </c>
      <c r="I68" s="415">
        <f t="shared" si="24"/>
        <v>0</v>
      </c>
      <c r="J68" s="353"/>
      <c r="K68" s="353">
        <v>0</v>
      </c>
      <c r="L68" s="415">
        <f t="shared" si="25"/>
        <v>0</v>
      </c>
      <c r="M68" s="353"/>
      <c r="N68" s="353"/>
      <c r="O68" s="353"/>
      <c r="P68" s="353">
        <f t="shared" si="26"/>
        <v>0</v>
      </c>
      <c r="Q68" s="353">
        <f t="shared" si="27"/>
        <v>0</v>
      </c>
      <c r="R68" s="353"/>
      <c r="S68" s="353"/>
      <c r="T68" s="353"/>
      <c r="U68" s="353"/>
      <c r="V68" s="25"/>
      <c r="W68" s="119"/>
    </row>
    <row r="69" spans="2:23" x14ac:dyDescent="0.3">
      <c r="B69" s="63">
        <f t="shared" si="28"/>
        <v>7</v>
      </c>
      <c r="C69" s="54" t="s">
        <v>1416</v>
      </c>
      <c r="D69" s="601"/>
      <c r="E69" s="412">
        <v>0</v>
      </c>
      <c r="F69" s="415">
        <f t="shared" si="29"/>
        <v>0</v>
      </c>
      <c r="G69" s="595"/>
      <c r="H69" s="413">
        <v>0</v>
      </c>
      <c r="I69" s="415">
        <f t="shared" si="24"/>
        <v>0</v>
      </c>
      <c r="J69" s="353"/>
      <c r="K69" s="353">
        <v>0</v>
      </c>
      <c r="L69" s="415">
        <f t="shared" si="25"/>
        <v>0</v>
      </c>
      <c r="M69" s="353"/>
      <c r="N69" s="353"/>
      <c r="O69" s="353"/>
      <c r="P69" s="353">
        <f t="shared" si="26"/>
        <v>0</v>
      </c>
      <c r="Q69" s="353">
        <f t="shared" si="27"/>
        <v>0</v>
      </c>
      <c r="R69" s="353"/>
      <c r="S69" s="353"/>
      <c r="T69" s="353"/>
      <c r="U69" s="353"/>
      <c r="V69" s="25"/>
      <c r="W69" s="119"/>
    </row>
    <row r="70" spans="2:23" x14ac:dyDescent="0.3">
      <c r="B70" s="63">
        <f t="shared" si="28"/>
        <v>8</v>
      </c>
      <c r="C70" s="54" t="s">
        <v>165</v>
      </c>
      <c r="D70" s="601"/>
      <c r="E70" s="412">
        <v>0</v>
      </c>
      <c r="F70" s="415">
        <f t="shared" si="29"/>
        <v>0</v>
      </c>
      <c r="G70" s="595"/>
      <c r="H70" s="413">
        <v>0</v>
      </c>
      <c r="I70" s="415">
        <f t="shared" si="24"/>
        <v>0</v>
      </c>
      <c r="J70" s="353"/>
      <c r="K70" s="353">
        <v>0</v>
      </c>
      <c r="L70" s="415">
        <f t="shared" si="25"/>
        <v>0</v>
      </c>
      <c r="M70" s="353"/>
      <c r="N70" s="353"/>
      <c r="O70" s="353"/>
      <c r="P70" s="353">
        <f t="shared" si="26"/>
        <v>0</v>
      </c>
      <c r="Q70" s="353">
        <f t="shared" si="27"/>
        <v>0</v>
      </c>
      <c r="R70" s="353"/>
      <c r="S70" s="353"/>
      <c r="T70" s="353"/>
      <c r="U70" s="353"/>
      <c r="V70" s="25"/>
      <c r="W70" s="119"/>
    </row>
    <row r="71" spans="2:23" x14ac:dyDescent="0.3">
      <c r="B71" s="63">
        <f t="shared" si="28"/>
        <v>9</v>
      </c>
      <c r="C71" s="75" t="s">
        <v>331</v>
      </c>
      <c r="D71" s="598"/>
      <c r="E71" s="412">
        <v>0</v>
      </c>
      <c r="F71" s="415">
        <f t="shared" si="29"/>
        <v>0</v>
      </c>
      <c r="G71" s="413"/>
      <c r="H71" s="413">
        <v>0</v>
      </c>
      <c r="I71" s="415">
        <f t="shared" si="24"/>
        <v>0</v>
      </c>
      <c r="J71" s="353"/>
      <c r="K71" s="353">
        <v>0</v>
      </c>
      <c r="L71" s="415">
        <f t="shared" si="25"/>
        <v>0</v>
      </c>
      <c r="M71" s="353"/>
      <c r="N71" s="353"/>
      <c r="O71" s="353"/>
      <c r="P71" s="353">
        <f t="shared" si="26"/>
        <v>0</v>
      </c>
      <c r="Q71" s="353">
        <f t="shared" si="27"/>
        <v>0</v>
      </c>
      <c r="R71" s="353"/>
      <c r="S71" s="353"/>
      <c r="T71" s="353"/>
      <c r="U71" s="353"/>
      <c r="V71" s="25"/>
      <c r="W71" s="119"/>
    </row>
    <row r="72" spans="2:23" ht="28" x14ac:dyDescent="0.3">
      <c r="B72" s="63">
        <f t="shared" si="28"/>
        <v>10</v>
      </c>
      <c r="C72" s="75" t="s">
        <v>1417</v>
      </c>
      <c r="D72" s="598"/>
      <c r="E72" s="412">
        <v>0.6</v>
      </c>
      <c r="F72" s="415">
        <f t="shared" si="29"/>
        <v>0.6</v>
      </c>
      <c r="G72" s="413"/>
      <c r="H72" s="413">
        <v>0.2</v>
      </c>
      <c r="I72" s="415">
        <f t="shared" si="24"/>
        <v>0.2</v>
      </c>
      <c r="J72" s="353"/>
      <c r="K72" s="353">
        <v>0.24</v>
      </c>
      <c r="L72" s="415">
        <f t="shared" si="25"/>
        <v>0.24</v>
      </c>
      <c r="M72" s="353"/>
      <c r="N72" s="353"/>
      <c r="O72" s="353"/>
      <c r="P72" s="353">
        <f t="shared" si="26"/>
        <v>0</v>
      </c>
      <c r="Q72" s="353">
        <f t="shared" si="27"/>
        <v>0</v>
      </c>
      <c r="R72" s="353"/>
      <c r="S72" s="353"/>
      <c r="T72" s="353"/>
      <c r="U72" s="353"/>
      <c r="V72" s="25"/>
      <c r="W72" s="119"/>
    </row>
    <row r="73" spans="2:23" x14ac:dyDescent="0.3">
      <c r="B73" s="63">
        <f t="shared" si="28"/>
        <v>11</v>
      </c>
      <c r="C73" s="54" t="s">
        <v>1020</v>
      </c>
      <c r="D73" s="601"/>
      <c r="E73" s="412">
        <v>7.35</v>
      </c>
      <c r="F73" s="415">
        <f t="shared" si="29"/>
        <v>7.35</v>
      </c>
      <c r="G73" s="595"/>
      <c r="H73" s="413">
        <v>2.78</v>
      </c>
      <c r="I73" s="415">
        <f t="shared" si="24"/>
        <v>2.78</v>
      </c>
      <c r="J73" s="353"/>
      <c r="K73" s="353">
        <v>2.85</v>
      </c>
      <c r="L73" s="415">
        <f t="shared" si="25"/>
        <v>2.85</v>
      </c>
      <c r="M73" s="353"/>
      <c r="N73" s="353"/>
      <c r="O73" s="353"/>
      <c r="P73" s="353">
        <f t="shared" si="26"/>
        <v>0</v>
      </c>
      <c r="Q73" s="353">
        <f t="shared" si="27"/>
        <v>0</v>
      </c>
      <c r="R73" s="353"/>
      <c r="S73" s="353"/>
      <c r="T73" s="353"/>
      <c r="U73" s="353"/>
      <c r="V73" s="25"/>
      <c r="W73" s="119"/>
    </row>
    <row r="74" spans="2:23" x14ac:dyDescent="0.3">
      <c r="B74" s="63">
        <f t="shared" si="28"/>
        <v>12</v>
      </c>
      <c r="C74" s="53" t="s">
        <v>332</v>
      </c>
      <c r="D74" s="600"/>
      <c r="E74" s="412">
        <v>5.86</v>
      </c>
      <c r="F74" s="415">
        <f t="shared" si="29"/>
        <v>5.86</v>
      </c>
      <c r="G74" s="594"/>
      <c r="H74" s="413">
        <v>0</v>
      </c>
      <c r="I74" s="415">
        <f t="shared" si="24"/>
        <v>0</v>
      </c>
      <c r="J74" s="353"/>
      <c r="K74" s="353">
        <v>0</v>
      </c>
      <c r="L74" s="415">
        <f t="shared" si="25"/>
        <v>0</v>
      </c>
      <c r="M74" s="353"/>
      <c r="N74" s="353"/>
      <c r="O74" s="353"/>
      <c r="P74" s="353">
        <f t="shared" si="26"/>
        <v>0</v>
      </c>
      <c r="Q74" s="353">
        <f t="shared" si="27"/>
        <v>0</v>
      </c>
      <c r="R74" s="353"/>
      <c r="S74" s="353"/>
      <c r="T74" s="353"/>
      <c r="U74" s="353"/>
      <c r="V74" s="25"/>
      <c r="W74" s="119"/>
    </row>
    <row r="75" spans="2:23" x14ac:dyDescent="0.3">
      <c r="B75" s="63">
        <f t="shared" si="28"/>
        <v>13</v>
      </c>
      <c r="C75" s="342" t="s">
        <v>181</v>
      </c>
      <c r="D75" s="600"/>
      <c r="E75" s="412">
        <v>0.21</v>
      </c>
      <c r="F75" s="415">
        <f t="shared" si="29"/>
        <v>0.21</v>
      </c>
      <c r="G75" s="594"/>
      <c r="H75" s="413">
        <v>0.16</v>
      </c>
      <c r="I75" s="415">
        <f t="shared" si="24"/>
        <v>0.16</v>
      </c>
      <c r="J75" s="353"/>
      <c r="K75" s="353">
        <v>0.21</v>
      </c>
      <c r="L75" s="415">
        <f t="shared" si="25"/>
        <v>0.21</v>
      </c>
      <c r="M75" s="353"/>
      <c r="N75" s="353"/>
      <c r="O75" s="353"/>
      <c r="P75" s="353">
        <f t="shared" si="26"/>
        <v>0</v>
      </c>
      <c r="Q75" s="353">
        <f t="shared" si="27"/>
        <v>0</v>
      </c>
      <c r="R75" s="353"/>
      <c r="S75" s="353"/>
      <c r="T75" s="353"/>
      <c r="U75" s="353"/>
      <c r="V75" s="25"/>
      <c r="W75" s="119"/>
    </row>
    <row r="76" spans="2:23" x14ac:dyDescent="0.3">
      <c r="B76" s="63">
        <f t="shared" si="28"/>
        <v>14</v>
      </c>
      <c r="C76" s="342" t="s">
        <v>1021</v>
      </c>
      <c r="D76" s="600"/>
      <c r="E76" s="412">
        <v>0</v>
      </c>
      <c r="F76" s="415">
        <f t="shared" si="29"/>
        <v>0</v>
      </c>
      <c r="G76" s="594"/>
      <c r="H76" s="413">
        <v>0</v>
      </c>
      <c r="I76" s="415">
        <f t="shared" si="24"/>
        <v>0</v>
      </c>
      <c r="J76" s="353"/>
      <c r="K76" s="353">
        <v>0</v>
      </c>
      <c r="L76" s="415">
        <f t="shared" si="25"/>
        <v>0</v>
      </c>
      <c r="M76" s="353"/>
      <c r="N76" s="353"/>
      <c r="O76" s="353"/>
      <c r="P76" s="353">
        <f t="shared" si="26"/>
        <v>0</v>
      </c>
      <c r="Q76" s="353">
        <f t="shared" si="27"/>
        <v>0</v>
      </c>
      <c r="R76" s="353"/>
      <c r="S76" s="353"/>
      <c r="T76" s="353"/>
      <c r="U76" s="353"/>
      <c r="V76" s="25"/>
      <c r="W76" s="119"/>
    </row>
    <row r="77" spans="2:23" x14ac:dyDescent="0.3">
      <c r="B77" s="63">
        <f t="shared" si="28"/>
        <v>15</v>
      </c>
      <c r="C77" s="342" t="s">
        <v>1022</v>
      </c>
      <c r="D77" s="601"/>
      <c r="E77" s="412">
        <v>3.42</v>
      </c>
      <c r="F77" s="415">
        <f t="shared" si="29"/>
        <v>3.42</v>
      </c>
      <c r="G77" s="595"/>
      <c r="H77" s="413">
        <v>2.29</v>
      </c>
      <c r="I77" s="415">
        <f t="shared" si="24"/>
        <v>2.29</v>
      </c>
      <c r="J77" s="353"/>
      <c r="K77" s="353">
        <v>0.15</v>
      </c>
      <c r="L77" s="415">
        <f t="shared" si="25"/>
        <v>0.15</v>
      </c>
      <c r="M77" s="353"/>
      <c r="N77" s="353"/>
      <c r="O77" s="353"/>
      <c r="P77" s="353">
        <f t="shared" si="26"/>
        <v>0</v>
      </c>
      <c r="Q77" s="353">
        <f t="shared" si="27"/>
        <v>0</v>
      </c>
      <c r="R77" s="353"/>
      <c r="S77" s="353"/>
      <c r="T77" s="353"/>
      <c r="U77" s="353"/>
      <c r="V77" s="25"/>
      <c r="W77" s="119"/>
    </row>
    <row r="78" spans="2:23" x14ac:dyDescent="0.3">
      <c r="B78" s="63">
        <f t="shared" si="28"/>
        <v>16</v>
      </c>
      <c r="C78" s="342" t="s">
        <v>1418</v>
      </c>
      <c r="E78" s="412">
        <v>7.64</v>
      </c>
      <c r="F78" s="415">
        <f t="shared" si="29"/>
        <v>7.64</v>
      </c>
      <c r="G78" s="595"/>
      <c r="H78" s="413">
        <v>5.93</v>
      </c>
      <c r="I78" s="415">
        <f t="shared" si="24"/>
        <v>5.93</v>
      </c>
      <c r="J78" s="353"/>
      <c r="K78" s="353">
        <v>7.79</v>
      </c>
      <c r="L78" s="415">
        <f t="shared" si="25"/>
        <v>7.79</v>
      </c>
      <c r="M78" s="353"/>
      <c r="N78" s="353"/>
      <c r="O78" s="353"/>
      <c r="P78" s="353">
        <f t="shared" si="26"/>
        <v>0</v>
      </c>
      <c r="Q78" s="353">
        <f t="shared" si="27"/>
        <v>0</v>
      </c>
      <c r="R78" s="353"/>
      <c r="S78" s="353"/>
      <c r="T78" s="353"/>
      <c r="U78" s="353"/>
      <c r="V78" s="25"/>
      <c r="W78" s="119"/>
    </row>
    <row r="79" spans="2:23" x14ac:dyDescent="0.3">
      <c r="B79" s="63"/>
      <c r="C79" s="50" t="s">
        <v>145</v>
      </c>
      <c r="D79" s="416">
        <v>53.63</v>
      </c>
      <c r="E79" s="416">
        <f>SUM(E63:E78)</f>
        <v>39.269999999999996</v>
      </c>
      <c r="F79" s="418">
        <f>E79-D79</f>
        <v>-14.360000000000007</v>
      </c>
      <c r="G79" s="417">
        <v>55.24</v>
      </c>
      <c r="H79" s="417">
        <f>SUM(H63:H78)</f>
        <v>17.440000000000001</v>
      </c>
      <c r="I79" s="418">
        <f>H79-G79</f>
        <v>-37.799999999999997</v>
      </c>
      <c r="J79" s="354">
        <v>56.9</v>
      </c>
      <c r="K79" s="417">
        <f>SUM(K63:K78)</f>
        <v>26.84</v>
      </c>
      <c r="L79" s="418">
        <f>K79-J79</f>
        <v>-30.06</v>
      </c>
      <c r="M79" s="354">
        <v>58.61</v>
      </c>
      <c r="N79" s="417">
        <v>19.8</v>
      </c>
      <c r="O79" s="417">
        <f>N79</f>
        <v>19.8</v>
      </c>
      <c r="P79" s="417">
        <f>SUM(N79:O79)</f>
        <v>39.6</v>
      </c>
      <c r="Q79" s="353"/>
      <c r="R79" s="354">
        <v>60.36</v>
      </c>
      <c r="S79" s="417">
        <f>P79*(1+3%)</f>
        <v>40.788000000000004</v>
      </c>
      <c r="T79" s="354">
        <v>62.17</v>
      </c>
      <c r="U79" s="417">
        <f>S79*(1+3%)</f>
        <v>42.011640000000007</v>
      </c>
      <c r="V79" s="11"/>
      <c r="W79" s="119"/>
    </row>
    <row r="80" spans="2:23" x14ac:dyDescent="0.3">
      <c r="B80" s="15"/>
      <c r="C80" s="119"/>
      <c r="H80" s="901"/>
      <c r="K80" s="901"/>
      <c r="N80" s="901"/>
      <c r="V80" s="119"/>
      <c r="W80" s="119"/>
    </row>
    <row r="81" spans="2:23" x14ac:dyDescent="0.3">
      <c r="B81" s="15" t="s">
        <v>850</v>
      </c>
      <c r="C81" s="119"/>
      <c r="V81" s="119"/>
      <c r="W81" s="119"/>
    </row>
    <row r="82" spans="2:23" x14ac:dyDescent="0.3">
      <c r="B82" s="119"/>
      <c r="C82" s="119"/>
      <c r="V82" s="119"/>
      <c r="W82" s="119"/>
    </row>
    <row r="84" spans="2:23" x14ac:dyDescent="0.3">
      <c r="G84" s="901"/>
      <c r="J84" s="901"/>
      <c r="M84" s="901"/>
      <c r="P84" s="901"/>
      <c r="R84" s="901"/>
      <c r="T84" s="901"/>
    </row>
  </sheetData>
  <mergeCells count="27">
    <mergeCell ref="M60:Q60"/>
    <mergeCell ref="R60:S60"/>
    <mergeCell ref="T60:U60"/>
    <mergeCell ref="V60:V62"/>
    <mergeCell ref="B60:B62"/>
    <mergeCell ref="C60:C62"/>
    <mergeCell ref="D60:F60"/>
    <mergeCell ref="G60:I60"/>
    <mergeCell ref="J60:L60"/>
    <mergeCell ref="B34:B36"/>
    <mergeCell ref="C34:C36"/>
    <mergeCell ref="J34:L34"/>
    <mergeCell ref="M34:Q34"/>
    <mergeCell ref="B8:B10"/>
    <mergeCell ref="C8:C10"/>
    <mergeCell ref="J8:L8"/>
    <mergeCell ref="M8:Q8"/>
    <mergeCell ref="D8:F8"/>
    <mergeCell ref="D34:F34"/>
    <mergeCell ref="G8:I8"/>
    <mergeCell ref="T8:U8"/>
    <mergeCell ref="V8:V10"/>
    <mergeCell ref="G34:I34"/>
    <mergeCell ref="R34:S34"/>
    <mergeCell ref="T34:U34"/>
    <mergeCell ref="V34:V36"/>
    <mergeCell ref="R8:S8"/>
  </mergeCells>
  <pageMargins left="0.39370078740157483" right="0.55118110236220474" top="0.6692913385826772" bottom="0.6692913385826772" header="0.51181102362204722" footer="0.51181102362204722"/>
  <pageSetup paperSize="9" scale="33" orientation="landscape" r:id="rId1"/>
  <headerFooter alignWithMargins="0"/>
  <rowBreaks count="2" manualBreakCount="2">
    <brk id="29" max="16383" man="1"/>
    <brk id="56" max="16383"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47"/>
  <sheetViews>
    <sheetView showGridLines="0" view="pageBreakPreview" topLeftCell="F42" zoomScale="75" zoomScaleNormal="75" zoomScaleSheetLayoutView="75" workbookViewId="0">
      <selection activeCell="G23" sqref="G23"/>
    </sheetView>
  </sheetViews>
  <sheetFormatPr defaultColWidth="9.1796875" defaultRowHeight="14" x14ac:dyDescent="0.25"/>
  <cols>
    <col min="1" max="1" width="6.81640625" style="15" customWidth="1"/>
    <col min="2" max="2" width="9.26953125" style="34" customWidth="1"/>
    <col min="3" max="3" width="42.453125" style="375" customWidth="1"/>
    <col min="4" max="9" width="13.54296875" style="375" customWidth="1"/>
    <col min="10" max="10" width="13.453125" style="375" bestFit="1" customWidth="1"/>
    <col min="11" max="11" width="12.1796875" style="375" customWidth="1"/>
    <col min="12" max="12" width="14.1796875" style="375" customWidth="1"/>
    <col min="13" max="13" width="13.453125" style="375" bestFit="1" customWidth="1"/>
    <col min="14" max="15" width="11.26953125" style="375" bestFit="1" customWidth="1"/>
    <col min="16" max="16" width="12" style="375" customWidth="1"/>
    <col min="17" max="17" width="14.26953125" style="375" customWidth="1"/>
    <col min="18" max="18" width="13.453125" style="375" customWidth="1"/>
    <col min="19" max="20" width="14.54296875" style="375" customWidth="1"/>
    <col min="21" max="21" width="13.26953125" style="375" customWidth="1"/>
    <col min="22" max="22" width="13.26953125" style="15" customWidth="1"/>
    <col min="23" max="261" width="9.1796875" style="15"/>
    <col min="262" max="262" width="6.81640625" style="15" customWidth="1"/>
    <col min="263" max="263" width="7" style="15" customWidth="1"/>
    <col min="264" max="264" width="42.453125" style="15" customWidth="1"/>
    <col min="265" max="265" width="13.54296875" style="15" customWidth="1"/>
    <col min="266" max="266" width="20.81640625" style="15" customWidth="1"/>
    <col min="267" max="269" width="18.7265625" style="15" customWidth="1"/>
    <col min="270" max="270" width="15.1796875" style="15" customWidth="1"/>
    <col min="271" max="271" width="15.26953125" style="15" customWidth="1"/>
    <col min="272" max="272" width="15" style="15" customWidth="1"/>
    <col min="273" max="273" width="15.1796875" style="15" customWidth="1"/>
    <col min="274" max="274" width="15" style="15" customWidth="1"/>
    <col min="275" max="275" width="18.7265625" style="15" customWidth="1"/>
    <col min="276" max="517" width="9.1796875" style="15"/>
    <col min="518" max="518" width="6.81640625" style="15" customWidth="1"/>
    <col min="519" max="519" width="7" style="15" customWidth="1"/>
    <col min="520" max="520" width="42.453125" style="15" customWidth="1"/>
    <col min="521" max="521" width="13.54296875" style="15" customWidth="1"/>
    <col min="522" max="522" width="20.81640625" style="15" customWidth="1"/>
    <col min="523" max="525" width="18.7265625" style="15" customWidth="1"/>
    <col min="526" max="526" width="15.1796875" style="15" customWidth="1"/>
    <col min="527" max="527" width="15.26953125" style="15" customWidth="1"/>
    <col min="528" max="528" width="15" style="15" customWidth="1"/>
    <col min="529" max="529" width="15.1796875" style="15" customWidth="1"/>
    <col min="530" max="530" width="15" style="15" customWidth="1"/>
    <col min="531" max="531" width="18.7265625" style="15" customWidth="1"/>
    <col min="532" max="773" width="9.1796875" style="15"/>
    <col min="774" max="774" width="6.81640625" style="15" customWidth="1"/>
    <col min="775" max="775" width="7" style="15" customWidth="1"/>
    <col min="776" max="776" width="42.453125" style="15" customWidth="1"/>
    <col min="777" max="777" width="13.54296875" style="15" customWidth="1"/>
    <col min="778" max="778" width="20.81640625" style="15" customWidth="1"/>
    <col min="779" max="781" width="18.7265625" style="15" customWidth="1"/>
    <col min="782" max="782" width="15.1796875" style="15" customWidth="1"/>
    <col min="783" max="783" width="15.26953125" style="15" customWidth="1"/>
    <col min="784" max="784" width="15" style="15" customWidth="1"/>
    <col min="785" max="785" width="15.1796875" style="15" customWidth="1"/>
    <col min="786" max="786" width="15" style="15" customWidth="1"/>
    <col min="787" max="787" width="18.7265625" style="15" customWidth="1"/>
    <col min="788" max="1029" width="9.1796875" style="15"/>
    <col min="1030" max="1030" width="6.81640625" style="15" customWidth="1"/>
    <col min="1031" max="1031" width="7" style="15" customWidth="1"/>
    <col min="1032" max="1032" width="42.453125" style="15" customWidth="1"/>
    <col min="1033" max="1033" width="13.54296875" style="15" customWidth="1"/>
    <col min="1034" max="1034" width="20.81640625" style="15" customWidth="1"/>
    <col min="1035" max="1037" width="18.7265625" style="15" customWidth="1"/>
    <col min="1038" max="1038" width="15.1796875" style="15" customWidth="1"/>
    <col min="1039" max="1039" width="15.26953125" style="15" customWidth="1"/>
    <col min="1040" max="1040" width="15" style="15" customWidth="1"/>
    <col min="1041" max="1041" width="15.1796875" style="15" customWidth="1"/>
    <col min="1042" max="1042" width="15" style="15" customWidth="1"/>
    <col min="1043" max="1043" width="18.7265625" style="15" customWidth="1"/>
    <col min="1044" max="1285" width="9.1796875" style="15"/>
    <col min="1286" max="1286" width="6.81640625" style="15" customWidth="1"/>
    <col min="1287" max="1287" width="7" style="15" customWidth="1"/>
    <col min="1288" max="1288" width="42.453125" style="15" customWidth="1"/>
    <col min="1289" max="1289" width="13.54296875" style="15" customWidth="1"/>
    <col min="1290" max="1290" width="20.81640625" style="15" customWidth="1"/>
    <col min="1291" max="1293" width="18.7265625" style="15" customWidth="1"/>
    <col min="1294" max="1294" width="15.1796875" style="15" customWidth="1"/>
    <col min="1295" max="1295" width="15.26953125" style="15" customWidth="1"/>
    <col min="1296" max="1296" width="15" style="15" customWidth="1"/>
    <col min="1297" max="1297" width="15.1796875" style="15" customWidth="1"/>
    <col min="1298" max="1298" width="15" style="15" customWidth="1"/>
    <col min="1299" max="1299" width="18.7265625" style="15" customWidth="1"/>
    <col min="1300" max="1541" width="9.1796875" style="15"/>
    <col min="1542" max="1542" width="6.81640625" style="15" customWidth="1"/>
    <col min="1543" max="1543" width="7" style="15" customWidth="1"/>
    <col min="1544" max="1544" width="42.453125" style="15" customWidth="1"/>
    <col min="1545" max="1545" width="13.54296875" style="15" customWidth="1"/>
    <col min="1546" max="1546" width="20.81640625" style="15" customWidth="1"/>
    <col min="1547" max="1549" width="18.7265625" style="15" customWidth="1"/>
    <col min="1550" max="1550" width="15.1796875" style="15" customWidth="1"/>
    <col min="1551" max="1551" width="15.26953125" style="15" customWidth="1"/>
    <col min="1552" max="1552" width="15" style="15" customWidth="1"/>
    <col min="1553" max="1553" width="15.1796875" style="15" customWidth="1"/>
    <col min="1554" max="1554" width="15" style="15" customWidth="1"/>
    <col min="1555" max="1555" width="18.7265625" style="15" customWidth="1"/>
    <col min="1556" max="1797" width="9.1796875" style="15"/>
    <col min="1798" max="1798" width="6.81640625" style="15" customWidth="1"/>
    <col min="1799" max="1799" width="7" style="15" customWidth="1"/>
    <col min="1800" max="1800" width="42.453125" style="15" customWidth="1"/>
    <col min="1801" max="1801" width="13.54296875" style="15" customWidth="1"/>
    <col min="1802" max="1802" width="20.81640625" style="15" customWidth="1"/>
    <col min="1803" max="1805" width="18.7265625" style="15" customWidth="1"/>
    <col min="1806" max="1806" width="15.1796875" style="15" customWidth="1"/>
    <col min="1807" max="1807" width="15.26953125" style="15" customWidth="1"/>
    <col min="1808" max="1808" width="15" style="15" customWidth="1"/>
    <col min="1809" max="1809" width="15.1796875" style="15" customWidth="1"/>
    <col min="1810" max="1810" width="15" style="15" customWidth="1"/>
    <col min="1811" max="1811" width="18.7265625" style="15" customWidth="1"/>
    <col min="1812" max="2053" width="9.1796875" style="15"/>
    <col min="2054" max="2054" width="6.81640625" style="15" customWidth="1"/>
    <col min="2055" max="2055" width="7" style="15" customWidth="1"/>
    <col min="2056" max="2056" width="42.453125" style="15" customWidth="1"/>
    <col min="2057" max="2057" width="13.54296875" style="15" customWidth="1"/>
    <col min="2058" max="2058" width="20.81640625" style="15" customWidth="1"/>
    <col min="2059" max="2061" width="18.7265625" style="15" customWidth="1"/>
    <col min="2062" max="2062" width="15.1796875" style="15" customWidth="1"/>
    <col min="2063" max="2063" width="15.26953125" style="15" customWidth="1"/>
    <col min="2064" max="2064" width="15" style="15" customWidth="1"/>
    <col min="2065" max="2065" width="15.1796875" style="15" customWidth="1"/>
    <col min="2066" max="2066" width="15" style="15" customWidth="1"/>
    <col min="2067" max="2067" width="18.7265625" style="15" customWidth="1"/>
    <col min="2068" max="2309" width="9.1796875" style="15"/>
    <col min="2310" max="2310" width="6.81640625" style="15" customWidth="1"/>
    <col min="2311" max="2311" width="7" style="15" customWidth="1"/>
    <col min="2312" max="2312" width="42.453125" style="15" customWidth="1"/>
    <col min="2313" max="2313" width="13.54296875" style="15" customWidth="1"/>
    <col min="2314" max="2314" width="20.81640625" style="15" customWidth="1"/>
    <col min="2315" max="2317" width="18.7265625" style="15" customWidth="1"/>
    <col min="2318" max="2318" width="15.1796875" style="15" customWidth="1"/>
    <col min="2319" max="2319" width="15.26953125" style="15" customWidth="1"/>
    <col min="2320" max="2320" width="15" style="15" customWidth="1"/>
    <col min="2321" max="2321" width="15.1796875" style="15" customWidth="1"/>
    <col min="2322" max="2322" width="15" style="15" customWidth="1"/>
    <col min="2323" max="2323" width="18.7265625" style="15" customWidth="1"/>
    <col min="2324" max="2565" width="9.1796875" style="15"/>
    <col min="2566" max="2566" width="6.81640625" style="15" customWidth="1"/>
    <col min="2567" max="2567" width="7" style="15" customWidth="1"/>
    <col min="2568" max="2568" width="42.453125" style="15" customWidth="1"/>
    <col min="2569" max="2569" width="13.54296875" style="15" customWidth="1"/>
    <col min="2570" max="2570" width="20.81640625" style="15" customWidth="1"/>
    <col min="2571" max="2573" width="18.7265625" style="15" customWidth="1"/>
    <col min="2574" max="2574" width="15.1796875" style="15" customWidth="1"/>
    <col min="2575" max="2575" width="15.26953125" style="15" customWidth="1"/>
    <col min="2576" max="2576" width="15" style="15" customWidth="1"/>
    <col min="2577" max="2577" width="15.1796875" style="15" customWidth="1"/>
    <col min="2578" max="2578" width="15" style="15" customWidth="1"/>
    <col min="2579" max="2579" width="18.7265625" style="15" customWidth="1"/>
    <col min="2580" max="2821" width="9.1796875" style="15"/>
    <col min="2822" max="2822" width="6.81640625" style="15" customWidth="1"/>
    <col min="2823" max="2823" width="7" style="15" customWidth="1"/>
    <col min="2824" max="2824" width="42.453125" style="15" customWidth="1"/>
    <col min="2825" max="2825" width="13.54296875" style="15" customWidth="1"/>
    <col min="2826" max="2826" width="20.81640625" style="15" customWidth="1"/>
    <col min="2827" max="2829" width="18.7265625" style="15" customWidth="1"/>
    <col min="2830" max="2830" width="15.1796875" style="15" customWidth="1"/>
    <col min="2831" max="2831" width="15.26953125" style="15" customWidth="1"/>
    <col min="2832" max="2832" width="15" style="15" customWidth="1"/>
    <col min="2833" max="2833" width="15.1796875" style="15" customWidth="1"/>
    <col min="2834" max="2834" width="15" style="15" customWidth="1"/>
    <col min="2835" max="2835" width="18.7265625" style="15" customWidth="1"/>
    <col min="2836" max="3077" width="9.1796875" style="15"/>
    <col min="3078" max="3078" width="6.81640625" style="15" customWidth="1"/>
    <col min="3079" max="3079" width="7" style="15" customWidth="1"/>
    <col min="3080" max="3080" width="42.453125" style="15" customWidth="1"/>
    <col min="3081" max="3081" width="13.54296875" style="15" customWidth="1"/>
    <col min="3082" max="3082" width="20.81640625" style="15" customWidth="1"/>
    <col min="3083" max="3085" width="18.7265625" style="15" customWidth="1"/>
    <col min="3086" max="3086" width="15.1796875" style="15" customWidth="1"/>
    <col min="3087" max="3087" width="15.26953125" style="15" customWidth="1"/>
    <col min="3088" max="3088" width="15" style="15" customWidth="1"/>
    <col min="3089" max="3089" width="15.1796875" style="15" customWidth="1"/>
    <col min="3090" max="3090" width="15" style="15" customWidth="1"/>
    <col min="3091" max="3091" width="18.7265625" style="15" customWidth="1"/>
    <col min="3092" max="3333" width="9.1796875" style="15"/>
    <col min="3334" max="3334" width="6.81640625" style="15" customWidth="1"/>
    <col min="3335" max="3335" width="7" style="15" customWidth="1"/>
    <col min="3336" max="3336" width="42.453125" style="15" customWidth="1"/>
    <col min="3337" max="3337" width="13.54296875" style="15" customWidth="1"/>
    <col min="3338" max="3338" width="20.81640625" style="15" customWidth="1"/>
    <col min="3339" max="3341" width="18.7265625" style="15" customWidth="1"/>
    <col min="3342" max="3342" width="15.1796875" style="15" customWidth="1"/>
    <col min="3343" max="3343" width="15.26953125" style="15" customWidth="1"/>
    <col min="3344" max="3344" width="15" style="15" customWidth="1"/>
    <col min="3345" max="3345" width="15.1796875" style="15" customWidth="1"/>
    <col min="3346" max="3346" width="15" style="15" customWidth="1"/>
    <col min="3347" max="3347" width="18.7265625" style="15" customWidth="1"/>
    <col min="3348" max="3589" width="9.1796875" style="15"/>
    <col min="3590" max="3590" width="6.81640625" style="15" customWidth="1"/>
    <col min="3591" max="3591" width="7" style="15" customWidth="1"/>
    <col min="3592" max="3592" width="42.453125" style="15" customWidth="1"/>
    <col min="3593" max="3593" width="13.54296875" style="15" customWidth="1"/>
    <col min="3594" max="3594" width="20.81640625" style="15" customWidth="1"/>
    <col min="3595" max="3597" width="18.7265625" style="15" customWidth="1"/>
    <col min="3598" max="3598" width="15.1796875" style="15" customWidth="1"/>
    <col min="3599" max="3599" width="15.26953125" style="15" customWidth="1"/>
    <col min="3600" max="3600" width="15" style="15" customWidth="1"/>
    <col min="3601" max="3601" width="15.1796875" style="15" customWidth="1"/>
    <col min="3602" max="3602" width="15" style="15" customWidth="1"/>
    <col min="3603" max="3603" width="18.7265625" style="15" customWidth="1"/>
    <col min="3604" max="3845" width="9.1796875" style="15"/>
    <col min="3846" max="3846" width="6.81640625" style="15" customWidth="1"/>
    <col min="3847" max="3847" width="7" style="15" customWidth="1"/>
    <col min="3848" max="3848" width="42.453125" style="15" customWidth="1"/>
    <col min="3849" max="3849" width="13.54296875" style="15" customWidth="1"/>
    <col min="3850" max="3850" width="20.81640625" style="15" customWidth="1"/>
    <col min="3851" max="3853" width="18.7265625" style="15" customWidth="1"/>
    <col min="3854" max="3854" width="15.1796875" style="15" customWidth="1"/>
    <col min="3855" max="3855" width="15.26953125" style="15" customWidth="1"/>
    <col min="3856" max="3856" width="15" style="15" customWidth="1"/>
    <col min="3857" max="3857" width="15.1796875" style="15" customWidth="1"/>
    <col min="3858" max="3858" width="15" style="15" customWidth="1"/>
    <col min="3859" max="3859" width="18.7265625" style="15" customWidth="1"/>
    <col min="3860" max="4101" width="9.1796875" style="15"/>
    <col min="4102" max="4102" width="6.81640625" style="15" customWidth="1"/>
    <col min="4103" max="4103" width="7" style="15" customWidth="1"/>
    <col min="4104" max="4104" width="42.453125" style="15" customWidth="1"/>
    <col min="4105" max="4105" width="13.54296875" style="15" customWidth="1"/>
    <col min="4106" max="4106" width="20.81640625" style="15" customWidth="1"/>
    <col min="4107" max="4109" width="18.7265625" style="15" customWidth="1"/>
    <col min="4110" max="4110" width="15.1796875" style="15" customWidth="1"/>
    <col min="4111" max="4111" width="15.26953125" style="15" customWidth="1"/>
    <col min="4112" max="4112" width="15" style="15" customWidth="1"/>
    <col min="4113" max="4113" width="15.1796875" style="15" customWidth="1"/>
    <col min="4114" max="4114" width="15" style="15" customWidth="1"/>
    <col min="4115" max="4115" width="18.7265625" style="15" customWidth="1"/>
    <col min="4116" max="4357" width="9.1796875" style="15"/>
    <col min="4358" max="4358" width="6.81640625" style="15" customWidth="1"/>
    <col min="4359" max="4359" width="7" style="15" customWidth="1"/>
    <col min="4360" max="4360" width="42.453125" style="15" customWidth="1"/>
    <col min="4361" max="4361" width="13.54296875" style="15" customWidth="1"/>
    <col min="4362" max="4362" width="20.81640625" style="15" customWidth="1"/>
    <col min="4363" max="4365" width="18.7265625" style="15" customWidth="1"/>
    <col min="4366" max="4366" width="15.1796875" style="15" customWidth="1"/>
    <col min="4367" max="4367" width="15.26953125" style="15" customWidth="1"/>
    <col min="4368" max="4368" width="15" style="15" customWidth="1"/>
    <col min="4369" max="4369" width="15.1796875" style="15" customWidth="1"/>
    <col min="4370" max="4370" width="15" style="15" customWidth="1"/>
    <col min="4371" max="4371" width="18.7265625" style="15" customWidth="1"/>
    <col min="4372" max="4613" width="9.1796875" style="15"/>
    <col min="4614" max="4614" width="6.81640625" style="15" customWidth="1"/>
    <col min="4615" max="4615" width="7" style="15" customWidth="1"/>
    <col min="4616" max="4616" width="42.453125" style="15" customWidth="1"/>
    <col min="4617" max="4617" width="13.54296875" style="15" customWidth="1"/>
    <col min="4618" max="4618" width="20.81640625" style="15" customWidth="1"/>
    <col min="4619" max="4621" width="18.7265625" style="15" customWidth="1"/>
    <col min="4622" max="4622" width="15.1796875" style="15" customWidth="1"/>
    <col min="4623" max="4623" width="15.26953125" style="15" customWidth="1"/>
    <col min="4624" max="4624" width="15" style="15" customWidth="1"/>
    <col min="4625" max="4625" width="15.1796875" style="15" customWidth="1"/>
    <col min="4626" max="4626" width="15" style="15" customWidth="1"/>
    <col min="4627" max="4627" width="18.7265625" style="15" customWidth="1"/>
    <col min="4628" max="4869" width="9.1796875" style="15"/>
    <col min="4870" max="4870" width="6.81640625" style="15" customWidth="1"/>
    <col min="4871" max="4871" width="7" style="15" customWidth="1"/>
    <col min="4872" max="4872" width="42.453125" style="15" customWidth="1"/>
    <col min="4873" max="4873" width="13.54296875" style="15" customWidth="1"/>
    <col min="4874" max="4874" width="20.81640625" style="15" customWidth="1"/>
    <col min="4875" max="4877" width="18.7265625" style="15" customWidth="1"/>
    <col min="4878" max="4878" width="15.1796875" style="15" customWidth="1"/>
    <col min="4879" max="4879" width="15.26953125" style="15" customWidth="1"/>
    <col min="4880" max="4880" width="15" style="15" customWidth="1"/>
    <col min="4881" max="4881" width="15.1796875" style="15" customWidth="1"/>
    <col min="4882" max="4882" width="15" style="15" customWidth="1"/>
    <col min="4883" max="4883" width="18.7265625" style="15" customWidth="1"/>
    <col min="4884" max="5125" width="9.1796875" style="15"/>
    <col min="5126" max="5126" width="6.81640625" style="15" customWidth="1"/>
    <col min="5127" max="5127" width="7" style="15" customWidth="1"/>
    <col min="5128" max="5128" width="42.453125" style="15" customWidth="1"/>
    <col min="5129" max="5129" width="13.54296875" style="15" customWidth="1"/>
    <col min="5130" max="5130" width="20.81640625" style="15" customWidth="1"/>
    <col min="5131" max="5133" width="18.7265625" style="15" customWidth="1"/>
    <col min="5134" max="5134" width="15.1796875" style="15" customWidth="1"/>
    <col min="5135" max="5135" width="15.26953125" style="15" customWidth="1"/>
    <col min="5136" max="5136" width="15" style="15" customWidth="1"/>
    <col min="5137" max="5137" width="15.1796875" style="15" customWidth="1"/>
    <col min="5138" max="5138" width="15" style="15" customWidth="1"/>
    <col min="5139" max="5139" width="18.7265625" style="15" customWidth="1"/>
    <col min="5140" max="5381" width="9.1796875" style="15"/>
    <col min="5382" max="5382" width="6.81640625" style="15" customWidth="1"/>
    <col min="5383" max="5383" width="7" style="15" customWidth="1"/>
    <col min="5384" max="5384" width="42.453125" style="15" customWidth="1"/>
    <col min="5385" max="5385" width="13.54296875" style="15" customWidth="1"/>
    <col min="5386" max="5386" width="20.81640625" style="15" customWidth="1"/>
    <col min="5387" max="5389" width="18.7265625" style="15" customWidth="1"/>
    <col min="5390" max="5390" width="15.1796875" style="15" customWidth="1"/>
    <col min="5391" max="5391" width="15.26953125" style="15" customWidth="1"/>
    <col min="5392" max="5392" width="15" style="15" customWidth="1"/>
    <col min="5393" max="5393" width="15.1796875" style="15" customWidth="1"/>
    <col min="5394" max="5394" width="15" style="15" customWidth="1"/>
    <col min="5395" max="5395" width="18.7265625" style="15" customWidth="1"/>
    <col min="5396" max="5637" width="9.1796875" style="15"/>
    <col min="5638" max="5638" width="6.81640625" style="15" customWidth="1"/>
    <col min="5639" max="5639" width="7" style="15" customWidth="1"/>
    <col min="5640" max="5640" width="42.453125" style="15" customWidth="1"/>
    <col min="5641" max="5641" width="13.54296875" style="15" customWidth="1"/>
    <col min="5642" max="5642" width="20.81640625" style="15" customWidth="1"/>
    <col min="5643" max="5645" width="18.7265625" style="15" customWidth="1"/>
    <col min="5646" max="5646" width="15.1796875" style="15" customWidth="1"/>
    <col min="5647" max="5647" width="15.26953125" style="15" customWidth="1"/>
    <col min="5648" max="5648" width="15" style="15" customWidth="1"/>
    <col min="5649" max="5649" width="15.1796875" style="15" customWidth="1"/>
    <col min="5650" max="5650" width="15" style="15" customWidth="1"/>
    <col min="5651" max="5651" width="18.7265625" style="15" customWidth="1"/>
    <col min="5652" max="5893" width="9.1796875" style="15"/>
    <col min="5894" max="5894" width="6.81640625" style="15" customWidth="1"/>
    <col min="5895" max="5895" width="7" style="15" customWidth="1"/>
    <col min="5896" max="5896" width="42.453125" style="15" customWidth="1"/>
    <col min="5897" max="5897" width="13.54296875" style="15" customWidth="1"/>
    <col min="5898" max="5898" width="20.81640625" style="15" customWidth="1"/>
    <col min="5899" max="5901" width="18.7265625" style="15" customWidth="1"/>
    <col min="5902" max="5902" width="15.1796875" style="15" customWidth="1"/>
    <col min="5903" max="5903" width="15.26953125" style="15" customWidth="1"/>
    <col min="5904" max="5904" width="15" style="15" customWidth="1"/>
    <col min="5905" max="5905" width="15.1796875" style="15" customWidth="1"/>
    <col min="5906" max="5906" width="15" style="15" customWidth="1"/>
    <col min="5907" max="5907" width="18.7265625" style="15" customWidth="1"/>
    <col min="5908" max="6149" width="9.1796875" style="15"/>
    <col min="6150" max="6150" width="6.81640625" style="15" customWidth="1"/>
    <col min="6151" max="6151" width="7" style="15" customWidth="1"/>
    <col min="6152" max="6152" width="42.453125" style="15" customWidth="1"/>
    <col min="6153" max="6153" width="13.54296875" style="15" customWidth="1"/>
    <col min="6154" max="6154" width="20.81640625" style="15" customWidth="1"/>
    <col min="6155" max="6157" width="18.7265625" style="15" customWidth="1"/>
    <col min="6158" max="6158" width="15.1796875" style="15" customWidth="1"/>
    <col min="6159" max="6159" width="15.26953125" style="15" customWidth="1"/>
    <col min="6160" max="6160" width="15" style="15" customWidth="1"/>
    <col min="6161" max="6161" width="15.1796875" style="15" customWidth="1"/>
    <col min="6162" max="6162" width="15" style="15" customWidth="1"/>
    <col min="6163" max="6163" width="18.7265625" style="15" customWidth="1"/>
    <col min="6164" max="6405" width="9.1796875" style="15"/>
    <col min="6406" max="6406" width="6.81640625" style="15" customWidth="1"/>
    <col min="6407" max="6407" width="7" style="15" customWidth="1"/>
    <col min="6408" max="6408" width="42.453125" style="15" customWidth="1"/>
    <col min="6409" max="6409" width="13.54296875" style="15" customWidth="1"/>
    <col min="6410" max="6410" width="20.81640625" style="15" customWidth="1"/>
    <col min="6411" max="6413" width="18.7265625" style="15" customWidth="1"/>
    <col min="6414" max="6414" width="15.1796875" style="15" customWidth="1"/>
    <col min="6415" max="6415" width="15.26953125" style="15" customWidth="1"/>
    <col min="6416" max="6416" width="15" style="15" customWidth="1"/>
    <col min="6417" max="6417" width="15.1796875" style="15" customWidth="1"/>
    <col min="6418" max="6418" width="15" style="15" customWidth="1"/>
    <col min="6419" max="6419" width="18.7265625" style="15" customWidth="1"/>
    <col min="6420" max="6661" width="9.1796875" style="15"/>
    <col min="6662" max="6662" width="6.81640625" style="15" customWidth="1"/>
    <col min="6663" max="6663" width="7" style="15" customWidth="1"/>
    <col min="6664" max="6664" width="42.453125" style="15" customWidth="1"/>
    <col min="6665" max="6665" width="13.54296875" style="15" customWidth="1"/>
    <col min="6666" max="6666" width="20.81640625" style="15" customWidth="1"/>
    <col min="6667" max="6669" width="18.7265625" style="15" customWidth="1"/>
    <col min="6670" max="6670" width="15.1796875" style="15" customWidth="1"/>
    <col min="6671" max="6671" width="15.26953125" style="15" customWidth="1"/>
    <col min="6672" max="6672" width="15" style="15" customWidth="1"/>
    <col min="6673" max="6673" width="15.1796875" style="15" customWidth="1"/>
    <col min="6674" max="6674" width="15" style="15" customWidth="1"/>
    <col min="6675" max="6675" width="18.7265625" style="15" customWidth="1"/>
    <col min="6676" max="6917" width="9.1796875" style="15"/>
    <col min="6918" max="6918" width="6.81640625" style="15" customWidth="1"/>
    <col min="6919" max="6919" width="7" style="15" customWidth="1"/>
    <col min="6920" max="6920" width="42.453125" style="15" customWidth="1"/>
    <col min="6921" max="6921" width="13.54296875" style="15" customWidth="1"/>
    <col min="6922" max="6922" width="20.81640625" style="15" customWidth="1"/>
    <col min="6923" max="6925" width="18.7265625" style="15" customWidth="1"/>
    <col min="6926" max="6926" width="15.1796875" style="15" customWidth="1"/>
    <col min="6927" max="6927" width="15.26953125" style="15" customWidth="1"/>
    <col min="6928" max="6928" width="15" style="15" customWidth="1"/>
    <col min="6929" max="6929" width="15.1796875" style="15" customWidth="1"/>
    <col min="6930" max="6930" width="15" style="15" customWidth="1"/>
    <col min="6931" max="6931" width="18.7265625" style="15" customWidth="1"/>
    <col min="6932" max="7173" width="9.1796875" style="15"/>
    <col min="7174" max="7174" width="6.81640625" style="15" customWidth="1"/>
    <col min="7175" max="7175" width="7" style="15" customWidth="1"/>
    <col min="7176" max="7176" width="42.453125" style="15" customWidth="1"/>
    <col min="7177" max="7177" width="13.54296875" style="15" customWidth="1"/>
    <col min="7178" max="7178" width="20.81640625" style="15" customWidth="1"/>
    <col min="7179" max="7181" width="18.7265625" style="15" customWidth="1"/>
    <col min="7182" max="7182" width="15.1796875" style="15" customWidth="1"/>
    <col min="7183" max="7183" width="15.26953125" style="15" customWidth="1"/>
    <col min="7184" max="7184" width="15" style="15" customWidth="1"/>
    <col min="7185" max="7185" width="15.1796875" style="15" customWidth="1"/>
    <col min="7186" max="7186" width="15" style="15" customWidth="1"/>
    <col min="7187" max="7187" width="18.7265625" style="15" customWidth="1"/>
    <col min="7188" max="7429" width="9.1796875" style="15"/>
    <col min="7430" max="7430" width="6.81640625" style="15" customWidth="1"/>
    <col min="7431" max="7431" width="7" style="15" customWidth="1"/>
    <col min="7432" max="7432" width="42.453125" style="15" customWidth="1"/>
    <col min="7433" max="7433" width="13.54296875" style="15" customWidth="1"/>
    <col min="7434" max="7434" width="20.81640625" style="15" customWidth="1"/>
    <col min="7435" max="7437" width="18.7265625" style="15" customWidth="1"/>
    <col min="7438" max="7438" width="15.1796875" style="15" customWidth="1"/>
    <col min="7439" max="7439" width="15.26953125" style="15" customWidth="1"/>
    <col min="7440" max="7440" width="15" style="15" customWidth="1"/>
    <col min="7441" max="7441" width="15.1796875" style="15" customWidth="1"/>
    <col min="7442" max="7442" width="15" style="15" customWidth="1"/>
    <col min="7443" max="7443" width="18.7265625" style="15" customWidth="1"/>
    <col min="7444" max="7685" width="9.1796875" style="15"/>
    <col min="7686" max="7686" width="6.81640625" style="15" customWidth="1"/>
    <col min="7687" max="7687" width="7" style="15" customWidth="1"/>
    <col min="7688" max="7688" width="42.453125" style="15" customWidth="1"/>
    <col min="7689" max="7689" width="13.54296875" style="15" customWidth="1"/>
    <col min="7690" max="7690" width="20.81640625" style="15" customWidth="1"/>
    <col min="7691" max="7693" width="18.7265625" style="15" customWidth="1"/>
    <col min="7694" max="7694" width="15.1796875" style="15" customWidth="1"/>
    <col min="7695" max="7695" width="15.26953125" style="15" customWidth="1"/>
    <col min="7696" max="7696" width="15" style="15" customWidth="1"/>
    <col min="7697" max="7697" width="15.1796875" style="15" customWidth="1"/>
    <col min="7698" max="7698" width="15" style="15" customWidth="1"/>
    <col min="7699" max="7699" width="18.7265625" style="15" customWidth="1"/>
    <col min="7700" max="7941" width="9.1796875" style="15"/>
    <col min="7942" max="7942" width="6.81640625" style="15" customWidth="1"/>
    <col min="7943" max="7943" width="7" style="15" customWidth="1"/>
    <col min="7944" max="7944" width="42.453125" style="15" customWidth="1"/>
    <col min="7945" max="7945" width="13.54296875" style="15" customWidth="1"/>
    <col min="7946" max="7946" width="20.81640625" style="15" customWidth="1"/>
    <col min="7947" max="7949" width="18.7265625" style="15" customWidth="1"/>
    <col min="7950" max="7950" width="15.1796875" style="15" customWidth="1"/>
    <col min="7951" max="7951" width="15.26953125" style="15" customWidth="1"/>
    <col min="7952" max="7952" width="15" style="15" customWidth="1"/>
    <col min="7953" max="7953" width="15.1796875" style="15" customWidth="1"/>
    <col min="7954" max="7954" width="15" style="15" customWidth="1"/>
    <col min="7955" max="7955" width="18.7265625" style="15" customWidth="1"/>
    <col min="7956" max="8197" width="9.1796875" style="15"/>
    <col min="8198" max="8198" width="6.81640625" style="15" customWidth="1"/>
    <col min="8199" max="8199" width="7" style="15" customWidth="1"/>
    <col min="8200" max="8200" width="42.453125" style="15" customWidth="1"/>
    <col min="8201" max="8201" width="13.54296875" style="15" customWidth="1"/>
    <col min="8202" max="8202" width="20.81640625" style="15" customWidth="1"/>
    <col min="8203" max="8205" width="18.7265625" style="15" customWidth="1"/>
    <col min="8206" max="8206" width="15.1796875" style="15" customWidth="1"/>
    <col min="8207" max="8207" width="15.26953125" style="15" customWidth="1"/>
    <col min="8208" max="8208" width="15" style="15" customWidth="1"/>
    <col min="8209" max="8209" width="15.1796875" style="15" customWidth="1"/>
    <col min="8210" max="8210" width="15" style="15" customWidth="1"/>
    <col min="8211" max="8211" width="18.7265625" style="15" customWidth="1"/>
    <col min="8212" max="8453" width="9.1796875" style="15"/>
    <col min="8454" max="8454" width="6.81640625" style="15" customWidth="1"/>
    <col min="8455" max="8455" width="7" style="15" customWidth="1"/>
    <col min="8456" max="8456" width="42.453125" style="15" customWidth="1"/>
    <col min="8457" max="8457" width="13.54296875" style="15" customWidth="1"/>
    <col min="8458" max="8458" width="20.81640625" style="15" customWidth="1"/>
    <col min="8459" max="8461" width="18.7265625" style="15" customWidth="1"/>
    <col min="8462" max="8462" width="15.1796875" style="15" customWidth="1"/>
    <col min="8463" max="8463" width="15.26953125" style="15" customWidth="1"/>
    <col min="8464" max="8464" width="15" style="15" customWidth="1"/>
    <col min="8465" max="8465" width="15.1796875" style="15" customWidth="1"/>
    <col min="8466" max="8466" width="15" style="15" customWidth="1"/>
    <col min="8467" max="8467" width="18.7265625" style="15" customWidth="1"/>
    <col min="8468" max="8709" width="9.1796875" style="15"/>
    <col min="8710" max="8710" width="6.81640625" style="15" customWidth="1"/>
    <col min="8711" max="8711" width="7" style="15" customWidth="1"/>
    <col min="8712" max="8712" width="42.453125" style="15" customWidth="1"/>
    <col min="8713" max="8713" width="13.54296875" style="15" customWidth="1"/>
    <col min="8714" max="8714" width="20.81640625" style="15" customWidth="1"/>
    <col min="8715" max="8717" width="18.7265625" style="15" customWidth="1"/>
    <col min="8718" max="8718" width="15.1796875" style="15" customWidth="1"/>
    <col min="8719" max="8719" width="15.26953125" style="15" customWidth="1"/>
    <col min="8720" max="8720" width="15" style="15" customWidth="1"/>
    <col min="8721" max="8721" width="15.1796875" style="15" customWidth="1"/>
    <col min="8722" max="8722" width="15" style="15" customWidth="1"/>
    <col min="8723" max="8723" width="18.7265625" style="15" customWidth="1"/>
    <col min="8724" max="8965" width="9.1796875" style="15"/>
    <col min="8966" max="8966" width="6.81640625" style="15" customWidth="1"/>
    <col min="8967" max="8967" width="7" style="15" customWidth="1"/>
    <col min="8968" max="8968" width="42.453125" style="15" customWidth="1"/>
    <col min="8969" max="8969" width="13.54296875" style="15" customWidth="1"/>
    <col min="8970" max="8970" width="20.81640625" style="15" customWidth="1"/>
    <col min="8971" max="8973" width="18.7265625" style="15" customWidth="1"/>
    <col min="8974" max="8974" width="15.1796875" style="15" customWidth="1"/>
    <col min="8975" max="8975" width="15.26953125" style="15" customWidth="1"/>
    <col min="8976" max="8976" width="15" style="15" customWidth="1"/>
    <col min="8977" max="8977" width="15.1796875" style="15" customWidth="1"/>
    <col min="8978" max="8978" width="15" style="15" customWidth="1"/>
    <col min="8979" max="8979" width="18.7265625" style="15" customWidth="1"/>
    <col min="8980" max="9221" width="9.1796875" style="15"/>
    <col min="9222" max="9222" width="6.81640625" style="15" customWidth="1"/>
    <col min="9223" max="9223" width="7" style="15" customWidth="1"/>
    <col min="9224" max="9224" width="42.453125" style="15" customWidth="1"/>
    <col min="9225" max="9225" width="13.54296875" style="15" customWidth="1"/>
    <col min="9226" max="9226" width="20.81640625" style="15" customWidth="1"/>
    <col min="9227" max="9229" width="18.7265625" style="15" customWidth="1"/>
    <col min="9230" max="9230" width="15.1796875" style="15" customWidth="1"/>
    <col min="9231" max="9231" width="15.26953125" style="15" customWidth="1"/>
    <col min="9232" max="9232" width="15" style="15" customWidth="1"/>
    <col min="9233" max="9233" width="15.1796875" style="15" customWidth="1"/>
    <col min="9234" max="9234" width="15" style="15" customWidth="1"/>
    <col min="9235" max="9235" width="18.7265625" style="15" customWidth="1"/>
    <col min="9236" max="9477" width="9.1796875" style="15"/>
    <col min="9478" max="9478" width="6.81640625" style="15" customWidth="1"/>
    <col min="9479" max="9479" width="7" style="15" customWidth="1"/>
    <col min="9480" max="9480" width="42.453125" style="15" customWidth="1"/>
    <col min="9481" max="9481" width="13.54296875" style="15" customWidth="1"/>
    <col min="9482" max="9482" width="20.81640625" style="15" customWidth="1"/>
    <col min="9483" max="9485" width="18.7265625" style="15" customWidth="1"/>
    <col min="9486" max="9486" width="15.1796875" style="15" customWidth="1"/>
    <col min="9487" max="9487" width="15.26953125" style="15" customWidth="1"/>
    <col min="9488" max="9488" width="15" style="15" customWidth="1"/>
    <col min="9489" max="9489" width="15.1796875" style="15" customWidth="1"/>
    <col min="9490" max="9490" width="15" style="15" customWidth="1"/>
    <col min="9491" max="9491" width="18.7265625" style="15" customWidth="1"/>
    <col min="9492" max="9733" width="9.1796875" style="15"/>
    <col min="9734" max="9734" width="6.81640625" style="15" customWidth="1"/>
    <col min="9735" max="9735" width="7" style="15" customWidth="1"/>
    <col min="9736" max="9736" width="42.453125" style="15" customWidth="1"/>
    <col min="9737" max="9737" width="13.54296875" style="15" customWidth="1"/>
    <col min="9738" max="9738" width="20.81640625" style="15" customWidth="1"/>
    <col min="9739" max="9741" width="18.7265625" style="15" customWidth="1"/>
    <col min="9742" max="9742" width="15.1796875" style="15" customWidth="1"/>
    <col min="9743" max="9743" width="15.26953125" style="15" customWidth="1"/>
    <col min="9744" max="9744" width="15" style="15" customWidth="1"/>
    <col min="9745" max="9745" width="15.1796875" style="15" customWidth="1"/>
    <col min="9746" max="9746" width="15" style="15" customWidth="1"/>
    <col min="9747" max="9747" width="18.7265625" style="15" customWidth="1"/>
    <col min="9748" max="9989" width="9.1796875" style="15"/>
    <col min="9990" max="9990" width="6.81640625" style="15" customWidth="1"/>
    <col min="9991" max="9991" width="7" style="15" customWidth="1"/>
    <col min="9992" max="9992" width="42.453125" style="15" customWidth="1"/>
    <col min="9993" max="9993" width="13.54296875" style="15" customWidth="1"/>
    <col min="9994" max="9994" width="20.81640625" style="15" customWidth="1"/>
    <col min="9995" max="9997" width="18.7265625" style="15" customWidth="1"/>
    <col min="9998" max="9998" width="15.1796875" style="15" customWidth="1"/>
    <col min="9999" max="9999" width="15.26953125" style="15" customWidth="1"/>
    <col min="10000" max="10000" width="15" style="15" customWidth="1"/>
    <col min="10001" max="10001" width="15.1796875" style="15" customWidth="1"/>
    <col min="10002" max="10002" width="15" style="15" customWidth="1"/>
    <col min="10003" max="10003" width="18.7265625" style="15" customWidth="1"/>
    <col min="10004" max="10245" width="9.1796875" style="15"/>
    <col min="10246" max="10246" width="6.81640625" style="15" customWidth="1"/>
    <col min="10247" max="10247" width="7" style="15" customWidth="1"/>
    <col min="10248" max="10248" width="42.453125" style="15" customWidth="1"/>
    <col min="10249" max="10249" width="13.54296875" style="15" customWidth="1"/>
    <col min="10250" max="10250" width="20.81640625" style="15" customWidth="1"/>
    <col min="10251" max="10253" width="18.7265625" style="15" customWidth="1"/>
    <col min="10254" max="10254" width="15.1796875" style="15" customWidth="1"/>
    <col min="10255" max="10255" width="15.26953125" style="15" customWidth="1"/>
    <col min="10256" max="10256" width="15" style="15" customWidth="1"/>
    <col min="10257" max="10257" width="15.1796875" style="15" customWidth="1"/>
    <col min="10258" max="10258" width="15" style="15" customWidth="1"/>
    <col min="10259" max="10259" width="18.7265625" style="15" customWidth="1"/>
    <col min="10260" max="10501" width="9.1796875" style="15"/>
    <col min="10502" max="10502" width="6.81640625" style="15" customWidth="1"/>
    <col min="10503" max="10503" width="7" style="15" customWidth="1"/>
    <col min="10504" max="10504" width="42.453125" style="15" customWidth="1"/>
    <col min="10505" max="10505" width="13.54296875" style="15" customWidth="1"/>
    <col min="10506" max="10506" width="20.81640625" style="15" customWidth="1"/>
    <col min="10507" max="10509" width="18.7265625" style="15" customWidth="1"/>
    <col min="10510" max="10510" width="15.1796875" style="15" customWidth="1"/>
    <col min="10511" max="10511" width="15.26953125" style="15" customWidth="1"/>
    <col min="10512" max="10512" width="15" style="15" customWidth="1"/>
    <col min="10513" max="10513" width="15.1796875" style="15" customWidth="1"/>
    <col min="10514" max="10514" width="15" style="15" customWidth="1"/>
    <col min="10515" max="10515" width="18.7265625" style="15" customWidth="1"/>
    <col min="10516" max="10757" width="9.1796875" style="15"/>
    <col min="10758" max="10758" width="6.81640625" style="15" customWidth="1"/>
    <col min="10759" max="10759" width="7" style="15" customWidth="1"/>
    <col min="10760" max="10760" width="42.453125" style="15" customWidth="1"/>
    <col min="10761" max="10761" width="13.54296875" style="15" customWidth="1"/>
    <col min="10762" max="10762" width="20.81640625" style="15" customWidth="1"/>
    <col min="10763" max="10765" width="18.7265625" style="15" customWidth="1"/>
    <col min="10766" max="10766" width="15.1796875" style="15" customWidth="1"/>
    <col min="10767" max="10767" width="15.26953125" style="15" customWidth="1"/>
    <col min="10768" max="10768" width="15" style="15" customWidth="1"/>
    <col min="10769" max="10769" width="15.1796875" style="15" customWidth="1"/>
    <col min="10770" max="10770" width="15" style="15" customWidth="1"/>
    <col min="10771" max="10771" width="18.7265625" style="15" customWidth="1"/>
    <col min="10772" max="11013" width="9.1796875" style="15"/>
    <col min="11014" max="11014" width="6.81640625" style="15" customWidth="1"/>
    <col min="11015" max="11015" width="7" style="15" customWidth="1"/>
    <col min="11016" max="11016" width="42.453125" style="15" customWidth="1"/>
    <col min="11017" max="11017" width="13.54296875" style="15" customWidth="1"/>
    <col min="11018" max="11018" width="20.81640625" style="15" customWidth="1"/>
    <col min="11019" max="11021" width="18.7265625" style="15" customWidth="1"/>
    <col min="11022" max="11022" width="15.1796875" style="15" customWidth="1"/>
    <col min="11023" max="11023" width="15.26953125" style="15" customWidth="1"/>
    <col min="11024" max="11024" width="15" style="15" customWidth="1"/>
    <col min="11025" max="11025" width="15.1796875" style="15" customWidth="1"/>
    <col min="11026" max="11026" width="15" style="15" customWidth="1"/>
    <col min="11027" max="11027" width="18.7265625" style="15" customWidth="1"/>
    <col min="11028" max="11269" width="9.1796875" style="15"/>
    <col min="11270" max="11270" width="6.81640625" style="15" customWidth="1"/>
    <col min="11271" max="11271" width="7" style="15" customWidth="1"/>
    <col min="11272" max="11272" width="42.453125" style="15" customWidth="1"/>
    <col min="11273" max="11273" width="13.54296875" style="15" customWidth="1"/>
    <col min="11274" max="11274" width="20.81640625" style="15" customWidth="1"/>
    <col min="11275" max="11277" width="18.7265625" style="15" customWidth="1"/>
    <col min="11278" max="11278" width="15.1796875" style="15" customWidth="1"/>
    <col min="11279" max="11279" width="15.26953125" style="15" customWidth="1"/>
    <col min="11280" max="11280" width="15" style="15" customWidth="1"/>
    <col min="11281" max="11281" width="15.1796875" style="15" customWidth="1"/>
    <col min="11282" max="11282" width="15" style="15" customWidth="1"/>
    <col min="11283" max="11283" width="18.7265625" style="15" customWidth="1"/>
    <col min="11284" max="11525" width="9.1796875" style="15"/>
    <col min="11526" max="11526" width="6.81640625" style="15" customWidth="1"/>
    <col min="11527" max="11527" width="7" style="15" customWidth="1"/>
    <col min="11528" max="11528" width="42.453125" style="15" customWidth="1"/>
    <col min="11529" max="11529" width="13.54296875" style="15" customWidth="1"/>
    <col min="11530" max="11530" width="20.81640625" style="15" customWidth="1"/>
    <col min="11531" max="11533" width="18.7265625" style="15" customWidth="1"/>
    <col min="11534" max="11534" width="15.1796875" style="15" customWidth="1"/>
    <col min="11535" max="11535" width="15.26953125" style="15" customWidth="1"/>
    <col min="11536" max="11536" width="15" style="15" customWidth="1"/>
    <col min="11537" max="11537" width="15.1796875" style="15" customWidth="1"/>
    <col min="11538" max="11538" width="15" style="15" customWidth="1"/>
    <col min="11539" max="11539" width="18.7265625" style="15" customWidth="1"/>
    <col min="11540" max="11781" width="9.1796875" style="15"/>
    <col min="11782" max="11782" width="6.81640625" style="15" customWidth="1"/>
    <col min="11783" max="11783" width="7" style="15" customWidth="1"/>
    <col min="11784" max="11784" width="42.453125" style="15" customWidth="1"/>
    <col min="11785" max="11785" width="13.54296875" style="15" customWidth="1"/>
    <col min="11786" max="11786" width="20.81640625" style="15" customWidth="1"/>
    <col min="11787" max="11789" width="18.7265625" style="15" customWidth="1"/>
    <col min="11790" max="11790" width="15.1796875" style="15" customWidth="1"/>
    <col min="11791" max="11791" width="15.26953125" style="15" customWidth="1"/>
    <col min="11792" max="11792" width="15" style="15" customWidth="1"/>
    <col min="11793" max="11793" width="15.1796875" style="15" customWidth="1"/>
    <col min="11794" max="11794" width="15" style="15" customWidth="1"/>
    <col min="11795" max="11795" width="18.7265625" style="15" customWidth="1"/>
    <col min="11796" max="12037" width="9.1796875" style="15"/>
    <col min="12038" max="12038" width="6.81640625" style="15" customWidth="1"/>
    <col min="12039" max="12039" width="7" style="15" customWidth="1"/>
    <col min="12040" max="12040" width="42.453125" style="15" customWidth="1"/>
    <col min="12041" max="12041" width="13.54296875" style="15" customWidth="1"/>
    <col min="12042" max="12042" width="20.81640625" style="15" customWidth="1"/>
    <col min="12043" max="12045" width="18.7265625" style="15" customWidth="1"/>
    <col min="12046" max="12046" width="15.1796875" style="15" customWidth="1"/>
    <col min="12047" max="12047" width="15.26953125" style="15" customWidth="1"/>
    <col min="12048" max="12048" width="15" style="15" customWidth="1"/>
    <col min="12049" max="12049" width="15.1796875" style="15" customWidth="1"/>
    <col min="12050" max="12050" width="15" style="15" customWidth="1"/>
    <col min="12051" max="12051" width="18.7265625" style="15" customWidth="1"/>
    <col min="12052" max="12293" width="9.1796875" style="15"/>
    <col min="12294" max="12294" width="6.81640625" style="15" customWidth="1"/>
    <col min="12295" max="12295" width="7" style="15" customWidth="1"/>
    <col min="12296" max="12296" width="42.453125" style="15" customWidth="1"/>
    <col min="12297" max="12297" width="13.54296875" style="15" customWidth="1"/>
    <col min="12298" max="12298" width="20.81640625" style="15" customWidth="1"/>
    <col min="12299" max="12301" width="18.7265625" style="15" customWidth="1"/>
    <col min="12302" max="12302" width="15.1796875" style="15" customWidth="1"/>
    <col min="12303" max="12303" width="15.26953125" style="15" customWidth="1"/>
    <col min="12304" max="12304" width="15" style="15" customWidth="1"/>
    <col min="12305" max="12305" width="15.1796875" style="15" customWidth="1"/>
    <col min="12306" max="12306" width="15" style="15" customWidth="1"/>
    <col min="12307" max="12307" width="18.7265625" style="15" customWidth="1"/>
    <col min="12308" max="12549" width="9.1796875" style="15"/>
    <col min="12550" max="12550" width="6.81640625" style="15" customWidth="1"/>
    <col min="12551" max="12551" width="7" style="15" customWidth="1"/>
    <col min="12552" max="12552" width="42.453125" style="15" customWidth="1"/>
    <col min="12553" max="12553" width="13.54296875" style="15" customWidth="1"/>
    <col min="12554" max="12554" width="20.81640625" style="15" customWidth="1"/>
    <col min="12555" max="12557" width="18.7265625" style="15" customWidth="1"/>
    <col min="12558" max="12558" width="15.1796875" style="15" customWidth="1"/>
    <col min="12559" max="12559" width="15.26953125" style="15" customWidth="1"/>
    <col min="12560" max="12560" width="15" style="15" customWidth="1"/>
    <col min="12561" max="12561" width="15.1796875" style="15" customWidth="1"/>
    <col min="12562" max="12562" width="15" style="15" customWidth="1"/>
    <col min="12563" max="12563" width="18.7265625" style="15" customWidth="1"/>
    <col min="12564" max="12805" width="9.1796875" style="15"/>
    <col min="12806" max="12806" width="6.81640625" style="15" customWidth="1"/>
    <col min="12807" max="12807" width="7" style="15" customWidth="1"/>
    <col min="12808" max="12808" width="42.453125" style="15" customWidth="1"/>
    <col min="12809" max="12809" width="13.54296875" style="15" customWidth="1"/>
    <col min="12810" max="12810" width="20.81640625" style="15" customWidth="1"/>
    <col min="12811" max="12813" width="18.7265625" style="15" customWidth="1"/>
    <col min="12814" max="12814" width="15.1796875" style="15" customWidth="1"/>
    <col min="12815" max="12815" width="15.26953125" style="15" customWidth="1"/>
    <col min="12816" max="12816" width="15" style="15" customWidth="1"/>
    <col min="12817" max="12817" width="15.1796875" style="15" customWidth="1"/>
    <col min="12818" max="12818" width="15" style="15" customWidth="1"/>
    <col min="12819" max="12819" width="18.7265625" style="15" customWidth="1"/>
    <col min="12820" max="13061" width="9.1796875" style="15"/>
    <col min="13062" max="13062" width="6.81640625" style="15" customWidth="1"/>
    <col min="13063" max="13063" width="7" style="15" customWidth="1"/>
    <col min="13064" max="13064" width="42.453125" style="15" customWidth="1"/>
    <col min="13065" max="13065" width="13.54296875" style="15" customWidth="1"/>
    <col min="13066" max="13066" width="20.81640625" style="15" customWidth="1"/>
    <col min="13067" max="13069" width="18.7265625" style="15" customWidth="1"/>
    <col min="13070" max="13070" width="15.1796875" style="15" customWidth="1"/>
    <col min="13071" max="13071" width="15.26953125" style="15" customWidth="1"/>
    <col min="13072" max="13072" width="15" style="15" customWidth="1"/>
    <col min="13073" max="13073" width="15.1796875" style="15" customWidth="1"/>
    <col min="13074" max="13074" width="15" style="15" customWidth="1"/>
    <col min="13075" max="13075" width="18.7265625" style="15" customWidth="1"/>
    <col min="13076" max="13317" width="9.1796875" style="15"/>
    <col min="13318" max="13318" width="6.81640625" style="15" customWidth="1"/>
    <col min="13319" max="13319" width="7" style="15" customWidth="1"/>
    <col min="13320" max="13320" width="42.453125" style="15" customWidth="1"/>
    <col min="13321" max="13321" width="13.54296875" style="15" customWidth="1"/>
    <col min="13322" max="13322" width="20.81640625" style="15" customWidth="1"/>
    <col min="13323" max="13325" width="18.7265625" style="15" customWidth="1"/>
    <col min="13326" max="13326" width="15.1796875" style="15" customWidth="1"/>
    <col min="13327" max="13327" width="15.26953125" style="15" customWidth="1"/>
    <col min="13328" max="13328" width="15" style="15" customWidth="1"/>
    <col min="13329" max="13329" width="15.1796875" style="15" customWidth="1"/>
    <col min="13330" max="13330" width="15" style="15" customWidth="1"/>
    <col min="13331" max="13331" width="18.7265625" style="15" customWidth="1"/>
    <col min="13332" max="13573" width="9.1796875" style="15"/>
    <col min="13574" max="13574" width="6.81640625" style="15" customWidth="1"/>
    <col min="13575" max="13575" width="7" style="15" customWidth="1"/>
    <col min="13576" max="13576" width="42.453125" style="15" customWidth="1"/>
    <col min="13577" max="13577" width="13.54296875" style="15" customWidth="1"/>
    <col min="13578" max="13578" width="20.81640625" style="15" customWidth="1"/>
    <col min="13579" max="13581" width="18.7265625" style="15" customWidth="1"/>
    <col min="13582" max="13582" width="15.1796875" style="15" customWidth="1"/>
    <col min="13583" max="13583" width="15.26953125" style="15" customWidth="1"/>
    <col min="13584" max="13584" width="15" style="15" customWidth="1"/>
    <col min="13585" max="13585" width="15.1796875" style="15" customWidth="1"/>
    <col min="13586" max="13586" width="15" style="15" customWidth="1"/>
    <col min="13587" max="13587" width="18.7265625" style="15" customWidth="1"/>
    <col min="13588" max="13829" width="9.1796875" style="15"/>
    <col min="13830" max="13830" width="6.81640625" style="15" customWidth="1"/>
    <col min="13831" max="13831" width="7" style="15" customWidth="1"/>
    <col min="13832" max="13832" width="42.453125" style="15" customWidth="1"/>
    <col min="13833" max="13833" width="13.54296875" style="15" customWidth="1"/>
    <col min="13834" max="13834" width="20.81640625" style="15" customWidth="1"/>
    <col min="13835" max="13837" width="18.7265625" style="15" customWidth="1"/>
    <col min="13838" max="13838" width="15.1796875" style="15" customWidth="1"/>
    <col min="13839" max="13839" width="15.26953125" style="15" customWidth="1"/>
    <col min="13840" max="13840" width="15" style="15" customWidth="1"/>
    <col min="13841" max="13841" width="15.1796875" style="15" customWidth="1"/>
    <col min="13842" max="13842" width="15" style="15" customWidth="1"/>
    <col min="13843" max="13843" width="18.7265625" style="15" customWidth="1"/>
    <col min="13844" max="14085" width="9.1796875" style="15"/>
    <col min="14086" max="14086" width="6.81640625" style="15" customWidth="1"/>
    <col min="14087" max="14087" width="7" style="15" customWidth="1"/>
    <col min="14088" max="14088" width="42.453125" style="15" customWidth="1"/>
    <col min="14089" max="14089" width="13.54296875" style="15" customWidth="1"/>
    <col min="14090" max="14090" width="20.81640625" style="15" customWidth="1"/>
    <col min="14091" max="14093" width="18.7265625" style="15" customWidth="1"/>
    <col min="14094" max="14094" width="15.1796875" style="15" customWidth="1"/>
    <col min="14095" max="14095" width="15.26953125" style="15" customWidth="1"/>
    <col min="14096" max="14096" width="15" style="15" customWidth="1"/>
    <col min="14097" max="14097" width="15.1796875" style="15" customWidth="1"/>
    <col min="14098" max="14098" width="15" style="15" customWidth="1"/>
    <col min="14099" max="14099" width="18.7265625" style="15" customWidth="1"/>
    <col min="14100" max="14341" width="9.1796875" style="15"/>
    <col min="14342" max="14342" width="6.81640625" style="15" customWidth="1"/>
    <col min="14343" max="14343" width="7" style="15" customWidth="1"/>
    <col min="14344" max="14344" width="42.453125" style="15" customWidth="1"/>
    <col min="14345" max="14345" width="13.54296875" style="15" customWidth="1"/>
    <col min="14346" max="14346" width="20.81640625" style="15" customWidth="1"/>
    <col min="14347" max="14349" width="18.7265625" style="15" customWidth="1"/>
    <col min="14350" max="14350" width="15.1796875" style="15" customWidth="1"/>
    <col min="14351" max="14351" width="15.26953125" style="15" customWidth="1"/>
    <col min="14352" max="14352" width="15" style="15" customWidth="1"/>
    <col min="14353" max="14353" width="15.1796875" style="15" customWidth="1"/>
    <col min="14354" max="14354" width="15" style="15" customWidth="1"/>
    <col min="14355" max="14355" width="18.7265625" style="15" customWidth="1"/>
    <col min="14356" max="14597" width="9.1796875" style="15"/>
    <col min="14598" max="14598" width="6.81640625" style="15" customWidth="1"/>
    <col min="14599" max="14599" width="7" style="15" customWidth="1"/>
    <col min="14600" max="14600" width="42.453125" style="15" customWidth="1"/>
    <col min="14601" max="14601" width="13.54296875" style="15" customWidth="1"/>
    <col min="14602" max="14602" width="20.81640625" style="15" customWidth="1"/>
    <col min="14603" max="14605" width="18.7265625" style="15" customWidth="1"/>
    <col min="14606" max="14606" width="15.1796875" style="15" customWidth="1"/>
    <col min="14607" max="14607" width="15.26953125" style="15" customWidth="1"/>
    <col min="14608" max="14608" width="15" style="15" customWidth="1"/>
    <col min="14609" max="14609" width="15.1796875" style="15" customWidth="1"/>
    <col min="14610" max="14610" width="15" style="15" customWidth="1"/>
    <col min="14611" max="14611" width="18.7265625" style="15" customWidth="1"/>
    <col min="14612" max="14853" width="9.1796875" style="15"/>
    <col min="14854" max="14854" width="6.81640625" style="15" customWidth="1"/>
    <col min="14855" max="14855" width="7" style="15" customWidth="1"/>
    <col min="14856" max="14856" width="42.453125" style="15" customWidth="1"/>
    <col min="14857" max="14857" width="13.54296875" style="15" customWidth="1"/>
    <col min="14858" max="14858" width="20.81640625" style="15" customWidth="1"/>
    <col min="14859" max="14861" width="18.7265625" style="15" customWidth="1"/>
    <col min="14862" max="14862" width="15.1796875" style="15" customWidth="1"/>
    <col min="14863" max="14863" width="15.26953125" style="15" customWidth="1"/>
    <col min="14864" max="14864" width="15" style="15" customWidth="1"/>
    <col min="14865" max="14865" width="15.1796875" style="15" customWidth="1"/>
    <col min="14866" max="14866" width="15" style="15" customWidth="1"/>
    <col min="14867" max="14867" width="18.7265625" style="15" customWidth="1"/>
    <col min="14868" max="15109" width="9.1796875" style="15"/>
    <col min="15110" max="15110" width="6.81640625" style="15" customWidth="1"/>
    <col min="15111" max="15111" width="7" style="15" customWidth="1"/>
    <col min="15112" max="15112" width="42.453125" style="15" customWidth="1"/>
    <col min="15113" max="15113" width="13.54296875" style="15" customWidth="1"/>
    <col min="15114" max="15114" width="20.81640625" style="15" customWidth="1"/>
    <col min="15115" max="15117" width="18.7265625" style="15" customWidth="1"/>
    <col min="15118" max="15118" width="15.1796875" style="15" customWidth="1"/>
    <col min="15119" max="15119" width="15.26953125" style="15" customWidth="1"/>
    <col min="15120" max="15120" width="15" style="15" customWidth="1"/>
    <col min="15121" max="15121" width="15.1796875" style="15" customWidth="1"/>
    <col min="15122" max="15122" width="15" style="15" customWidth="1"/>
    <col min="15123" max="15123" width="18.7265625" style="15" customWidth="1"/>
    <col min="15124" max="15365" width="9.1796875" style="15"/>
    <col min="15366" max="15366" width="6.81640625" style="15" customWidth="1"/>
    <col min="15367" max="15367" width="7" style="15" customWidth="1"/>
    <col min="15368" max="15368" width="42.453125" style="15" customWidth="1"/>
    <col min="15369" max="15369" width="13.54296875" style="15" customWidth="1"/>
    <col min="15370" max="15370" width="20.81640625" style="15" customWidth="1"/>
    <col min="15371" max="15373" width="18.7265625" style="15" customWidth="1"/>
    <col min="15374" max="15374" width="15.1796875" style="15" customWidth="1"/>
    <col min="15375" max="15375" width="15.26953125" style="15" customWidth="1"/>
    <col min="15376" max="15376" width="15" style="15" customWidth="1"/>
    <col min="15377" max="15377" width="15.1796875" style="15" customWidth="1"/>
    <col min="15378" max="15378" width="15" style="15" customWidth="1"/>
    <col min="15379" max="15379" width="18.7265625" style="15" customWidth="1"/>
    <col min="15380" max="15621" width="9.1796875" style="15"/>
    <col min="15622" max="15622" width="6.81640625" style="15" customWidth="1"/>
    <col min="15623" max="15623" width="7" style="15" customWidth="1"/>
    <col min="15624" max="15624" width="42.453125" style="15" customWidth="1"/>
    <col min="15625" max="15625" width="13.54296875" style="15" customWidth="1"/>
    <col min="15626" max="15626" width="20.81640625" style="15" customWidth="1"/>
    <col min="15627" max="15629" width="18.7265625" style="15" customWidth="1"/>
    <col min="15630" max="15630" width="15.1796875" style="15" customWidth="1"/>
    <col min="15631" max="15631" width="15.26953125" style="15" customWidth="1"/>
    <col min="15632" max="15632" width="15" style="15" customWidth="1"/>
    <col min="15633" max="15633" width="15.1796875" style="15" customWidth="1"/>
    <col min="15634" max="15634" width="15" style="15" customWidth="1"/>
    <col min="15635" max="15635" width="18.7265625" style="15" customWidth="1"/>
    <col min="15636" max="15877" width="9.1796875" style="15"/>
    <col min="15878" max="15878" width="6.81640625" style="15" customWidth="1"/>
    <col min="15879" max="15879" width="7" style="15" customWidth="1"/>
    <col min="15880" max="15880" width="42.453125" style="15" customWidth="1"/>
    <col min="15881" max="15881" width="13.54296875" style="15" customWidth="1"/>
    <col min="15882" max="15882" width="20.81640625" style="15" customWidth="1"/>
    <col min="15883" max="15885" width="18.7265625" style="15" customWidth="1"/>
    <col min="15886" max="15886" width="15.1796875" style="15" customWidth="1"/>
    <col min="15887" max="15887" width="15.26953125" style="15" customWidth="1"/>
    <col min="15888" max="15888" width="15" style="15" customWidth="1"/>
    <col min="15889" max="15889" width="15.1796875" style="15" customWidth="1"/>
    <col min="15890" max="15890" width="15" style="15" customWidth="1"/>
    <col min="15891" max="15891" width="18.7265625" style="15" customWidth="1"/>
    <col min="15892" max="16133" width="9.1796875" style="15"/>
    <col min="16134" max="16134" width="6.81640625" style="15" customWidth="1"/>
    <col min="16135" max="16135" width="7" style="15" customWidth="1"/>
    <col min="16136" max="16136" width="42.453125" style="15" customWidth="1"/>
    <col min="16137" max="16137" width="13.54296875" style="15" customWidth="1"/>
    <col min="16138" max="16138" width="20.81640625" style="15" customWidth="1"/>
    <col min="16139" max="16141" width="18.7265625" style="15" customWidth="1"/>
    <col min="16142" max="16142" width="15.1796875" style="15" customWidth="1"/>
    <col min="16143" max="16143" width="15.26953125" style="15" customWidth="1"/>
    <col min="16144" max="16144" width="15" style="15" customWidth="1"/>
    <col min="16145" max="16145" width="15.1796875" style="15" customWidth="1"/>
    <col min="16146" max="16146" width="15" style="15" customWidth="1"/>
    <col min="16147" max="16147" width="18.7265625" style="15" customWidth="1"/>
    <col min="16148" max="16384" width="9.1796875" style="15"/>
  </cols>
  <sheetData>
    <row r="2" spans="2:23" ht="13.9" customHeight="1" x14ac:dyDescent="0.25">
      <c r="C2" s="580"/>
      <c r="D2" s="580"/>
      <c r="E2" s="580"/>
      <c r="F2" s="580"/>
      <c r="G2" s="580"/>
      <c r="H2" s="580"/>
      <c r="I2" s="580"/>
      <c r="J2" s="580"/>
      <c r="K2" s="580"/>
      <c r="L2" s="565" t="s">
        <v>1027</v>
      </c>
      <c r="M2" s="580"/>
      <c r="N2" s="602"/>
      <c r="O2" s="602"/>
      <c r="P2" s="602"/>
      <c r="Q2" s="602"/>
      <c r="R2" s="602"/>
      <c r="S2" s="602"/>
      <c r="T2" s="602"/>
    </row>
    <row r="3" spans="2:23" s="119" customFormat="1" x14ac:dyDescent="0.3">
      <c r="B3" s="60"/>
      <c r="C3" s="519"/>
      <c r="D3" s="519"/>
      <c r="E3" s="519"/>
      <c r="F3" s="519"/>
      <c r="G3" s="519"/>
      <c r="H3" s="519"/>
      <c r="I3" s="519"/>
      <c r="J3" s="519"/>
      <c r="K3" s="519"/>
      <c r="L3" s="523" t="s">
        <v>826</v>
      </c>
      <c r="M3" s="519"/>
      <c r="N3" s="590"/>
      <c r="O3" s="590"/>
      <c r="P3" s="590"/>
      <c r="Q3" s="590"/>
      <c r="R3" s="590"/>
      <c r="S3" s="590"/>
      <c r="T3" s="590"/>
      <c r="U3" s="426"/>
    </row>
    <row r="4" spans="2:23" s="119" customFormat="1" x14ac:dyDescent="0.3">
      <c r="B4" s="60"/>
      <c r="C4" s="603"/>
      <c r="D4" s="603"/>
      <c r="E4" s="603"/>
      <c r="F4" s="603"/>
      <c r="G4" s="603"/>
      <c r="H4" s="603"/>
      <c r="I4" s="603"/>
      <c r="J4" s="603"/>
      <c r="K4" s="603"/>
      <c r="L4" s="530" t="s">
        <v>769</v>
      </c>
      <c r="M4" s="603"/>
      <c r="N4" s="604"/>
      <c r="O4" s="604"/>
      <c r="P4" s="604"/>
      <c r="Q4" s="604"/>
      <c r="R4" s="604"/>
      <c r="S4" s="604"/>
      <c r="T4" s="604"/>
      <c r="U4" s="426"/>
    </row>
    <row r="5" spans="2:23" s="119" customFormat="1" x14ac:dyDescent="0.3">
      <c r="B5" s="159"/>
      <c r="C5" s="530"/>
      <c r="D5" s="605"/>
      <c r="E5" s="605"/>
      <c r="F5" s="605"/>
      <c r="G5" s="605"/>
      <c r="H5" s="605"/>
      <c r="I5" s="605"/>
      <c r="J5" s="605"/>
      <c r="K5" s="605"/>
      <c r="L5" s="605"/>
      <c r="M5" s="605"/>
      <c r="N5" s="605"/>
      <c r="O5" s="605"/>
      <c r="P5" s="605"/>
      <c r="Q5" s="605"/>
      <c r="R5" s="605"/>
      <c r="S5" s="605"/>
      <c r="T5" s="605"/>
      <c r="U5" s="426"/>
    </row>
    <row r="6" spans="2:23" x14ac:dyDescent="0.25">
      <c r="B6" s="68"/>
      <c r="C6" s="606"/>
      <c r="D6" s="606"/>
      <c r="E6" s="606"/>
      <c r="F6" s="606"/>
      <c r="G6" s="606"/>
      <c r="H6" s="606"/>
      <c r="I6" s="606"/>
      <c r="J6" s="606"/>
      <c r="K6" s="606"/>
      <c r="L6" s="606"/>
      <c r="M6" s="606"/>
      <c r="N6" s="606"/>
      <c r="O6" s="606"/>
      <c r="P6" s="606"/>
      <c r="Q6" s="606"/>
      <c r="R6" s="606"/>
      <c r="S6" s="606"/>
      <c r="T6" s="606"/>
    </row>
    <row r="7" spans="2:23" ht="17.5" x14ac:dyDescent="0.25">
      <c r="B7" s="160"/>
      <c r="C7" s="568" t="s">
        <v>327</v>
      </c>
    </row>
    <row r="8" spans="2:23" x14ac:dyDescent="0.25">
      <c r="G8" s="1499">
        <v>0.1</v>
      </c>
      <c r="M8" s="398"/>
      <c r="Q8" s="398"/>
      <c r="V8" s="22" t="s">
        <v>16</v>
      </c>
    </row>
    <row r="9" spans="2:23" ht="12.75" customHeight="1" x14ac:dyDescent="0.25">
      <c r="B9" s="2177" t="s">
        <v>187</v>
      </c>
      <c r="C9" s="2398" t="s">
        <v>50</v>
      </c>
      <c r="D9" s="2190" t="s">
        <v>804</v>
      </c>
      <c r="E9" s="2197"/>
      <c r="F9" s="2191"/>
      <c r="G9" s="2190" t="s">
        <v>186</v>
      </c>
      <c r="H9" s="2197"/>
      <c r="I9" s="2191"/>
      <c r="J9" s="2190" t="s">
        <v>426</v>
      </c>
      <c r="K9" s="2197"/>
      <c r="L9" s="2191"/>
      <c r="M9" s="2190" t="s">
        <v>427</v>
      </c>
      <c r="N9" s="2197"/>
      <c r="O9" s="2197"/>
      <c r="P9" s="2197"/>
      <c r="Q9" s="2191"/>
      <c r="R9" s="2190" t="s">
        <v>428</v>
      </c>
      <c r="S9" s="2191"/>
      <c r="T9" s="2190" t="s">
        <v>429</v>
      </c>
      <c r="U9" s="2191"/>
      <c r="V9" s="2174" t="s">
        <v>39</v>
      </c>
    </row>
    <row r="10" spans="2:23" ht="42" x14ac:dyDescent="0.25">
      <c r="B10" s="2178"/>
      <c r="C10" s="2398"/>
      <c r="D10" s="427" t="s">
        <v>404</v>
      </c>
      <c r="E10" s="488" t="s">
        <v>405</v>
      </c>
      <c r="F10" s="488" t="s">
        <v>406</v>
      </c>
      <c r="G10" s="427" t="s">
        <v>404</v>
      </c>
      <c r="H10" s="488" t="s">
        <v>405</v>
      </c>
      <c r="I10" s="488" t="s">
        <v>406</v>
      </c>
      <c r="J10" s="427" t="s">
        <v>404</v>
      </c>
      <c r="K10" s="488" t="s">
        <v>405</v>
      </c>
      <c r="L10" s="488" t="s">
        <v>406</v>
      </c>
      <c r="M10" s="488" t="s">
        <v>404</v>
      </c>
      <c r="N10" s="488" t="s">
        <v>408</v>
      </c>
      <c r="O10" s="488" t="s">
        <v>333</v>
      </c>
      <c r="P10" s="488" t="s">
        <v>72</v>
      </c>
      <c r="Q10" s="488" t="s">
        <v>409</v>
      </c>
      <c r="R10" s="488" t="s">
        <v>404</v>
      </c>
      <c r="S10" s="488" t="s">
        <v>805</v>
      </c>
      <c r="T10" s="488" t="s">
        <v>404</v>
      </c>
      <c r="U10" s="488" t="s">
        <v>805</v>
      </c>
      <c r="V10" s="2174"/>
    </row>
    <row r="11" spans="2:23" x14ac:dyDescent="0.25">
      <c r="B11" s="2179"/>
      <c r="C11" s="2399"/>
      <c r="D11" s="488" t="s">
        <v>73</v>
      </c>
      <c r="E11" s="488" t="s">
        <v>74</v>
      </c>
      <c r="F11" s="488" t="s">
        <v>806</v>
      </c>
      <c r="G11" s="488" t="s">
        <v>411</v>
      </c>
      <c r="H11" s="488" t="s">
        <v>412</v>
      </c>
      <c r="I11" s="488" t="s">
        <v>439</v>
      </c>
      <c r="J11" s="488" t="s">
        <v>668</v>
      </c>
      <c r="K11" s="488" t="s">
        <v>582</v>
      </c>
      <c r="L11" s="488" t="s">
        <v>675</v>
      </c>
      <c r="M11" s="488" t="s">
        <v>782</v>
      </c>
      <c r="N11" s="488" t="s">
        <v>583</v>
      </c>
      <c r="O11" s="488" t="s">
        <v>760</v>
      </c>
      <c r="P11" s="488" t="s">
        <v>807</v>
      </c>
      <c r="Q11" s="488" t="s">
        <v>808</v>
      </c>
      <c r="R11" s="488" t="s">
        <v>784</v>
      </c>
      <c r="S11" s="488" t="s">
        <v>762</v>
      </c>
      <c r="T11" s="488" t="s">
        <v>763</v>
      </c>
      <c r="U11" s="488" t="s">
        <v>764</v>
      </c>
      <c r="V11" s="2397"/>
    </row>
    <row r="12" spans="2:23" ht="28" x14ac:dyDescent="0.25">
      <c r="B12" s="135">
        <v>1</v>
      </c>
      <c r="C12" s="344" t="s">
        <v>529</v>
      </c>
      <c r="D12" s="353"/>
      <c r="E12" s="353"/>
      <c r="F12" s="353">
        <f t="shared" ref="F12:F17" si="0">E12-D12</f>
        <v>0</v>
      </c>
      <c r="G12" s="353"/>
      <c r="H12" s="353"/>
      <c r="I12" s="353">
        <f>H12-G12</f>
        <v>0</v>
      </c>
      <c r="J12" s="353"/>
      <c r="K12" s="353"/>
      <c r="L12" s="353">
        <f>K12-J12</f>
        <v>0</v>
      </c>
      <c r="M12" s="353"/>
      <c r="N12" s="353"/>
      <c r="O12" s="353"/>
      <c r="P12" s="353">
        <f>O12+N12</f>
        <v>0</v>
      </c>
      <c r="Q12" s="353">
        <f>P12-M12</f>
        <v>0</v>
      </c>
      <c r="R12" s="353"/>
      <c r="S12" s="353"/>
      <c r="T12" s="353"/>
      <c r="U12" s="353"/>
      <c r="V12" s="25"/>
    </row>
    <row r="13" spans="2:23" x14ac:dyDescent="0.25">
      <c r="B13" s="135">
        <f>B12+1</f>
        <v>2</v>
      </c>
      <c r="C13" s="344" t="s">
        <v>1839</v>
      </c>
      <c r="D13" s="353">
        <f>D15/D14</f>
        <v>44.933333333333337</v>
      </c>
      <c r="E13" s="353">
        <f>32246.6/100*G8</f>
        <v>32.246600000000001</v>
      </c>
      <c r="F13" s="353"/>
      <c r="G13" s="353">
        <f>G15/G14</f>
        <v>44.933333333333337</v>
      </c>
      <c r="H13" s="353">
        <f>41731.19/100*G8</f>
        <v>41.731190000000005</v>
      </c>
      <c r="I13" s="353"/>
      <c r="J13" s="353">
        <f>J15/J14</f>
        <v>44.933333333333337</v>
      </c>
      <c r="K13" s="353">
        <f>53151.25/100*G8</f>
        <v>53.151250000000005</v>
      </c>
      <c r="L13" s="353"/>
      <c r="M13" s="353">
        <f>M15/M14</f>
        <v>44.933333333333337</v>
      </c>
      <c r="N13" s="353"/>
      <c r="O13" s="353"/>
      <c r="P13" s="353">
        <f ca="1">K13/'ARR-Summary'!L28*'ARR-Summary'!Q30</f>
        <v>52.650968274303459</v>
      </c>
      <c r="Q13" s="353"/>
      <c r="R13" s="353">
        <f>R15/R14</f>
        <v>44.933333333333337</v>
      </c>
      <c r="S13" s="353">
        <f ca="1">K13/'ARR-Summary'!L28*'ARR-Summary'!T30</f>
        <v>57.858079501847413</v>
      </c>
      <c r="T13" s="353">
        <f>T15/T14</f>
        <v>44.933333333333337</v>
      </c>
      <c r="U13" s="353">
        <f ca="1">K13/'ARR-Summary'!L28*'ARR-Summary'!V30</f>
        <v>65.778591477369346</v>
      </c>
      <c r="V13" s="25"/>
    </row>
    <row r="14" spans="2:23" s="554" customFormat="1" ht="28" x14ac:dyDescent="0.25">
      <c r="B14" s="610">
        <f>B13+1</f>
        <v>3</v>
      </c>
      <c r="C14" s="609" t="s">
        <v>530</v>
      </c>
      <c r="D14" s="459">
        <v>1.4999999999999999E-2</v>
      </c>
      <c r="E14" s="459">
        <f>E15/E13</f>
        <v>1.578460985034081E-2</v>
      </c>
      <c r="F14" s="459"/>
      <c r="G14" s="459">
        <v>1.4999999999999999E-2</v>
      </c>
      <c r="H14" s="459">
        <f>H15/H13</f>
        <v>9.3694907813556237E-3</v>
      </c>
      <c r="I14" s="459"/>
      <c r="J14" s="459">
        <v>1.4999999999999999E-2</v>
      </c>
      <c r="K14" s="459">
        <f>K15/K13</f>
        <v>8.6357329319630294E-3</v>
      </c>
      <c r="L14" s="459"/>
      <c r="M14" s="459">
        <v>1.4999999999999999E-2</v>
      </c>
      <c r="N14" s="459"/>
      <c r="O14" s="459"/>
      <c r="P14" s="459">
        <f>M14</f>
        <v>1.4999999999999999E-2</v>
      </c>
      <c r="Q14" s="459"/>
      <c r="R14" s="459">
        <v>1.4999999999999999E-2</v>
      </c>
      <c r="S14" s="459">
        <f>R14</f>
        <v>1.4999999999999999E-2</v>
      </c>
      <c r="T14" s="459">
        <v>1.4999999999999999E-2</v>
      </c>
      <c r="U14" s="459">
        <f>T14</f>
        <v>1.4999999999999999E-2</v>
      </c>
      <c r="V14" s="459"/>
      <c r="W14" s="635"/>
    </row>
    <row r="15" spans="2:23" ht="28" x14ac:dyDescent="0.25">
      <c r="B15" s="135">
        <f>B14+1</f>
        <v>4</v>
      </c>
      <c r="C15" s="344" t="s">
        <v>527</v>
      </c>
      <c r="D15" s="608">
        <f>6.74*10%</f>
        <v>0.67400000000000004</v>
      </c>
      <c r="E15" s="607">
        <f>E45*$G$8</f>
        <v>0.50900000000000001</v>
      </c>
      <c r="F15" s="353">
        <f t="shared" si="0"/>
        <v>-0.16500000000000004</v>
      </c>
      <c r="G15" s="608">
        <f>10%*G45</f>
        <v>0.67400000000000004</v>
      </c>
      <c r="H15" s="607">
        <f>H45*$G$8</f>
        <v>0.39100000000000001</v>
      </c>
      <c r="I15" s="353">
        <f>H15-G15</f>
        <v>-0.28300000000000003</v>
      </c>
      <c r="J15" s="608">
        <f>10%*J45</f>
        <v>0.67400000000000004</v>
      </c>
      <c r="K15" s="607">
        <f>K45*$G$8</f>
        <v>0.45900000000000002</v>
      </c>
      <c r="L15" s="353">
        <f>K15-J15</f>
        <v>-0.21500000000000002</v>
      </c>
      <c r="M15" s="608">
        <f>10%*M45</f>
        <v>0.67400000000000004</v>
      </c>
      <c r="N15" s="607">
        <f>N45*$G$8</f>
        <v>0</v>
      </c>
      <c r="O15" s="607">
        <f>O45*$G$8</f>
        <v>0</v>
      </c>
      <c r="P15" s="353">
        <f ca="1">P13*P14</f>
        <v>0.78976452411455189</v>
      </c>
      <c r="Q15" s="353">
        <f ca="1">P15-M15</f>
        <v>0.11576452411455185</v>
      </c>
      <c r="R15" s="608">
        <f>10%*R45</f>
        <v>0.67400000000000004</v>
      </c>
      <c r="S15" s="353">
        <f ca="1">S13*S14</f>
        <v>0.86787119252771117</v>
      </c>
      <c r="T15" s="608">
        <f>10%*T45</f>
        <v>0.67400000000000004</v>
      </c>
      <c r="U15" s="353">
        <f ca="1">U13*U14</f>
        <v>0.98667887216054018</v>
      </c>
      <c r="V15" s="25"/>
    </row>
    <row r="16" spans="2:23" x14ac:dyDescent="0.25">
      <c r="B16" s="135">
        <f>B15+1</f>
        <v>5</v>
      </c>
      <c r="C16" s="348" t="s">
        <v>528</v>
      </c>
      <c r="D16" s="353"/>
      <c r="E16" s="353">
        <f>E15</f>
        <v>0.50900000000000001</v>
      </c>
      <c r="F16" s="353">
        <f t="shared" si="0"/>
        <v>0.50900000000000001</v>
      </c>
      <c r="G16" s="353"/>
      <c r="H16" s="353">
        <f>H15</f>
        <v>0.39100000000000001</v>
      </c>
      <c r="I16" s="353">
        <f>H16-G16</f>
        <v>0.39100000000000001</v>
      </c>
      <c r="J16" s="353"/>
      <c r="K16" s="353">
        <f>K15</f>
        <v>0.45900000000000002</v>
      </c>
      <c r="L16" s="353">
        <f>K16-J16</f>
        <v>0.45900000000000002</v>
      </c>
      <c r="M16" s="353"/>
      <c r="N16" s="353"/>
      <c r="O16" s="353"/>
      <c r="P16" s="353"/>
      <c r="Q16" s="353">
        <f>P16-M16</f>
        <v>0</v>
      </c>
      <c r="R16" s="353"/>
      <c r="S16" s="353"/>
      <c r="T16" s="353"/>
      <c r="U16" s="353"/>
      <c r="V16" s="25"/>
    </row>
    <row r="17" spans="1:22" ht="28" x14ac:dyDescent="0.25">
      <c r="B17" s="135">
        <f>B16+1</f>
        <v>6</v>
      </c>
      <c r="C17" s="344" t="s">
        <v>531</v>
      </c>
      <c r="D17" s="607"/>
      <c r="E17" s="607">
        <f>E15-E16</f>
        <v>0</v>
      </c>
      <c r="F17" s="353">
        <f t="shared" si="0"/>
        <v>0</v>
      </c>
      <c r="G17" s="607"/>
      <c r="H17" s="607">
        <f>H15-H16</f>
        <v>0</v>
      </c>
      <c r="I17" s="353">
        <f>H17-G17</f>
        <v>0</v>
      </c>
      <c r="J17" s="353"/>
      <c r="K17" s="353"/>
      <c r="L17" s="353">
        <f>K17-J17</f>
        <v>0</v>
      </c>
      <c r="M17" s="353"/>
      <c r="N17" s="353"/>
      <c r="O17" s="353"/>
      <c r="P17" s="353">
        <f>O17+N17</f>
        <v>0</v>
      </c>
      <c r="Q17" s="353">
        <f>P17-M17</f>
        <v>0</v>
      </c>
      <c r="R17" s="353"/>
      <c r="S17" s="353"/>
      <c r="T17" s="353"/>
      <c r="U17" s="353"/>
      <c r="V17" s="25"/>
    </row>
    <row r="18" spans="1:22" x14ac:dyDescent="0.25">
      <c r="B18" s="159"/>
      <c r="C18" s="1768"/>
      <c r="D18" s="496"/>
      <c r="E18" s="496"/>
      <c r="F18" s="496"/>
      <c r="G18" s="496"/>
      <c r="H18" s="496"/>
      <c r="I18" s="496"/>
      <c r="J18" s="496"/>
      <c r="K18" s="496"/>
      <c r="L18" s="496"/>
      <c r="M18" s="496"/>
      <c r="N18" s="496"/>
      <c r="O18" s="496"/>
      <c r="P18" s="496"/>
      <c r="Q18" s="496"/>
      <c r="R18" s="496"/>
      <c r="S18" s="496"/>
      <c r="T18" s="496"/>
      <c r="U18" s="496"/>
      <c r="V18" s="128"/>
    </row>
    <row r="19" spans="1:22" x14ac:dyDescent="0.25">
      <c r="B19" s="15" t="s">
        <v>1841</v>
      </c>
      <c r="C19" s="375" t="s">
        <v>1840</v>
      </c>
      <c r="S19" s="576"/>
      <c r="T19" s="576"/>
    </row>
    <row r="20" spans="1:22" x14ac:dyDescent="0.25">
      <c r="B20" s="15"/>
      <c r="C20" s="2400"/>
      <c r="D20" s="2400"/>
      <c r="E20" s="2400"/>
      <c r="F20" s="2400"/>
      <c r="G20" s="2400"/>
      <c r="H20" s="2400"/>
      <c r="I20" s="2400"/>
      <c r="J20" s="2400"/>
      <c r="K20" s="2400"/>
      <c r="L20" s="2400"/>
      <c r="M20" s="2400"/>
      <c r="N20" s="2400"/>
      <c r="S20" s="576"/>
      <c r="T20" s="576"/>
    </row>
    <row r="21" spans="1:22" x14ac:dyDescent="0.25">
      <c r="B21" s="15"/>
      <c r="S21" s="576"/>
      <c r="T21" s="576"/>
    </row>
    <row r="22" spans="1:22" x14ac:dyDescent="0.25">
      <c r="C22" s="568" t="s">
        <v>284</v>
      </c>
      <c r="S22" s="576"/>
      <c r="T22" s="576"/>
    </row>
    <row r="23" spans="1:22" x14ac:dyDescent="0.25">
      <c r="G23" s="1499">
        <v>0.9</v>
      </c>
      <c r="S23" s="576"/>
      <c r="T23" s="576"/>
    </row>
    <row r="24" spans="1:22" ht="12.75" customHeight="1" x14ac:dyDescent="0.25">
      <c r="B24" s="2177" t="s">
        <v>187</v>
      </c>
      <c r="C24" s="2398" t="s">
        <v>50</v>
      </c>
      <c r="D24" s="2190" t="s">
        <v>804</v>
      </c>
      <c r="E24" s="2197"/>
      <c r="F24" s="2191"/>
      <c r="G24" s="2190" t="s">
        <v>186</v>
      </c>
      <c r="H24" s="2197"/>
      <c r="I24" s="2191"/>
      <c r="J24" s="2190" t="s">
        <v>426</v>
      </c>
      <c r="K24" s="2197"/>
      <c r="L24" s="2191"/>
      <c r="M24" s="2190" t="s">
        <v>427</v>
      </c>
      <c r="N24" s="2197"/>
      <c r="O24" s="2197"/>
      <c r="P24" s="2197"/>
      <c r="Q24" s="2191"/>
      <c r="R24" s="2190" t="s">
        <v>428</v>
      </c>
      <c r="S24" s="2191"/>
      <c r="T24" s="2190" t="s">
        <v>429</v>
      </c>
      <c r="U24" s="2191"/>
      <c r="V24" s="2174" t="s">
        <v>39</v>
      </c>
    </row>
    <row r="25" spans="1:22" ht="42" x14ac:dyDescent="0.25">
      <c r="B25" s="2178"/>
      <c r="C25" s="2398"/>
      <c r="D25" s="427" t="s">
        <v>404</v>
      </c>
      <c r="E25" s="488" t="s">
        <v>405</v>
      </c>
      <c r="F25" s="488" t="s">
        <v>406</v>
      </c>
      <c r="G25" s="427" t="s">
        <v>404</v>
      </c>
      <c r="H25" s="488" t="s">
        <v>405</v>
      </c>
      <c r="I25" s="488" t="s">
        <v>406</v>
      </c>
      <c r="J25" s="427" t="s">
        <v>404</v>
      </c>
      <c r="K25" s="488" t="s">
        <v>405</v>
      </c>
      <c r="L25" s="488" t="s">
        <v>406</v>
      </c>
      <c r="M25" s="488" t="s">
        <v>404</v>
      </c>
      <c r="N25" s="488" t="s">
        <v>408</v>
      </c>
      <c r="O25" s="488" t="s">
        <v>333</v>
      </c>
      <c r="P25" s="488" t="s">
        <v>72</v>
      </c>
      <c r="Q25" s="488" t="s">
        <v>409</v>
      </c>
      <c r="R25" s="488" t="s">
        <v>404</v>
      </c>
      <c r="S25" s="488" t="s">
        <v>805</v>
      </c>
      <c r="T25" s="488" t="s">
        <v>404</v>
      </c>
      <c r="U25" s="488" t="s">
        <v>805</v>
      </c>
      <c r="V25" s="2174"/>
    </row>
    <row r="26" spans="1:22" x14ac:dyDescent="0.25">
      <c r="B26" s="2179"/>
      <c r="C26" s="2399"/>
      <c r="D26" s="488" t="s">
        <v>73</v>
      </c>
      <c r="E26" s="488" t="s">
        <v>74</v>
      </c>
      <c r="F26" s="488" t="s">
        <v>806</v>
      </c>
      <c r="G26" s="488" t="s">
        <v>411</v>
      </c>
      <c r="H26" s="488" t="s">
        <v>412</v>
      </c>
      <c r="I26" s="488" t="s">
        <v>439</v>
      </c>
      <c r="J26" s="488" t="s">
        <v>668</v>
      </c>
      <c r="K26" s="488" t="s">
        <v>582</v>
      </c>
      <c r="L26" s="488" t="s">
        <v>675</v>
      </c>
      <c r="M26" s="488" t="s">
        <v>782</v>
      </c>
      <c r="N26" s="488" t="s">
        <v>583</v>
      </c>
      <c r="O26" s="488" t="s">
        <v>760</v>
      </c>
      <c r="P26" s="488" t="s">
        <v>807</v>
      </c>
      <c r="Q26" s="488" t="s">
        <v>808</v>
      </c>
      <c r="R26" s="488" t="s">
        <v>784</v>
      </c>
      <c r="S26" s="488" t="s">
        <v>762</v>
      </c>
      <c r="T26" s="488" t="s">
        <v>763</v>
      </c>
      <c r="U26" s="488" t="s">
        <v>764</v>
      </c>
      <c r="V26" s="2397"/>
    </row>
    <row r="27" spans="1:22" ht="28" x14ac:dyDescent="0.25">
      <c r="B27" s="135">
        <v>1</v>
      </c>
      <c r="C27" s="344" t="s">
        <v>529</v>
      </c>
      <c r="D27" s="353"/>
      <c r="E27" s="353"/>
      <c r="F27" s="353">
        <f t="shared" ref="F27:F32" si="1">E27-D27</f>
        <v>0</v>
      </c>
      <c r="G27" s="353"/>
      <c r="H27" s="353"/>
      <c r="I27" s="353">
        <f>H27-G27</f>
        <v>0</v>
      </c>
      <c r="J27" s="353"/>
      <c r="K27" s="353"/>
      <c r="L27" s="353">
        <f>K27-J27</f>
        <v>0</v>
      </c>
      <c r="M27" s="353"/>
      <c r="N27" s="353"/>
      <c r="O27" s="353"/>
      <c r="P27" s="353">
        <f>N27+L27</f>
        <v>0</v>
      </c>
      <c r="Q27" s="353">
        <f>+P27-M27</f>
        <v>0</v>
      </c>
      <c r="R27" s="353"/>
      <c r="S27" s="353"/>
      <c r="T27" s="353"/>
      <c r="U27" s="353"/>
      <c r="V27" s="25"/>
    </row>
    <row r="28" spans="1:22" x14ac:dyDescent="0.25">
      <c r="B28" s="135">
        <f>B27+1</f>
        <v>2</v>
      </c>
      <c r="C28" s="344" t="s">
        <v>526</v>
      </c>
      <c r="D28" s="353">
        <f>D30/D29</f>
        <v>404.40000000000009</v>
      </c>
      <c r="E28" s="353">
        <f>32246.6/100*G23</f>
        <v>290.21940000000001</v>
      </c>
      <c r="F28" s="353"/>
      <c r="G28" s="353">
        <f>G30/G29</f>
        <v>404.40000000000009</v>
      </c>
      <c r="H28" s="353">
        <f>41731.19/100*G23</f>
        <v>375.58071000000007</v>
      </c>
      <c r="I28" s="353"/>
      <c r="J28" s="353">
        <f>J30/J29</f>
        <v>404.40000000000009</v>
      </c>
      <c r="K28" s="353">
        <f>53151.25/100*G23</f>
        <v>478.36125000000004</v>
      </c>
      <c r="L28" s="353"/>
      <c r="M28" s="353">
        <f>M30/M29</f>
        <v>404.40000000000009</v>
      </c>
      <c r="N28" s="353"/>
      <c r="O28" s="353"/>
      <c r="P28" s="353">
        <f ca="1">K28/'ARR-Summary'!L63*'ARR-Summary'!Q63</f>
        <v>649.35365017128311</v>
      </c>
      <c r="Q28" s="353"/>
      <c r="R28" s="353">
        <f>R30/R29</f>
        <v>404.40000000000009</v>
      </c>
      <c r="S28" s="353">
        <f ca="1">K28/'ARR-Summary'!L63*'ARR-Summary'!T63</f>
        <v>554.33465375391097</v>
      </c>
      <c r="T28" s="353">
        <f>T30/T29</f>
        <v>404.40000000000009</v>
      </c>
      <c r="U28" s="353">
        <f ca="1">K28/'ARR-Summary'!L63*'ARR-Summary'!V63</f>
        <v>439.40207843536484</v>
      </c>
      <c r="V28" s="25"/>
    </row>
    <row r="29" spans="1:22" s="635" customFormat="1" ht="28" x14ac:dyDescent="0.25">
      <c r="B29" s="135">
        <f>B28+1</f>
        <v>3</v>
      </c>
      <c r="C29" s="461" t="s">
        <v>530</v>
      </c>
      <c r="D29" s="459">
        <v>1.4999999999999999E-2</v>
      </c>
      <c r="E29" s="459">
        <f>E30/E28</f>
        <v>1.5784609850340813E-2</v>
      </c>
      <c r="F29" s="459"/>
      <c r="G29" s="459">
        <v>1.4999999999999999E-2</v>
      </c>
      <c r="H29" s="459">
        <f>H30/H28</f>
        <v>9.369490781355622E-3</v>
      </c>
      <c r="I29" s="353"/>
      <c r="J29" s="459">
        <v>1.4999999999999999E-2</v>
      </c>
      <c r="K29" s="459">
        <f>K30/K28</f>
        <v>8.6357329319630294E-3</v>
      </c>
      <c r="L29" s="459"/>
      <c r="M29" s="459">
        <v>1.4999999999999999E-2</v>
      </c>
      <c r="N29" s="459">
        <v>1.4999999999999999E-2</v>
      </c>
      <c r="O29" s="459">
        <v>1.4999999999999999E-2</v>
      </c>
      <c r="P29" s="459">
        <v>1.4999999999999999E-2</v>
      </c>
      <c r="Q29" s="459"/>
      <c r="R29" s="459">
        <v>1.4999999999999999E-2</v>
      </c>
      <c r="S29" s="459">
        <v>1.4999999999999999E-2</v>
      </c>
      <c r="T29" s="459">
        <v>1.4999999999999999E-2</v>
      </c>
      <c r="U29" s="459">
        <v>1.4999999999999999E-2</v>
      </c>
      <c r="V29" s="459"/>
    </row>
    <row r="30" spans="1:22" ht="28" x14ac:dyDescent="0.25">
      <c r="B30" s="135">
        <f>B29+1</f>
        <v>4</v>
      </c>
      <c r="C30" s="344" t="s">
        <v>527</v>
      </c>
      <c r="D30" s="608">
        <f>6.74*90%</f>
        <v>6.0660000000000007</v>
      </c>
      <c r="E30" s="607">
        <f>E45*$G$23</f>
        <v>4.5810000000000004</v>
      </c>
      <c r="F30" s="353">
        <f t="shared" si="1"/>
        <v>-1.4850000000000003</v>
      </c>
      <c r="G30" s="608">
        <f>G45*90%</f>
        <v>6.0660000000000007</v>
      </c>
      <c r="H30" s="607">
        <f>H45*$G$23</f>
        <v>3.5190000000000001</v>
      </c>
      <c r="I30" s="353">
        <f>H30-G30</f>
        <v>-2.5470000000000006</v>
      </c>
      <c r="J30" s="608">
        <f>J45*90%</f>
        <v>6.0660000000000007</v>
      </c>
      <c r="K30" s="607">
        <f>K45*$G$23</f>
        <v>4.1310000000000002</v>
      </c>
      <c r="L30" s="353">
        <f>K30-J30</f>
        <v>-1.9350000000000005</v>
      </c>
      <c r="M30" s="608">
        <f>M45*90%</f>
        <v>6.0660000000000007</v>
      </c>
      <c r="N30" s="607">
        <f>N45*$G$23</f>
        <v>0</v>
      </c>
      <c r="O30" s="607">
        <f>O45*$G$23</f>
        <v>0</v>
      </c>
      <c r="P30" s="353">
        <f ca="1">P28*P29</f>
        <v>9.7403047525692461</v>
      </c>
      <c r="Q30" s="353">
        <f ca="1">+P30-M30</f>
        <v>3.6743047525692454</v>
      </c>
      <c r="R30" s="608">
        <f>R45*90%</f>
        <v>6.0660000000000007</v>
      </c>
      <c r="S30" s="353">
        <f ca="1">S28*S29</f>
        <v>8.3150198063086638</v>
      </c>
      <c r="T30" s="608">
        <f>T45*90%</f>
        <v>6.0660000000000007</v>
      </c>
      <c r="U30" s="353">
        <f ca="1">U28*U29</f>
        <v>6.5910311765304721</v>
      </c>
      <c r="V30" s="25"/>
    </row>
    <row r="31" spans="1:22" x14ac:dyDescent="0.25">
      <c r="B31" s="135">
        <f>B30+1</f>
        <v>5</v>
      </c>
      <c r="C31" s="348" t="s">
        <v>528</v>
      </c>
      <c r="D31" s="353"/>
      <c r="E31" s="354">
        <f>E30</f>
        <v>4.5810000000000004</v>
      </c>
      <c r="F31" s="353">
        <f t="shared" si="1"/>
        <v>4.5810000000000004</v>
      </c>
      <c r="G31" s="353"/>
      <c r="H31" s="354">
        <f>H30</f>
        <v>3.5190000000000001</v>
      </c>
      <c r="I31" s="353">
        <f>H31-G31</f>
        <v>3.5190000000000001</v>
      </c>
      <c r="J31" s="353"/>
      <c r="K31" s="354">
        <f>K30</f>
        <v>4.1310000000000002</v>
      </c>
      <c r="L31" s="353">
        <f>K31-J31</f>
        <v>4.1310000000000002</v>
      </c>
      <c r="M31" s="353"/>
      <c r="N31" s="353"/>
      <c r="O31" s="353"/>
      <c r="P31" s="353"/>
      <c r="Q31" s="353">
        <f>+P31-M31</f>
        <v>0</v>
      </c>
      <c r="R31" s="353"/>
      <c r="S31" s="353"/>
      <c r="T31" s="353"/>
      <c r="U31" s="353"/>
      <c r="V31" s="25"/>
    </row>
    <row r="32" spans="1:22" ht="28" x14ac:dyDescent="0.25">
      <c r="A32" s="731"/>
      <c r="B32" s="135">
        <f>B31+1</f>
        <v>6</v>
      </c>
      <c r="C32" s="344" t="s">
        <v>531</v>
      </c>
      <c r="D32" s="353"/>
      <c r="E32" s="607">
        <f>E30-E31</f>
        <v>0</v>
      </c>
      <c r="F32" s="353">
        <f t="shared" si="1"/>
        <v>0</v>
      </c>
      <c r="G32" s="607"/>
      <c r="H32" s="607">
        <f>H30-H31</f>
        <v>0</v>
      </c>
      <c r="I32" s="353"/>
      <c r="J32" s="608"/>
      <c r="K32" s="353"/>
      <c r="L32" s="353"/>
      <c r="M32" s="608"/>
      <c r="N32" s="353"/>
      <c r="O32" s="353"/>
      <c r="P32" s="353"/>
      <c r="Q32" s="353"/>
      <c r="R32" s="608"/>
      <c r="S32" s="353"/>
      <c r="T32" s="608"/>
      <c r="U32" s="353"/>
      <c r="V32" s="25"/>
    </row>
    <row r="33" spans="2:22" x14ac:dyDescent="0.25">
      <c r="S33" s="576"/>
      <c r="T33" s="576"/>
    </row>
    <row r="34" spans="2:22" x14ac:dyDescent="0.25">
      <c r="B34" s="15" t="s">
        <v>874</v>
      </c>
      <c r="S34" s="576"/>
      <c r="T34" s="576"/>
    </row>
    <row r="35" spans="2:22" x14ac:dyDescent="0.25">
      <c r="B35" s="15">
        <v>2</v>
      </c>
      <c r="C35" s="2400" t="s">
        <v>532</v>
      </c>
      <c r="D35" s="2400"/>
      <c r="E35" s="2400"/>
      <c r="F35" s="2400"/>
      <c r="G35" s="2400"/>
      <c r="H35" s="2400"/>
      <c r="I35" s="2400"/>
      <c r="J35" s="2400"/>
      <c r="K35" s="2400"/>
      <c r="L35" s="2400"/>
      <c r="M35" s="2400"/>
      <c r="N35" s="2400"/>
      <c r="S35" s="576"/>
      <c r="T35" s="576"/>
    </row>
    <row r="36" spans="2:22" x14ac:dyDescent="0.25">
      <c r="S36" s="576"/>
      <c r="T36" s="576"/>
    </row>
    <row r="37" spans="2:22" ht="14.5" x14ac:dyDescent="0.25">
      <c r="B37" s="732"/>
      <c r="C37" s="398" t="s">
        <v>1240</v>
      </c>
      <c r="E37" s="635"/>
      <c r="F37" s="635"/>
      <c r="S37" s="576"/>
      <c r="T37" s="576"/>
    </row>
    <row r="38" spans="2:22" x14ac:dyDescent="0.25">
      <c r="S38" s="576"/>
      <c r="T38" s="576"/>
    </row>
    <row r="39" spans="2:22" x14ac:dyDescent="0.25">
      <c r="B39" s="2177" t="s">
        <v>187</v>
      </c>
      <c r="C39" s="2398" t="s">
        <v>50</v>
      </c>
      <c r="D39" s="2190" t="s">
        <v>804</v>
      </c>
      <c r="E39" s="2197"/>
      <c r="F39" s="2191"/>
      <c r="G39" s="2190" t="s">
        <v>186</v>
      </c>
      <c r="H39" s="2197"/>
      <c r="I39" s="2191"/>
      <c r="J39" s="2190" t="s">
        <v>426</v>
      </c>
      <c r="K39" s="2197"/>
      <c r="L39" s="2191"/>
      <c r="M39" s="2190" t="s">
        <v>427</v>
      </c>
      <c r="N39" s="2197"/>
      <c r="O39" s="2197"/>
      <c r="P39" s="2197"/>
      <c r="Q39" s="2191"/>
      <c r="R39" s="2190" t="s">
        <v>428</v>
      </c>
      <c r="S39" s="2191"/>
      <c r="T39" s="2190" t="s">
        <v>429</v>
      </c>
      <c r="U39" s="2191"/>
      <c r="V39" s="2174" t="s">
        <v>39</v>
      </c>
    </row>
    <row r="40" spans="2:22" ht="42" x14ac:dyDescent="0.25">
      <c r="B40" s="2178"/>
      <c r="C40" s="2398"/>
      <c r="D40" s="641" t="s">
        <v>404</v>
      </c>
      <c r="E40" s="640" t="s">
        <v>405</v>
      </c>
      <c r="F40" s="640" t="s">
        <v>406</v>
      </c>
      <c r="G40" s="641" t="s">
        <v>404</v>
      </c>
      <c r="H40" s="640" t="s">
        <v>405</v>
      </c>
      <c r="I40" s="640" t="s">
        <v>406</v>
      </c>
      <c r="J40" s="641" t="s">
        <v>404</v>
      </c>
      <c r="K40" s="640" t="s">
        <v>405</v>
      </c>
      <c r="L40" s="640" t="s">
        <v>406</v>
      </c>
      <c r="M40" s="640" t="s">
        <v>404</v>
      </c>
      <c r="N40" s="640" t="s">
        <v>408</v>
      </c>
      <c r="O40" s="640" t="s">
        <v>333</v>
      </c>
      <c r="P40" s="640" t="s">
        <v>72</v>
      </c>
      <c r="Q40" s="640" t="s">
        <v>409</v>
      </c>
      <c r="R40" s="640" t="s">
        <v>404</v>
      </c>
      <c r="S40" s="640" t="s">
        <v>805</v>
      </c>
      <c r="T40" s="640" t="s">
        <v>404</v>
      </c>
      <c r="U40" s="640" t="s">
        <v>805</v>
      </c>
      <c r="V40" s="2174"/>
    </row>
    <row r="41" spans="2:22" x14ac:dyDescent="0.25">
      <c r="B41" s="2179"/>
      <c r="C41" s="2399"/>
      <c r="D41" s="640" t="s">
        <v>73</v>
      </c>
      <c r="E41" s="640" t="s">
        <v>74</v>
      </c>
      <c r="F41" s="640" t="s">
        <v>806</v>
      </c>
      <c r="G41" s="640" t="s">
        <v>411</v>
      </c>
      <c r="H41" s="640" t="s">
        <v>412</v>
      </c>
      <c r="I41" s="640" t="s">
        <v>439</v>
      </c>
      <c r="J41" s="640" t="s">
        <v>668</v>
      </c>
      <c r="K41" s="640" t="s">
        <v>582</v>
      </c>
      <c r="L41" s="640" t="s">
        <v>675</v>
      </c>
      <c r="M41" s="640" t="s">
        <v>782</v>
      </c>
      <c r="N41" s="640" t="s">
        <v>583</v>
      </c>
      <c r="O41" s="640" t="s">
        <v>760</v>
      </c>
      <c r="P41" s="640" t="s">
        <v>807</v>
      </c>
      <c r="Q41" s="640" t="s">
        <v>808</v>
      </c>
      <c r="R41" s="640" t="s">
        <v>784</v>
      </c>
      <c r="S41" s="640" t="s">
        <v>762</v>
      </c>
      <c r="T41" s="640" t="s">
        <v>763</v>
      </c>
      <c r="U41" s="640" t="s">
        <v>764</v>
      </c>
      <c r="V41" s="2397"/>
    </row>
    <row r="42" spans="2:22" ht="28" x14ac:dyDescent="0.25">
      <c r="B42" s="135">
        <v>1</v>
      </c>
      <c r="C42" s="344" t="s">
        <v>529</v>
      </c>
      <c r="D42" s="353"/>
      <c r="E42" s="353"/>
      <c r="F42" s="353">
        <f t="shared" ref="F42:F47" si="2">E42-D42</f>
        <v>0</v>
      </c>
      <c r="G42" s="353"/>
      <c r="H42" s="353"/>
      <c r="I42" s="353">
        <f t="shared" ref="I42:I47" si="3">H42-G42</f>
        <v>0</v>
      </c>
      <c r="J42" s="353"/>
      <c r="K42" s="353"/>
      <c r="L42" s="353">
        <f t="shared" ref="L42:L47" si="4">K42-J42</f>
        <v>0</v>
      </c>
      <c r="M42" s="353"/>
      <c r="N42" s="353"/>
      <c r="O42" s="353"/>
      <c r="P42" s="353">
        <f>N42+L42</f>
        <v>0</v>
      </c>
      <c r="Q42" s="353">
        <f>+P42-M42</f>
        <v>0</v>
      </c>
      <c r="R42" s="353"/>
      <c r="S42" s="353"/>
      <c r="T42" s="353"/>
      <c r="U42" s="353"/>
      <c r="V42" s="25"/>
    </row>
    <row r="43" spans="2:22" x14ac:dyDescent="0.25">
      <c r="B43" s="135">
        <f>B42+1</f>
        <v>2</v>
      </c>
      <c r="C43" s="344" t="s">
        <v>526</v>
      </c>
      <c r="D43" s="353">
        <f>D45/D44</f>
        <v>449.33333333333343</v>
      </c>
      <c r="E43" s="353">
        <f>E13+E28</f>
        <v>322.46600000000001</v>
      </c>
      <c r="F43" s="353"/>
      <c r="G43" s="353">
        <f>G45/G44</f>
        <v>449.33333333333337</v>
      </c>
      <c r="H43" s="353">
        <f>H13+H28</f>
        <v>417.31190000000009</v>
      </c>
      <c r="I43" s="353"/>
      <c r="J43" s="353">
        <f>J45/J44</f>
        <v>449.33333333333337</v>
      </c>
      <c r="K43" s="353">
        <f>K13+K28</f>
        <v>531.51250000000005</v>
      </c>
      <c r="L43" s="353"/>
      <c r="M43" s="353">
        <f>M45/M44</f>
        <v>449.33333333333337</v>
      </c>
      <c r="N43" s="353"/>
      <c r="O43" s="353"/>
      <c r="P43" s="353">
        <f ca="1">P13+P28</f>
        <v>702.00461844558652</v>
      </c>
      <c r="Q43" s="353"/>
      <c r="R43" s="353">
        <f>R45/R44</f>
        <v>449.33333333333337</v>
      </c>
      <c r="S43" s="353">
        <f ca="1">S13+S28</f>
        <v>612.19273325575841</v>
      </c>
      <c r="T43" s="353">
        <f>T45/T44</f>
        <v>449.33333333333337</v>
      </c>
      <c r="U43" s="353">
        <f ca="1">U13+U28</f>
        <v>505.18066991273417</v>
      </c>
      <c r="V43" s="25"/>
    </row>
    <row r="44" spans="2:22" ht="28" x14ac:dyDescent="0.25">
      <c r="B44" s="135">
        <f>B43+1</f>
        <v>3</v>
      </c>
      <c r="C44" s="461" t="s">
        <v>530</v>
      </c>
      <c r="D44" s="459">
        <v>1.4999999999999999E-2</v>
      </c>
      <c r="E44" s="459">
        <f>E45/E43</f>
        <v>1.578460985034081E-2</v>
      </c>
      <c r="F44" s="459"/>
      <c r="G44" s="459">
        <v>1.4999999999999999E-2</v>
      </c>
      <c r="H44" s="459">
        <f>H45/H43</f>
        <v>9.369490781355622E-3</v>
      </c>
      <c r="I44" s="459"/>
      <c r="J44" s="459">
        <v>1.4999999999999999E-2</v>
      </c>
      <c r="K44" s="459">
        <f>K45/K43</f>
        <v>8.6357329319630294E-3</v>
      </c>
      <c r="L44" s="459"/>
      <c r="M44" s="459">
        <v>1.4999999999999999E-2</v>
      </c>
      <c r="N44" s="459">
        <v>1.4999999999999999E-2</v>
      </c>
      <c r="O44" s="459">
        <v>1.4999999999999999E-2</v>
      </c>
      <c r="P44" s="459">
        <f ca="1">P45/P43</f>
        <v>1.5000000000000001E-2</v>
      </c>
      <c r="Q44" s="459"/>
      <c r="R44" s="459">
        <v>1.4999999999999999E-2</v>
      </c>
      <c r="S44" s="459">
        <f ca="1">S45/S43</f>
        <v>1.4999999999999996E-2</v>
      </c>
      <c r="T44" s="459">
        <v>1.4999999999999999E-2</v>
      </c>
      <c r="U44" s="459">
        <f ca="1">U45/U43</f>
        <v>1.4999999999999998E-2</v>
      </c>
      <c r="V44" s="459"/>
    </row>
    <row r="45" spans="2:22" ht="28" x14ac:dyDescent="0.25">
      <c r="B45" s="135">
        <f>B44+1</f>
        <v>4</v>
      </c>
      <c r="C45" s="344" t="s">
        <v>527</v>
      </c>
      <c r="D45" s="608">
        <f>D15+D30</f>
        <v>6.7400000000000011</v>
      </c>
      <c r="E45" s="607">
        <v>5.09</v>
      </c>
      <c r="F45" s="353">
        <f t="shared" si="2"/>
        <v>-1.6500000000000012</v>
      </c>
      <c r="G45" s="608">
        <v>6.74</v>
      </c>
      <c r="H45" s="607">
        <v>3.91</v>
      </c>
      <c r="I45" s="353">
        <f t="shared" si="3"/>
        <v>-2.83</v>
      </c>
      <c r="J45" s="354">
        <v>6.74</v>
      </c>
      <c r="K45" s="353">
        <v>4.59</v>
      </c>
      <c r="L45" s="353">
        <f t="shared" si="4"/>
        <v>-2.1500000000000004</v>
      </c>
      <c r="M45" s="608">
        <v>6.74</v>
      </c>
      <c r="N45" s="353"/>
      <c r="O45" s="353"/>
      <c r="P45" s="353">
        <f ca="1">P15+P30</f>
        <v>10.530069276683799</v>
      </c>
      <c r="Q45" s="353">
        <f ca="1">+P45-M45</f>
        <v>3.7900692766837984</v>
      </c>
      <c r="R45" s="608">
        <v>6.74</v>
      </c>
      <c r="S45" s="353">
        <f ca="1">S15+S30</f>
        <v>9.1828909988363741</v>
      </c>
      <c r="T45" s="608">
        <v>6.74</v>
      </c>
      <c r="U45" s="353">
        <f ca="1">U15+U30</f>
        <v>7.5777100486910118</v>
      </c>
      <c r="V45" s="25"/>
    </row>
    <row r="46" spans="2:22" x14ac:dyDescent="0.25">
      <c r="B46" s="135">
        <f>B45+1</f>
        <v>5</v>
      </c>
      <c r="C46" s="348" t="s">
        <v>528</v>
      </c>
      <c r="D46" s="353"/>
      <c r="E46" s="353">
        <f>E45</f>
        <v>5.09</v>
      </c>
      <c r="F46" s="353">
        <f t="shared" si="2"/>
        <v>5.09</v>
      </c>
      <c r="G46" s="353"/>
      <c r="H46" s="353">
        <f>H45</f>
        <v>3.91</v>
      </c>
      <c r="I46" s="353">
        <f t="shared" si="3"/>
        <v>3.91</v>
      </c>
      <c r="J46" s="353"/>
      <c r="K46" s="353">
        <f>K45</f>
        <v>4.59</v>
      </c>
      <c r="L46" s="353">
        <f t="shared" si="4"/>
        <v>4.59</v>
      </c>
      <c r="M46" s="353"/>
      <c r="N46" s="353"/>
      <c r="O46" s="353"/>
      <c r="P46" s="353"/>
      <c r="Q46" s="353">
        <f>+P46-M46</f>
        <v>0</v>
      </c>
      <c r="R46" s="353"/>
      <c r="S46" s="353"/>
      <c r="T46" s="353"/>
      <c r="U46" s="353"/>
      <c r="V46" s="25"/>
    </row>
    <row r="47" spans="2:22" ht="28" x14ac:dyDescent="0.25">
      <c r="B47" s="135">
        <f>B46+1</f>
        <v>6</v>
      </c>
      <c r="C47" s="344" t="s">
        <v>531</v>
      </c>
      <c r="E47" s="608">
        <f>E45-E46</f>
        <v>0</v>
      </c>
      <c r="F47" s="353">
        <f t="shared" si="2"/>
        <v>0</v>
      </c>
      <c r="G47" s="608"/>
      <c r="H47" s="608">
        <f>H45-H46</f>
        <v>0</v>
      </c>
      <c r="I47" s="353">
        <f t="shared" si="3"/>
        <v>0</v>
      </c>
      <c r="J47" s="608"/>
      <c r="K47" s="608">
        <f>K45-K46</f>
        <v>0</v>
      </c>
      <c r="L47" s="353">
        <f t="shared" si="4"/>
        <v>0</v>
      </c>
      <c r="M47" s="608"/>
      <c r="N47" s="608">
        <f>N45-N46</f>
        <v>0</v>
      </c>
      <c r="O47" s="608">
        <f>O45-O46</f>
        <v>0</v>
      </c>
      <c r="P47" s="608"/>
      <c r="Q47" s="353">
        <f>+P47-M47</f>
        <v>0</v>
      </c>
      <c r="R47" s="608"/>
      <c r="S47" s="608"/>
      <c r="T47" s="608"/>
      <c r="U47" s="608"/>
      <c r="V47" s="25"/>
    </row>
  </sheetData>
  <mergeCells count="29">
    <mergeCell ref="B9:B11"/>
    <mergeCell ref="C9:C11"/>
    <mergeCell ref="J9:L9"/>
    <mergeCell ref="C20:N20"/>
    <mergeCell ref="D9:F9"/>
    <mergeCell ref="G9:I9"/>
    <mergeCell ref="B24:B26"/>
    <mergeCell ref="C24:C26"/>
    <mergeCell ref="J24:L24"/>
    <mergeCell ref="M24:Q24"/>
    <mergeCell ref="V24:V26"/>
    <mergeCell ref="D24:F24"/>
    <mergeCell ref="G24:I24"/>
    <mergeCell ref="R24:S24"/>
    <mergeCell ref="T24:U24"/>
    <mergeCell ref="C35:N35"/>
    <mergeCell ref="M9:Q9"/>
    <mergeCell ref="V9:V11"/>
    <mergeCell ref="R9:S9"/>
    <mergeCell ref="T9:U9"/>
    <mergeCell ref="M39:Q39"/>
    <mergeCell ref="R39:S39"/>
    <mergeCell ref="T39:U39"/>
    <mergeCell ref="V39:V41"/>
    <mergeCell ref="B39:B41"/>
    <mergeCell ref="C39:C41"/>
    <mergeCell ref="D39:F39"/>
    <mergeCell ref="G39:I39"/>
    <mergeCell ref="J39:L39"/>
  </mergeCells>
  <pageMargins left="0.74803149606299213" right="0.74803149606299213" top="0.98425196850393704" bottom="0.98425196850393704" header="0.51181102362204722" footer="0.51181102362204722"/>
  <pageSetup paperSize="9" scale="42" orientation="landscape" r:id="rId1"/>
  <headerFooter alignWithMargins="0"/>
  <rowBreaks count="2" manualBreakCount="2">
    <brk id="20" max="16383" man="1"/>
    <brk id="35" max="1638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7"/>
  <sheetViews>
    <sheetView showGridLines="0" view="pageBreakPreview" topLeftCell="I50" zoomScale="81" zoomScaleNormal="75" workbookViewId="0">
      <selection activeCell="A11" sqref="A11"/>
    </sheetView>
  </sheetViews>
  <sheetFormatPr defaultColWidth="9.1796875" defaultRowHeight="14" x14ac:dyDescent="0.25"/>
  <cols>
    <col min="1" max="1" width="6.81640625" style="15" customWidth="1"/>
    <col min="2" max="2" width="9.1796875" style="68" customWidth="1"/>
    <col min="3" max="3" width="36.453125" style="58" customWidth="1"/>
    <col min="4" max="9" width="17.54296875" style="58" customWidth="1"/>
    <col min="10" max="10" width="14.81640625" style="15" customWidth="1"/>
    <col min="11" max="11" width="16.1796875" style="15" customWidth="1"/>
    <col min="12" max="12" width="14.453125" style="15" customWidth="1"/>
    <col min="13" max="13" width="13.81640625" style="15" customWidth="1"/>
    <col min="14" max="14" width="16.453125" style="15" customWidth="1"/>
    <col min="15" max="15" width="16" style="15" customWidth="1"/>
    <col min="16" max="20" width="14.81640625" style="15" customWidth="1"/>
    <col min="21" max="16384" width="9.1796875" style="15"/>
  </cols>
  <sheetData>
    <row r="2" spans="2:20" x14ac:dyDescent="0.25">
      <c r="C2" s="155"/>
      <c r="D2" s="155"/>
      <c r="E2" s="155"/>
      <c r="F2" s="155"/>
      <c r="G2" s="155"/>
      <c r="H2" s="155"/>
      <c r="I2" s="155"/>
      <c r="J2" s="131"/>
      <c r="K2" s="131"/>
      <c r="L2" s="131"/>
      <c r="M2" s="1047" t="s">
        <v>1027</v>
      </c>
      <c r="N2" s="34"/>
      <c r="O2" s="34"/>
      <c r="P2" s="34"/>
    </row>
    <row r="3" spans="2:20" s="119" customFormat="1" x14ac:dyDescent="0.3">
      <c r="B3" s="60"/>
      <c r="C3" s="230"/>
      <c r="D3" s="230"/>
      <c r="E3" s="230"/>
      <c r="F3" s="230"/>
      <c r="G3" s="230"/>
      <c r="H3" s="230"/>
      <c r="I3" s="230"/>
      <c r="J3" s="130"/>
      <c r="K3" s="130"/>
      <c r="L3" s="130"/>
      <c r="M3" s="1046" t="s">
        <v>826</v>
      </c>
      <c r="N3" s="36"/>
      <c r="O3" s="35"/>
      <c r="P3" s="35"/>
    </row>
    <row r="4" spans="2:20" s="119" customFormat="1" x14ac:dyDescent="0.3">
      <c r="B4" s="60"/>
      <c r="C4" s="229"/>
      <c r="D4" s="229"/>
      <c r="E4" s="229"/>
      <c r="F4" s="229"/>
      <c r="G4" s="229"/>
      <c r="H4" s="229"/>
      <c r="I4" s="229"/>
      <c r="J4" s="56"/>
      <c r="K4" s="56"/>
      <c r="L4" s="56"/>
      <c r="M4" s="49" t="s">
        <v>497</v>
      </c>
      <c r="N4" s="56"/>
      <c r="O4" s="56"/>
      <c r="P4" s="56"/>
    </row>
    <row r="5" spans="2:20" s="119" customFormat="1" x14ac:dyDescent="0.3">
      <c r="B5" s="1046"/>
      <c r="C5" s="228"/>
      <c r="D5" s="228"/>
      <c r="E5" s="228"/>
      <c r="F5" s="228"/>
      <c r="G5" s="228"/>
      <c r="H5" s="228"/>
      <c r="I5" s="228"/>
      <c r="J5" s="49"/>
      <c r="K5" s="49"/>
      <c r="L5" s="49"/>
      <c r="M5" s="49"/>
      <c r="N5" s="56"/>
      <c r="O5" s="56"/>
      <c r="P5" s="56"/>
    </row>
    <row r="6" spans="2:20" s="119" customFormat="1" x14ac:dyDescent="0.3">
      <c r="B6" s="1046"/>
      <c r="C6" s="120" t="s">
        <v>327</v>
      </c>
      <c r="D6" s="120"/>
      <c r="E6" s="120"/>
      <c r="F6" s="120"/>
      <c r="G6" s="120"/>
      <c r="H6" s="120"/>
      <c r="I6" s="120"/>
      <c r="J6" s="49"/>
      <c r="K6" s="49"/>
      <c r="L6" s="49"/>
      <c r="M6" s="49"/>
      <c r="N6" s="56"/>
      <c r="O6" s="56"/>
      <c r="P6" s="56"/>
    </row>
    <row r="7" spans="2:20" s="119" customFormat="1" x14ac:dyDescent="0.3">
      <c r="B7" s="1046"/>
      <c r="C7" s="228"/>
      <c r="D7" s="228"/>
      <c r="E7" s="228"/>
      <c r="F7" s="228"/>
      <c r="G7" s="228"/>
      <c r="H7" s="228"/>
      <c r="I7" s="228"/>
      <c r="J7" s="49"/>
      <c r="K7" s="49"/>
      <c r="L7" s="49"/>
      <c r="M7" s="49"/>
      <c r="N7" s="56"/>
      <c r="O7" s="56"/>
      <c r="P7" s="56"/>
      <c r="S7" s="22" t="s">
        <v>16</v>
      </c>
    </row>
    <row r="8" spans="2:20" s="119" customFormat="1" ht="15" customHeight="1" x14ac:dyDescent="0.3">
      <c r="B8" s="2177" t="s">
        <v>187</v>
      </c>
      <c r="C8" s="2180" t="s">
        <v>50</v>
      </c>
      <c r="D8" s="2172" t="s">
        <v>804</v>
      </c>
      <c r="E8" s="2176"/>
      <c r="F8" s="2173"/>
      <c r="G8" s="2172" t="s">
        <v>186</v>
      </c>
      <c r="H8" s="2176"/>
      <c r="I8" s="2173"/>
      <c r="J8" s="2172" t="s">
        <v>426</v>
      </c>
      <c r="K8" s="2176"/>
      <c r="L8" s="2173"/>
      <c r="M8" s="2172" t="s">
        <v>427</v>
      </c>
      <c r="N8" s="2176"/>
      <c r="O8" s="2173"/>
      <c r="P8" s="2172" t="s">
        <v>428</v>
      </c>
      <c r="Q8" s="2173"/>
      <c r="R8" s="2172" t="s">
        <v>429</v>
      </c>
      <c r="S8" s="2173"/>
      <c r="T8" s="2174" t="s">
        <v>39</v>
      </c>
    </row>
    <row r="9" spans="2:20" ht="28" x14ac:dyDescent="0.25">
      <c r="B9" s="2178"/>
      <c r="C9" s="2180"/>
      <c r="D9" s="318" t="s">
        <v>404</v>
      </c>
      <c r="E9" s="1044" t="s">
        <v>405</v>
      </c>
      <c r="F9" s="1044" t="s">
        <v>406</v>
      </c>
      <c r="G9" s="318" t="s">
        <v>404</v>
      </c>
      <c r="H9" s="1044" t="s">
        <v>405</v>
      </c>
      <c r="I9" s="1044" t="s">
        <v>406</v>
      </c>
      <c r="J9" s="318" t="s">
        <v>404</v>
      </c>
      <c r="K9" s="1044" t="s">
        <v>405</v>
      </c>
      <c r="L9" s="1044" t="s">
        <v>406</v>
      </c>
      <c r="M9" s="1044" t="s">
        <v>404</v>
      </c>
      <c r="N9" s="1044" t="s">
        <v>72</v>
      </c>
      <c r="O9" s="1044" t="s">
        <v>409</v>
      </c>
      <c r="P9" s="1044" t="s">
        <v>404</v>
      </c>
      <c r="Q9" s="1044" t="s">
        <v>805</v>
      </c>
      <c r="R9" s="1044" t="s">
        <v>404</v>
      </c>
      <c r="S9" s="1044" t="s">
        <v>805</v>
      </c>
      <c r="T9" s="2174"/>
    </row>
    <row r="10" spans="2:20" x14ac:dyDescent="0.25">
      <c r="B10" s="2281"/>
      <c r="C10" s="2284"/>
      <c r="D10" s="1044" t="s">
        <v>73</v>
      </c>
      <c r="E10" s="1044" t="s">
        <v>74</v>
      </c>
      <c r="F10" s="1044" t="s">
        <v>806</v>
      </c>
      <c r="G10" s="1044" t="s">
        <v>411</v>
      </c>
      <c r="H10" s="1044" t="s">
        <v>412</v>
      </c>
      <c r="I10" s="1044" t="s">
        <v>439</v>
      </c>
      <c r="J10" s="1044" t="s">
        <v>668</v>
      </c>
      <c r="K10" s="1044" t="s">
        <v>582</v>
      </c>
      <c r="L10" s="1044" t="s">
        <v>675</v>
      </c>
      <c r="M10" s="1044" t="s">
        <v>782</v>
      </c>
      <c r="N10" s="1044" t="s">
        <v>807</v>
      </c>
      <c r="O10" s="1044" t="s">
        <v>808</v>
      </c>
      <c r="P10" s="1044" t="s">
        <v>784</v>
      </c>
      <c r="Q10" s="1044" t="s">
        <v>762</v>
      </c>
      <c r="R10" s="1044" t="s">
        <v>763</v>
      </c>
      <c r="S10" s="1044" t="s">
        <v>764</v>
      </c>
      <c r="T10" s="2175"/>
    </row>
    <row r="11" spans="2:20" x14ac:dyDescent="0.3">
      <c r="B11" s="239">
        <v>1</v>
      </c>
      <c r="C11" s="240" t="s">
        <v>518</v>
      </c>
      <c r="D11" s="344"/>
      <c r="E11" s="344">
        <f>E49*90%</f>
        <v>43.191000000000003</v>
      </c>
      <c r="F11" s="344">
        <f>E11-D11</f>
        <v>43.191000000000003</v>
      </c>
      <c r="G11" s="344"/>
      <c r="H11" s="344">
        <f>H49*90%</f>
        <v>43.191000000000003</v>
      </c>
      <c r="I11" s="344">
        <f>H11-G11</f>
        <v>43.191000000000003</v>
      </c>
      <c r="J11" s="374"/>
      <c r="K11" s="344">
        <f>K49*90%</f>
        <v>49.599000000000004</v>
      </c>
      <c r="L11" s="740">
        <f>K11-J11</f>
        <v>49.599000000000004</v>
      </c>
      <c r="M11" s="374"/>
      <c r="N11" s="344">
        <f>N49*90%</f>
        <v>56.259</v>
      </c>
      <c r="O11" s="1056">
        <f>N11-M11</f>
        <v>56.259</v>
      </c>
      <c r="P11" s="1056"/>
      <c r="Q11" s="344">
        <f>Q49*90%</f>
        <v>63.091797296746499</v>
      </c>
      <c r="R11" s="345"/>
      <c r="S11" s="344">
        <f>S49*90%</f>
        <v>70.202984390239507</v>
      </c>
      <c r="T11" s="25"/>
    </row>
    <row r="12" spans="2:20" ht="15" customHeight="1" x14ac:dyDescent="0.3">
      <c r="B12" s="239">
        <f t="shared" ref="B12:B17" si="0">B11+1</f>
        <v>2</v>
      </c>
      <c r="C12" s="240" t="s">
        <v>519</v>
      </c>
      <c r="D12" s="344"/>
      <c r="E12" s="344">
        <f>'F 5.3'!$J$9*90%</f>
        <v>2338.299</v>
      </c>
      <c r="F12" s="344">
        <f t="shared" ref="F12:F17" si="1">E12-D12</f>
        <v>2338.299</v>
      </c>
      <c r="G12" s="344"/>
      <c r="H12" s="344">
        <f>'F 5.3'!$K$9*90%</f>
        <v>2539.7909999999997</v>
      </c>
      <c r="I12" s="344">
        <f t="shared" ref="I12:I17" si="2">H12-G12</f>
        <v>2539.7909999999997</v>
      </c>
      <c r="J12" s="374"/>
      <c r="K12" s="344">
        <f>'F 5.3'!$L$9*90%</f>
        <v>2640.1680000000001</v>
      </c>
      <c r="L12" s="740">
        <f t="shared" ref="L12:L17" si="3">K12-J12</f>
        <v>2640.1680000000001</v>
      </c>
      <c r="M12" s="374"/>
      <c r="N12" s="344">
        <f>'F 5.3'!$M$9*90%</f>
        <v>2733.1189186985998</v>
      </c>
      <c r="O12" s="1056">
        <f>N12-M12</f>
        <v>2733.1189186985998</v>
      </c>
      <c r="P12" s="1056"/>
      <c r="Q12" s="344">
        <f>'F 5.3'!$N$9*90%</f>
        <v>2844.4748373971997</v>
      </c>
      <c r="R12" s="345"/>
      <c r="S12" s="344">
        <f>'F 5.3'!$O$9*90%</f>
        <v>3691.3264160958001</v>
      </c>
      <c r="T12" s="25"/>
    </row>
    <row r="13" spans="2:20" ht="28" x14ac:dyDescent="0.25">
      <c r="B13" s="239">
        <f t="shared" si="0"/>
        <v>3</v>
      </c>
      <c r="C13" s="240" t="s">
        <v>520</v>
      </c>
      <c r="D13" s="609"/>
      <c r="E13" s="1052">
        <f>E11/E12</f>
        <v>1.8471119390633964E-2</v>
      </c>
      <c r="F13" s="1052">
        <f t="shared" ref="F13:S13" si="4">F11/F12</f>
        <v>1.8471119390633964E-2</v>
      </c>
      <c r="G13" s="1052"/>
      <c r="H13" s="1052">
        <f t="shared" si="4"/>
        <v>1.7005729999043231E-2</v>
      </c>
      <c r="I13" s="1052">
        <f t="shared" si="4"/>
        <v>1.7005729999043231E-2</v>
      </c>
      <c r="J13" s="1052"/>
      <c r="K13" s="1052">
        <f t="shared" si="4"/>
        <v>1.8786304507894952E-2</v>
      </c>
      <c r="L13" s="1052">
        <f t="shared" si="4"/>
        <v>1.8786304507894952E-2</v>
      </c>
      <c r="M13" s="1052"/>
      <c r="N13" s="1052">
        <f t="shared" si="4"/>
        <v>2.0584175688479832E-2</v>
      </c>
      <c r="O13" s="1052">
        <f t="shared" si="4"/>
        <v>2.0584175688479832E-2</v>
      </c>
      <c r="P13" s="1052"/>
      <c r="Q13" s="1052">
        <f t="shared" si="4"/>
        <v>2.2180472988285543E-2</v>
      </c>
      <c r="R13" s="1052"/>
      <c r="S13" s="1052">
        <f t="shared" si="4"/>
        <v>1.9018362636293487E-2</v>
      </c>
      <c r="T13" s="25"/>
    </row>
    <row r="14" spans="2:20" ht="28" x14ac:dyDescent="0.25">
      <c r="B14" s="239">
        <f t="shared" si="0"/>
        <v>4</v>
      </c>
      <c r="C14" s="240" t="s">
        <v>521</v>
      </c>
      <c r="D14" s="344"/>
      <c r="E14" s="1045">
        <v>0</v>
      </c>
      <c r="F14" s="1045">
        <f t="shared" si="1"/>
        <v>0</v>
      </c>
      <c r="G14" s="1045"/>
      <c r="H14" s="1045">
        <f>H52*90%</f>
        <v>6.4080000000000004</v>
      </c>
      <c r="I14" s="1045">
        <f t="shared" si="2"/>
        <v>6.4080000000000004</v>
      </c>
      <c r="J14" s="395"/>
      <c r="K14" s="1045">
        <f>K52*90%</f>
        <v>6.66</v>
      </c>
      <c r="L14" s="1060">
        <f t="shared" si="3"/>
        <v>6.66</v>
      </c>
      <c r="M14" s="395"/>
      <c r="N14" s="1045">
        <f>N52*90%</f>
        <v>6.8327972967464996</v>
      </c>
      <c r="O14" s="347">
        <f>N14-M14</f>
        <v>6.8327972967464996</v>
      </c>
      <c r="P14" s="347"/>
      <c r="Q14" s="1045">
        <f>Q52*90%</f>
        <v>7.1111870934929993</v>
      </c>
      <c r="R14" s="390"/>
      <c r="S14" s="1045">
        <f>S52*90%</f>
        <v>9.2283160402395001</v>
      </c>
      <c r="T14" s="25"/>
    </row>
    <row r="15" spans="2:20" ht="28" x14ac:dyDescent="0.25">
      <c r="B15" s="239">
        <f t="shared" si="0"/>
        <v>5</v>
      </c>
      <c r="C15" s="240" t="s">
        <v>522</v>
      </c>
      <c r="D15" s="344"/>
      <c r="E15" s="1067">
        <v>0</v>
      </c>
      <c r="F15" s="1045">
        <f t="shared" si="1"/>
        <v>0</v>
      </c>
      <c r="G15" s="1045"/>
      <c r="H15" s="1045">
        <v>0</v>
      </c>
      <c r="I15" s="1045">
        <f t="shared" si="2"/>
        <v>0</v>
      </c>
      <c r="J15" s="395"/>
      <c r="K15" s="1045">
        <v>0</v>
      </c>
      <c r="L15" s="1060">
        <f t="shared" si="3"/>
        <v>0</v>
      </c>
      <c r="M15" s="395"/>
      <c r="N15" s="1045">
        <v>0</v>
      </c>
      <c r="O15" s="347">
        <f>N15-M15</f>
        <v>0</v>
      </c>
      <c r="P15" s="347"/>
      <c r="Q15" s="1045">
        <v>0</v>
      </c>
      <c r="R15" s="390"/>
      <c r="S15" s="1045">
        <v>0</v>
      </c>
      <c r="T15" s="25"/>
    </row>
    <row r="16" spans="2:20" x14ac:dyDescent="0.25">
      <c r="B16" s="239">
        <f t="shared" si="0"/>
        <v>6</v>
      </c>
      <c r="C16" s="240" t="s">
        <v>523</v>
      </c>
      <c r="D16" s="344"/>
      <c r="E16" s="1045">
        <f>E11+E14-E15</f>
        <v>43.191000000000003</v>
      </c>
      <c r="F16" s="1045">
        <f t="shared" si="1"/>
        <v>43.191000000000003</v>
      </c>
      <c r="G16" s="1045"/>
      <c r="H16" s="1045">
        <f>H11+H14-H15</f>
        <v>49.599000000000004</v>
      </c>
      <c r="I16" s="1045">
        <f t="shared" si="2"/>
        <v>49.599000000000004</v>
      </c>
      <c r="J16" s="395"/>
      <c r="K16" s="1045">
        <f>K11+K14-K15</f>
        <v>56.259</v>
      </c>
      <c r="L16" s="1060">
        <f t="shared" si="3"/>
        <v>56.259</v>
      </c>
      <c r="M16" s="395"/>
      <c r="N16" s="1045">
        <f>N11+N14-N15</f>
        <v>63.091797296746499</v>
      </c>
      <c r="O16" s="347">
        <f>N16-M16</f>
        <v>63.091797296746499</v>
      </c>
      <c r="P16" s="1060"/>
      <c r="Q16" s="1045">
        <f>Q11+Q14-Q15</f>
        <v>70.202984390239493</v>
      </c>
      <c r="R16" s="390"/>
      <c r="S16" s="1045">
        <f>S11+S14-S15</f>
        <v>79.431300430479013</v>
      </c>
      <c r="T16" s="25"/>
    </row>
    <row r="17" spans="2:20" ht="28" x14ac:dyDescent="0.25">
      <c r="B17" s="239">
        <f t="shared" si="0"/>
        <v>7</v>
      </c>
      <c r="C17" s="240" t="s">
        <v>524</v>
      </c>
      <c r="D17" s="344"/>
      <c r="E17" s="1052">
        <f>E16/E12</f>
        <v>1.8471119390633964E-2</v>
      </c>
      <c r="F17" s="1052">
        <f t="shared" si="1"/>
        <v>1.8471119390633964E-2</v>
      </c>
      <c r="G17" s="1052"/>
      <c r="H17" s="1052">
        <f>H16/H12</f>
        <v>1.9528772249370129E-2</v>
      </c>
      <c r="I17" s="1052">
        <f t="shared" si="2"/>
        <v>1.9528772249370129E-2</v>
      </c>
      <c r="J17" s="555"/>
      <c r="K17" s="1052">
        <f>K16/K12</f>
        <v>2.1308871253647495E-2</v>
      </c>
      <c r="L17" s="555">
        <f t="shared" si="3"/>
        <v>2.1308871253647495E-2</v>
      </c>
      <c r="M17" s="555"/>
      <c r="N17" s="1052">
        <f>N16/N12</f>
        <v>2.3084175688479831E-2</v>
      </c>
      <c r="O17" s="555">
        <f>N17-M17</f>
        <v>2.3084175688479831E-2</v>
      </c>
      <c r="P17" s="555"/>
      <c r="Q17" s="1052">
        <f>Q16/Q12</f>
        <v>2.4680472988285542E-2</v>
      </c>
      <c r="R17" s="555"/>
      <c r="S17" s="1052">
        <f>S16/S12</f>
        <v>2.1518362636293486E-2</v>
      </c>
      <c r="T17" s="25"/>
    </row>
    <row r="18" spans="2:20" x14ac:dyDescent="0.3">
      <c r="B18" s="239"/>
      <c r="C18" s="341" t="s">
        <v>145</v>
      </c>
      <c r="D18" s="458">
        <f>6.5*90%</f>
        <v>5.8500000000000005</v>
      </c>
      <c r="E18" s="344">
        <v>0</v>
      </c>
      <c r="F18" s="344"/>
      <c r="G18" s="458">
        <f>6.85*90%</f>
        <v>6.165</v>
      </c>
      <c r="H18" s="458">
        <f>H14</f>
        <v>6.4080000000000004</v>
      </c>
      <c r="I18" s="344"/>
      <c r="J18" s="379">
        <f>6.94*90%</f>
        <v>6.2460000000000004</v>
      </c>
      <c r="K18" s="458">
        <f>K14</f>
        <v>6.66</v>
      </c>
      <c r="L18" s="740"/>
      <c r="M18" s="379">
        <f>7.02*90%</f>
        <v>6.3179999999999996</v>
      </c>
      <c r="N18" s="458">
        <f>N14</f>
        <v>6.8327972967464996</v>
      </c>
      <c r="O18" s="740"/>
      <c r="P18" s="741">
        <f>7.1*90%</f>
        <v>6.39</v>
      </c>
      <c r="Q18" s="458">
        <f>Q14</f>
        <v>7.1111870934929993</v>
      </c>
      <c r="R18" s="742">
        <f>7.18*90%</f>
        <v>6.4619999999999997</v>
      </c>
      <c r="S18" s="458">
        <f>S14</f>
        <v>9.2283160402395001</v>
      </c>
      <c r="T18" s="25"/>
    </row>
    <row r="19" spans="2:20" x14ac:dyDescent="0.3">
      <c r="B19" s="1053"/>
      <c r="C19" s="1054"/>
      <c r="D19" s="1054"/>
      <c r="E19" s="1054"/>
      <c r="F19" s="1054"/>
      <c r="G19" s="1054"/>
      <c r="H19" s="1054"/>
      <c r="I19" s="1054"/>
      <c r="J19" s="754"/>
      <c r="K19" s="754"/>
      <c r="L19" s="754"/>
      <c r="M19" s="754"/>
      <c r="N19" s="754"/>
      <c r="O19" s="754"/>
      <c r="P19" s="754"/>
      <c r="Q19" s="754"/>
      <c r="R19" s="754"/>
      <c r="S19" s="754"/>
    </row>
    <row r="20" spans="2:20" x14ac:dyDescent="0.3">
      <c r="B20" s="34" t="s">
        <v>874</v>
      </c>
      <c r="C20" s="1054"/>
      <c r="D20" s="1054"/>
      <c r="E20" s="1054"/>
      <c r="F20" s="1054"/>
      <c r="G20" s="1054"/>
      <c r="H20" s="1054"/>
      <c r="I20" s="1054"/>
      <c r="J20" s="754"/>
      <c r="K20" s="754"/>
      <c r="L20" s="754"/>
      <c r="M20" s="754"/>
      <c r="N20" s="754"/>
      <c r="O20" s="754"/>
      <c r="P20" s="754"/>
      <c r="Q20" s="754"/>
      <c r="R20" s="754"/>
      <c r="S20" s="754"/>
    </row>
    <row r="21" spans="2:20" x14ac:dyDescent="0.25">
      <c r="B21" s="147">
        <v>2</v>
      </c>
      <c r="C21" s="2401" t="s">
        <v>525</v>
      </c>
      <c r="D21" s="2401"/>
      <c r="E21" s="2401"/>
      <c r="F21" s="2401"/>
      <c r="G21" s="2401"/>
      <c r="H21" s="2401"/>
      <c r="I21" s="2401"/>
      <c r="J21" s="2401"/>
      <c r="K21" s="2401"/>
      <c r="L21" s="2401"/>
      <c r="M21" s="2401"/>
    </row>
    <row r="24" spans="2:20" x14ac:dyDescent="0.25">
      <c r="C24" s="120" t="s">
        <v>284</v>
      </c>
      <c r="D24" s="120"/>
      <c r="E24" s="120"/>
      <c r="F24" s="120"/>
      <c r="G24" s="120"/>
      <c r="H24" s="120"/>
      <c r="I24" s="120"/>
    </row>
    <row r="26" spans="2:20" x14ac:dyDescent="0.25">
      <c r="S26" s="22" t="s">
        <v>16</v>
      </c>
    </row>
    <row r="27" spans="2:20" ht="15" customHeight="1" x14ac:dyDescent="0.25">
      <c r="B27" s="2177" t="s">
        <v>187</v>
      </c>
      <c r="C27" s="2180" t="s">
        <v>50</v>
      </c>
      <c r="D27" s="2172" t="s">
        <v>804</v>
      </c>
      <c r="E27" s="2176"/>
      <c r="F27" s="2173"/>
      <c r="G27" s="2172" t="s">
        <v>186</v>
      </c>
      <c r="H27" s="2176"/>
      <c r="I27" s="2173"/>
      <c r="J27" s="2172" t="s">
        <v>426</v>
      </c>
      <c r="K27" s="2176"/>
      <c r="L27" s="2173"/>
      <c r="M27" s="2172" t="s">
        <v>427</v>
      </c>
      <c r="N27" s="2176"/>
      <c r="O27" s="2173"/>
      <c r="P27" s="2172" t="s">
        <v>428</v>
      </c>
      <c r="Q27" s="2173"/>
      <c r="R27" s="2172" t="s">
        <v>429</v>
      </c>
      <c r="S27" s="2173"/>
      <c r="T27" s="2174" t="s">
        <v>39</v>
      </c>
    </row>
    <row r="28" spans="2:20" ht="28" x14ac:dyDescent="0.25">
      <c r="B28" s="2178"/>
      <c r="C28" s="2180"/>
      <c r="D28" s="318" t="s">
        <v>404</v>
      </c>
      <c r="E28" s="1044" t="s">
        <v>405</v>
      </c>
      <c r="F28" s="1044" t="s">
        <v>406</v>
      </c>
      <c r="G28" s="318" t="s">
        <v>404</v>
      </c>
      <c r="H28" s="1044" t="s">
        <v>405</v>
      </c>
      <c r="I28" s="1044" t="s">
        <v>406</v>
      </c>
      <c r="J28" s="318" t="s">
        <v>404</v>
      </c>
      <c r="K28" s="1044" t="s">
        <v>405</v>
      </c>
      <c r="L28" s="1044" t="s">
        <v>406</v>
      </c>
      <c r="M28" s="1044" t="s">
        <v>404</v>
      </c>
      <c r="N28" s="1044" t="s">
        <v>72</v>
      </c>
      <c r="O28" s="1044" t="s">
        <v>409</v>
      </c>
      <c r="P28" s="1044" t="s">
        <v>404</v>
      </c>
      <c r="Q28" s="1044" t="s">
        <v>805</v>
      </c>
      <c r="R28" s="1044" t="s">
        <v>404</v>
      </c>
      <c r="S28" s="1044" t="s">
        <v>805</v>
      </c>
      <c r="T28" s="2174"/>
    </row>
    <row r="29" spans="2:20" x14ac:dyDescent="0.25">
      <c r="B29" s="2281"/>
      <c r="C29" s="2284"/>
      <c r="D29" s="1044" t="s">
        <v>73</v>
      </c>
      <c r="E29" s="1044" t="s">
        <v>74</v>
      </c>
      <c r="F29" s="1044" t="s">
        <v>806</v>
      </c>
      <c r="G29" s="1044" t="s">
        <v>411</v>
      </c>
      <c r="H29" s="1044" t="s">
        <v>412</v>
      </c>
      <c r="I29" s="1044" t="s">
        <v>439</v>
      </c>
      <c r="J29" s="1044" t="s">
        <v>668</v>
      </c>
      <c r="K29" s="1044" t="s">
        <v>582</v>
      </c>
      <c r="L29" s="1044" t="s">
        <v>675</v>
      </c>
      <c r="M29" s="1044" t="s">
        <v>782</v>
      </c>
      <c r="N29" s="1044" t="s">
        <v>807</v>
      </c>
      <c r="O29" s="1044" t="s">
        <v>808</v>
      </c>
      <c r="P29" s="1044" t="s">
        <v>784</v>
      </c>
      <c r="Q29" s="1044" t="s">
        <v>762</v>
      </c>
      <c r="R29" s="1044" t="s">
        <v>763</v>
      </c>
      <c r="S29" s="1044" t="s">
        <v>764</v>
      </c>
      <c r="T29" s="2175"/>
    </row>
    <row r="30" spans="2:20" x14ac:dyDescent="0.25">
      <c r="B30" s="239">
        <v>1</v>
      </c>
      <c r="C30" s="240" t="s">
        <v>518</v>
      </c>
      <c r="D30" s="1045"/>
      <c r="E30" s="1045">
        <f>E49*10%</f>
        <v>4.7990000000000004</v>
      </c>
      <c r="F30" s="1045">
        <f>E30-D30</f>
        <v>4.7990000000000004</v>
      </c>
      <c r="G30" s="1045"/>
      <c r="H30" s="1045">
        <f>H49*10%</f>
        <v>4.7990000000000004</v>
      </c>
      <c r="I30" s="1045">
        <f>H30-G30</f>
        <v>4.7990000000000004</v>
      </c>
      <c r="J30" s="395"/>
      <c r="K30" s="1045">
        <f>K49*10%</f>
        <v>5.5110000000000001</v>
      </c>
      <c r="L30" s="1060">
        <f>K30-J30</f>
        <v>5.5110000000000001</v>
      </c>
      <c r="M30" s="395"/>
      <c r="N30" s="1045">
        <f>N49*10%</f>
        <v>6.2510000000000003</v>
      </c>
      <c r="O30" s="347"/>
      <c r="P30" s="347"/>
      <c r="Q30" s="1045">
        <f>Q49*10%</f>
        <v>7.0101996996385001</v>
      </c>
      <c r="R30" s="390"/>
      <c r="S30" s="1045">
        <f>S49*10%</f>
        <v>7.8003315989155002</v>
      </c>
      <c r="T30" s="25"/>
    </row>
    <row r="31" spans="2:20" x14ac:dyDescent="0.25">
      <c r="B31" s="239">
        <f t="shared" ref="B31:B36" si="5">B30+1</f>
        <v>2</v>
      </c>
      <c r="C31" s="240" t="s">
        <v>519</v>
      </c>
      <c r="D31" s="1045"/>
      <c r="E31" s="344">
        <f>'F 5.3'!$J$9*10%</f>
        <v>259.81099999999998</v>
      </c>
      <c r="F31" s="1045">
        <f>E31-D31</f>
        <v>259.81099999999998</v>
      </c>
      <c r="G31" s="1045"/>
      <c r="H31" s="344">
        <f>'F 5.3'!$K$9*10%</f>
        <v>282.19900000000001</v>
      </c>
      <c r="I31" s="1045">
        <f>H31-G31</f>
        <v>282.19900000000001</v>
      </c>
      <c r="J31" s="395"/>
      <c r="K31" s="344">
        <f>'F 5.3'!$L$9*10%</f>
        <v>293.35200000000003</v>
      </c>
      <c r="L31" s="1060">
        <f>K31-J31</f>
        <v>293.35200000000003</v>
      </c>
      <c r="M31" s="395"/>
      <c r="N31" s="344">
        <f>'F 5.3'!$M$9*10%</f>
        <v>303.67987985539997</v>
      </c>
      <c r="O31" s="347"/>
      <c r="P31" s="347"/>
      <c r="Q31" s="344">
        <f>'F 5.3'!$N$9*10%</f>
        <v>316.05275971079999</v>
      </c>
      <c r="R31" s="390"/>
      <c r="S31" s="344">
        <f>'F 5.3'!$O$9*10%</f>
        <v>410.14737956620002</v>
      </c>
      <c r="T31" s="25"/>
    </row>
    <row r="32" spans="2:20" ht="28" x14ac:dyDescent="0.25">
      <c r="B32" s="239">
        <f t="shared" si="5"/>
        <v>3</v>
      </c>
      <c r="C32" s="240" t="s">
        <v>520</v>
      </c>
      <c r="D32" s="1045"/>
      <c r="E32" s="1052">
        <f>E30/E31</f>
        <v>1.8471119390633964E-2</v>
      </c>
      <c r="F32" s="1052">
        <f t="shared" ref="F32:S32" si="6">F30/F31</f>
        <v>1.8471119390633964E-2</v>
      </c>
      <c r="G32" s="1052"/>
      <c r="H32" s="1052">
        <f t="shared" si="6"/>
        <v>1.7005729999043227E-2</v>
      </c>
      <c r="I32" s="1052">
        <f t="shared" si="6"/>
        <v>1.7005729999043227E-2</v>
      </c>
      <c r="J32" s="1052"/>
      <c r="K32" s="1052">
        <f t="shared" si="6"/>
        <v>1.8786304507894952E-2</v>
      </c>
      <c r="L32" s="1052">
        <f t="shared" si="6"/>
        <v>1.8786304507894952E-2</v>
      </c>
      <c r="M32" s="1052"/>
      <c r="N32" s="1052">
        <f t="shared" si="6"/>
        <v>2.0584175688479832E-2</v>
      </c>
      <c r="O32" s="1052"/>
      <c r="P32" s="1052"/>
      <c r="Q32" s="1052">
        <f t="shared" si="6"/>
        <v>2.2180472988285543E-2</v>
      </c>
      <c r="R32" s="1052"/>
      <c r="S32" s="1052">
        <f t="shared" si="6"/>
        <v>1.9018362636293484E-2</v>
      </c>
      <c r="T32" s="25"/>
    </row>
    <row r="33" spans="2:21" ht="28" x14ac:dyDescent="0.25">
      <c r="B33" s="239">
        <f t="shared" si="5"/>
        <v>4</v>
      </c>
      <c r="C33" s="240" t="s">
        <v>521</v>
      </c>
      <c r="D33" s="1045"/>
      <c r="E33" s="1045">
        <v>0</v>
      </c>
      <c r="F33" s="1045">
        <f>E33-D33</f>
        <v>0</v>
      </c>
      <c r="G33" s="1045"/>
      <c r="H33" s="1045">
        <f>H52*10%</f>
        <v>0.71200000000000008</v>
      </c>
      <c r="I33" s="1045">
        <f>H33-G33</f>
        <v>0.71200000000000008</v>
      </c>
      <c r="J33" s="395"/>
      <c r="K33" s="1045">
        <f>K52*10%</f>
        <v>0.7400000000000001</v>
      </c>
      <c r="L33" s="1060">
        <f>K33-J33</f>
        <v>0.7400000000000001</v>
      </c>
      <c r="M33" s="395"/>
      <c r="N33" s="1045">
        <f>N52*10%</f>
        <v>0.75919969963849998</v>
      </c>
      <c r="O33" s="347"/>
      <c r="P33" s="347"/>
      <c r="Q33" s="1045">
        <f>Q52*10%</f>
        <v>0.790131899277</v>
      </c>
      <c r="R33" s="390"/>
      <c r="S33" s="1045">
        <f>S52*10%</f>
        <v>1.0253684489155002</v>
      </c>
      <c r="T33" s="25"/>
    </row>
    <row r="34" spans="2:21" ht="28" x14ac:dyDescent="0.25">
      <c r="B34" s="239">
        <f t="shared" si="5"/>
        <v>5</v>
      </c>
      <c r="C34" s="240" t="s">
        <v>522</v>
      </c>
      <c r="D34" s="1045"/>
      <c r="E34" s="1045">
        <v>0</v>
      </c>
      <c r="F34" s="1045">
        <f>E34-D34</f>
        <v>0</v>
      </c>
      <c r="G34" s="1045"/>
      <c r="H34" s="1045"/>
      <c r="I34" s="1045">
        <f>H34-G34</f>
        <v>0</v>
      </c>
      <c r="J34" s="395"/>
      <c r="K34" s="1045"/>
      <c r="L34" s="1060">
        <f>K34-J34</f>
        <v>0</v>
      </c>
      <c r="M34" s="395"/>
      <c r="N34" s="1045"/>
      <c r="O34" s="347"/>
      <c r="P34" s="347"/>
      <c r="Q34" s="1045"/>
      <c r="R34" s="390"/>
      <c r="S34" s="1045"/>
      <c r="T34" s="25"/>
    </row>
    <row r="35" spans="2:21" x14ac:dyDescent="0.25">
      <c r="B35" s="239">
        <f t="shared" si="5"/>
        <v>6</v>
      </c>
      <c r="C35" s="240" t="s">
        <v>523</v>
      </c>
      <c r="D35" s="1045"/>
      <c r="E35" s="1045">
        <f>E30+E33-E34</f>
        <v>4.7990000000000004</v>
      </c>
      <c r="F35" s="1045">
        <f>E35-D35</f>
        <v>4.7990000000000004</v>
      </c>
      <c r="G35" s="1045"/>
      <c r="H35" s="1045">
        <f>H30+H33-H34</f>
        <v>5.5110000000000001</v>
      </c>
      <c r="I35" s="1045">
        <f>H35-G35</f>
        <v>5.5110000000000001</v>
      </c>
      <c r="J35" s="395"/>
      <c r="K35" s="1045">
        <f>K30+K33-K34</f>
        <v>6.2510000000000003</v>
      </c>
      <c r="L35" s="1060">
        <f>K35-J35</f>
        <v>6.2510000000000003</v>
      </c>
      <c r="M35" s="395"/>
      <c r="N35" s="1045">
        <f>N30+N33-N34</f>
        <v>7.0101996996385001</v>
      </c>
      <c r="O35" s="1060"/>
      <c r="P35" s="1060"/>
      <c r="Q35" s="1045">
        <f>Q30+Q33-Q34</f>
        <v>7.8003315989155002</v>
      </c>
      <c r="R35" s="390"/>
      <c r="S35" s="1045">
        <f>S30+S33-S34</f>
        <v>8.8257000478310008</v>
      </c>
      <c r="T35" s="25"/>
    </row>
    <row r="36" spans="2:21" ht="28" x14ac:dyDescent="0.25">
      <c r="B36" s="239">
        <f t="shared" si="5"/>
        <v>7</v>
      </c>
      <c r="C36" s="240" t="s">
        <v>524</v>
      </c>
      <c r="D36" s="1045"/>
      <c r="E36" s="1052">
        <f>E35/E31</f>
        <v>1.8471119390633964E-2</v>
      </c>
      <c r="F36" s="1052"/>
      <c r="G36" s="1052"/>
      <c r="H36" s="1052">
        <f>H35/H31</f>
        <v>1.9528772249370125E-2</v>
      </c>
      <c r="I36" s="1052"/>
      <c r="J36" s="555"/>
      <c r="K36" s="1052">
        <f>K35/K31</f>
        <v>2.1308871253647495E-2</v>
      </c>
      <c r="L36" s="555"/>
      <c r="M36" s="555"/>
      <c r="N36" s="1052">
        <f>N35/N31</f>
        <v>2.3084175688479831E-2</v>
      </c>
      <c r="O36" s="555"/>
      <c r="P36" s="555"/>
      <c r="Q36" s="1052">
        <f>Q35/Q31</f>
        <v>2.4680472988285542E-2</v>
      </c>
      <c r="R36" s="555"/>
      <c r="S36" s="1052">
        <f>S35/S31</f>
        <v>2.1518362636293486E-2</v>
      </c>
      <c r="T36" s="25"/>
    </row>
    <row r="37" spans="2:21" x14ac:dyDescent="0.3">
      <c r="B37" s="971"/>
      <c r="C37" s="1055" t="s">
        <v>145</v>
      </c>
      <c r="D37" s="362">
        <f>6.5*10%</f>
        <v>0.65</v>
      </c>
      <c r="E37" s="1045"/>
      <c r="F37" s="1045">
        <f>E37-D37</f>
        <v>-0.65</v>
      </c>
      <c r="G37" s="362">
        <f>6.845*10%</f>
        <v>0.6845</v>
      </c>
      <c r="H37" s="362">
        <f>H33</f>
        <v>0.71200000000000008</v>
      </c>
      <c r="I37" s="1045"/>
      <c r="J37" s="397">
        <f>6.94*10%</f>
        <v>0.69400000000000006</v>
      </c>
      <c r="K37" s="362">
        <f>K33</f>
        <v>0.7400000000000001</v>
      </c>
      <c r="L37" s="1060"/>
      <c r="M37" s="397">
        <f>7.02*10%</f>
        <v>0.70199999999999996</v>
      </c>
      <c r="N37" s="362">
        <f>N33</f>
        <v>0.75919969963849998</v>
      </c>
      <c r="O37" s="1060"/>
      <c r="P37" s="1061">
        <f>7.1*10%</f>
        <v>0.71</v>
      </c>
      <c r="Q37" s="362">
        <f>Q33</f>
        <v>0.790131899277</v>
      </c>
      <c r="R37" s="364">
        <f>7.18*10%</f>
        <v>0.71799999999999997</v>
      </c>
      <c r="S37" s="362">
        <f>S33</f>
        <v>1.0253684489155002</v>
      </c>
      <c r="T37" s="25"/>
    </row>
    <row r="38" spans="2:21" x14ac:dyDescent="0.3">
      <c r="B38" s="34" t="s">
        <v>874</v>
      </c>
      <c r="C38" s="1054"/>
      <c r="D38" s="1054"/>
      <c r="E38" s="1054"/>
      <c r="F38" s="1054"/>
      <c r="G38" s="1054"/>
      <c r="H38" s="1054"/>
      <c r="I38" s="1054"/>
      <c r="J38" s="754"/>
      <c r="K38" s="754"/>
      <c r="L38" s="754"/>
      <c r="M38" s="754"/>
      <c r="N38" s="754"/>
      <c r="O38" s="754"/>
      <c r="P38" s="754"/>
      <c r="Q38" s="754"/>
      <c r="R38" s="754"/>
      <c r="S38" s="754"/>
    </row>
    <row r="39" spans="2:21" x14ac:dyDescent="0.25">
      <c r="B39" s="147">
        <v>2</v>
      </c>
      <c r="C39" s="2401" t="s">
        <v>525</v>
      </c>
      <c r="D39" s="2401"/>
      <c r="E39" s="2401"/>
      <c r="F39" s="2401"/>
      <c r="G39" s="2401"/>
      <c r="H39" s="2401"/>
      <c r="I39" s="2401"/>
      <c r="J39" s="2401"/>
      <c r="K39" s="2401"/>
      <c r="L39" s="2401"/>
      <c r="M39" s="2401"/>
    </row>
    <row r="40" spans="2:21" x14ac:dyDescent="0.25">
      <c r="B40" s="147">
        <v>3</v>
      </c>
      <c r="C40" s="2401" t="s">
        <v>687</v>
      </c>
      <c r="D40" s="2401"/>
      <c r="E40" s="2401"/>
      <c r="F40" s="2401"/>
      <c r="G40" s="2401"/>
      <c r="H40" s="2401"/>
      <c r="I40" s="2401"/>
      <c r="J40" s="2401"/>
      <c r="K40" s="2401"/>
      <c r="L40" s="2401"/>
      <c r="M40" s="2401"/>
    </row>
    <row r="41" spans="2:21" x14ac:dyDescent="0.25">
      <c r="B41" s="147">
        <v>4</v>
      </c>
      <c r="C41" s="2401" t="s">
        <v>688</v>
      </c>
      <c r="D41" s="2401"/>
      <c r="E41" s="2401"/>
      <c r="F41" s="2401"/>
      <c r="G41" s="2401"/>
      <c r="H41" s="2401"/>
      <c r="I41" s="2401"/>
      <c r="J41" s="2401"/>
      <c r="K41" s="2401"/>
      <c r="L41" s="2401"/>
      <c r="M41" s="2401"/>
    </row>
    <row r="44" spans="2:21" x14ac:dyDescent="0.25">
      <c r="C44" s="155" t="s">
        <v>1240</v>
      </c>
    </row>
    <row r="46" spans="2:21" x14ac:dyDescent="0.3">
      <c r="B46" s="2177" t="s">
        <v>187</v>
      </c>
      <c r="C46" s="2180" t="s">
        <v>50</v>
      </c>
      <c r="D46" s="2172" t="s">
        <v>804</v>
      </c>
      <c r="E46" s="2176"/>
      <c r="F46" s="2173"/>
      <c r="G46" s="2172" t="s">
        <v>186</v>
      </c>
      <c r="H46" s="2176"/>
      <c r="I46" s="2173"/>
      <c r="J46" s="2172" t="s">
        <v>426</v>
      </c>
      <c r="K46" s="2176"/>
      <c r="L46" s="2173"/>
      <c r="M46" s="2172" t="s">
        <v>427</v>
      </c>
      <c r="N46" s="2176"/>
      <c r="O46" s="2173"/>
      <c r="P46" s="2172" t="s">
        <v>428</v>
      </c>
      <c r="Q46" s="2173"/>
      <c r="R46" s="2172" t="s">
        <v>429</v>
      </c>
      <c r="S46" s="2173"/>
      <c r="T46" s="2174" t="s">
        <v>39</v>
      </c>
      <c r="U46" s="119"/>
    </row>
    <row r="47" spans="2:21" ht="28" x14ac:dyDescent="0.25">
      <c r="B47" s="2178"/>
      <c r="C47" s="2180"/>
      <c r="D47" s="318" t="s">
        <v>404</v>
      </c>
      <c r="E47" s="1044" t="s">
        <v>405</v>
      </c>
      <c r="F47" s="1044" t="s">
        <v>406</v>
      </c>
      <c r="G47" s="318" t="s">
        <v>404</v>
      </c>
      <c r="H47" s="1044" t="s">
        <v>405</v>
      </c>
      <c r="I47" s="1044" t="s">
        <v>406</v>
      </c>
      <c r="J47" s="318" t="s">
        <v>404</v>
      </c>
      <c r="K47" s="1044" t="s">
        <v>405</v>
      </c>
      <c r="L47" s="1044" t="s">
        <v>406</v>
      </c>
      <c r="M47" s="1044" t="s">
        <v>404</v>
      </c>
      <c r="N47" s="1044" t="s">
        <v>72</v>
      </c>
      <c r="O47" s="1044" t="s">
        <v>409</v>
      </c>
      <c r="P47" s="1044" t="s">
        <v>404</v>
      </c>
      <c r="Q47" s="1044" t="s">
        <v>805</v>
      </c>
      <c r="R47" s="1044" t="s">
        <v>404</v>
      </c>
      <c r="S47" s="1044" t="s">
        <v>805</v>
      </c>
      <c r="T47" s="2174"/>
    </row>
    <row r="48" spans="2:21" x14ac:dyDescent="0.25">
      <c r="B48" s="2281"/>
      <c r="C48" s="2284"/>
      <c r="D48" s="1044" t="s">
        <v>73</v>
      </c>
      <c r="E48" s="1044" t="s">
        <v>74</v>
      </c>
      <c r="F48" s="1044" t="s">
        <v>806</v>
      </c>
      <c r="G48" s="1044" t="s">
        <v>411</v>
      </c>
      <c r="H48" s="1044" t="s">
        <v>412</v>
      </c>
      <c r="I48" s="1044" t="s">
        <v>439</v>
      </c>
      <c r="J48" s="1044" t="s">
        <v>668</v>
      </c>
      <c r="K48" s="1044" t="s">
        <v>582</v>
      </c>
      <c r="L48" s="1044" t="s">
        <v>675</v>
      </c>
      <c r="M48" s="1044" t="s">
        <v>782</v>
      </c>
      <c r="N48" s="1044" t="s">
        <v>807</v>
      </c>
      <c r="O48" s="1044" t="s">
        <v>808</v>
      </c>
      <c r="P48" s="1044" t="s">
        <v>784</v>
      </c>
      <c r="Q48" s="1044" t="s">
        <v>762</v>
      </c>
      <c r="R48" s="1044" t="s">
        <v>763</v>
      </c>
      <c r="S48" s="1044" t="s">
        <v>764</v>
      </c>
      <c r="T48" s="2175"/>
    </row>
    <row r="49" spans="2:20" x14ac:dyDescent="0.25">
      <c r="B49" s="239">
        <v>1</v>
      </c>
      <c r="C49" s="240" t="s">
        <v>518</v>
      </c>
      <c r="D49" s="739">
        <f>D11+D30</f>
        <v>0</v>
      </c>
      <c r="E49" s="739">
        <v>47.99</v>
      </c>
      <c r="F49" s="344">
        <f>E49-D49</f>
        <v>47.99</v>
      </c>
      <c r="G49" s="739">
        <f>G11+G30</f>
        <v>0</v>
      </c>
      <c r="H49" s="739">
        <f>E54</f>
        <v>47.99</v>
      </c>
      <c r="I49" s="344">
        <f>H49-G49</f>
        <v>47.99</v>
      </c>
      <c r="J49" s="739">
        <f>J11+J30</f>
        <v>0</v>
      </c>
      <c r="K49" s="739">
        <f>H54</f>
        <v>55.11</v>
      </c>
      <c r="L49" s="344">
        <f>K49-J49</f>
        <v>55.11</v>
      </c>
      <c r="M49" s="739">
        <f>M11+M30</f>
        <v>0</v>
      </c>
      <c r="N49" s="739">
        <f>K54</f>
        <v>62.51</v>
      </c>
      <c r="O49" s="344">
        <f>N49-M49</f>
        <v>62.51</v>
      </c>
      <c r="P49" s="739">
        <f>P11+P30</f>
        <v>0</v>
      </c>
      <c r="Q49" s="739">
        <f>N54</f>
        <v>70.101996996384997</v>
      </c>
      <c r="R49" s="739">
        <f>R11+R30</f>
        <v>0</v>
      </c>
      <c r="S49" s="739">
        <f>Q54</f>
        <v>78.003315989154999</v>
      </c>
      <c r="T49" s="25"/>
    </row>
    <row r="50" spans="2:20" x14ac:dyDescent="0.25">
      <c r="B50" s="239">
        <f t="shared" ref="B50:B55" si="7">B49+1</f>
        <v>2</v>
      </c>
      <c r="C50" s="240" t="s">
        <v>519</v>
      </c>
      <c r="D50" s="739">
        <f t="shared" ref="D50:S56" si="8">D12+D31</f>
        <v>0</v>
      </c>
      <c r="E50" s="739">
        <f t="shared" si="8"/>
        <v>2598.11</v>
      </c>
      <c r="F50" s="344">
        <f>E50-D50</f>
        <v>2598.11</v>
      </c>
      <c r="G50" s="739">
        <f t="shared" si="8"/>
        <v>0</v>
      </c>
      <c r="H50" s="739">
        <f t="shared" si="8"/>
        <v>2821.99</v>
      </c>
      <c r="I50" s="344">
        <f>H50-G50</f>
        <v>2821.99</v>
      </c>
      <c r="J50" s="739">
        <f t="shared" si="8"/>
        <v>0</v>
      </c>
      <c r="K50" s="739">
        <f t="shared" si="8"/>
        <v>2933.52</v>
      </c>
      <c r="L50" s="344">
        <f>K50-J50</f>
        <v>2933.52</v>
      </c>
      <c r="M50" s="739">
        <f t="shared" si="8"/>
        <v>0</v>
      </c>
      <c r="N50" s="739">
        <f t="shared" si="8"/>
        <v>3036.7987985539999</v>
      </c>
      <c r="O50" s="344">
        <f>N50-M50</f>
        <v>3036.7987985539999</v>
      </c>
      <c r="P50" s="739">
        <f t="shared" si="8"/>
        <v>0</v>
      </c>
      <c r="Q50" s="739">
        <f t="shared" si="8"/>
        <v>3160.5275971079996</v>
      </c>
      <c r="R50" s="739">
        <f t="shared" si="8"/>
        <v>0</v>
      </c>
      <c r="S50" s="739">
        <f t="shared" si="8"/>
        <v>4101.4737956620002</v>
      </c>
      <c r="T50" s="25"/>
    </row>
    <row r="51" spans="2:20" s="635" customFormat="1" ht="28" x14ac:dyDescent="0.25">
      <c r="B51" s="1059">
        <f t="shared" si="7"/>
        <v>3</v>
      </c>
      <c r="C51" s="1058" t="s">
        <v>520</v>
      </c>
      <c r="D51" s="1058">
        <f t="shared" si="8"/>
        <v>0</v>
      </c>
      <c r="E51" s="1058">
        <f>E49/E50</f>
        <v>1.847111939063396E-2</v>
      </c>
      <c r="F51" s="1058">
        <f>F49/F50</f>
        <v>1.847111939063396E-2</v>
      </c>
      <c r="G51" s="1058">
        <f t="shared" si="8"/>
        <v>0</v>
      </c>
      <c r="H51" s="1058">
        <f>H49/H50</f>
        <v>1.7005729999043231E-2</v>
      </c>
      <c r="I51" s="1058">
        <f>I49/I50</f>
        <v>1.7005729999043231E-2</v>
      </c>
      <c r="J51" s="1058">
        <f t="shared" si="8"/>
        <v>0</v>
      </c>
      <c r="K51" s="1058">
        <f>K49/K50</f>
        <v>1.8786304507894952E-2</v>
      </c>
      <c r="L51" s="1058">
        <f>L49/L50</f>
        <v>1.8786304507894952E-2</v>
      </c>
      <c r="M51" s="1058">
        <f t="shared" si="8"/>
        <v>0</v>
      </c>
      <c r="N51" s="1058">
        <f>N49/N50</f>
        <v>2.0584175688479828E-2</v>
      </c>
      <c r="O51" s="1058">
        <f>O49/O50</f>
        <v>2.0584175688479828E-2</v>
      </c>
      <c r="P51" s="1058">
        <f t="shared" si="8"/>
        <v>0</v>
      </c>
      <c r="Q51" s="1058">
        <f>Q49/Q50</f>
        <v>2.2180472988285543E-2</v>
      </c>
      <c r="R51" s="1058">
        <f t="shared" si="8"/>
        <v>0</v>
      </c>
      <c r="S51" s="1058">
        <f>S49/S50</f>
        <v>1.9018362636293484E-2</v>
      </c>
      <c r="T51" s="459"/>
    </row>
    <row r="52" spans="2:20" ht="28" x14ac:dyDescent="0.25">
      <c r="B52" s="239">
        <f t="shared" si="7"/>
        <v>4</v>
      </c>
      <c r="C52" s="240" t="s">
        <v>521</v>
      </c>
      <c r="D52" s="1057">
        <f t="shared" si="8"/>
        <v>0</v>
      </c>
      <c r="E52" s="1057">
        <f t="shared" si="8"/>
        <v>0</v>
      </c>
      <c r="F52" s="1057">
        <f>E52-D52</f>
        <v>0</v>
      </c>
      <c r="G52" s="1057">
        <f t="shared" si="8"/>
        <v>0</v>
      </c>
      <c r="H52" s="1057">
        <v>7.12</v>
      </c>
      <c r="I52" s="1057">
        <f>H52-G52</f>
        <v>7.12</v>
      </c>
      <c r="J52" s="1057">
        <f t="shared" si="8"/>
        <v>0</v>
      </c>
      <c r="K52" s="1057">
        <v>7.4</v>
      </c>
      <c r="L52" s="1057">
        <f>K52-J52</f>
        <v>7.4</v>
      </c>
      <c r="M52" s="1057">
        <f t="shared" si="8"/>
        <v>0</v>
      </c>
      <c r="N52" s="1057">
        <f>N50*0.25%</f>
        <v>7.5919969963849994</v>
      </c>
      <c r="O52" s="1057">
        <f>L52</f>
        <v>7.4</v>
      </c>
      <c r="P52" s="1057">
        <f t="shared" si="8"/>
        <v>0</v>
      </c>
      <c r="Q52" s="1057">
        <f>Q50*0.25%</f>
        <v>7.9013189927699994</v>
      </c>
      <c r="R52" s="1057">
        <f t="shared" si="8"/>
        <v>0</v>
      </c>
      <c r="S52" s="1057">
        <f>S50*0.25%</f>
        <v>10.253684489155001</v>
      </c>
      <c r="T52" s="25"/>
    </row>
    <row r="53" spans="2:20" ht="28" x14ac:dyDescent="0.25">
      <c r="B53" s="239">
        <f t="shared" si="7"/>
        <v>5</v>
      </c>
      <c r="C53" s="240" t="s">
        <v>522</v>
      </c>
      <c r="D53" s="1057">
        <f t="shared" si="8"/>
        <v>0</v>
      </c>
      <c r="E53" s="1057">
        <f t="shared" si="8"/>
        <v>0</v>
      </c>
      <c r="F53" s="1057">
        <f>E53-D53</f>
        <v>0</v>
      </c>
      <c r="G53" s="1057">
        <f t="shared" si="8"/>
        <v>0</v>
      </c>
      <c r="H53" s="1057">
        <f t="shared" si="8"/>
        <v>0</v>
      </c>
      <c r="I53" s="1057">
        <f>H53-G53</f>
        <v>0</v>
      </c>
      <c r="J53" s="1057">
        <f t="shared" si="8"/>
        <v>0</v>
      </c>
      <c r="K53" s="1057">
        <f t="shared" si="8"/>
        <v>0</v>
      </c>
      <c r="L53" s="1057">
        <f>K53-J53</f>
        <v>0</v>
      </c>
      <c r="M53" s="1057">
        <f t="shared" si="8"/>
        <v>0</v>
      </c>
      <c r="N53" s="1057">
        <f t="shared" si="8"/>
        <v>0</v>
      </c>
      <c r="O53" s="1057">
        <f>N53-M53</f>
        <v>0</v>
      </c>
      <c r="P53" s="1057">
        <f t="shared" si="8"/>
        <v>0</v>
      </c>
      <c r="Q53" s="1057">
        <f t="shared" si="8"/>
        <v>0</v>
      </c>
      <c r="R53" s="1057">
        <f t="shared" si="8"/>
        <v>0</v>
      </c>
      <c r="S53" s="1057">
        <f t="shared" si="8"/>
        <v>0</v>
      </c>
      <c r="T53" s="25"/>
    </row>
    <row r="54" spans="2:20" x14ac:dyDescent="0.25">
      <c r="B54" s="239">
        <f t="shared" si="7"/>
        <v>6</v>
      </c>
      <c r="C54" s="240" t="s">
        <v>523</v>
      </c>
      <c r="D54" s="344">
        <f t="shared" si="8"/>
        <v>0</v>
      </c>
      <c r="E54" s="344">
        <f>E49+E52-E53</f>
        <v>47.99</v>
      </c>
      <c r="F54" s="344">
        <f>E54-D54</f>
        <v>47.99</v>
      </c>
      <c r="G54" s="344">
        <f t="shared" si="8"/>
        <v>0</v>
      </c>
      <c r="H54" s="344">
        <f>H49+H52-H53</f>
        <v>55.11</v>
      </c>
      <c r="I54" s="344">
        <f>H54-G54</f>
        <v>55.11</v>
      </c>
      <c r="J54" s="344">
        <f t="shared" si="8"/>
        <v>0</v>
      </c>
      <c r="K54" s="344">
        <f>K49+K52-K53</f>
        <v>62.51</v>
      </c>
      <c r="L54" s="344">
        <f>K54-J54</f>
        <v>62.51</v>
      </c>
      <c r="M54" s="344">
        <f t="shared" si="8"/>
        <v>0</v>
      </c>
      <c r="N54" s="344">
        <f t="shared" si="8"/>
        <v>70.101996996384997</v>
      </c>
      <c r="O54" s="344">
        <f>N54-M54</f>
        <v>70.101996996384997</v>
      </c>
      <c r="P54" s="344">
        <f t="shared" si="8"/>
        <v>0</v>
      </c>
      <c r="Q54" s="344">
        <f t="shared" si="8"/>
        <v>78.003315989154999</v>
      </c>
      <c r="R54" s="344">
        <f t="shared" si="8"/>
        <v>0</v>
      </c>
      <c r="S54" s="344">
        <f t="shared" si="8"/>
        <v>88.257000478310019</v>
      </c>
      <c r="T54" s="25"/>
    </row>
    <row r="55" spans="2:20" ht="28" x14ac:dyDescent="0.25">
      <c r="B55" s="239">
        <f t="shared" si="7"/>
        <v>7</v>
      </c>
      <c r="C55" s="240" t="s">
        <v>524</v>
      </c>
      <c r="D55" s="739">
        <f t="shared" si="8"/>
        <v>0</v>
      </c>
      <c r="E55" s="1052">
        <f>E54/E50</f>
        <v>1.847111939063396E-2</v>
      </c>
      <c r="F55" s="1052"/>
      <c r="G55" s="1052">
        <f t="shared" si="8"/>
        <v>0</v>
      </c>
      <c r="H55" s="1052">
        <f>H54/H50</f>
        <v>1.9528772249370125E-2</v>
      </c>
      <c r="I55" s="1052"/>
      <c r="J55" s="555">
        <f t="shared" si="8"/>
        <v>0</v>
      </c>
      <c r="K55" s="1052">
        <f>K54/K50</f>
        <v>2.1308871253647495E-2</v>
      </c>
      <c r="L55" s="555"/>
      <c r="M55" s="555">
        <f t="shared" si="8"/>
        <v>0</v>
      </c>
      <c r="N55" s="1052">
        <f>N54/N50</f>
        <v>2.3084175688479831E-2</v>
      </c>
      <c r="O55" s="555"/>
      <c r="P55" s="555">
        <f t="shared" si="8"/>
        <v>0</v>
      </c>
      <c r="Q55" s="1052">
        <f>Q54/Q50</f>
        <v>2.4680472988285542E-2</v>
      </c>
      <c r="R55" s="555">
        <f t="shared" si="8"/>
        <v>0</v>
      </c>
      <c r="S55" s="1052">
        <f>S54/S50</f>
        <v>2.1518362636293489E-2</v>
      </c>
      <c r="T55" s="25"/>
    </row>
    <row r="56" spans="2:20" x14ac:dyDescent="0.3">
      <c r="B56" s="239"/>
      <c r="C56" s="341" t="s">
        <v>145</v>
      </c>
      <c r="D56" s="739">
        <f t="shared" si="8"/>
        <v>6.5000000000000009</v>
      </c>
      <c r="E56" s="739">
        <f t="shared" si="8"/>
        <v>0</v>
      </c>
      <c r="F56" s="638"/>
      <c r="G56" s="739">
        <f t="shared" si="8"/>
        <v>6.8494999999999999</v>
      </c>
      <c r="H56" s="1051">
        <f t="shared" si="8"/>
        <v>7.12</v>
      </c>
      <c r="I56" s="638"/>
      <c r="J56" s="739">
        <f t="shared" si="8"/>
        <v>6.94</v>
      </c>
      <c r="K56" s="1051">
        <f t="shared" si="8"/>
        <v>7.4</v>
      </c>
      <c r="L56" s="638"/>
      <c r="M56" s="739">
        <f t="shared" si="8"/>
        <v>7.02</v>
      </c>
      <c r="N56" s="1051">
        <f t="shared" si="8"/>
        <v>7.5919969963849994</v>
      </c>
      <c r="O56" s="638"/>
      <c r="P56" s="739">
        <f t="shared" si="8"/>
        <v>7.1</v>
      </c>
      <c r="Q56" s="1051">
        <f t="shared" si="8"/>
        <v>7.9013189927699994</v>
      </c>
      <c r="R56" s="739">
        <f t="shared" si="8"/>
        <v>7.18</v>
      </c>
      <c r="S56" s="1051">
        <f t="shared" si="8"/>
        <v>10.253684489155001</v>
      </c>
      <c r="T56" s="25"/>
    </row>
    <row r="57" spans="2:20" x14ac:dyDescent="0.25">
      <c r="E57" s="635"/>
      <c r="H57" s="635"/>
      <c r="K57" s="635"/>
      <c r="N57" s="635"/>
      <c r="Q57" s="635"/>
      <c r="S57" s="635"/>
    </row>
  </sheetData>
  <mergeCells count="31">
    <mergeCell ref="M46:O46"/>
    <mergeCell ref="P46:Q46"/>
    <mergeCell ref="R46:S46"/>
    <mergeCell ref="T46:T48"/>
    <mergeCell ref="B46:B48"/>
    <mergeCell ref="C46:C48"/>
    <mergeCell ref="D46:F46"/>
    <mergeCell ref="G46:I46"/>
    <mergeCell ref="J46:L46"/>
    <mergeCell ref="B27:B29"/>
    <mergeCell ref="C27:C29"/>
    <mergeCell ref="J27:L27"/>
    <mergeCell ref="B8:B10"/>
    <mergeCell ref="C8:C10"/>
    <mergeCell ref="J8:L8"/>
    <mergeCell ref="D8:F8"/>
    <mergeCell ref="D27:F27"/>
    <mergeCell ref="C40:M40"/>
    <mergeCell ref="C41:M41"/>
    <mergeCell ref="C39:M39"/>
    <mergeCell ref="C21:M21"/>
    <mergeCell ref="G8:I8"/>
    <mergeCell ref="M8:O8"/>
    <mergeCell ref="T8:T10"/>
    <mergeCell ref="G27:I27"/>
    <mergeCell ref="M27:O27"/>
    <mergeCell ref="P27:Q27"/>
    <mergeCell ref="R27:S27"/>
    <mergeCell ref="T27:T29"/>
    <mergeCell ref="P8:Q8"/>
    <mergeCell ref="R8:S8"/>
  </mergeCells>
  <pageMargins left="0.74803149606299213" right="0.74803149606299213" top="0.98425196850393704" bottom="0.98425196850393704" header="0.51181102362204722" footer="0.51181102362204722"/>
  <pageSetup paperSize="9" scale="40" orientation="landscape" r:id="rId1"/>
  <headerFooter alignWithMargins="0"/>
  <rowBreaks count="2" manualBreakCount="2">
    <brk id="22" max="16383" man="1"/>
    <brk id="4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6"/>
  <sheetViews>
    <sheetView showGridLines="0" view="pageBreakPreview" topLeftCell="A75" zoomScale="80" zoomScaleNormal="75" zoomScaleSheetLayoutView="80" workbookViewId="0">
      <selection activeCell="G48" sqref="G48:G49"/>
    </sheetView>
  </sheetViews>
  <sheetFormatPr defaultColWidth="9.1796875" defaultRowHeight="14" x14ac:dyDescent="0.25"/>
  <cols>
    <col min="1" max="1" width="6.81640625" style="15" customWidth="1"/>
    <col min="2" max="2" width="6.54296875" style="68" customWidth="1"/>
    <col min="3" max="3" width="49" style="15" customWidth="1"/>
    <col min="4" max="5" width="14.26953125" style="15" customWidth="1"/>
    <col min="6" max="7" width="12.7265625" style="15" customWidth="1"/>
    <col min="8" max="17" width="13.7265625" style="15" customWidth="1"/>
    <col min="18" max="16384" width="9.1796875" style="15"/>
  </cols>
  <sheetData>
    <row r="1" spans="2:17" x14ac:dyDescent="0.25">
      <c r="C1" s="55"/>
      <c r="D1" s="55"/>
      <c r="E1" s="55"/>
    </row>
    <row r="2" spans="2:17" x14ac:dyDescent="0.25">
      <c r="C2" s="55"/>
      <c r="D2" s="55"/>
      <c r="E2" s="55"/>
      <c r="F2" s="132" t="s">
        <v>1027</v>
      </c>
      <c r="G2" s="193"/>
    </row>
    <row r="3" spans="2:17" x14ac:dyDescent="0.25">
      <c r="C3" s="55"/>
      <c r="D3" s="55"/>
      <c r="E3" s="55"/>
      <c r="F3" s="134" t="s">
        <v>826</v>
      </c>
      <c r="G3" s="194"/>
    </row>
    <row r="4" spans="2:17" x14ac:dyDescent="0.3">
      <c r="C4" s="55"/>
      <c r="D4" s="55"/>
      <c r="E4" s="55"/>
      <c r="F4" s="49" t="s">
        <v>462</v>
      </c>
      <c r="G4" s="49"/>
    </row>
    <row r="5" spans="2:17" x14ac:dyDescent="0.25">
      <c r="C5" s="34"/>
      <c r="D5" s="34"/>
      <c r="E5" s="34"/>
      <c r="F5" s="34"/>
      <c r="G5" s="34"/>
      <c r="H5" s="34"/>
      <c r="I5" s="34"/>
      <c r="J5" s="34"/>
      <c r="K5" s="34"/>
      <c r="L5" s="34"/>
    </row>
    <row r="6" spans="2:17" x14ac:dyDescent="0.25">
      <c r="B6" s="222"/>
      <c r="G6" s="21" t="s">
        <v>16</v>
      </c>
    </row>
    <row r="7" spans="2:17" s="119" customFormat="1" x14ac:dyDescent="0.3">
      <c r="B7" s="2180" t="s">
        <v>187</v>
      </c>
      <c r="C7" s="2180" t="s">
        <v>50</v>
      </c>
      <c r="D7" s="2203" t="s">
        <v>875</v>
      </c>
      <c r="E7" s="2224"/>
      <c r="F7" s="2204"/>
      <c r="G7" s="2177" t="s">
        <v>39</v>
      </c>
      <c r="H7" s="36"/>
      <c r="I7" s="36"/>
      <c r="J7" s="36"/>
      <c r="K7" s="36"/>
      <c r="L7" s="36"/>
      <c r="N7" s="35"/>
    </row>
    <row r="8" spans="2:17" s="119" customFormat="1" ht="28" x14ac:dyDescent="0.3">
      <c r="B8" s="2406"/>
      <c r="C8" s="2406"/>
      <c r="D8" s="308" t="s">
        <v>404</v>
      </c>
      <c r="E8" s="308" t="s">
        <v>689</v>
      </c>
      <c r="F8" s="308" t="s">
        <v>406</v>
      </c>
      <c r="G8" s="2178"/>
      <c r="H8" s="36"/>
      <c r="I8" s="36"/>
      <c r="J8" s="36"/>
      <c r="K8" s="36"/>
      <c r="L8" s="36"/>
      <c r="N8" s="35"/>
    </row>
    <row r="9" spans="2:17" s="119" customFormat="1" ht="28.5" customHeight="1" x14ac:dyDescent="0.3">
      <c r="B9" s="2406"/>
      <c r="C9" s="2406"/>
      <c r="D9" s="308" t="s">
        <v>73</v>
      </c>
      <c r="E9" s="308" t="s">
        <v>74</v>
      </c>
      <c r="F9" s="308" t="s">
        <v>410</v>
      </c>
      <c r="G9" s="2218"/>
      <c r="H9" s="36"/>
      <c r="I9" s="36"/>
      <c r="J9" s="36"/>
      <c r="K9" s="36"/>
      <c r="L9" s="36"/>
      <c r="N9" s="35"/>
    </row>
    <row r="10" spans="2:17" s="119" customFormat="1" x14ac:dyDescent="0.3">
      <c r="B10" s="69">
        <v>1</v>
      </c>
      <c r="C10" s="85" t="s">
        <v>77</v>
      </c>
      <c r="D10" s="86"/>
      <c r="E10" s="86"/>
      <c r="F10" s="86">
        <f>E10-D10</f>
        <v>0</v>
      </c>
      <c r="G10" s="37"/>
      <c r="H10" s="36"/>
      <c r="I10" s="36"/>
      <c r="J10" s="36"/>
      <c r="K10" s="36"/>
      <c r="L10" s="36"/>
      <c r="N10" s="35"/>
    </row>
    <row r="11" spans="2:17" s="119" customFormat="1" x14ac:dyDescent="0.3">
      <c r="B11" s="204"/>
      <c r="C11" s="220"/>
      <c r="D11" s="220"/>
      <c r="E11" s="220"/>
      <c r="F11" s="220"/>
      <c r="G11" s="220"/>
      <c r="H11" s="220"/>
      <c r="I11" s="220"/>
      <c r="J11" s="220"/>
      <c r="K11" s="220"/>
      <c r="L11" s="220"/>
      <c r="M11" s="36"/>
      <c r="N11" s="36"/>
      <c r="O11" s="36"/>
      <c r="P11" s="36"/>
      <c r="Q11" s="35"/>
    </row>
    <row r="12" spans="2:17" s="119" customFormat="1" x14ac:dyDescent="0.3">
      <c r="B12" s="204"/>
      <c r="C12" s="2403" t="s">
        <v>452</v>
      </c>
      <c r="D12" s="2403"/>
      <c r="E12" s="2403"/>
      <c r="F12" s="2403"/>
      <c r="G12" s="2403"/>
      <c r="H12" s="2403"/>
      <c r="I12" s="2403"/>
      <c r="J12" s="315"/>
      <c r="K12" s="315"/>
      <c r="L12" s="315"/>
      <c r="M12" s="36"/>
      <c r="N12" s="36"/>
      <c r="O12" s="36"/>
      <c r="P12" s="36"/>
      <c r="Q12" s="35"/>
    </row>
    <row r="13" spans="2:17" s="119" customFormat="1" x14ac:dyDescent="0.3">
      <c r="B13" s="204"/>
      <c r="C13" s="2405" t="s">
        <v>876</v>
      </c>
      <c r="D13" s="2405"/>
      <c r="E13" s="2405"/>
      <c r="F13" s="2405"/>
      <c r="G13" s="2405"/>
      <c r="H13" s="2405"/>
      <c r="I13" s="2405"/>
      <c r="J13" s="2405"/>
      <c r="K13" s="2405"/>
      <c r="L13" s="2405"/>
      <c r="M13" s="36"/>
      <c r="N13" s="36"/>
      <c r="O13" s="36"/>
      <c r="P13" s="36"/>
      <c r="Q13" s="35"/>
    </row>
    <row r="14" spans="2:17" s="119" customFormat="1" x14ac:dyDescent="0.3">
      <c r="B14" s="270"/>
      <c r="C14" s="2403" t="s">
        <v>877</v>
      </c>
      <c r="D14" s="2403"/>
      <c r="E14" s="2403"/>
      <c r="F14" s="2403"/>
      <c r="G14" s="2403"/>
      <c r="H14" s="2403"/>
      <c r="I14" s="2403"/>
      <c r="J14" s="2403"/>
      <c r="K14" s="314"/>
      <c r="L14" s="314"/>
      <c r="M14" s="36"/>
      <c r="N14" s="36"/>
      <c r="O14" s="36"/>
      <c r="P14" s="36"/>
      <c r="Q14" s="35"/>
    </row>
    <row r="15" spans="2:17" s="119" customFormat="1" x14ac:dyDescent="0.3">
      <c r="B15" s="204"/>
      <c r="C15" s="221"/>
      <c r="D15" s="221"/>
      <c r="E15" s="1068"/>
      <c r="F15" s="221"/>
      <c r="G15" s="221"/>
      <c r="H15" s="221"/>
      <c r="I15" s="221"/>
      <c r="J15" s="221"/>
      <c r="K15" s="221"/>
      <c r="L15" s="220"/>
      <c r="M15" s="36"/>
      <c r="N15" s="36"/>
      <c r="O15" s="36"/>
      <c r="P15" s="36"/>
      <c r="Q15" s="35"/>
    </row>
    <row r="16" spans="2:17" s="119" customFormat="1" x14ac:dyDescent="0.3">
      <c r="B16" s="2404" t="s">
        <v>454</v>
      </c>
      <c r="C16" s="2404"/>
      <c r="D16" s="2404"/>
      <c r="E16" s="2404"/>
      <c r="F16" s="2404"/>
      <c r="G16" s="158"/>
      <c r="H16" s="158"/>
      <c r="I16" s="158"/>
      <c r="J16" s="158"/>
      <c r="K16" s="158"/>
      <c r="L16" s="158"/>
      <c r="M16" s="36"/>
      <c r="N16" s="36"/>
      <c r="O16" s="36"/>
      <c r="P16" s="36"/>
      <c r="Q16" s="35"/>
    </row>
    <row r="17" spans="2:18" s="119" customFormat="1" x14ac:dyDescent="0.3">
      <c r="B17" s="68"/>
      <c r="C17" s="15"/>
      <c r="D17" s="15"/>
      <c r="E17" s="21" t="s">
        <v>16</v>
      </c>
      <c r="G17" s="15"/>
      <c r="H17" s="15"/>
      <c r="I17" s="15"/>
      <c r="J17" s="15"/>
      <c r="K17" s="15"/>
      <c r="L17" s="15"/>
      <c r="M17" s="36"/>
      <c r="N17" s="36"/>
      <c r="O17" s="36"/>
      <c r="P17" s="36"/>
      <c r="Q17" s="35"/>
    </row>
    <row r="18" spans="2:18" s="119" customFormat="1" x14ac:dyDescent="0.3">
      <c r="B18" s="2180" t="s">
        <v>187</v>
      </c>
      <c r="C18" s="2180" t="s">
        <v>50</v>
      </c>
      <c r="D18" s="2180" t="s">
        <v>742</v>
      </c>
      <c r="E18" s="334" t="s">
        <v>179</v>
      </c>
      <c r="F18" s="315"/>
      <c r="G18" s="315"/>
      <c r="H18" s="220"/>
      <c r="I18" s="220"/>
      <c r="J18" s="220"/>
      <c r="K18" s="220"/>
      <c r="L18" s="220"/>
      <c r="M18" s="220"/>
      <c r="N18" s="36"/>
      <c r="O18" s="36"/>
      <c r="P18" s="36"/>
      <c r="Q18" s="36"/>
      <c r="R18" s="35"/>
    </row>
    <row r="19" spans="2:18" s="119" customFormat="1" ht="28" x14ac:dyDescent="0.3">
      <c r="B19" s="2406"/>
      <c r="C19" s="2406"/>
      <c r="D19" s="2180"/>
      <c r="E19" s="334" t="s">
        <v>405</v>
      </c>
      <c r="F19" s="315"/>
      <c r="G19" s="315"/>
      <c r="H19" s="220"/>
      <c r="I19" s="220"/>
      <c r="J19" s="220"/>
      <c r="K19" s="220"/>
      <c r="L19" s="220"/>
      <c r="M19" s="220"/>
      <c r="N19" s="36"/>
      <c r="O19" s="36"/>
      <c r="P19" s="36"/>
      <c r="Q19" s="36"/>
      <c r="R19" s="35"/>
    </row>
    <row r="20" spans="2:18" s="119" customFormat="1" x14ac:dyDescent="0.3">
      <c r="B20" s="2406"/>
      <c r="C20" s="2406"/>
      <c r="D20" s="2180"/>
      <c r="E20" s="334" t="s">
        <v>73</v>
      </c>
      <c r="F20" s="315"/>
      <c r="G20" s="315"/>
      <c r="H20" s="220"/>
      <c r="I20" s="220"/>
      <c r="J20" s="220"/>
      <c r="K20" s="220"/>
      <c r="L20" s="220"/>
      <c r="M20" s="220"/>
      <c r="N20" s="36"/>
      <c r="O20" s="36"/>
      <c r="P20" s="36"/>
      <c r="Q20" s="36"/>
      <c r="R20" s="35"/>
    </row>
    <row r="21" spans="2:18" s="119" customFormat="1" x14ac:dyDescent="0.3">
      <c r="B21" s="69">
        <v>1</v>
      </c>
      <c r="C21" s="82" t="s">
        <v>455</v>
      </c>
      <c r="D21" s="83">
        <v>1</v>
      </c>
      <c r="E21" s="83"/>
      <c r="F21" s="315"/>
      <c r="G21" s="315"/>
      <c r="H21" s="220"/>
      <c r="I21" s="220"/>
      <c r="J21" s="220"/>
      <c r="K21" s="220"/>
      <c r="L21" s="220"/>
      <c r="M21" s="220"/>
      <c r="N21" s="36"/>
      <c r="O21" s="36"/>
      <c r="P21" s="36"/>
      <c r="Q21" s="36"/>
      <c r="R21" s="35"/>
    </row>
    <row r="22" spans="2:18" s="119" customFormat="1" x14ac:dyDescent="0.3">
      <c r="B22" s="69">
        <v>2</v>
      </c>
      <c r="C22" s="82" t="s">
        <v>456</v>
      </c>
      <c r="D22" s="83">
        <v>2</v>
      </c>
      <c r="E22" s="83"/>
      <c r="F22" s="315"/>
      <c r="G22" s="315"/>
      <c r="H22" s="220"/>
      <c r="I22" s="220"/>
      <c r="J22" s="220"/>
      <c r="K22" s="220"/>
      <c r="L22" s="220"/>
      <c r="M22" s="220"/>
      <c r="N22" s="36"/>
      <c r="O22" s="36"/>
      <c r="P22" s="36"/>
      <c r="Q22" s="36"/>
      <c r="R22" s="35"/>
    </row>
    <row r="23" spans="2:18" s="119" customFormat="1" x14ac:dyDescent="0.3">
      <c r="B23" s="69">
        <v>3</v>
      </c>
      <c r="C23" s="82" t="s">
        <v>457</v>
      </c>
      <c r="D23" s="83">
        <v>3</v>
      </c>
      <c r="E23" s="83"/>
      <c r="F23" s="315"/>
      <c r="G23" s="315"/>
      <c r="H23" s="220"/>
      <c r="I23" s="220"/>
      <c r="J23" s="220"/>
      <c r="K23" s="220"/>
      <c r="L23" s="220"/>
      <c r="M23" s="220"/>
      <c r="N23" s="36"/>
      <c r="O23" s="36"/>
      <c r="P23" s="36"/>
      <c r="Q23" s="36"/>
      <c r="R23" s="35"/>
    </row>
    <row r="24" spans="2:18" s="119" customFormat="1" x14ac:dyDescent="0.3">
      <c r="B24" s="69">
        <v>4</v>
      </c>
      <c r="C24" s="82" t="s">
        <v>458</v>
      </c>
      <c r="D24" s="83" t="s">
        <v>459</v>
      </c>
      <c r="E24" s="83"/>
      <c r="F24" s="315"/>
      <c r="G24" s="315"/>
      <c r="H24" s="220"/>
      <c r="I24" s="220"/>
      <c r="J24" s="220"/>
      <c r="K24" s="220"/>
      <c r="L24" s="220"/>
      <c r="M24" s="220"/>
      <c r="N24" s="36"/>
      <c r="O24" s="36"/>
      <c r="P24" s="36"/>
      <c r="Q24" s="36"/>
      <c r="R24" s="35"/>
    </row>
    <row r="25" spans="2:18" s="119" customFormat="1" x14ac:dyDescent="0.3">
      <c r="B25" s="204"/>
      <c r="C25" s="220"/>
      <c r="D25" s="220"/>
      <c r="E25" s="220"/>
      <c r="F25" s="220"/>
      <c r="G25" s="220"/>
      <c r="H25" s="220"/>
      <c r="I25" s="220"/>
      <c r="J25" s="220"/>
      <c r="K25" s="220"/>
      <c r="L25" s="220"/>
      <c r="M25" s="36"/>
      <c r="N25" s="36"/>
      <c r="O25" s="36"/>
      <c r="P25" s="36"/>
      <c r="Q25" s="35"/>
    </row>
    <row r="26" spans="2:18" s="119" customFormat="1" x14ac:dyDescent="0.3">
      <c r="B26" s="204"/>
      <c r="C26" s="220"/>
      <c r="D26" s="220"/>
      <c r="E26" s="220"/>
      <c r="F26" s="220"/>
      <c r="G26" s="220"/>
      <c r="H26" s="220"/>
      <c r="I26" s="220"/>
      <c r="J26" s="220"/>
      <c r="K26" s="220"/>
      <c r="L26" s="220"/>
      <c r="M26" s="36"/>
      <c r="N26" s="36"/>
      <c r="O26" s="36"/>
      <c r="P26" s="36"/>
      <c r="Q26" s="35"/>
    </row>
    <row r="27" spans="2:18" s="119" customFormat="1" x14ac:dyDescent="0.3">
      <c r="B27" s="204"/>
      <c r="C27" s="220"/>
      <c r="D27" s="220"/>
      <c r="E27" s="220"/>
      <c r="F27" s="220"/>
      <c r="G27" s="220"/>
      <c r="H27" s="220"/>
      <c r="I27" s="220"/>
      <c r="J27" s="220"/>
      <c r="K27" s="220"/>
      <c r="L27" s="220"/>
      <c r="M27" s="36"/>
      <c r="N27" s="36"/>
      <c r="O27" s="36"/>
      <c r="P27" s="36"/>
      <c r="Q27" s="35"/>
    </row>
    <row r="28" spans="2:18" s="119" customFormat="1" ht="15" customHeight="1" x14ac:dyDescent="0.3">
      <c r="B28" s="2404" t="s">
        <v>460</v>
      </c>
      <c r="C28" s="2404"/>
      <c r="D28" s="2404"/>
      <c r="E28" s="2404"/>
      <c r="F28" s="2404"/>
      <c r="G28" s="2404"/>
      <c r="H28" s="158"/>
      <c r="I28" s="158"/>
      <c r="J28" s="158"/>
      <c r="K28" s="158"/>
      <c r="L28" s="158"/>
      <c r="M28" s="56"/>
      <c r="N28" s="56"/>
      <c r="O28" s="56"/>
      <c r="P28" s="56"/>
      <c r="Q28" s="56"/>
    </row>
    <row r="29" spans="2:18" x14ac:dyDescent="0.25">
      <c r="G29" s="21" t="s">
        <v>16</v>
      </c>
    </row>
    <row r="30" spans="2:18" x14ac:dyDescent="0.25">
      <c r="B30" s="2180" t="s">
        <v>187</v>
      </c>
      <c r="C30" s="2180" t="s">
        <v>50</v>
      </c>
      <c r="D30" s="2177" t="s">
        <v>742</v>
      </c>
      <c r="E30" s="2203" t="s">
        <v>179</v>
      </c>
      <c r="F30" s="2224"/>
      <c r="G30" s="2204"/>
      <c r="H30" s="2278" t="s">
        <v>39</v>
      </c>
    </row>
    <row r="31" spans="2:18" ht="28" x14ac:dyDescent="0.25">
      <c r="B31" s="2406"/>
      <c r="C31" s="2406"/>
      <c r="D31" s="2178"/>
      <c r="E31" s="266" t="s">
        <v>404</v>
      </c>
      <c r="F31" s="265" t="s">
        <v>405</v>
      </c>
      <c r="G31" s="265" t="s">
        <v>406</v>
      </c>
      <c r="H31" s="2279"/>
    </row>
    <row r="32" spans="2:18" x14ac:dyDescent="0.25">
      <c r="B32" s="2406"/>
      <c r="C32" s="2406"/>
      <c r="D32" s="2218"/>
      <c r="E32" s="265" t="s">
        <v>73</v>
      </c>
      <c r="F32" s="265" t="s">
        <v>74</v>
      </c>
      <c r="G32" s="265" t="s">
        <v>410</v>
      </c>
      <c r="H32" s="2402"/>
    </row>
    <row r="33" spans="1:8" ht="14.5" x14ac:dyDescent="0.25">
      <c r="A33" s="731"/>
      <c r="B33" s="69">
        <v>1</v>
      </c>
      <c r="C33" s="82" t="s">
        <v>192</v>
      </c>
      <c r="D33" s="83" t="s">
        <v>193</v>
      </c>
      <c r="E33" s="271"/>
      <c r="F33" s="84"/>
      <c r="G33" s="337">
        <f>F33-E33</f>
        <v>0</v>
      </c>
      <c r="H33" s="25"/>
    </row>
    <row r="34" spans="1:8" x14ac:dyDescent="0.25">
      <c r="B34" s="69">
        <f>B33+1</f>
        <v>2</v>
      </c>
      <c r="C34" s="82" t="s">
        <v>194</v>
      </c>
      <c r="D34" s="83" t="s">
        <v>195</v>
      </c>
      <c r="E34" s="272"/>
      <c r="F34" s="84"/>
      <c r="G34" s="337">
        <f>F34-E34</f>
        <v>0</v>
      </c>
      <c r="H34" s="25"/>
    </row>
    <row r="35" spans="1:8" x14ac:dyDescent="0.25">
      <c r="B35" s="69">
        <f>B34+1</f>
        <v>3</v>
      </c>
      <c r="C35" s="85" t="s">
        <v>196</v>
      </c>
      <c r="D35" s="86" t="s">
        <v>197</v>
      </c>
      <c r="E35" s="278"/>
      <c r="F35" s="84"/>
      <c r="G35" s="337">
        <f>F35-E35</f>
        <v>0</v>
      </c>
      <c r="H35" s="25"/>
    </row>
    <row r="36" spans="1:8" x14ac:dyDescent="0.25">
      <c r="B36" s="69"/>
      <c r="C36" s="85"/>
      <c r="D36" s="86"/>
      <c r="E36" s="278"/>
      <c r="F36" s="84"/>
      <c r="G36" s="278"/>
      <c r="H36" s="25"/>
    </row>
    <row r="37" spans="1:8" x14ac:dyDescent="0.25">
      <c r="B37" s="69">
        <v>4</v>
      </c>
      <c r="C37" s="85" t="s">
        <v>198</v>
      </c>
      <c r="D37" s="83"/>
      <c r="E37" s="272"/>
      <c r="F37" s="84"/>
      <c r="G37" s="272"/>
      <c r="H37" s="25"/>
    </row>
    <row r="38" spans="1:8" ht="14.5" x14ac:dyDescent="0.25">
      <c r="B38" s="734"/>
      <c r="C38" s="85" t="s">
        <v>199</v>
      </c>
      <c r="D38" s="83"/>
      <c r="E38" s="272"/>
      <c r="F38" s="84"/>
      <c r="G38" s="272"/>
      <c r="H38" s="25"/>
    </row>
    <row r="39" spans="1:8" x14ac:dyDescent="0.25">
      <c r="B39" s="69">
        <v>5</v>
      </c>
      <c r="C39" s="82" t="s">
        <v>200</v>
      </c>
      <c r="D39" s="83" t="s">
        <v>201</v>
      </c>
      <c r="E39" s="272"/>
      <c r="F39" s="84"/>
      <c r="G39" s="338">
        <f>F39-E39</f>
        <v>0</v>
      </c>
      <c r="H39" s="25"/>
    </row>
    <row r="40" spans="1:8" x14ac:dyDescent="0.25">
      <c r="B40" s="69">
        <f t="shared" ref="B40:B80" si="0">B39+1</f>
        <v>6</v>
      </c>
      <c r="C40" s="82" t="s">
        <v>202</v>
      </c>
      <c r="D40" s="83" t="s">
        <v>203</v>
      </c>
      <c r="E40" s="272"/>
      <c r="F40" s="84"/>
      <c r="G40" s="338">
        <f>F40-E40</f>
        <v>0</v>
      </c>
      <c r="H40" s="25"/>
    </row>
    <row r="41" spans="1:8" x14ac:dyDescent="0.25">
      <c r="B41" s="69">
        <f t="shared" si="0"/>
        <v>7</v>
      </c>
      <c r="C41" s="85" t="s">
        <v>204</v>
      </c>
      <c r="D41" s="86" t="s">
        <v>205</v>
      </c>
      <c r="E41" s="278"/>
      <c r="F41" s="84"/>
      <c r="G41" s="338">
        <f>F41-E41</f>
        <v>0</v>
      </c>
      <c r="H41" s="25"/>
    </row>
    <row r="42" spans="1:8" x14ac:dyDescent="0.25">
      <c r="B42" s="69"/>
      <c r="C42" s="85" t="s">
        <v>206</v>
      </c>
      <c r="D42" s="86"/>
      <c r="E42" s="278"/>
      <c r="F42" s="84"/>
      <c r="G42" s="278"/>
      <c r="H42" s="25"/>
    </row>
    <row r="43" spans="1:8" x14ac:dyDescent="0.25">
      <c r="B43" s="69">
        <v>8</v>
      </c>
      <c r="C43" s="82" t="s">
        <v>207</v>
      </c>
      <c r="D43" s="83" t="s">
        <v>208</v>
      </c>
      <c r="E43" s="272"/>
      <c r="F43" s="84"/>
      <c r="G43" s="272"/>
      <c r="H43" s="25"/>
    </row>
    <row r="44" spans="1:8" x14ac:dyDescent="0.25">
      <c r="B44" s="69">
        <f t="shared" si="0"/>
        <v>9</v>
      </c>
      <c r="C44" s="82" t="s">
        <v>209</v>
      </c>
      <c r="D44" s="83" t="s">
        <v>210</v>
      </c>
      <c r="E44" s="272"/>
      <c r="F44" s="84"/>
      <c r="G44" s="272"/>
      <c r="H44" s="25"/>
    </row>
    <row r="45" spans="1:8" x14ac:dyDescent="0.25">
      <c r="B45" s="69">
        <f t="shared" si="0"/>
        <v>10</v>
      </c>
      <c r="C45" s="82" t="s">
        <v>211</v>
      </c>
      <c r="D45" s="83" t="s">
        <v>212</v>
      </c>
      <c r="E45" s="272"/>
      <c r="F45" s="84"/>
      <c r="G45" s="272"/>
      <c r="H45" s="25"/>
    </row>
    <row r="46" spans="1:8" x14ac:dyDescent="0.25">
      <c r="B46" s="69">
        <f t="shared" si="0"/>
        <v>11</v>
      </c>
      <c r="C46" s="82" t="s">
        <v>213</v>
      </c>
      <c r="D46" s="87" t="s">
        <v>214</v>
      </c>
      <c r="E46" s="279"/>
      <c r="F46" s="84"/>
      <c r="G46" s="279"/>
      <c r="H46" s="25"/>
    </row>
    <row r="47" spans="1:8" x14ac:dyDescent="0.25">
      <c r="B47" s="69">
        <f t="shared" si="0"/>
        <v>12</v>
      </c>
      <c r="C47" s="82" t="s">
        <v>215</v>
      </c>
      <c r="D47" s="87" t="s">
        <v>216</v>
      </c>
      <c r="E47" s="279"/>
      <c r="F47" s="84"/>
      <c r="G47" s="279"/>
      <c r="H47" s="25"/>
    </row>
    <row r="48" spans="1:8" x14ac:dyDescent="0.25">
      <c r="B48" s="69">
        <f t="shared" si="0"/>
        <v>13</v>
      </c>
      <c r="C48" s="85" t="s">
        <v>217</v>
      </c>
      <c r="D48" s="86" t="s">
        <v>218</v>
      </c>
      <c r="E48" s="278"/>
      <c r="F48" s="84"/>
      <c r="G48" s="339"/>
      <c r="H48" s="25"/>
    </row>
    <row r="49" spans="2:8" x14ac:dyDescent="0.25">
      <c r="B49" s="69">
        <f t="shared" si="0"/>
        <v>14</v>
      </c>
      <c r="C49" s="85" t="s">
        <v>219</v>
      </c>
      <c r="D49" s="86" t="s">
        <v>220</v>
      </c>
      <c r="E49" s="278"/>
      <c r="F49" s="84"/>
      <c r="G49" s="278"/>
      <c r="H49" s="25"/>
    </row>
    <row r="50" spans="2:8" x14ac:dyDescent="0.25">
      <c r="B50" s="69"/>
      <c r="C50" s="82"/>
      <c r="D50" s="83"/>
      <c r="E50" s="272"/>
      <c r="F50" s="84"/>
      <c r="G50" s="272"/>
      <c r="H50" s="25"/>
    </row>
    <row r="51" spans="2:8" x14ac:dyDescent="0.25">
      <c r="B51" s="69">
        <v>15</v>
      </c>
      <c r="C51" s="85" t="s">
        <v>235</v>
      </c>
      <c r="D51" s="86" t="s">
        <v>221</v>
      </c>
      <c r="E51" s="278"/>
      <c r="F51" s="84"/>
      <c r="G51" s="278"/>
      <c r="H51" s="25"/>
    </row>
    <row r="52" spans="2:8" x14ac:dyDescent="0.25">
      <c r="B52" s="69"/>
      <c r="C52" s="85"/>
      <c r="D52" s="86"/>
      <c r="E52" s="278"/>
      <c r="F52" s="84"/>
      <c r="G52" s="278"/>
      <c r="H52" s="25"/>
    </row>
    <row r="53" spans="2:8" ht="28" x14ac:dyDescent="0.25">
      <c r="B53" s="69">
        <v>16</v>
      </c>
      <c r="C53" s="85" t="s">
        <v>461</v>
      </c>
      <c r="D53" s="88" t="s">
        <v>222</v>
      </c>
      <c r="E53" s="280"/>
      <c r="F53" s="84"/>
      <c r="G53" s="280"/>
      <c r="H53" s="25"/>
    </row>
    <row r="54" spans="2:8" x14ac:dyDescent="0.25">
      <c r="B54" s="69"/>
      <c r="C54" s="82"/>
      <c r="D54" s="83"/>
      <c r="E54" s="272"/>
      <c r="F54" s="84"/>
      <c r="G54" s="272"/>
      <c r="H54" s="25"/>
    </row>
    <row r="55" spans="2:8" x14ac:dyDescent="0.25">
      <c r="B55" s="69">
        <v>17</v>
      </c>
      <c r="C55" s="85" t="s">
        <v>223</v>
      </c>
      <c r="D55" s="86" t="s">
        <v>236</v>
      </c>
      <c r="E55" s="278"/>
      <c r="F55" s="84"/>
      <c r="G55" s="278"/>
      <c r="H55" s="25"/>
    </row>
    <row r="56" spans="2:8" x14ac:dyDescent="0.25">
      <c r="B56" s="69"/>
      <c r="C56" s="85"/>
      <c r="D56" s="86"/>
      <c r="E56" s="278"/>
      <c r="F56" s="84"/>
      <c r="G56" s="278"/>
      <c r="H56" s="25"/>
    </row>
    <row r="57" spans="2:8" x14ac:dyDescent="0.25">
      <c r="B57" s="69">
        <v>18</v>
      </c>
      <c r="C57" s="85" t="s">
        <v>224</v>
      </c>
      <c r="D57" s="86" t="s">
        <v>225</v>
      </c>
      <c r="E57" s="278"/>
      <c r="F57" s="84"/>
      <c r="G57" s="278"/>
      <c r="H57" s="25"/>
    </row>
    <row r="58" spans="2:8" x14ac:dyDescent="0.25">
      <c r="B58" s="69"/>
      <c r="C58" s="82"/>
      <c r="D58" s="83"/>
      <c r="E58" s="272"/>
      <c r="F58" s="84"/>
      <c r="G58" s="272"/>
      <c r="H58" s="25"/>
    </row>
    <row r="59" spans="2:8" x14ac:dyDescent="0.25">
      <c r="B59" s="69">
        <v>19</v>
      </c>
      <c r="C59" s="82" t="s">
        <v>226</v>
      </c>
      <c r="D59" s="83" t="s">
        <v>227</v>
      </c>
      <c r="E59" s="273"/>
      <c r="F59" s="84"/>
      <c r="G59" s="273"/>
      <c r="H59" s="25"/>
    </row>
    <row r="60" spans="2:8" x14ac:dyDescent="0.25">
      <c r="B60" s="69">
        <f t="shared" si="0"/>
        <v>20</v>
      </c>
      <c r="C60" s="85" t="s">
        <v>228</v>
      </c>
      <c r="D60" s="86" t="s">
        <v>229</v>
      </c>
      <c r="E60" s="86"/>
      <c r="F60" s="84"/>
      <c r="G60" s="86"/>
      <c r="H60" s="25"/>
    </row>
    <row r="61" spans="2:8" x14ac:dyDescent="0.25">
      <c r="B61" s="69"/>
      <c r="C61" s="82"/>
      <c r="D61" s="83"/>
      <c r="E61" s="83"/>
      <c r="F61" s="84"/>
      <c r="G61" s="83"/>
      <c r="H61" s="25"/>
    </row>
    <row r="62" spans="2:8" x14ac:dyDescent="0.25">
      <c r="B62" s="93"/>
      <c r="C62" s="94" t="s">
        <v>230</v>
      </c>
      <c r="D62" s="95"/>
      <c r="E62" s="95"/>
      <c r="F62" s="96"/>
      <c r="G62" s="95"/>
      <c r="H62" s="97"/>
    </row>
    <row r="63" spans="2:8" x14ac:dyDescent="0.25">
      <c r="B63" s="69">
        <v>21</v>
      </c>
      <c r="C63" s="82" t="s">
        <v>192</v>
      </c>
      <c r="D63" s="83" t="s">
        <v>193</v>
      </c>
      <c r="E63" s="2407"/>
      <c r="F63" s="84"/>
      <c r="G63" s="2410"/>
      <c r="H63" s="84"/>
    </row>
    <row r="64" spans="2:8" x14ac:dyDescent="0.25">
      <c r="B64" s="69">
        <f t="shared" si="0"/>
        <v>22</v>
      </c>
      <c r="C64" s="82" t="s">
        <v>194</v>
      </c>
      <c r="D64" s="83" t="s">
        <v>195</v>
      </c>
      <c r="E64" s="2408"/>
      <c r="F64" s="84"/>
      <c r="G64" s="2411"/>
      <c r="H64" s="84"/>
    </row>
    <row r="65" spans="2:8" x14ac:dyDescent="0.25">
      <c r="B65" s="69">
        <f>B64+1</f>
        <v>23</v>
      </c>
      <c r="C65" s="85" t="s">
        <v>196</v>
      </c>
      <c r="D65" s="86" t="s">
        <v>197</v>
      </c>
      <c r="E65" s="2408"/>
      <c r="F65" s="84"/>
      <c r="G65" s="2411"/>
      <c r="H65" s="84"/>
    </row>
    <row r="66" spans="2:8" x14ac:dyDescent="0.25">
      <c r="B66" s="69"/>
      <c r="C66" s="85"/>
      <c r="D66" s="86"/>
      <c r="E66" s="2408"/>
      <c r="F66" s="89"/>
      <c r="G66" s="2411"/>
      <c r="H66" s="84"/>
    </row>
    <row r="67" spans="2:8" x14ac:dyDescent="0.25">
      <c r="B67" s="69">
        <v>24</v>
      </c>
      <c r="C67" s="85" t="s">
        <v>231</v>
      </c>
      <c r="D67" s="83"/>
      <c r="E67" s="2408"/>
      <c r="F67" s="90"/>
      <c r="G67" s="2411"/>
      <c r="H67" s="84"/>
    </row>
    <row r="68" spans="2:8" x14ac:dyDescent="0.25">
      <c r="B68" s="69">
        <f t="shared" si="0"/>
        <v>25</v>
      </c>
      <c r="C68" s="82" t="s">
        <v>36</v>
      </c>
      <c r="D68" s="83"/>
      <c r="E68" s="2408"/>
      <c r="F68" s="90"/>
      <c r="G68" s="2411"/>
      <c r="H68" s="84"/>
    </row>
    <row r="69" spans="2:8" x14ac:dyDescent="0.25">
      <c r="B69" s="69">
        <f t="shared" si="0"/>
        <v>26</v>
      </c>
      <c r="C69" s="82" t="s">
        <v>386</v>
      </c>
      <c r="D69" s="83"/>
      <c r="E69" s="2408"/>
      <c r="F69" s="90"/>
      <c r="G69" s="2411"/>
      <c r="H69" s="84"/>
    </row>
    <row r="70" spans="2:8" x14ac:dyDescent="0.25">
      <c r="B70" s="69">
        <f t="shared" si="0"/>
        <v>27</v>
      </c>
      <c r="C70" s="82"/>
      <c r="D70" s="83"/>
      <c r="E70" s="2408"/>
      <c r="F70" s="90"/>
      <c r="G70" s="2411"/>
      <c r="H70" s="84"/>
    </row>
    <row r="71" spans="2:8" x14ac:dyDescent="0.25">
      <c r="B71" s="69">
        <f t="shared" si="0"/>
        <v>28</v>
      </c>
      <c r="C71" s="82"/>
      <c r="D71" s="83"/>
      <c r="E71" s="2408"/>
      <c r="F71" s="90"/>
      <c r="G71" s="2411"/>
      <c r="H71" s="84"/>
    </row>
    <row r="72" spans="2:8" x14ac:dyDescent="0.25">
      <c r="B72" s="69">
        <f t="shared" si="0"/>
        <v>29</v>
      </c>
      <c r="C72" s="82"/>
      <c r="D72" s="83"/>
      <c r="E72" s="2408"/>
      <c r="F72" s="90"/>
      <c r="G72" s="2411"/>
      <c r="H72" s="84"/>
    </row>
    <row r="73" spans="2:8" x14ac:dyDescent="0.25">
      <c r="B73" s="69">
        <f t="shared" si="0"/>
        <v>30</v>
      </c>
      <c r="C73" s="92" t="s">
        <v>232</v>
      </c>
      <c r="D73" s="86" t="s">
        <v>201</v>
      </c>
      <c r="E73" s="2408"/>
      <c r="F73" s="89"/>
      <c r="G73" s="2411"/>
      <c r="H73" s="84"/>
    </row>
    <row r="74" spans="2:8" x14ac:dyDescent="0.25">
      <c r="B74" s="69"/>
      <c r="C74" s="82"/>
      <c r="D74" s="83"/>
      <c r="E74" s="2408"/>
      <c r="F74" s="91"/>
      <c r="G74" s="2411"/>
      <c r="H74" s="84"/>
    </row>
    <row r="75" spans="2:8" x14ac:dyDescent="0.25">
      <c r="B75" s="69">
        <v>31</v>
      </c>
      <c r="C75" s="85" t="s">
        <v>233</v>
      </c>
      <c r="D75" s="86"/>
      <c r="E75" s="2408"/>
      <c r="F75" s="89"/>
      <c r="G75" s="2411"/>
      <c r="H75" s="84"/>
    </row>
    <row r="76" spans="2:8" x14ac:dyDescent="0.25">
      <c r="B76" s="69">
        <f t="shared" si="0"/>
        <v>32</v>
      </c>
      <c r="C76" s="82" t="s">
        <v>386</v>
      </c>
      <c r="D76" s="83"/>
      <c r="E76" s="2408"/>
      <c r="F76" s="82"/>
      <c r="G76" s="2411"/>
      <c r="H76" s="84"/>
    </row>
    <row r="77" spans="2:8" x14ac:dyDescent="0.25">
      <c r="B77" s="69">
        <f t="shared" si="0"/>
        <v>33</v>
      </c>
      <c r="C77" s="82" t="s">
        <v>36</v>
      </c>
      <c r="D77" s="83"/>
      <c r="E77" s="2408"/>
      <c r="F77" s="82"/>
      <c r="G77" s="2411"/>
      <c r="H77" s="84"/>
    </row>
    <row r="78" spans="2:8" x14ac:dyDescent="0.25">
      <c r="B78" s="69">
        <f t="shared" si="0"/>
        <v>34</v>
      </c>
      <c r="C78" s="82"/>
      <c r="D78" s="83"/>
      <c r="E78" s="2408"/>
      <c r="F78" s="82"/>
      <c r="G78" s="2411"/>
      <c r="H78" s="84"/>
    </row>
    <row r="79" spans="2:8" x14ac:dyDescent="0.25">
      <c r="B79" s="69">
        <f t="shared" si="0"/>
        <v>35</v>
      </c>
      <c r="C79" s="82"/>
      <c r="D79" s="86"/>
      <c r="E79" s="2408"/>
      <c r="F79" s="82"/>
      <c r="G79" s="2411"/>
      <c r="H79" s="84"/>
    </row>
    <row r="80" spans="2:8" x14ac:dyDescent="0.25">
      <c r="B80" s="69">
        <f t="shared" si="0"/>
        <v>36</v>
      </c>
      <c r="C80" s="92" t="s">
        <v>232</v>
      </c>
      <c r="D80" s="86" t="s">
        <v>203</v>
      </c>
      <c r="E80" s="2408"/>
      <c r="F80" s="85"/>
      <c r="G80" s="2411"/>
      <c r="H80" s="84"/>
    </row>
    <row r="81" spans="2:12" x14ac:dyDescent="0.25">
      <c r="B81" s="69"/>
      <c r="C81" s="85"/>
      <c r="D81" s="86"/>
      <c r="E81" s="2408"/>
      <c r="F81" s="89"/>
      <c r="G81" s="2411"/>
      <c r="H81" s="84"/>
    </row>
    <row r="82" spans="2:12" x14ac:dyDescent="0.25">
      <c r="B82" s="69">
        <v>37</v>
      </c>
      <c r="C82" s="85" t="s">
        <v>234</v>
      </c>
      <c r="D82" s="86" t="s">
        <v>237</v>
      </c>
      <c r="E82" s="2408"/>
      <c r="F82" s="89"/>
      <c r="G82" s="2411"/>
      <c r="H82" s="84"/>
    </row>
    <row r="83" spans="2:12" x14ac:dyDescent="0.25">
      <c r="B83" s="69"/>
      <c r="C83" s="82"/>
      <c r="D83" s="83"/>
      <c r="E83" s="2409"/>
      <c r="F83" s="82"/>
      <c r="G83" s="2412"/>
      <c r="H83" s="84"/>
    </row>
    <row r="84" spans="2:12" x14ac:dyDescent="0.25">
      <c r="B84" s="69">
        <v>38</v>
      </c>
      <c r="C84" s="85" t="s">
        <v>461</v>
      </c>
      <c r="D84" s="86"/>
      <c r="E84" s="86"/>
      <c r="F84" s="84"/>
      <c r="G84" s="330"/>
      <c r="H84" s="84"/>
    </row>
    <row r="86" spans="2:12" x14ac:dyDescent="0.25">
      <c r="C86" s="78" t="s">
        <v>795</v>
      </c>
      <c r="D86" s="78"/>
      <c r="E86" s="78"/>
      <c r="F86" s="58"/>
      <c r="G86" s="58"/>
      <c r="H86" s="58"/>
      <c r="I86" s="58"/>
      <c r="J86" s="58"/>
      <c r="K86" s="58"/>
      <c r="L86" s="58"/>
    </row>
    <row r="87" spans="2:12" x14ac:dyDescent="0.25">
      <c r="C87" s="2403" t="s">
        <v>453</v>
      </c>
      <c r="D87" s="2403"/>
      <c r="E87" s="2403"/>
      <c r="F87" s="2403"/>
      <c r="G87" s="2403"/>
      <c r="H87" s="2403"/>
      <c r="I87" s="2403"/>
      <c r="J87" s="2403"/>
      <c r="K87" s="2403"/>
    </row>
    <row r="89" spans="2:12" x14ac:dyDescent="0.25">
      <c r="C89" s="78"/>
      <c r="D89" s="78"/>
      <c r="E89" s="78"/>
      <c r="F89" s="58"/>
      <c r="G89" s="58"/>
      <c r="H89" s="58"/>
      <c r="I89" s="58"/>
      <c r="J89" s="58"/>
      <c r="K89" s="58"/>
      <c r="L89" s="58"/>
    </row>
    <row r="91" spans="2:12" x14ac:dyDescent="0.25">
      <c r="B91" s="2404" t="s">
        <v>691</v>
      </c>
      <c r="C91" s="2404"/>
      <c r="D91" s="2404"/>
      <c r="E91" s="2404"/>
      <c r="F91" s="2404"/>
      <c r="G91" s="2404"/>
      <c r="H91" s="2404"/>
      <c r="I91" s="2404"/>
      <c r="J91" s="158"/>
      <c r="K91" s="158"/>
    </row>
    <row r="92" spans="2:12" x14ac:dyDescent="0.25">
      <c r="B92" s="15"/>
    </row>
    <row r="93" spans="2:12" ht="28" x14ac:dyDescent="0.25">
      <c r="B93" s="265" t="s">
        <v>187</v>
      </c>
      <c r="C93" s="265" t="s">
        <v>50</v>
      </c>
      <c r="D93" s="267" t="s">
        <v>742</v>
      </c>
      <c r="E93" s="313" t="s">
        <v>186</v>
      </c>
      <c r="F93" s="313" t="s">
        <v>878</v>
      </c>
      <c r="G93" s="313" t="s">
        <v>427</v>
      </c>
      <c r="H93" s="313" t="s">
        <v>428</v>
      </c>
      <c r="I93" s="308" t="s">
        <v>429</v>
      </c>
    </row>
    <row r="94" spans="2:12" x14ac:dyDescent="0.25">
      <c r="B94" s="69">
        <v>1</v>
      </c>
      <c r="C94" s="82" t="s">
        <v>744</v>
      </c>
      <c r="D94" s="83" t="s">
        <v>73</v>
      </c>
      <c r="E94" s="83"/>
      <c r="F94" s="331"/>
      <c r="G94" s="290"/>
      <c r="H94" s="290"/>
      <c r="I94" s="289"/>
    </row>
    <row r="95" spans="2:12" x14ac:dyDescent="0.25">
      <c r="B95" s="69">
        <f>B94+1</f>
        <v>2</v>
      </c>
      <c r="C95" s="82" t="s">
        <v>692</v>
      </c>
      <c r="D95" s="83" t="s">
        <v>74</v>
      </c>
      <c r="E95" s="83"/>
      <c r="F95" s="331"/>
      <c r="G95" s="290"/>
      <c r="H95" s="290"/>
      <c r="I95" s="289"/>
    </row>
    <row r="96" spans="2:12" x14ac:dyDescent="0.25">
      <c r="B96" s="69">
        <f>B95+1</f>
        <v>3</v>
      </c>
      <c r="C96" s="82" t="s">
        <v>693</v>
      </c>
      <c r="D96" s="83" t="s">
        <v>694</v>
      </c>
      <c r="E96" s="86"/>
      <c r="F96" s="331"/>
      <c r="G96" s="290"/>
      <c r="H96" s="290"/>
      <c r="I96" s="289"/>
    </row>
    <row r="97" spans="2:9" x14ac:dyDescent="0.25">
      <c r="B97" s="69"/>
      <c r="C97" s="85"/>
      <c r="D97" s="85"/>
      <c r="E97" s="86"/>
      <c r="F97" s="331"/>
      <c r="G97" s="290"/>
      <c r="H97" s="290"/>
      <c r="I97" s="289"/>
    </row>
    <row r="98" spans="2:9" x14ac:dyDescent="0.25">
      <c r="B98" s="69">
        <v>4</v>
      </c>
      <c r="C98" s="82" t="s">
        <v>745</v>
      </c>
      <c r="D98" s="83" t="s">
        <v>411</v>
      </c>
      <c r="E98" s="86"/>
      <c r="F98" s="331"/>
      <c r="G98" s="290"/>
      <c r="H98" s="290"/>
      <c r="I98" s="289"/>
    </row>
    <row r="99" spans="2:9" x14ac:dyDescent="0.25">
      <c r="B99" s="69">
        <v>5</v>
      </c>
      <c r="C99" s="82" t="s">
        <v>879</v>
      </c>
      <c r="D99" s="83" t="s">
        <v>880</v>
      </c>
      <c r="E99" s="86"/>
      <c r="F99" s="331"/>
      <c r="G99" s="290"/>
      <c r="H99" s="290"/>
      <c r="I99" s="289"/>
    </row>
    <row r="100" spans="2:9" x14ac:dyDescent="0.25">
      <c r="B100" s="69">
        <v>6</v>
      </c>
      <c r="C100" s="82" t="s">
        <v>881</v>
      </c>
      <c r="D100" s="83" t="s">
        <v>882</v>
      </c>
      <c r="E100" s="86"/>
      <c r="F100" s="331"/>
      <c r="G100" s="290"/>
      <c r="H100" s="290"/>
      <c r="I100" s="289"/>
    </row>
    <row r="101" spans="2:9" x14ac:dyDescent="0.25">
      <c r="B101" s="69">
        <v>7</v>
      </c>
      <c r="C101" s="85" t="s">
        <v>695</v>
      </c>
      <c r="D101" s="86" t="s">
        <v>883</v>
      </c>
      <c r="E101" s="86"/>
      <c r="F101" s="332"/>
      <c r="G101" s="281"/>
      <c r="H101" s="281"/>
      <c r="I101" s="85"/>
    </row>
    <row r="102" spans="2:9" x14ac:dyDescent="0.25">
      <c r="B102" s="15"/>
    </row>
    <row r="103" spans="2:9" x14ac:dyDescent="0.25">
      <c r="B103" s="15"/>
      <c r="C103" s="15" t="s">
        <v>696</v>
      </c>
    </row>
    <row r="104" spans="2:9" ht="29.25" customHeight="1" x14ac:dyDescent="0.25">
      <c r="B104" s="15"/>
      <c r="C104" s="2401" t="s">
        <v>697</v>
      </c>
      <c r="D104" s="2401"/>
      <c r="E104" s="2401"/>
      <c r="F104" s="2401"/>
      <c r="G104" s="2401"/>
      <c r="H104" s="2401"/>
      <c r="I104" s="2401"/>
    </row>
    <row r="105" spans="2:9" x14ac:dyDescent="0.25">
      <c r="B105" s="15"/>
      <c r="C105" s="15" t="s">
        <v>698</v>
      </c>
    </row>
    <row r="106" spans="2:9" x14ac:dyDescent="0.25">
      <c r="B106" s="15"/>
      <c r="C106" s="15" t="s">
        <v>884</v>
      </c>
    </row>
  </sheetData>
  <mergeCells count="22">
    <mergeCell ref="B91:I91"/>
    <mergeCell ref="C104:I104"/>
    <mergeCell ref="B7:B9"/>
    <mergeCell ref="C7:C9"/>
    <mergeCell ref="D7:F7"/>
    <mergeCell ref="B18:B20"/>
    <mergeCell ref="C18:C20"/>
    <mergeCell ref="D18:D20"/>
    <mergeCell ref="B30:B32"/>
    <mergeCell ref="C30:C32"/>
    <mergeCell ref="D30:D32"/>
    <mergeCell ref="E30:G30"/>
    <mergeCell ref="C87:K87"/>
    <mergeCell ref="E63:E83"/>
    <mergeCell ref="G63:G83"/>
    <mergeCell ref="B28:G28"/>
    <mergeCell ref="H30:H32"/>
    <mergeCell ref="C12:I12"/>
    <mergeCell ref="B16:F16"/>
    <mergeCell ref="G7:G9"/>
    <mergeCell ref="C13:L13"/>
    <mergeCell ref="C14:J14"/>
  </mergeCells>
  <pageMargins left="1.1023622047244095" right="0.27559055118110237" top="1.2204724409448819" bottom="0.98425196850393704" header="0.51181102362204722" footer="0.51181102362204722"/>
  <pageSetup paperSize="9" scale="30" orientation="landscape" r:id="rId1"/>
  <headerFooter alignWithMargins="0"/>
  <rowBreaks count="1" manualBreakCount="1">
    <brk id="25" max="16383"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86"/>
  <sheetViews>
    <sheetView showGridLines="0" zoomScale="68" workbookViewId="0">
      <selection activeCell="J3" sqref="J3"/>
    </sheetView>
  </sheetViews>
  <sheetFormatPr defaultRowHeight="12.5" x14ac:dyDescent="0.25"/>
  <cols>
    <col min="1" max="1" width="10.36328125" bestFit="1" customWidth="1"/>
    <col min="2" max="2" width="11.54296875" bestFit="1" customWidth="1"/>
    <col min="3" max="3" width="37.453125" style="1235" bestFit="1" customWidth="1"/>
    <col min="4" max="4" width="13.1796875" customWidth="1"/>
    <col min="5" max="15" width="10.36328125" customWidth="1"/>
    <col min="16" max="16" width="11.7265625" customWidth="1"/>
    <col min="17" max="18" width="9" bestFit="1" customWidth="1"/>
    <col min="20" max="20" width="27.26953125" customWidth="1"/>
    <col min="21" max="23" width="9.54296875" bestFit="1" customWidth="1"/>
    <col min="24" max="24" width="9.1796875" bestFit="1" customWidth="1"/>
    <col min="25" max="27" width="9.54296875" bestFit="1" customWidth="1"/>
    <col min="28" max="28" width="9.1796875" bestFit="1" customWidth="1"/>
    <col min="29" max="30" width="9.54296875" bestFit="1" customWidth="1"/>
    <col min="31" max="31" width="9.1796875" bestFit="1" customWidth="1"/>
    <col min="32" max="32" width="9.54296875" bestFit="1" customWidth="1"/>
    <col min="33" max="33" width="11.36328125" customWidth="1"/>
    <col min="36" max="36" width="9" bestFit="1" customWidth="1"/>
    <col min="41" max="41" width="12.90625" customWidth="1"/>
  </cols>
  <sheetData>
    <row r="1" spans="2:41" ht="13" x14ac:dyDescent="0.25">
      <c r="B1" s="1345" t="s">
        <v>1574</v>
      </c>
      <c r="C1" s="946"/>
    </row>
    <row r="2" spans="2:41" x14ac:dyDescent="0.25">
      <c r="B2" s="947"/>
      <c r="C2" s="947"/>
    </row>
    <row r="3" spans="2:41" x14ac:dyDescent="0.25">
      <c r="B3" s="947"/>
      <c r="C3" s="1344"/>
      <c r="M3" s="1481"/>
    </row>
    <row r="4" spans="2:41" x14ac:dyDescent="0.25">
      <c r="M4" s="1661"/>
    </row>
    <row r="5" spans="2:41" ht="13.5" thickBot="1" x14ac:dyDescent="0.35">
      <c r="B5" s="1636" t="s">
        <v>427</v>
      </c>
      <c r="D5" s="1241"/>
      <c r="U5" s="2416" t="s">
        <v>1737</v>
      </c>
      <c r="V5" s="2416"/>
      <c r="W5" s="2416"/>
      <c r="X5" s="2416"/>
      <c r="Y5" s="2416"/>
      <c r="Z5" s="2416"/>
      <c r="AA5" s="2416"/>
      <c r="AB5" s="2416"/>
      <c r="AC5" s="2416"/>
      <c r="AD5" s="2416"/>
      <c r="AE5" s="2416"/>
      <c r="AF5" s="2416"/>
      <c r="AG5" s="2416"/>
    </row>
    <row r="6" spans="2:41" ht="13" x14ac:dyDescent="0.3">
      <c r="D6" s="2421" t="s">
        <v>1787</v>
      </c>
      <c r="E6" s="2421"/>
      <c r="F6" s="2421"/>
      <c r="G6" s="2421"/>
      <c r="H6" s="2421"/>
      <c r="I6" s="2422"/>
      <c r="J6" s="2423" t="s">
        <v>1788</v>
      </c>
      <c r="K6" s="2421"/>
      <c r="L6" s="2421"/>
      <c r="M6" s="2421"/>
      <c r="N6" s="2421"/>
      <c r="O6" s="2421"/>
      <c r="P6" s="2424"/>
      <c r="U6" s="2417" t="s">
        <v>1738</v>
      </c>
      <c r="V6" s="2417"/>
      <c r="W6" s="2417"/>
      <c r="X6" s="2417"/>
      <c r="Y6" s="2417"/>
      <c r="Z6" s="2418"/>
      <c r="AA6" s="2419" t="s">
        <v>1739</v>
      </c>
      <c r="AB6" s="2417"/>
      <c r="AC6" s="2417"/>
      <c r="AD6" s="2417"/>
      <c r="AE6" s="2417"/>
      <c r="AF6" s="2417"/>
      <c r="AG6" s="2420"/>
      <c r="AK6" s="1241" t="s">
        <v>12</v>
      </c>
    </row>
    <row r="7" spans="2:41" ht="42" x14ac:dyDescent="0.25">
      <c r="B7" s="1186" t="s">
        <v>187</v>
      </c>
      <c r="C7" s="1250" t="s">
        <v>50</v>
      </c>
      <c r="D7" s="1187" t="s">
        <v>151</v>
      </c>
      <c r="E7" s="1187" t="s">
        <v>152</v>
      </c>
      <c r="F7" s="1187" t="s">
        <v>153</v>
      </c>
      <c r="G7" s="1187" t="s">
        <v>154</v>
      </c>
      <c r="H7" s="1187" t="s">
        <v>155</v>
      </c>
      <c r="I7" s="1464" t="s">
        <v>156</v>
      </c>
      <c r="J7" s="1242" t="s">
        <v>157</v>
      </c>
      <c r="K7" s="1465" t="s">
        <v>158</v>
      </c>
      <c r="L7" s="1465" t="s">
        <v>159</v>
      </c>
      <c r="M7" s="1465" t="s">
        <v>160</v>
      </c>
      <c r="N7" s="1465" t="s">
        <v>161</v>
      </c>
      <c r="O7" s="1465" t="s">
        <v>162</v>
      </c>
      <c r="P7" s="1243" t="s">
        <v>145</v>
      </c>
      <c r="S7" s="1614" t="s">
        <v>187</v>
      </c>
      <c r="T7" s="1637" t="s">
        <v>50</v>
      </c>
      <c r="U7" s="1612" t="s">
        <v>151</v>
      </c>
      <c r="V7" s="1612" t="s">
        <v>152</v>
      </c>
      <c r="W7" s="1612" t="s">
        <v>153</v>
      </c>
      <c r="X7" s="1612" t="s">
        <v>154</v>
      </c>
      <c r="Y7" s="1612" t="s">
        <v>155</v>
      </c>
      <c r="Z7" s="1613" t="s">
        <v>156</v>
      </c>
      <c r="AA7" s="1638" t="s">
        <v>157</v>
      </c>
      <c r="AB7" s="1612" t="s">
        <v>158</v>
      </c>
      <c r="AC7" s="1612" t="s">
        <v>159</v>
      </c>
      <c r="AD7" s="1612" t="s">
        <v>160</v>
      </c>
      <c r="AE7" s="1612" t="s">
        <v>161</v>
      </c>
      <c r="AF7" s="1612" t="s">
        <v>162</v>
      </c>
      <c r="AG7" s="1613" t="s">
        <v>145</v>
      </c>
      <c r="AH7" s="1611" t="s">
        <v>1734</v>
      </c>
      <c r="AK7" s="1638" t="s">
        <v>157</v>
      </c>
      <c r="AL7" s="1618" t="s">
        <v>158</v>
      </c>
      <c r="AM7" s="1713" t="s">
        <v>1791</v>
      </c>
      <c r="AN7" s="1713" t="s">
        <v>1789</v>
      </c>
      <c r="AO7" s="1713" t="s">
        <v>1790</v>
      </c>
    </row>
    <row r="8" spans="2:41" ht="14" x14ac:dyDescent="0.25">
      <c r="B8" s="776"/>
      <c r="C8" s="1251" t="s">
        <v>293</v>
      </c>
      <c r="D8" s="410"/>
      <c r="E8" s="410"/>
      <c r="F8" s="410"/>
      <c r="G8" s="410"/>
      <c r="H8" s="410"/>
      <c r="I8" s="1469"/>
      <c r="J8" s="1244"/>
      <c r="K8" s="410"/>
      <c r="L8" s="410"/>
      <c r="M8" s="410"/>
      <c r="N8" s="410"/>
      <c r="O8" s="410"/>
      <c r="P8" s="1245"/>
      <c r="S8" s="776"/>
      <c r="T8" s="1251" t="s">
        <v>293</v>
      </c>
      <c r="U8" s="410"/>
      <c r="V8" s="410"/>
      <c r="W8" s="410"/>
      <c r="X8" s="410"/>
      <c r="Y8" s="410"/>
      <c r="Z8" s="1469"/>
      <c r="AA8" s="1244"/>
      <c r="AB8" s="410"/>
      <c r="AC8" s="410"/>
      <c r="AD8" s="410"/>
      <c r="AE8" s="410"/>
      <c r="AF8" s="410"/>
      <c r="AG8" s="1469"/>
      <c r="AH8" s="410"/>
    </row>
    <row r="9" spans="2:41" ht="14" x14ac:dyDescent="0.25">
      <c r="B9" s="776"/>
      <c r="C9" s="1252"/>
      <c r="D9" s="410"/>
      <c r="E9" s="410"/>
      <c r="F9" s="410"/>
      <c r="G9" s="410"/>
      <c r="H9" s="410"/>
      <c r="I9" s="1469"/>
      <c r="J9" s="1244"/>
      <c r="K9" s="410"/>
      <c r="L9" s="410"/>
      <c r="M9" s="410"/>
      <c r="N9" s="410"/>
      <c r="O9" s="410"/>
      <c r="P9" s="1245"/>
      <c r="S9" s="776"/>
      <c r="T9" s="1252"/>
      <c r="U9" s="410"/>
      <c r="V9" s="410"/>
      <c r="W9" s="410"/>
      <c r="X9" s="410"/>
      <c r="Y9" s="410"/>
      <c r="Z9" s="1469"/>
      <c r="AA9" s="1244"/>
      <c r="AB9" s="410"/>
      <c r="AC9" s="410"/>
      <c r="AD9" s="410"/>
      <c r="AE9" s="410"/>
      <c r="AF9" s="410"/>
      <c r="AG9" s="1469"/>
      <c r="AH9" s="410"/>
    </row>
    <row r="10" spans="2:41" ht="14" x14ac:dyDescent="0.25">
      <c r="B10" s="776">
        <v>1</v>
      </c>
      <c r="C10" s="1252" t="s">
        <v>953</v>
      </c>
      <c r="D10" s="502">
        <v>13.021186</v>
      </c>
      <c r="E10" s="502">
        <v>14.217597000000001</v>
      </c>
      <c r="F10" s="502">
        <v>14.950192999999993</v>
      </c>
      <c r="G10" s="502">
        <v>14.536417999999999</v>
      </c>
      <c r="H10" s="502">
        <v>14.263358999999998</v>
      </c>
      <c r="I10" s="502">
        <v>14.209485999999997</v>
      </c>
      <c r="J10" s="1246">
        <f t="shared" ref="J10:J15" si="0">IFERROR((SUM($D10:$I10)/$G127*$H127*O127/SUM($O127:$T127)),0)</f>
        <v>15.495541665872995</v>
      </c>
      <c r="K10" s="502">
        <f t="shared" ref="K10:K15" si="1">IFERROR((SUM($D10:$I10)/$G127*$H127*P127/SUM($O127:$T127)),0)</f>
        <v>19.703005948925018</v>
      </c>
      <c r="L10" s="502">
        <f t="shared" ref="L10:L15" si="2">IFERROR((SUM($D10:$I10)/$G127*$H127*Q127/SUM($O127:$T127)),0)</f>
        <v>18.171892400207906</v>
      </c>
      <c r="M10" s="502">
        <f t="shared" ref="M10:M15" si="3">IFERROR((SUM($D10:$I10)/$G127*$H127*R127/SUM($O127:$T127)),0)</f>
        <v>17.080680658648355</v>
      </c>
      <c r="N10" s="502">
        <f t="shared" ref="N10:N15" si="4">IFERROR((SUM($D10:$I10)/$G127*$H127*S127/SUM($O127:$T127)),0)</f>
        <v>16.813368909517802</v>
      </c>
      <c r="O10" s="502">
        <f t="shared" ref="O10:O15" si="5">IFERROR((SUM($D10:$I10)/$G127*$H127*T127/SUM($O127:$T127)),0)</f>
        <v>15.312123056774668</v>
      </c>
      <c r="P10" s="1247">
        <f>SUM(D10:O10)</f>
        <v>187.77485163994675</v>
      </c>
      <c r="Q10" s="1651">
        <f t="shared" ref="Q10:Q15" si="6">IFERROR(SUM(D10:I10)/P10,0)</f>
        <v>0.45372550294096531</v>
      </c>
      <c r="R10" s="1396">
        <f>1-Q10</f>
        <v>0.54627449705903475</v>
      </c>
      <c r="S10" s="776">
        <v>1</v>
      </c>
      <c r="T10" s="1252" t="s">
        <v>953</v>
      </c>
      <c r="U10" s="502">
        <v>13.141249999999999</v>
      </c>
      <c r="V10" s="502">
        <v>14.390719000000001</v>
      </c>
      <c r="W10" s="502">
        <v>15.175905</v>
      </c>
      <c r="X10" s="502">
        <v>14.764668</v>
      </c>
      <c r="Y10" s="502">
        <v>14.473258</v>
      </c>
      <c r="Z10" s="502">
        <v>14.438412</v>
      </c>
      <c r="AA10" s="1246">
        <f>J10/$AH10</f>
        <v>15.711242063578407</v>
      </c>
      <c r="AB10" s="502">
        <f t="shared" ref="AB10:AF15" si="7">K10/$AH10</f>
        <v>19.977274916787895</v>
      </c>
      <c r="AC10" s="502">
        <f t="shared" si="7"/>
        <v>18.424848024625824</v>
      </c>
      <c r="AD10" s="502">
        <f t="shared" si="7"/>
        <v>17.318446442548883</v>
      </c>
      <c r="AE10" s="502">
        <f t="shared" si="7"/>
        <v>17.047413671472658</v>
      </c>
      <c r="AF10" s="502">
        <f t="shared" si="7"/>
        <v>15.525270238349778</v>
      </c>
      <c r="AG10" s="1639">
        <f>SUM(U10:AF10)</f>
        <v>190.38870735736347</v>
      </c>
      <c r="AH10" s="502">
        <f>SUM(D10:I10)/SUM(U10:Z10)</f>
        <v>0.98627095191885272</v>
      </c>
      <c r="AK10" s="1019">
        <v>14.061491</v>
      </c>
      <c r="AL10" s="1019">
        <v>14.029624</v>
      </c>
      <c r="AM10" s="782">
        <f>SUM(AK10:AL10)</f>
        <v>28.091115000000002</v>
      </c>
      <c r="AN10" s="782">
        <f>SUM(AA10:AB10)</f>
        <v>35.688516980366302</v>
      </c>
      <c r="AO10" s="1651">
        <f>AM10/AN10-1</f>
        <v>-0.21288085421274128</v>
      </c>
    </row>
    <row r="11" spans="2:41" ht="14" x14ac:dyDescent="0.25">
      <c r="B11" s="776">
        <f t="shared" ref="B11:B16" si="8">B10+1</f>
        <v>2</v>
      </c>
      <c r="C11" s="1252" t="s">
        <v>954</v>
      </c>
      <c r="D11" s="502">
        <v>17.623218000000001</v>
      </c>
      <c r="E11" s="502">
        <v>18.917594000000001</v>
      </c>
      <c r="F11" s="502">
        <v>20.755490000000002</v>
      </c>
      <c r="G11" s="502">
        <v>19.993728000000001</v>
      </c>
      <c r="H11" s="502">
        <v>19.073778999999998</v>
      </c>
      <c r="I11" s="502">
        <v>18.393571000000001</v>
      </c>
      <c r="J11" s="1246">
        <f t="shared" si="0"/>
        <v>16.278737423284973</v>
      </c>
      <c r="K11" s="502">
        <f t="shared" si="1"/>
        <v>16.846412323267447</v>
      </c>
      <c r="L11" s="502">
        <f t="shared" si="2"/>
        <v>15.310241821323169</v>
      </c>
      <c r="M11" s="502">
        <f t="shared" si="3"/>
        <v>14.229409092939555</v>
      </c>
      <c r="N11" s="502">
        <f t="shared" si="4"/>
        <v>13.673298052028954</v>
      </c>
      <c r="O11" s="502">
        <f t="shared" si="5"/>
        <v>12.539602401877387</v>
      </c>
      <c r="P11" s="1247">
        <f t="shared" ref="P11:P18" si="9">SUM(D11:O11)</f>
        <v>203.63508111472149</v>
      </c>
      <c r="Q11" s="1651">
        <f t="shared" si="6"/>
        <v>0.56354425461371938</v>
      </c>
      <c r="R11" s="1396">
        <f t="shared" ref="R11:R39" si="10">1-Q11</f>
        <v>0.43645574538628062</v>
      </c>
      <c r="S11" s="776">
        <f t="shared" ref="S11:S16" si="11">S10+1</f>
        <v>2</v>
      </c>
      <c r="T11" s="1252" t="s">
        <v>954</v>
      </c>
      <c r="U11" s="502">
        <v>18.082190000000001</v>
      </c>
      <c r="V11" s="502">
        <v>19.416951000000001</v>
      </c>
      <c r="W11" s="502">
        <v>21.328130999999999</v>
      </c>
      <c r="X11" s="502">
        <v>20.552119999999999</v>
      </c>
      <c r="Y11" s="502">
        <v>19.261130999999999</v>
      </c>
      <c r="Z11" s="502">
        <v>18.830874999999999</v>
      </c>
      <c r="AA11" s="1246">
        <f t="shared" ref="AA11:AA15" si="12">J11/$AH11</f>
        <v>16.663730409218154</v>
      </c>
      <c r="AB11" s="502">
        <f t="shared" si="7"/>
        <v>17.244830850082625</v>
      </c>
      <c r="AC11" s="502">
        <f t="shared" si="7"/>
        <v>15.672329835945179</v>
      </c>
      <c r="AD11" s="502">
        <f t="shared" si="7"/>
        <v>14.565935357373281</v>
      </c>
      <c r="AE11" s="502">
        <f t="shared" si="7"/>
        <v>13.996672261448612</v>
      </c>
      <c r="AF11" s="502">
        <f t="shared" si="7"/>
        <v>12.836164650262095</v>
      </c>
      <c r="AG11" s="1639">
        <f t="shared" ref="AG11:AG17" si="13">SUM(U11:AF11)</f>
        <v>208.45106136432997</v>
      </c>
      <c r="AH11" s="502">
        <f t="shared" ref="AH11:AH15" si="14">SUM(D11:I11)/SUM(U11:Z11)</f>
        <v>0.97689635054824164</v>
      </c>
      <c r="AK11" s="1019">
        <v>18.669637999999999</v>
      </c>
      <c r="AL11" s="1019">
        <v>19.447600000000001</v>
      </c>
      <c r="AM11" s="782">
        <f t="shared" ref="AM11:AM39" si="15">SUM(AK11:AL11)</f>
        <v>38.117238</v>
      </c>
      <c r="AN11" s="782">
        <f t="shared" ref="AN11:AN39" si="16">SUM(AA11:AB11)</f>
        <v>33.908561259300782</v>
      </c>
      <c r="AO11" s="1651">
        <f t="shared" ref="AO11:AO39" si="17">AM11/AN11-1</f>
        <v>0.12411841093802889</v>
      </c>
    </row>
    <row r="12" spans="2:41" ht="14" x14ac:dyDescent="0.25">
      <c r="B12" s="776">
        <f t="shared" si="8"/>
        <v>3</v>
      </c>
      <c r="C12" s="600" t="s">
        <v>955</v>
      </c>
      <c r="D12" s="502">
        <v>2.1478350000000002</v>
      </c>
      <c r="E12" s="502">
        <v>2.89161</v>
      </c>
      <c r="F12" s="502">
        <v>3.1744389999999991</v>
      </c>
      <c r="G12" s="502">
        <v>2.9237770000000003</v>
      </c>
      <c r="H12" s="502">
        <v>2.8083979999999999</v>
      </c>
      <c r="I12" s="502">
        <v>2.806516999999999</v>
      </c>
      <c r="J12" s="1246">
        <f t="shared" si="0"/>
        <v>2.6254686299999452</v>
      </c>
      <c r="K12" s="502">
        <f t="shared" si="1"/>
        <v>2.9056687084630846</v>
      </c>
      <c r="L12" s="502">
        <f t="shared" si="2"/>
        <v>2.6139647186555215</v>
      </c>
      <c r="M12" s="502">
        <f t="shared" si="3"/>
        <v>2.3037123563501321</v>
      </c>
      <c r="N12" s="502">
        <f t="shared" si="4"/>
        <v>2.1633315596088254</v>
      </c>
      <c r="O12" s="502">
        <f t="shared" si="5"/>
        <v>1.9493473741148628</v>
      </c>
      <c r="P12" s="1247">
        <f t="shared" si="9"/>
        <v>31.314069347192373</v>
      </c>
      <c r="Q12" s="1651">
        <f t="shared" si="6"/>
        <v>0.53498559431088577</v>
      </c>
      <c r="R12" s="1396">
        <f t="shared" si="10"/>
        <v>0.46501440568911423</v>
      </c>
      <c r="S12" s="776">
        <f t="shared" si="11"/>
        <v>3</v>
      </c>
      <c r="T12" s="600" t="s">
        <v>955</v>
      </c>
      <c r="U12" s="502">
        <v>2.1974529999999999</v>
      </c>
      <c r="V12" s="502">
        <v>2.9579749999999998</v>
      </c>
      <c r="W12" s="502">
        <v>3.2539959999999999</v>
      </c>
      <c r="X12" s="502">
        <v>2.9993599999999998</v>
      </c>
      <c r="Y12" s="502">
        <v>2.8924799999999999</v>
      </c>
      <c r="Z12" s="502">
        <v>2.8831820000000001</v>
      </c>
      <c r="AA12" s="1246">
        <f t="shared" si="12"/>
        <v>2.6931514232156322</v>
      </c>
      <c r="AB12" s="502">
        <f t="shared" si="7"/>
        <v>2.9805748688723228</v>
      </c>
      <c r="AC12" s="502">
        <f t="shared" si="7"/>
        <v>2.6813509488714451</v>
      </c>
      <c r="AD12" s="502">
        <f t="shared" si="7"/>
        <v>2.3631004919620482</v>
      </c>
      <c r="AE12" s="502">
        <f t="shared" si="7"/>
        <v>2.2191007738865736</v>
      </c>
      <c r="AF12" s="502">
        <f t="shared" si="7"/>
        <v>1.9996002218237159</v>
      </c>
      <c r="AG12" s="1639">
        <f t="shared" si="13"/>
        <v>32.121324728631734</v>
      </c>
      <c r="AH12" s="502">
        <f t="shared" si="14"/>
        <v>0.97486855264347771</v>
      </c>
      <c r="AK12" s="1019">
        <v>2.868541</v>
      </c>
      <c r="AL12" s="1019">
        <v>2.9872049999999999</v>
      </c>
      <c r="AM12" s="782">
        <f t="shared" si="15"/>
        <v>5.8557459999999999</v>
      </c>
      <c r="AN12" s="782">
        <f t="shared" si="16"/>
        <v>5.673726292087955</v>
      </c>
      <c r="AO12" s="1651">
        <f t="shared" si="17"/>
        <v>3.2081157698049756E-2</v>
      </c>
    </row>
    <row r="13" spans="2:41" ht="14" x14ac:dyDescent="0.25">
      <c r="B13" s="776">
        <f t="shared" si="8"/>
        <v>4</v>
      </c>
      <c r="C13" s="600" t="s">
        <v>956</v>
      </c>
      <c r="D13" s="502">
        <v>0.181812</v>
      </c>
      <c r="E13" s="502">
        <v>0.182142</v>
      </c>
      <c r="F13" s="502">
        <v>0.19559000000000001</v>
      </c>
      <c r="G13" s="502">
        <v>0.18530199999999999</v>
      </c>
      <c r="H13" s="502">
        <v>0.173372</v>
      </c>
      <c r="I13" s="502">
        <v>0.17660600000000001</v>
      </c>
      <c r="J13" s="1246">
        <f t="shared" si="0"/>
        <v>0.17024222642879444</v>
      </c>
      <c r="K13" s="502">
        <f t="shared" si="1"/>
        <v>0.18974850644418792</v>
      </c>
      <c r="L13" s="502">
        <f t="shared" si="2"/>
        <v>0.18944443503895558</v>
      </c>
      <c r="M13" s="502">
        <f t="shared" si="3"/>
        <v>0.17944386437798157</v>
      </c>
      <c r="N13" s="502">
        <f t="shared" si="4"/>
        <v>0.16260069340187772</v>
      </c>
      <c r="O13" s="502">
        <f t="shared" si="5"/>
        <v>0.14475190065422122</v>
      </c>
      <c r="P13" s="1247">
        <f t="shared" si="9"/>
        <v>2.1310556263460185</v>
      </c>
      <c r="Q13" s="1651">
        <f t="shared" si="6"/>
        <v>0.51374726518857838</v>
      </c>
      <c r="R13" s="1396">
        <f t="shared" si="10"/>
        <v>0.48625273481142162</v>
      </c>
      <c r="S13" s="776">
        <f t="shared" si="11"/>
        <v>4</v>
      </c>
      <c r="T13" s="600" t="s">
        <v>956</v>
      </c>
      <c r="U13" s="502">
        <v>0.225715</v>
      </c>
      <c r="V13" s="502">
        <v>0.226831</v>
      </c>
      <c r="W13" s="502">
        <v>0.24124399999999999</v>
      </c>
      <c r="X13" s="502">
        <v>0.21940999999999999</v>
      </c>
      <c r="Y13" s="502">
        <v>0.21296599999999999</v>
      </c>
      <c r="Z13" s="502">
        <v>0.195049</v>
      </c>
      <c r="AA13" s="1246">
        <f t="shared" si="12"/>
        <v>0.20544542610604047</v>
      </c>
      <c r="AB13" s="502">
        <f t="shared" si="7"/>
        <v>0.2289852733787876</v>
      </c>
      <c r="AC13" s="502">
        <f t="shared" si="7"/>
        <v>0.2286183251737208</v>
      </c>
      <c r="AD13" s="502">
        <f t="shared" si="7"/>
        <v>0.21654980642930272</v>
      </c>
      <c r="AE13" s="502">
        <f t="shared" si="7"/>
        <v>0.19622375389374172</v>
      </c>
      <c r="AF13" s="502">
        <f t="shared" si="7"/>
        <v>0.17468413409175074</v>
      </c>
      <c r="AG13" s="1639">
        <f t="shared" si="13"/>
        <v>2.5717217190733441</v>
      </c>
      <c r="AH13" s="502">
        <f t="shared" si="14"/>
        <v>0.82864938711716107</v>
      </c>
      <c r="AK13" s="1019">
        <v>0.20579500000000001</v>
      </c>
      <c r="AL13" s="1019">
        <v>0.20889099999999999</v>
      </c>
      <c r="AM13" s="782">
        <f t="shared" si="15"/>
        <v>0.414686</v>
      </c>
      <c r="AN13" s="782">
        <f t="shared" si="16"/>
        <v>0.43443069948482804</v>
      </c>
      <c r="AO13" s="1651">
        <f t="shared" si="17"/>
        <v>-4.5449595316911062E-2</v>
      </c>
    </row>
    <row r="14" spans="2:41" ht="14" x14ac:dyDescent="0.25">
      <c r="B14" s="776">
        <f t="shared" si="8"/>
        <v>5</v>
      </c>
      <c r="C14" s="600" t="s">
        <v>957</v>
      </c>
      <c r="D14" s="502">
        <v>2.3794499999999998</v>
      </c>
      <c r="E14" s="502">
        <v>2.6210300000000002</v>
      </c>
      <c r="F14" s="502">
        <v>2.73624</v>
      </c>
      <c r="G14" s="502">
        <v>2.4497499999999999</v>
      </c>
      <c r="H14" s="502">
        <v>2.3276500000000002</v>
      </c>
      <c r="I14" s="502">
        <v>2.3572700000000002</v>
      </c>
      <c r="J14" s="1246">
        <f t="shared" si="0"/>
        <v>2.2556880354355995</v>
      </c>
      <c r="K14" s="502">
        <f t="shared" si="1"/>
        <v>2.4605551366474212</v>
      </c>
      <c r="L14" s="502">
        <f t="shared" si="2"/>
        <v>2.1651046507210827</v>
      </c>
      <c r="M14" s="502">
        <f t="shared" si="3"/>
        <v>1.8935080624422158</v>
      </c>
      <c r="N14" s="502">
        <f t="shared" si="4"/>
        <v>1.9095198632665271</v>
      </c>
      <c r="O14" s="502">
        <f t="shared" si="5"/>
        <v>1.6857027343527879</v>
      </c>
      <c r="P14" s="1247">
        <f t="shared" si="9"/>
        <v>27.241468482865635</v>
      </c>
      <c r="Q14" s="1651">
        <f t="shared" si="6"/>
        <v>0.54590999781652083</v>
      </c>
      <c r="R14" s="1396">
        <f t="shared" si="10"/>
        <v>0.45409000218347917</v>
      </c>
      <c r="S14" s="776">
        <f t="shared" si="11"/>
        <v>5</v>
      </c>
      <c r="T14" s="600" t="s">
        <v>957</v>
      </c>
      <c r="U14" s="502">
        <v>2.3998979999999999</v>
      </c>
      <c r="V14" s="502">
        <v>2.6586859999999999</v>
      </c>
      <c r="W14" s="502">
        <v>2.8057539999999999</v>
      </c>
      <c r="X14" s="502">
        <v>2.5216789999999998</v>
      </c>
      <c r="Y14" s="502">
        <v>2.3740070000000002</v>
      </c>
      <c r="Z14" s="502">
        <v>2.4074390000000001</v>
      </c>
      <c r="AA14" s="1246">
        <f t="shared" si="12"/>
        <v>2.3005963004811347</v>
      </c>
      <c r="AB14" s="502">
        <f t="shared" si="7"/>
        <v>2.5095420800987469</v>
      </c>
      <c r="AC14" s="502">
        <f t="shared" si="7"/>
        <v>2.208209500318393</v>
      </c>
      <c r="AD14" s="502">
        <f t="shared" si="7"/>
        <v>1.9312057230221249</v>
      </c>
      <c r="AE14" s="502">
        <f t="shared" si="7"/>
        <v>1.9475363011702409</v>
      </c>
      <c r="AF14" s="502">
        <f t="shared" si="7"/>
        <v>1.7192632196650577</v>
      </c>
      <c r="AG14" s="1639">
        <f t="shared" si="13"/>
        <v>27.783816124755699</v>
      </c>
      <c r="AH14" s="502">
        <f t="shared" si="14"/>
        <v>0.98047972821822604</v>
      </c>
      <c r="AK14" s="1019">
        <v>2.3543750000000001</v>
      </c>
      <c r="AL14" s="1019">
        <v>2.4013979999999999</v>
      </c>
      <c r="AM14" s="782">
        <f t="shared" si="15"/>
        <v>4.7557729999999996</v>
      </c>
      <c r="AN14" s="782">
        <f t="shared" si="16"/>
        <v>4.8101383805798816</v>
      </c>
      <c r="AO14" s="1651">
        <f t="shared" si="17"/>
        <v>-1.1302248766765888E-2</v>
      </c>
    </row>
    <row r="15" spans="2:41" ht="14" x14ac:dyDescent="0.25">
      <c r="B15" s="776">
        <f t="shared" si="8"/>
        <v>6</v>
      </c>
      <c r="C15" s="600" t="s">
        <v>958</v>
      </c>
      <c r="D15" s="502">
        <v>15.229212</v>
      </c>
      <c r="E15" s="502">
        <v>15.615319</v>
      </c>
      <c r="F15" s="502">
        <v>17.043485</v>
      </c>
      <c r="G15" s="502">
        <v>16.906044999999999</v>
      </c>
      <c r="H15" s="502">
        <v>17.851447</v>
      </c>
      <c r="I15" s="502">
        <v>16.853266000000001</v>
      </c>
      <c r="J15" s="1246">
        <f t="shared" si="0"/>
        <v>14.985401185242683</v>
      </c>
      <c r="K15" s="502">
        <f t="shared" si="1"/>
        <v>15.949538309302266</v>
      </c>
      <c r="L15" s="502">
        <f t="shared" si="2"/>
        <v>14.549375237638598</v>
      </c>
      <c r="M15" s="502">
        <f t="shared" si="3"/>
        <v>13.647304606198336</v>
      </c>
      <c r="N15" s="502">
        <f t="shared" si="4"/>
        <v>12.806415380396141</v>
      </c>
      <c r="O15" s="502">
        <f t="shared" si="5"/>
        <v>11.174947722103468</v>
      </c>
      <c r="P15" s="1247">
        <f t="shared" si="9"/>
        <v>182.61175644088149</v>
      </c>
      <c r="Q15" s="1651">
        <f t="shared" si="6"/>
        <v>0.54486510583567838</v>
      </c>
      <c r="R15" s="1396">
        <f t="shared" si="10"/>
        <v>0.45513489416432162</v>
      </c>
      <c r="S15" s="776">
        <f t="shared" si="11"/>
        <v>6</v>
      </c>
      <c r="T15" s="600" t="s">
        <v>958</v>
      </c>
      <c r="U15" s="502">
        <v>15.423522999999999</v>
      </c>
      <c r="V15" s="502">
        <v>15.898403999999999</v>
      </c>
      <c r="W15" s="502">
        <v>17.247337000000002</v>
      </c>
      <c r="X15" s="502">
        <v>17.113676000000002</v>
      </c>
      <c r="Y15" s="502">
        <v>18.289261</v>
      </c>
      <c r="Z15" s="502">
        <v>17.378643</v>
      </c>
      <c r="AA15" s="1246">
        <f t="shared" si="12"/>
        <v>15.26433941591025</v>
      </c>
      <c r="AB15" s="502">
        <f t="shared" si="7"/>
        <v>16.246422986660292</v>
      </c>
      <c r="AC15" s="502">
        <f t="shared" si="7"/>
        <v>14.820197282102916</v>
      </c>
      <c r="AD15" s="502">
        <f t="shared" si="7"/>
        <v>13.901335509554004</v>
      </c>
      <c r="AE15" s="502">
        <f t="shared" si="7"/>
        <v>13.044793973217496</v>
      </c>
      <c r="AF15" s="502">
        <f t="shared" si="7"/>
        <v>11.382958178872272</v>
      </c>
      <c r="AG15" s="1639">
        <f t="shared" si="13"/>
        <v>186.01089134631724</v>
      </c>
      <c r="AH15" s="502">
        <f t="shared" si="14"/>
        <v>0.98172615119021622</v>
      </c>
      <c r="AK15" s="1019">
        <v>16.579723000000001</v>
      </c>
      <c r="AL15" s="1019">
        <v>16.109798999999999</v>
      </c>
      <c r="AM15" s="782">
        <f t="shared" si="15"/>
        <v>32.689521999999997</v>
      </c>
      <c r="AN15" s="782">
        <f t="shared" si="16"/>
        <v>31.510762402570542</v>
      </c>
      <c r="AO15" s="1651">
        <f t="shared" si="17"/>
        <v>3.7408158595784835E-2</v>
      </c>
    </row>
    <row r="16" spans="2:41" ht="14" x14ac:dyDescent="0.25">
      <c r="B16" s="776">
        <f t="shared" si="8"/>
        <v>7</v>
      </c>
      <c r="C16" s="600" t="s">
        <v>959</v>
      </c>
      <c r="D16" s="502">
        <v>0</v>
      </c>
      <c r="E16" s="502">
        <v>0</v>
      </c>
      <c r="F16" s="502">
        <v>0</v>
      </c>
      <c r="G16" s="502">
        <v>0</v>
      </c>
      <c r="H16" s="502">
        <v>0</v>
      </c>
      <c r="I16" s="502">
        <v>0</v>
      </c>
      <c r="J16" s="1246">
        <f>IFERROR((SUM($D16:$I16)/$G133*$H133*O133/SUM($O133:$T133)),0)</f>
        <v>0</v>
      </c>
      <c r="K16" s="502">
        <f t="shared" ref="K16:O16" si="18">IFERROR((SUM($D16:$I16)/$G133*$H133*P133/SUM($O133:$T133)),0)</f>
        <v>0</v>
      </c>
      <c r="L16" s="502">
        <f t="shared" si="18"/>
        <v>0</v>
      </c>
      <c r="M16" s="502">
        <f t="shared" si="18"/>
        <v>0</v>
      </c>
      <c r="N16" s="502">
        <f t="shared" si="18"/>
        <v>0</v>
      </c>
      <c r="O16" s="502">
        <f t="shared" si="18"/>
        <v>0</v>
      </c>
      <c r="P16" s="1247">
        <f t="shared" si="9"/>
        <v>0</v>
      </c>
      <c r="Q16" s="1651"/>
      <c r="R16" s="1396"/>
      <c r="S16" s="776">
        <f t="shared" si="11"/>
        <v>7</v>
      </c>
      <c r="T16" s="600" t="s">
        <v>959</v>
      </c>
      <c r="U16" s="502">
        <v>0</v>
      </c>
      <c r="V16" s="502">
        <v>0</v>
      </c>
      <c r="W16" s="502">
        <v>0</v>
      </c>
      <c r="X16" s="502">
        <v>0</v>
      </c>
      <c r="Y16" s="502">
        <v>0</v>
      </c>
      <c r="Z16" s="502">
        <v>0</v>
      </c>
      <c r="AA16" s="1471"/>
      <c r="AB16" s="1472"/>
      <c r="AC16" s="1472"/>
      <c r="AD16" s="1472"/>
      <c r="AE16" s="1472"/>
      <c r="AF16" s="1472"/>
      <c r="AG16" s="1639">
        <f t="shared" si="13"/>
        <v>0</v>
      </c>
      <c r="AH16" s="410"/>
      <c r="AK16" s="1019">
        <v>0</v>
      </c>
      <c r="AL16" s="1019">
        <v>0</v>
      </c>
      <c r="AM16" s="782">
        <f t="shared" si="15"/>
        <v>0</v>
      </c>
      <c r="AN16" s="782">
        <f t="shared" si="16"/>
        <v>0</v>
      </c>
      <c r="AO16" s="1651"/>
    </row>
    <row r="17" spans="2:41" ht="14" x14ac:dyDescent="0.25">
      <c r="B17" s="776"/>
      <c r="C17" s="600"/>
      <c r="D17" s="410"/>
      <c r="E17" s="410"/>
      <c r="F17" s="410"/>
      <c r="G17" s="410"/>
      <c r="H17" s="410"/>
      <c r="I17" s="410"/>
      <c r="J17" s="1463"/>
      <c r="K17" s="1238"/>
      <c r="L17" s="1238"/>
      <c r="M17" s="1238"/>
      <c r="N17" s="1238"/>
      <c r="O17" s="1238"/>
      <c r="P17" s="1470">
        <f t="shared" si="9"/>
        <v>0</v>
      </c>
      <c r="Q17" s="1651"/>
      <c r="R17" s="1396"/>
      <c r="S17" s="776"/>
      <c r="T17" s="600"/>
      <c r="U17" s="410"/>
      <c r="V17" s="410"/>
      <c r="W17" s="410"/>
      <c r="X17" s="410"/>
      <c r="Y17" s="410"/>
      <c r="Z17" s="410"/>
      <c r="AA17" s="1463"/>
      <c r="AB17" s="1238"/>
      <c r="AC17" s="1238"/>
      <c r="AD17" s="1238"/>
      <c r="AE17" s="1238"/>
      <c r="AF17" s="1238"/>
      <c r="AG17" s="1640">
        <f t="shared" si="13"/>
        <v>0</v>
      </c>
      <c r="AH17" s="410"/>
      <c r="AK17" s="1019">
        <f>0/(10^6)</f>
        <v>0</v>
      </c>
      <c r="AL17" s="1019">
        <f>0/(10^6)</f>
        <v>0</v>
      </c>
      <c r="AM17" s="782">
        <f t="shared" si="15"/>
        <v>0</v>
      </c>
      <c r="AN17" s="782">
        <f t="shared" si="16"/>
        <v>0</v>
      </c>
      <c r="AO17" s="1651"/>
    </row>
    <row r="18" spans="2:41" ht="14" x14ac:dyDescent="0.3">
      <c r="B18" s="776"/>
      <c r="C18" s="1253" t="s">
        <v>416</v>
      </c>
      <c r="D18" s="1239">
        <f t="shared" ref="D18" si="19">SUM(D10:D16)</f>
        <v>50.582712999999998</v>
      </c>
      <c r="E18" s="1239">
        <f t="shared" ref="E18:O18" si="20">SUM(E10:E16)</f>
        <v>54.445292000000002</v>
      </c>
      <c r="F18" s="1239">
        <f t="shared" si="20"/>
        <v>58.855436999999995</v>
      </c>
      <c r="G18" s="1239">
        <f t="shared" si="20"/>
        <v>56.995020000000004</v>
      </c>
      <c r="H18" s="1239">
        <f t="shared" si="20"/>
        <v>56.498004999999992</v>
      </c>
      <c r="I18" s="1239">
        <f t="shared" si="20"/>
        <v>54.796716000000004</v>
      </c>
      <c r="J18" s="1239">
        <f t="shared" si="20"/>
        <v>51.811079166264989</v>
      </c>
      <c r="K18" s="1239">
        <f t="shared" si="20"/>
        <v>58.054928933049425</v>
      </c>
      <c r="L18" s="1239">
        <f t="shared" si="20"/>
        <v>53.000023263585241</v>
      </c>
      <c r="M18" s="1239">
        <f t="shared" si="20"/>
        <v>49.33405864095657</v>
      </c>
      <c r="N18" s="1239">
        <f t="shared" si="20"/>
        <v>47.528534458220122</v>
      </c>
      <c r="O18" s="1239">
        <f t="shared" si="20"/>
        <v>42.806475189877389</v>
      </c>
      <c r="P18" s="1249">
        <f t="shared" si="9"/>
        <v>634.70828265195382</v>
      </c>
      <c r="Q18" s="1651">
        <f t="shared" ref="Q18:Q37" si="21">IFERROR(SUM(D18:I18)/P18,0)</f>
        <v>0.52334779942071308</v>
      </c>
      <c r="R18" s="1396">
        <f t="shared" si="10"/>
        <v>0.47665220057928692</v>
      </c>
      <c r="S18" s="776"/>
      <c r="T18" s="1253" t="s">
        <v>416</v>
      </c>
      <c r="U18" s="1239">
        <f t="shared" ref="U18:AG18" si="22">SUM(U10:U16)</f>
        <v>51.470028999999997</v>
      </c>
      <c r="V18" s="1239">
        <f t="shared" si="22"/>
        <v>55.549565999999999</v>
      </c>
      <c r="W18" s="1239">
        <f t="shared" si="22"/>
        <v>60.052367000000004</v>
      </c>
      <c r="X18" s="1239">
        <f t="shared" si="22"/>
        <v>58.170913000000013</v>
      </c>
      <c r="Y18" s="1239">
        <f t="shared" si="22"/>
        <v>57.503102999999996</v>
      </c>
      <c r="Z18" s="1239">
        <f t="shared" si="22"/>
        <v>56.133599999999987</v>
      </c>
      <c r="AA18" s="1473">
        <f t="shared" si="22"/>
        <v>52.838505038509609</v>
      </c>
      <c r="AB18" s="1474">
        <f t="shared" si="22"/>
        <v>59.187630975880673</v>
      </c>
      <c r="AC18" s="1474">
        <f t="shared" si="22"/>
        <v>54.035553917037483</v>
      </c>
      <c r="AD18" s="1474">
        <f t="shared" si="22"/>
        <v>50.296573330889643</v>
      </c>
      <c r="AE18" s="1474">
        <f t="shared" si="22"/>
        <v>48.451740735089317</v>
      </c>
      <c r="AF18" s="1474">
        <f t="shared" si="22"/>
        <v>43.637940643064674</v>
      </c>
      <c r="AG18" s="1475">
        <f t="shared" si="22"/>
        <v>647.32752264047144</v>
      </c>
      <c r="AH18" s="410"/>
      <c r="AK18" s="1711">
        <f t="shared" ref="AK18:AN18" si="23">SUM(AK10:AK16)</f>
        <v>54.739562999999997</v>
      </c>
      <c r="AL18" s="1711">
        <f t="shared" si="23"/>
        <v>55.184517</v>
      </c>
      <c r="AM18" s="1711">
        <f t="shared" si="23"/>
        <v>109.92408</v>
      </c>
      <c r="AN18" s="1711">
        <f t="shared" si="23"/>
        <v>112.02613601439029</v>
      </c>
      <c r="AO18" s="1651">
        <f t="shared" si="17"/>
        <v>-1.876397856050549E-2</v>
      </c>
    </row>
    <row r="19" spans="2:41" ht="14" x14ac:dyDescent="0.25">
      <c r="B19" s="776"/>
      <c r="C19" s="600"/>
      <c r="D19" s="410"/>
      <c r="E19" s="410"/>
      <c r="F19" s="410"/>
      <c r="G19" s="410"/>
      <c r="H19" s="410"/>
      <c r="I19" s="410"/>
      <c r="J19" s="1244"/>
      <c r="K19" s="410"/>
      <c r="L19" s="410"/>
      <c r="M19" s="410"/>
      <c r="N19" s="410"/>
      <c r="O19" s="410"/>
      <c r="P19" s="1245"/>
      <c r="Q19" s="1651"/>
      <c r="R19" s="1396"/>
      <c r="S19" s="776"/>
      <c r="T19" s="600"/>
      <c r="U19" s="410"/>
      <c r="V19" s="410"/>
      <c r="W19" s="410"/>
      <c r="X19" s="410"/>
      <c r="Y19" s="410"/>
      <c r="Z19" s="410"/>
      <c r="AA19" s="1244"/>
      <c r="AB19" s="410"/>
      <c r="AC19" s="410"/>
      <c r="AD19" s="410"/>
      <c r="AE19" s="410"/>
      <c r="AF19" s="410"/>
      <c r="AG19" s="1469"/>
      <c r="AH19" s="410"/>
      <c r="AK19" s="1019">
        <f>0/(10^6)</f>
        <v>0</v>
      </c>
      <c r="AL19" s="1019">
        <f>0/(10^6)</f>
        <v>0</v>
      </c>
      <c r="AM19" s="782">
        <f t="shared" si="15"/>
        <v>0</v>
      </c>
      <c r="AN19" s="782">
        <f t="shared" si="16"/>
        <v>0</v>
      </c>
      <c r="AO19" s="1651"/>
    </row>
    <row r="20" spans="2:41" ht="14" x14ac:dyDescent="0.25">
      <c r="B20" s="776"/>
      <c r="C20" s="1251" t="s">
        <v>294</v>
      </c>
      <c r="D20" s="410"/>
      <c r="E20" s="410"/>
      <c r="F20" s="410"/>
      <c r="G20" s="410"/>
      <c r="H20" s="410"/>
      <c r="I20" s="410"/>
      <c r="J20" s="1244"/>
      <c r="K20" s="410"/>
      <c r="L20" s="410"/>
      <c r="M20" s="410"/>
      <c r="N20" s="410"/>
      <c r="O20" s="410"/>
      <c r="P20" s="1245"/>
      <c r="Q20" s="1651"/>
      <c r="R20" s="1396"/>
      <c r="S20" s="776"/>
      <c r="T20" s="1251" t="s">
        <v>294</v>
      </c>
      <c r="U20" s="410"/>
      <c r="V20" s="410"/>
      <c r="W20" s="410"/>
      <c r="X20" s="410"/>
      <c r="Y20" s="410"/>
      <c r="Z20" s="410"/>
      <c r="AA20" s="1244"/>
      <c r="AB20" s="410"/>
      <c r="AC20" s="410"/>
      <c r="AD20" s="410"/>
      <c r="AE20" s="410"/>
      <c r="AF20" s="410"/>
      <c r="AG20" s="1469"/>
      <c r="AH20" s="410"/>
      <c r="AK20" s="1019">
        <f>0/(10^6)</f>
        <v>0</v>
      </c>
      <c r="AL20" s="1019">
        <f>0/(10^6)</f>
        <v>0</v>
      </c>
      <c r="AM20" s="782">
        <f t="shared" si="15"/>
        <v>0</v>
      </c>
      <c r="AN20" s="782">
        <f t="shared" si="16"/>
        <v>0</v>
      </c>
      <c r="AO20" s="1651"/>
    </row>
    <row r="21" spans="2:41" ht="14" x14ac:dyDescent="0.25">
      <c r="B21" s="776">
        <f>B16+1</f>
        <v>8</v>
      </c>
      <c r="C21" s="1252" t="s">
        <v>960</v>
      </c>
      <c r="D21" s="502">
        <v>1.555E-3</v>
      </c>
      <c r="E21" s="502">
        <v>1.6069999999999999E-3</v>
      </c>
      <c r="F21" s="502">
        <v>1.3990000000000001E-3</v>
      </c>
      <c r="G21" s="502">
        <v>1.2279999999999999E-3</v>
      </c>
      <c r="H21" s="502">
        <v>1.7619999999999999E-3</v>
      </c>
      <c r="I21" s="502">
        <v>1.575E-3</v>
      </c>
      <c r="J21" s="1246">
        <f t="shared" ref="J21:J33" si="24">IFERROR((SUM($D21:$I21)/$G138*$H138*O138/SUM($O138:$T138)),0)</f>
        <v>3.9576187034839816E-3</v>
      </c>
      <c r="K21" s="502">
        <f t="shared" ref="K21:K33" si="25">IFERROR((SUM($D21:$I21)/$G138*$H138*P138/SUM($O138:$T138)),0)</f>
        <v>4.4119007658289288E-3</v>
      </c>
      <c r="L21" s="502">
        <f t="shared" ref="L21:L33" si="26">IFERROR((SUM($D21:$I21)/$G138*$H138*Q138/SUM($O138:$T138)),0)</f>
        <v>4.9429628950490769E-3</v>
      </c>
      <c r="M21" s="502">
        <f t="shared" ref="M21:M33" si="27">IFERROR((SUM($D21:$I21)/$G138*$H138*R138/SUM($O138:$T138)),0)</f>
        <v>4.6191085104088005E-3</v>
      </c>
      <c r="N21" s="502">
        <f t="shared" ref="N21:N33" si="28">IFERROR((SUM($D21:$I21)/$G138*$H138*S138/SUM($O138:$T138)),0)</f>
        <v>3.851307841656779E-3</v>
      </c>
      <c r="O21" s="502">
        <f t="shared" ref="O21:O33" si="29">IFERROR((SUM($D21:$I21)/$G138*$H138*T138/SUM($O138:$T138)),0)</f>
        <v>5.0891403300614814E-3</v>
      </c>
      <c r="P21" s="1247">
        <f t="shared" ref="P21:P38" si="30">SUM(D21:O21)</f>
        <v>3.5998039046489051E-2</v>
      </c>
      <c r="Q21" s="1651">
        <f t="shared" si="21"/>
        <v>0.25351380913316923</v>
      </c>
      <c r="R21" s="1396">
        <f t="shared" si="10"/>
        <v>0.74648619086683077</v>
      </c>
      <c r="S21" s="776">
        <f>S16+1</f>
        <v>8</v>
      </c>
      <c r="T21" s="1252" t="s">
        <v>960</v>
      </c>
      <c r="U21" s="502">
        <f>D21</f>
        <v>1.555E-3</v>
      </c>
      <c r="V21" s="502">
        <f t="shared" ref="V21:AF35" si="31">E21</f>
        <v>1.6069999999999999E-3</v>
      </c>
      <c r="W21" s="502">
        <f t="shared" si="31"/>
        <v>1.3990000000000001E-3</v>
      </c>
      <c r="X21" s="502">
        <f t="shared" si="31"/>
        <v>1.2279999999999999E-3</v>
      </c>
      <c r="Y21" s="502">
        <f t="shared" si="31"/>
        <v>1.7619999999999999E-3</v>
      </c>
      <c r="Z21" s="502">
        <f t="shared" si="31"/>
        <v>1.575E-3</v>
      </c>
      <c r="AA21" s="1246">
        <f t="shared" si="31"/>
        <v>3.9576187034839816E-3</v>
      </c>
      <c r="AB21" s="502">
        <f t="shared" si="31"/>
        <v>4.4119007658289288E-3</v>
      </c>
      <c r="AC21" s="502">
        <f t="shared" si="31"/>
        <v>4.9429628950490769E-3</v>
      </c>
      <c r="AD21" s="502">
        <f t="shared" si="31"/>
        <v>4.6191085104088005E-3</v>
      </c>
      <c r="AE21" s="502">
        <f t="shared" si="31"/>
        <v>3.851307841656779E-3</v>
      </c>
      <c r="AF21" s="502">
        <f t="shared" si="31"/>
        <v>5.0891403300614814E-3</v>
      </c>
      <c r="AG21" s="1639">
        <f t="shared" ref="AG21" si="32">SUM(U21:AF21)</f>
        <v>3.5998039046489051E-2</v>
      </c>
      <c r="AH21" s="410"/>
      <c r="AK21" s="1019">
        <v>2.1380000000000001E-3</v>
      </c>
      <c r="AL21" s="1019">
        <v>4.032E-3</v>
      </c>
      <c r="AM21" s="782">
        <f t="shared" si="15"/>
        <v>6.1700000000000001E-3</v>
      </c>
      <c r="AN21" s="782">
        <f t="shared" si="16"/>
        <v>8.3695194693129103E-3</v>
      </c>
      <c r="AO21" s="1651">
        <f t="shared" si="17"/>
        <v>-0.26280116527328878</v>
      </c>
    </row>
    <row r="22" spans="2:41" ht="14" x14ac:dyDescent="0.25">
      <c r="B22" s="776">
        <f>B21+1</f>
        <v>9</v>
      </c>
      <c r="C22" s="1252" t="s">
        <v>961</v>
      </c>
      <c r="D22" s="502"/>
      <c r="E22" s="502"/>
      <c r="F22" s="502"/>
      <c r="G22" s="502"/>
      <c r="H22" s="502"/>
      <c r="I22" s="502"/>
      <c r="J22" s="1246">
        <f t="shared" si="24"/>
        <v>0</v>
      </c>
      <c r="K22" s="502">
        <f t="shared" si="25"/>
        <v>0</v>
      </c>
      <c r="L22" s="502">
        <f t="shared" si="26"/>
        <v>0</v>
      </c>
      <c r="M22" s="502">
        <f t="shared" si="27"/>
        <v>0</v>
      </c>
      <c r="N22" s="502">
        <f t="shared" si="28"/>
        <v>0</v>
      </c>
      <c r="O22" s="502">
        <f t="shared" si="29"/>
        <v>0</v>
      </c>
      <c r="P22" s="1247"/>
      <c r="Q22" s="1651"/>
      <c r="R22" s="1396"/>
      <c r="S22" s="776">
        <f>S21+1</f>
        <v>9</v>
      </c>
      <c r="T22" s="1252" t="s">
        <v>961</v>
      </c>
      <c r="U22" s="502">
        <f t="shared" ref="U22:U35" si="33">D22</f>
        <v>0</v>
      </c>
      <c r="V22" s="502">
        <f t="shared" si="31"/>
        <v>0</v>
      </c>
      <c r="W22" s="502">
        <f t="shared" si="31"/>
        <v>0</v>
      </c>
      <c r="X22" s="502">
        <f t="shared" si="31"/>
        <v>0</v>
      </c>
      <c r="Y22" s="502">
        <f t="shared" si="31"/>
        <v>0</v>
      </c>
      <c r="Z22" s="502">
        <f t="shared" si="31"/>
        <v>0</v>
      </c>
      <c r="AA22" s="1246">
        <f t="shared" si="31"/>
        <v>0</v>
      </c>
      <c r="AB22" s="502">
        <f t="shared" si="31"/>
        <v>0</v>
      </c>
      <c r="AC22" s="502">
        <f t="shared" si="31"/>
        <v>0</v>
      </c>
      <c r="AD22" s="502">
        <f t="shared" si="31"/>
        <v>0</v>
      </c>
      <c r="AE22" s="502">
        <f t="shared" si="31"/>
        <v>0</v>
      </c>
      <c r="AF22" s="502">
        <f t="shared" si="31"/>
        <v>0</v>
      </c>
      <c r="AG22" s="1639"/>
      <c r="AH22" s="410"/>
      <c r="AK22" s="1019">
        <f>0/(10^6)</f>
        <v>0</v>
      </c>
      <c r="AL22" s="1019">
        <f>0/(10^6)</f>
        <v>0</v>
      </c>
      <c r="AM22" s="782">
        <f t="shared" si="15"/>
        <v>0</v>
      </c>
      <c r="AN22" s="782">
        <f t="shared" si="16"/>
        <v>0</v>
      </c>
      <c r="AO22" s="1651"/>
    </row>
    <row r="23" spans="2:41" ht="14" x14ac:dyDescent="0.25">
      <c r="B23" s="776">
        <f t="shared" ref="B23:B35" si="34">B22+1</f>
        <v>10</v>
      </c>
      <c r="C23" s="600" t="s">
        <v>900</v>
      </c>
      <c r="D23" s="502">
        <v>62.818406000000003</v>
      </c>
      <c r="E23" s="502">
        <v>63.883254999999998</v>
      </c>
      <c r="F23" s="502">
        <v>62.559505999999999</v>
      </c>
      <c r="G23" s="502">
        <v>62.999949999999998</v>
      </c>
      <c r="H23" s="502">
        <v>63.278716000000003</v>
      </c>
      <c r="I23" s="502">
        <v>63.410466999999997</v>
      </c>
      <c r="J23" s="1246">
        <f t="shared" si="24"/>
        <v>64.551221101942033</v>
      </c>
      <c r="K23" s="502">
        <f t="shared" si="25"/>
        <v>64.257034519678854</v>
      </c>
      <c r="L23" s="502">
        <f t="shared" si="26"/>
        <v>63.254076715500254</v>
      </c>
      <c r="M23" s="502">
        <f t="shared" si="27"/>
        <v>61.462593297630427</v>
      </c>
      <c r="N23" s="502">
        <f t="shared" si="28"/>
        <v>57.300051741641809</v>
      </c>
      <c r="O23" s="502">
        <f t="shared" si="29"/>
        <v>59.939233451822183</v>
      </c>
      <c r="P23" s="1247">
        <f t="shared" si="30"/>
        <v>749.71451082821545</v>
      </c>
      <c r="Q23" s="1651">
        <f t="shared" si="21"/>
        <v>0.50545947094097288</v>
      </c>
      <c r="R23" s="1396">
        <f t="shared" si="10"/>
        <v>0.49454052905902712</v>
      </c>
      <c r="S23" s="776">
        <f t="shared" ref="S23:S35" si="35">S22+1</f>
        <v>10</v>
      </c>
      <c r="T23" s="600" t="s">
        <v>900</v>
      </c>
      <c r="U23" s="502">
        <f t="shared" si="33"/>
        <v>62.818406000000003</v>
      </c>
      <c r="V23" s="502">
        <f t="shared" si="31"/>
        <v>63.883254999999998</v>
      </c>
      <c r="W23" s="502">
        <f t="shared" si="31"/>
        <v>62.559505999999999</v>
      </c>
      <c r="X23" s="502">
        <f t="shared" si="31"/>
        <v>62.999949999999998</v>
      </c>
      <c r="Y23" s="502">
        <f t="shared" si="31"/>
        <v>63.278716000000003</v>
      </c>
      <c r="Z23" s="502">
        <f t="shared" si="31"/>
        <v>63.410466999999997</v>
      </c>
      <c r="AA23" s="1478">
        <f t="shared" si="31"/>
        <v>64.551221101942033</v>
      </c>
      <c r="AB23" s="502">
        <f t="shared" si="31"/>
        <v>64.257034519678854</v>
      </c>
      <c r="AC23" s="502">
        <f t="shared" si="31"/>
        <v>63.254076715500254</v>
      </c>
      <c r="AD23" s="502">
        <f t="shared" si="31"/>
        <v>61.462593297630427</v>
      </c>
      <c r="AE23" s="502">
        <f t="shared" si="31"/>
        <v>57.300051741641809</v>
      </c>
      <c r="AF23" s="502">
        <f t="shared" si="31"/>
        <v>59.939233451822183</v>
      </c>
      <c r="AG23" s="1639">
        <f t="shared" ref="AG23:AG35" si="36">SUM(U23:AF23)</f>
        <v>749.71451082821545</v>
      </c>
      <c r="AH23" s="410"/>
      <c r="AK23" s="1019">
        <v>63.314788999999998</v>
      </c>
      <c r="AL23" s="1019">
        <v>63.389003000000002</v>
      </c>
      <c r="AM23" s="782">
        <f t="shared" si="15"/>
        <v>126.70379199999999</v>
      </c>
      <c r="AN23" s="782">
        <f t="shared" si="16"/>
        <v>128.8082556216209</v>
      </c>
      <c r="AO23" s="1651">
        <f t="shared" si="17"/>
        <v>-1.6337956068614545E-2</v>
      </c>
    </row>
    <row r="24" spans="2:41" ht="14" x14ac:dyDescent="0.25">
      <c r="B24" s="776">
        <f t="shared" si="34"/>
        <v>11</v>
      </c>
      <c r="C24" s="600" t="s">
        <v>901</v>
      </c>
      <c r="D24" s="502">
        <v>62.502167999999998</v>
      </c>
      <c r="E24" s="502">
        <v>72.792362999999995</v>
      </c>
      <c r="F24" s="502">
        <v>66.047042000000005</v>
      </c>
      <c r="G24" s="502">
        <v>62.363261999999999</v>
      </c>
      <c r="H24" s="502">
        <v>61.580354</v>
      </c>
      <c r="I24" s="502">
        <v>61.551347</v>
      </c>
      <c r="J24" s="1246">
        <f t="shared" si="24"/>
        <v>71.414875140240781</v>
      </c>
      <c r="K24" s="502">
        <f t="shared" si="25"/>
        <v>70.913355079397732</v>
      </c>
      <c r="L24" s="502">
        <f t="shared" si="26"/>
        <v>62.03710484394702</v>
      </c>
      <c r="M24" s="502">
        <f t="shared" si="27"/>
        <v>49.867452967650095</v>
      </c>
      <c r="N24" s="502">
        <f t="shared" si="28"/>
        <v>35.769338791407833</v>
      </c>
      <c r="O24" s="502">
        <f t="shared" si="29"/>
        <v>44.257143177113498</v>
      </c>
      <c r="P24" s="1247">
        <f t="shared" si="30"/>
        <v>721.09580599975686</v>
      </c>
      <c r="Q24" s="1651">
        <f t="shared" si="21"/>
        <v>0.53645650519860388</v>
      </c>
      <c r="R24" s="1396">
        <f t="shared" si="10"/>
        <v>0.46354349480139612</v>
      </c>
      <c r="S24" s="776">
        <f t="shared" si="35"/>
        <v>11</v>
      </c>
      <c r="T24" s="600" t="s">
        <v>901</v>
      </c>
      <c r="U24" s="502">
        <f t="shared" si="33"/>
        <v>62.502167999999998</v>
      </c>
      <c r="V24" s="502">
        <f t="shared" si="31"/>
        <v>72.792362999999995</v>
      </c>
      <c r="W24" s="502">
        <f t="shared" si="31"/>
        <v>66.047042000000005</v>
      </c>
      <c r="X24" s="502">
        <f t="shared" si="31"/>
        <v>62.363261999999999</v>
      </c>
      <c r="Y24" s="502">
        <f t="shared" si="31"/>
        <v>61.580354</v>
      </c>
      <c r="Z24" s="502">
        <f t="shared" si="31"/>
        <v>61.551347</v>
      </c>
      <c r="AA24" s="1478">
        <f t="shared" si="31"/>
        <v>71.414875140240781</v>
      </c>
      <c r="AB24" s="502">
        <f t="shared" si="31"/>
        <v>70.913355079397732</v>
      </c>
      <c r="AC24" s="502">
        <f t="shared" si="31"/>
        <v>62.03710484394702</v>
      </c>
      <c r="AD24" s="502">
        <f t="shared" si="31"/>
        <v>49.867452967650095</v>
      </c>
      <c r="AE24" s="502">
        <f t="shared" si="31"/>
        <v>35.769338791407833</v>
      </c>
      <c r="AF24" s="502">
        <f t="shared" si="31"/>
        <v>44.257143177113498</v>
      </c>
      <c r="AG24" s="1639">
        <f t="shared" si="36"/>
        <v>721.09580599975686</v>
      </c>
      <c r="AH24" s="410"/>
      <c r="AK24" s="1019">
        <v>59.548808000000001</v>
      </c>
      <c r="AL24" s="1019">
        <v>60.684170000000002</v>
      </c>
      <c r="AM24" s="782">
        <f t="shared" si="15"/>
        <v>120.232978</v>
      </c>
      <c r="AN24" s="782">
        <f t="shared" si="16"/>
        <v>142.3282302196385</v>
      </c>
      <c r="AO24" s="1651">
        <f t="shared" si="17"/>
        <v>-0.15524152998699892</v>
      </c>
    </row>
    <row r="25" spans="2:41" ht="14" x14ac:dyDescent="0.25">
      <c r="B25" s="776">
        <f t="shared" si="34"/>
        <v>12</v>
      </c>
      <c r="C25" s="600" t="s">
        <v>902</v>
      </c>
      <c r="D25" s="502">
        <v>21.124392</v>
      </c>
      <c r="E25" s="502">
        <v>30.599404</v>
      </c>
      <c r="F25" s="502">
        <v>26.024875000000002</v>
      </c>
      <c r="G25" s="502">
        <v>19.681785000000001</v>
      </c>
      <c r="H25" s="502">
        <v>18.293196999999999</v>
      </c>
      <c r="I25" s="502">
        <v>18.395444000000001</v>
      </c>
      <c r="J25" s="1246">
        <f t="shared" si="24"/>
        <v>24.664341455183493</v>
      </c>
      <c r="K25" s="502">
        <f t="shared" si="25"/>
        <v>26.32852680938662</v>
      </c>
      <c r="L25" s="502">
        <f t="shared" si="26"/>
        <v>19.527737245989375</v>
      </c>
      <c r="M25" s="502">
        <f t="shared" si="27"/>
        <v>13.9470072115429</v>
      </c>
      <c r="N25" s="502">
        <f t="shared" si="28"/>
        <v>8.2712966829925296</v>
      </c>
      <c r="O25" s="502">
        <f t="shared" si="29"/>
        <v>10.76484388502158</v>
      </c>
      <c r="P25" s="1247">
        <f t="shared" si="30"/>
        <v>237.62285029011653</v>
      </c>
      <c r="Q25" s="1651">
        <f t="shared" si="21"/>
        <v>0.56442003299031396</v>
      </c>
      <c r="R25" s="1396">
        <f t="shared" si="10"/>
        <v>0.43557996700968604</v>
      </c>
      <c r="S25" s="776">
        <f t="shared" si="35"/>
        <v>12</v>
      </c>
      <c r="T25" s="600" t="s">
        <v>902</v>
      </c>
      <c r="U25" s="502">
        <f t="shared" si="33"/>
        <v>21.124392</v>
      </c>
      <c r="V25" s="502">
        <f t="shared" si="31"/>
        <v>30.599404</v>
      </c>
      <c r="W25" s="502">
        <f t="shared" si="31"/>
        <v>26.024875000000002</v>
      </c>
      <c r="X25" s="502">
        <f t="shared" si="31"/>
        <v>19.681785000000001</v>
      </c>
      <c r="Y25" s="502">
        <f t="shared" si="31"/>
        <v>18.293196999999999</v>
      </c>
      <c r="Z25" s="502">
        <f t="shared" si="31"/>
        <v>18.395444000000001</v>
      </c>
      <c r="AA25" s="1478">
        <f t="shared" si="31"/>
        <v>24.664341455183493</v>
      </c>
      <c r="AB25" s="502">
        <f t="shared" si="31"/>
        <v>26.32852680938662</v>
      </c>
      <c r="AC25" s="502">
        <f t="shared" si="31"/>
        <v>19.527737245989375</v>
      </c>
      <c r="AD25" s="502">
        <f t="shared" si="31"/>
        <v>13.9470072115429</v>
      </c>
      <c r="AE25" s="502">
        <f t="shared" si="31"/>
        <v>8.2712966829925296</v>
      </c>
      <c r="AF25" s="502">
        <f t="shared" si="31"/>
        <v>10.76484388502158</v>
      </c>
      <c r="AG25" s="1639">
        <f t="shared" si="36"/>
        <v>237.62285029011653</v>
      </c>
      <c r="AH25" s="410"/>
      <c r="AK25" s="1019">
        <v>17.07788</v>
      </c>
      <c r="AL25" s="1019">
        <v>18.213708</v>
      </c>
      <c r="AM25" s="782">
        <f t="shared" si="15"/>
        <v>35.291588000000004</v>
      </c>
      <c r="AN25" s="782">
        <f t="shared" si="16"/>
        <v>50.992868264570113</v>
      </c>
      <c r="AO25" s="1651">
        <f t="shared" si="17"/>
        <v>-0.30791129816636287</v>
      </c>
    </row>
    <row r="26" spans="2:41" ht="14" x14ac:dyDescent="0.25">
      <c r="B26" s="776">
        <f t="shared" si="34"/>
        <v>13</v>
      </c>
      <c r="C26" s="600" t="s">
        <v>903</v>
      </c>
      <c r="D26" s="502">
        <v>34.108908</v>
      </c>
      <c r="E26" s="502">
        <v>48.922634000000002</v>
      </c>
      <c r="F26" s="502">
        <v>41.288401</v>
      </c>
      <c r="G26" s="502">
        <v>31.676314999999999</v>
      </c>
      <c r="H26" s="502">
        <v>32.540858999999998</v>
      </c>
      <c r="I26" s="502">
        <v>31.828137999999999</v>
      </c>
      <c r="J26" s="1246">
        <f t="shared" si="24"/>
        <v>37.214598809272275</v>
      </c>
      <c r="K26" s="502">
        <f t="shared" si="25"/>
        <v>40.919329252926261</v>
      </c>
      <c r="L26" s="502">
        <f t="shared" si="26"/>
        <v>32.530610875796953</v>
      </c>
      <c r="M26" s="502">
        <f t="shared" si="27"/>
        <v>25.012557839450373</v>
      </c>
      <c r="N26" s="502">
        <f t="shared" si="28"/>
        <v>18.743881126675209</v>
      </c>
      <c r="O26" s="502">
        <f t="shared" si="29"/>
        <v>20.541111356586011</v>
      </c>
      <c r="P26" s="1247">
        <f t="shared" si="30"/>
        <v>395.32734426070704</v>
      </c>
      <c r="Q26" s="1651">
        <f t="shared" si="21"/>
        <v>0.55742477265796064</v>
      </c>
      <c r="R26" s="1396">
        <f t="shared" si="10"/>
        <v>0.44257522734203936</v>
      </c>
      <c r="S26" s="776">
        <f t="shared" si="35"/>
        <v>13</v>
      </c>
      <c r="T26" s="600" t="s">
        <v>903</v>
      </c>
      <c r="U26" s="502">
        <f t="shared" si="33"/>
        <v>34.108908</v>
      </c>
      <c r="V26" s="502">
        <f t="shared" si="31"/>
        <v>48.922634000000002</v>
      </c>
      <c r="W26" s="502">
        <f t="shared" si="31"/>
        <v>41.288401</v>
      </c>
      <c r="X26" s="502">
        <f t="shared" si="31"/>
        <v>31.676314999999999</v>
      </c>
      <c r="Y26" s="502">
        <f t="shared" si="31"/>
        <v>32.540858999999998</v>
      </c>
      <c r="Z26" s="502">
        <f t="shared" si="31"/>
        <v>31.828137999999999</v>
      </c>
      <c r="AA26" s="1478">
        <f t="shared" si="31"/>
        <v>37.214598809272275</v>
      </c>
      <c r="AB26" s="502">
        <f t="shared" si="31"/>
        <v>40.919329252926261</v>
      </c>
      <c r="AC26" s="502">
        <f t="shared" si="31"/>
        <v>32.530610875796953</v>
      </c>
      <c r="AD26" s="502">
        <f t="shared" si="31"/>
        <v>25.012557839450373</v>
      </c>
      <c r="AE26" s="502">
        <f t="shared" si="31"/>
        <v>18.743881126675209</v>
      </c>
      <c r="AF26" s="502">
        <f t="shared" si="31"/>
        <v>20.541111356586011</v>
      </c>
      <c r="AG26" s="1639">
        <f t="shared" si="36"/>
        <v>395.32734426070704</v>
      </c>
      <c r="AH26" s="410"/>
      <c r="AK26" s="1019">
        <v>29.688858</v>
      </c>
      <c r="AL26" s="1019">
        <v>31.566109000000001</v>
      </c>
      <c r="AM26" s="782">
        <f t="shared" si="15"/>
        <v>61.254967000000001</v>
      </c>
      <c r="AN26" s="782">
        <f t="shared" si="16"/>
        <v>78.133928062198535</v>
      </c>
      <c r="AO26" s="1651">
        <f t="shared" si="17"/>
        <v>-0.21602601431687951</v>
      </c>
    </row>
    <row r="27" spans="2:41" ht="14" x14ac:dyDescent="0.25">
      <c r="B27" s="776">
        <f t="shared" si="34"/>
        <v>14</v>
      </c>
      <c r="C27" s="1252" t="s">
        <v>962</v>
      </c>
      <c r="D27" s="502">
        <v>70.117185000000006</v>
      </c>
      <c r="E27" s="502">
        <v>80.276100999999997</v>
      </c>
      <c r="F27" s="502">
        <v>73.664889000000002</v>
      </c>
      <c r="G27" s="502">
        <v>68.375157000000002</v>
      </c>
      <c r="H27" s="502">
        <v>68.450813999999994</v>
      </c>
      <c r="I27" s="502">
        <v>69.532748999999995</v>
      </c>
      <c r="J27" s="1246">
        <f t="shared" si="24"/>
        <v>76.231749346916089</v>
      </c>
      <c r="K27" s="502">
        <f t="shared" si="25"/>
        <v>76.32137780404274</v>
      </c>
      <c r="L27" s="502">
        <f t="shared" si="26"/>
        <v>69.25967073336318</v>
      </c>
      <c r="M27" s="502">
        <f t="shared" si="27"/>
        <v>61.974061440655213</v>
      </c>
      <c r="N27" s="502">
        <f t="shared" si="28"/>
        <v>52.672342365181237</v>
      </c>
      <c r="O27" s="502">
        <f t="shared" si="29"/>
        <v>59.615183073012346</v>
      </c>
      <c r="P27" s="1247">
        <f t="shared" si="30"/>
        <v>826.49127976317072</v>
      </c>
      <c r="Q27" s="1651">
        <f t="shared" si="21"/>
        <v>0.52077608746620407</v>
      </c>
      <c r="R27" s="1396">
        <f t="shared" si="10"/>
        <v>0.47922391253379593</v>
      </c>
      <c r="S27" s="776">
        <f t="shared" si="35"/>
        <v>14</v>
      </c>
      <c r="T27" s="1252" t="s">
        <v>962</v>
      </c>
      <c r="U27" s="502">
        <f t="shared" si="33"/>
        <v>70.117185000000006</v>
      </c>
      <c r="V27" s="502">
        <f t="shared" si="31"/>
        <v>80.276100999999997</v>
      </c>
      <c r="W27" s="502">
        <f t="shared" si="31"/>
        <v>73.664889000000002</v>
      </c>
      <c r="X27" s="502">
        <f t="shared" si="31"/>
        <v>68.375157000000002</v>
      </c>
      <c r="Y27" s="502">
        <f t="shared" si="31"/>
        <v>68.450813999999994</v>
      </c>
      <c r="Z27" s="502">
        <f t="shared" si="31"/>
        <v>69.532748999999995</v>
      </c>
      <c r="AA27" s="1246">
        <f t="shared" si="31"/>
        <v>76.231749346916089</v>
      </c>
      <c r="AB27" s="502">
        <f t="shared" si="31"/>
        <v>76.32137780404274</v>
      </c>
      <c r="AC27" s="502">
        <f t="shared" si="31"/>
        <v>69.25967073336318</v>
      </c>
      <c r="AD27" s="502">
        <f t="shared" si="31"/>
        <v>61.974061440655213</v>
      </c>
      <c r="AE27" s="502">
        <f t="shared" si="31"/>
        <v>52.672342365181237</v>
      </c>
      <c r="AF27" s="502">
        <f t="shared" si="31"/>
        <v>59.615183073012346</v>
      </c>
      <c r="AG27" s="1639">
        <f t="shared" si="36"/>
        <v>826.49127976317072</v>
      </c>
      <c r="AH27" s="410"/>
      <c r="AK27" s="1019">
        <v>70.663283000000007</v>
      </c>
      <c r="AL27" s="1019">
        <v>71.053280999999998</v>
      </c>
      <c r="AM27" s="782">
        <f t="shared" si="15"/>
        <v>141.71656400000001</v>
      </c>
      <c r="AN27" s="782">
        <f t="shared" si="16"/>
        <v>152.55312715095883</v>
      </c>
      <c r="AO27" s="1651">
        <f t="shared" si="17"/>
        <v>-7.1034683807140286E-2</v>
      </c>
    </row>
    <row r="28" spans="2:41" ht="14" x14ac:dyDescent="0.25">
      <c r="B28" s="776">
        <f t="shared" si="34"/>
        <v>15</v>
      </c>
      <c r="C28" s="1252" t="s">
        <v>963</v>
      </c>
      <c r="D28" s="502">
        <v>14.783083</v>
      </c>
      <c r="E28" s="502">
        <v>15.731424000000001</v>
      </c>
      <c r="F28" s="502">
        <v>16.789165000000001</v>
      </c>
      <c r="G28" s="502">
        <v>15.586944000000001</v>
      </c>
      <c r="H28" s="502">
        <v>14.047637999999999</v>
      </c>
      <c r="I28" s="502">
        <v>14.036979000000001</v>
      </c>
      <c r="J28" s="1246">
        <f t="shared" si="24"/>
        <v>13.915287731965405</v>
      </c>
      <c r="K28" s="502">
        <f t="shared" si="25"/>
        <v>15.982644622742274</v>
      </c>
      <c r="L28" s="502">
        <f t="shared" si="26"/>
        <v>14.0768528935972</v>
      </c>
      <c r="M28" s="502">
        <f t="shared" si="27"/>
        <v>12.743363941057259</v>
      </c>
      <c r="N28" s="502">
        <f t="shared" si="28"/>
        <v>11.875438171580642</v>
      </c>
      <c r="O28" s="502">
        <f t="shared" si="29"/>
        <v>11.188633303908823</v>
      </c>
      <c r="P28" s="1247">
        <f t="shared" si="30"/>
        <v>170.7574536648516</v>
      </c>
      <c r="Q28" s="1651">
        <f t="shared" si="21"/>
        <v>0.53277459371441882</v>
      </c>
      <c r="R28" s="1396">
        <f t="shared" si="10"/>
        <v>0.46722540628558118</v>
      </c>
      <c r="S28" s="776">
        <f t="shared" si="35"/>
        <v>15</v>
      </c>
      <c r="T28" s="1252" t="s">
        <v>963</v>
      </c>
      <c r="U28" s="502">
        <f t="shared" si="33"/>
        <v>14.783083</v>
      </c>
      <c r="V28" s="502">
        <f t="shared" si="31"/>
        <v>15.731424000000001</v>
      </c>
      <c r="W28" s="502">
        <f t="shared" si="31"/>
        <v>16.789165000000001</v>
      </c>
      <c r="X28" s="502">
        <f t="shared" si="31"/>
        <v>15.586944000000001</v>
      </c>
      <c r="Y28" s="502">
        <f t="shared" si="31"/>
        <v>14.047637999999999</v>
      </c>
      <c r="Z28" s="502">
        <f t="shared" si="31"/>
        <v>14.036979000000001</v>
      </c>
      <c r="AA28" s="1246">
        <f t="shared" si="31"/>
        <v>13.915287731965405</v>
      </c>
      <c r="AB28" s="502">
        <f t="shared" si="31"/>
        <v>15.982644622742274</v>
      </c>
      <c r="AC28" s="502">
        <f t="shared" si="31"/>
        <v>14.0768528935972</v>
      </c>
      <c r="AD28" s="502">
        <f t="shared" si="31"/>
        <v>12.743363941057259</v>
      </c>
      <c r="AE28" s="502">
        <f t="shared" si="31"/>
        <v>11.875438171580642</v>
      </c>
      <c r="AF28" s="502">
        <f t="shared" si="31"/>
        <v>11.188633303908823</v>
      </c>
      <c r="AG28" s="1639">
        <f t="shared" si="36"/>
        <v>170.7574536648516</v>
      </c>
      <c r="AH28" s="410"/>
      <c r="AK28" s="1019">
        <v>14.331435000000001</v>
      </c>
      <c r="AL28" s="1019">
        <v>14.452559000000001</v>
      </c>
      <c r="AM28" s="782">
        <f t="shared" si="15"/>
        <v>28.783994</v>
      </c>
      <c r="AN28" s="782">
        <f t="shared" si="16"/>
        <v>29.897932354707677</v>
      </c>
      <c r="AO28" s="1651">
        <f t="shared" si="17"/>
        <v>-3.7258039836734036E-2</v>
      </c>
    </row>
    <row r="29" spans="2:41" ht="14" x14ac:dyDescent="0.25">
      <c r="B29" s="776">
        <f t="shared" si="34"/>
        <v>16</v>
      </c>
      <c r="C29" s="1252" t="s">
        <v>964</v>
      </c>
      <c r="D29" s="502">
        <v>30.147994000000001</v>
      </c>
      <c r="E29" s="502">
        <v>32.767401</v>
      </c>
      <c r="F29" s="502">
        <v>35.315922999999998</v>
      </c>
      <c r="G29" s="502">
        <v>32.943264999999997</v>
      </c>
      <c r="H29" s="502">
        <v>30.200312</v>
      </c>
      <c r="I29" s="502">
        <v>30.420096000000001</v>
      </c>
      <c r="J29" s="1246">
        <f t="shared" si="24"/>
        <v>28.937710695102741</v>
      </c>
      <c r="K29" s="502">
        <f t="shared" si="25"/>
        <v>33.47249359298187</v>
      </c>
      <c r="L29" s="502">
        <f t="shared" si="26"/>
        <v>29.518267418991297</v>
      </c>
      <c r="M29" s="502">
        <f t="shared" si="27"/>
        <v>26.411988244099156</v>
      </c>
      <c r="N29" s="502">
        <f t="shared" si="28"/>
        <v>24.90639315380696</v>
      </c>
      <c r="O29" s="502">
        <f t="shared" si="29"/>
        <v>23.192545059551655</v>
      </c>
      <c r="P29" s="1247">
        <f t="shared" si="30"/>
        <v>358.2343891645337</v>
      </c>
      <c r="Q29" s="1651">
        <f t="shared" si="21"/>
        <v>0.5353896688905273</v>
      </c>
      <c r="R29" s="1396">
        <f t="shared" si="10"/>
        <v>0.4646103311094727</v>
      </c>
      <c r="S29" s="776">
        <f t="shared" si="35"/>
        <v>16</v>
      </c>
      <c r="T29" s="1252" t="s">
        <v>964</v>
      </c>
      <c r="U29" s="502">
        <f t="shared" si="33"/>
        <v>30.147994000000001</v>
      </c>
      <c r="V29" s="502">
        <f t="shared" si="31"/>
        <v>32.767401</v>
      </c>
      <c r="W29" s="502">
        <f t="shared" si="31"/>
        <v>35.315922999999998</v>
      </c>
      <c r="X29" s="502">
        <f t="shared" si="31"/>
        <v>32.943264999999997</v>
      </c>
      <c r="Y29" s="502">
        <f t="shared" si="31"/>
        <v>30.200312</v>
      </c>
      <c r="Z29" s="502">
        <f t="shared" si="31"/>
        <v>30.420096000000001</v>
      </c>
      <c r="AA29" s="1246">
        <f t="shared" si="31"/>
        <v>28.937710695102741</v>
      </c>
      <c r="AB29" s="502">
        <f t="shared" si="31"/>
        <v>33.47249359298187</v>
      </c>
      <c r="AC29" s="502">
        <f t="shared" si="31"/>
        <v>29.518267418991297</v>
      </c>
      <c r="AD29" s="502">
        <f t="shared" si="31"/>
        <v>26.411988244099156</v>
      </c>
      <c r="AE29" s="502">
        <f t="shared" si="31"/>
        <v>24.90639315380696</v>
      </c>
      <c r="AF29" s="502">
        <f t="shared" si="31"/>
        <v>23.192545059551655</v>
      </c>
      <c r="AG29" s="1639">
        <f t="shared" si="36"/>
        <v>358.2343891645337</v>
      </c>
      <c r="AH29" s="410"/>
      <c r="AK29" s="1019">
        <v>30.271653000000001</v>
      </c>
      <c r="AL29" s="1019">
        <v>31.245362</v>
      </c>
      <c r="AM29" s="782">
        <f t="shared" si="15"/>
        <v>61.517015000000001</v>
      </c>
      <c r="AN29" s="782">
        <f t="shared" si="16"/>
        <v>62.410204288084614</v>
      </c>
      <c r="AO29" s="1651">
        <f t="shared" si="17"/>
        <v>-1.4311590520704964E-2</v>
      </c>
    </row>
    <row r="30" spans="2:41" ht="14" x14ac:dyDescent="0.25">
      <c r="B30" s="776">
        <f t="shared" si="34"/>
        <v>17</v>
      </c>
      <c r="C30" s="1252" t="s">
        <v>965</v>
      </c>
      <c r="D30" s="502">
        <v>8.1939659999999996</v>
      </c>
      <c r="E30" s="502">
        <v>8.8921720000000004</v>
      </c>
      <c r="F30" s="502">
        <v>8.0106610000000007</v>
      </c>
      <c r="G30" s="502">
        <v>8.343629</v>
      </c>
      <c r="H30" s="502">
        <v>8.8732399999999991</v>
      </c>
      <c r="I30" s="502">
        <v>8.9088460000000005</v>
      </c>
      <c r="J30" s="1246">
        <f t="shared" si="24"/>
        <v>9.4406769316606987</v>
      </c>
      <c r="K30" s="502">
        <f t="shared" si="25"/>
        <v>9.6176372381018123</v>
      </c>
      <c r="L30" s="502">
        <f t="shared" si="26"/>
        <v>9.0226297119287793</v>
      </c>
      <c r="M30" s="502">
        <f t="shared" si="27"/>
        <v>8.6399447407953609</v>
      </c>
      <c r="N30" s="502">
        <f t="shared" si="28"/>
        <v>8.7017791916651408</v>
      </c>
      <c r="O30" s="502">
        <f t="shared" si="29"/>
        <v>9.0940750897378102</v>
      </c>
      <c r="P30" s="1247">
        <f t="shared" si="30"/>
        <v>105.7392569038896</v>
      </c>
      <c r="Q30" s="1651">
        <f t="shared" si="21"/>
        <v>0.48442286715290678</v>
      </c>
      <c r="R30" s="1396">
        <f t="shared" si="10"/>
        <v>0.51557713284709328</v>
      </c>
      <c r="S30" s="776">
        <f t="shared" si="35"/>
        <v>17</v>
      </c>
      <c r="T30" s="1252" t="s">
        <v>965</v>
      </c>
      <c r="U30" s="502">
        <f t="shared" si="33"/>
        <v>8.1939659999999996</v>
      </c>
      <c r="V30" s="502">
        <f t="shared" si="31"/>
        <v>8.8921720000000004</v>
      </c>
      <c r="W30" s="502">
        <f t="shared" si="31"/>
        <v>8.0106610000000007</v>
      </c>
      <c r="X30" s="502">
        <f t="shared" si="31"/>
        <v>8.343629</v>
      </c>
      <c r="Y30" s="502">
        <f t="shared" si="31"/>
        <v>8.8732399999999991</v>
      </c>
      <c r="Z30" s="502">
        <f t="shared" si="31"/>
        <v>8.9088460000000005</v>
      </c>
      <c r="AA30" s="1246">
        <f t="shared" si="31"/>
        <v>9.4406769316606987</v>
      </c>
      <c r="AB30" s="502">
        <f t="shared" si="31"/>
        <v>9.6176372381018123</v>
      </c>
      <c r="AC30" s="502">
        <f t="shared" si="31"/>
        <v>9.0226297119287793</v>
      </c>
      <c r="AD30" s="502">
        <f t="shared" si="31"/>
        <v>8.6399447407953609</v>
      </c>
      <c r="AE30" s="502">
        <f t="shared" si="31"/>
        <v>8.7017791916651408</v>
      </c>
      <c r="AF30" s="502">
        <f t="shared" si="31"/>
        <v>9.0940750897378102</v>
      </c>
      <c r="AG30" s="1639">
        <f t="shared" si="36"/>
        <v>105.7392569038896</v>
      </c>
      <c r="AH30" s="410"/>
      <c r="AK30" s="1019">
        <v>8.7725519999999992</v>
      </c>
      <c r="AL30" s="1019">
        <v>8.8430040000000005</v>
      </c>
      <c r="AM30" s="782">
        <f t="shared" si="15"/>
        <v>17.615555999999998</v>
      </c>
      <c r="AN30" s="782">
        <f t="shared" si="16"/>
        <v>19.058314169762511</v>
      </c>
      <c r="AO30" s="1651">
        <f t="shared" si="17"/>
        <v>-7.5702297533302265E-2</v>
      </c>
    </row>
    <row r="31" spans="2:41" ht="14" x14ac:dyDescent="0.25">
      <c r="B31" s="776">
        <f t="shared" si="34"/>
        <v>18</v>
      </c>
      <c r="C31" s="1252" t="s">
        <v>966</v>
      </c>
      <c r="D31" s="502">
        <v>6.963355</v>
      </c>
      <c r="E31" s="502">
        <v>6.8979689999999998</v>
      </c>
      <c r="F31" s="502">
        <v>7.0801959999999999</v>
      </c>
      <c r="G31" s="502">
        <v>6.8399150000000004</v>
      </c>
      <c r="H31" s="502">
        <v>6.6852729999999996</v>
      </c>
      <c r="I31" s="502">
        <v>6.6050880000000003</v>
      </c>
      <c r="J31" s="1246">
        <f t="shared" si="24"/>
        <v>6.5835935223922322</v>
      </c>
      <c r="K31" s="502">
        <f t="shared" si="25"/>
        <v>7.3093487309523058</v>
      </c>
      <c r="L31" s="502">
        <f t="shared" si="26"/>
        <v>6.364912664709812</v>
      </c>
      <c r="M31" s="502">
        <f t="shared" si="27"/>
        <v>6.6479934324208294</v>
      </c>
      <c r="N31" s="502">
        <f t="shared" si="28"/>
        <v>6.1142830520131346</v>
      </c>
      <c r="O31" s="502">
        <f t="shared" si="29"/>
        <v>5.7151567138077377</v>
      </c>
      <c r="P31" s="1247">
        <f t="shared" si="30"/>
        <v>79.807084116296068</v>
      </c>
      <c r="Q31" s="1651">
        <f t="shared" si="21"/>
        <v>0.51463847420048048</v>
      </c>
      <c r="R31" s="1396">
        <f t="shared" si="10"/>
        <v>0.48536152579951952</v>
      </c>
      <c r="S31" s="776">
        <f t="shared" si="35"/>
        <v>18</v>
      </c>
      <c r="T31" s="1252" t="s">
        <v>966</v>
      </c>
      <c r="U31" s="502">
        <f t="shared" si="33"/>
        <v>6.963355</v>
      </c>
      <c r="V31" s="502">
        <f t="shared" si="31"/>
        <v>6.8979689999999998</v>
      </c>
      <c r="W31" s="502">
        <f t="shared" si="31"/>
        <v>7.0801959999999999</v>
      </c>
      <c r="X31" s="502">
        <f t="shared" si="31"/>
        <v>6.8399150000000004</v>
      </c>
      <c r="Y31" s="502">
        <f t="shared" si="31"/>
        <v>6.6852729999999996</v>
      </c>
      <c r="Z31" s="502">
        <f t="shared" si="31"/>
        <v>6.6050880000000003</v>
      </c>
      <c r="AA31" s="1246">
        <f t="shared" si="31"/>
        <v>6.5835935223922322</v>
      </c>
      <c r="AB31" s="502">
        <f t="shared" si="31"/>
        <v>7.3093487309523058</v>
      </c>
      <c r="AC31" s="502">
        <f t="shared" si="31"/>
        <v>6.364912664709812</v>
      </c>
      <c r="AD31" s="502">
        <f t="shared" si="31"/>
        <v>6.6479934324208294</v>
      </c>
      <c r="AE31" s="502">
        <f t="shared" si="31"/>
        <v>6.1142830520131346</v>
      </c>
      <c r="AF31" s="502">
        <f t="shared" si="31"/>
        <v>5.7151567138077377</v>
      </c>
      <c r="AG31" s="1639">
        <f t="shared" si="36"/>
        <v>79.807084116296068</v>
      </c>
      <c r="AH31" s="410"/>
      <c r="AK31" s="1019">
        <v>6.6912500000000001</v>
      </c>
      <c r="AL31" s="1019">
        <v>6.4939400000000003</v>
      </c>
      <c r="AM31" s="782">
        <f t="shared" si="15"/>
        <v>13.18519</v>
      </c>
      <c r="AN31" s="782">
        <f t="shared" si="16"/>
        <v>13.892942253344538</v>
      </c>
      <c r="AO31" s="1651">
        <f t="shared" si="17"/>
        <v>-5.0943294835487873E-2</v>
      </c>
    </row>
    <row r="32" spans="2:41" ht="14" x14ac:dyDescent="0.25">
      <c r="B32" s="776">
        <f t="shared" si="34"/>
        <v>19</v>
      </c>
      <c r="C32" s="1252" t="s">
        <v>967</v>
      </c>
      <c r="D32" s="502">
        <v>5.1079439999999998</v>
      </c>
      <c r="E32" s="502">
        <v>5.6684390000000002</v>
      </c>
      <c r="F32" s="502">
        <v>5.7215610000000003</v>
      </c>
      <c r="G32" s="502">
        <v>5.4936629999999997</v>
      </c>
      <c r="H32" s="502">
        <v>5.3757029999999997</v>
      </c>
      <c r="I32" s="502">
        <v>5.3172230000000003</v>
      </c>
      <c r="J32" s="1246">
        <f t="shared" si="24"/>
        <v>5.2614319081163972</v>
      </c>
      <c r="K32" s="502">
        <f t="shared" si="25"/>
        <v>5.8138448832831502</v>
      </c>
      <c r="L32" s="502">
        <f t="shared" si="26"/>
        <v>4.9758695748860697</v>
      </c>
      <c r="M32" s="502">
        <f t="shared" si="27"/>
        <v>4.4465071526999704</v>
      </c>
      <c r="N32" s="502">
        <f t="shared" si="28"/>
        <v>4.2250458685535595</v>
      </c>
      <c r="O32" s="502">
        <f t="shared" si="29"/>
        <v>3.9900501605198913</v>
      </c>
      <c r="P32" s="1247">
        <f t="shared" si="30"/>
        <v>61.397282548059046</v>
      </c>
      <c r="Q32" s="1651">
        <f t="shared" si="21"/>
        <v>0.5323449449805211</v>
      </c>
      <c r="R32" s="1396">
        <f t="shared" si="10"/>
        <v>0.4676550550194789</v>
      </c>
      <c r="S32" s="776">
        <f t="shared" si="35"/>
        <v>19</v>
      </c>
      <c r="T32" s="1252" t="s">
        <v>967</v>
      </c>
      <c r="U32" s="502">
        <f t="shared" si="33"/>
        <v>5.1079439999999998</v>
      </c>
      <c r="V32" s="502">
        <f t="shared" si="31"/>
        <v>5.6684390000000002</v>
      </c>
      <c r="W32" s="502">
        <f t="shared" si="31"/>
        <v>5.7215610000000003</v>
      </c>
      <c r="X32" s="502">
        <f t="shared" si="31"/>
        <v>5.4936629999999997</v>
      </c>
      <c r="Y32" s="502">
        <f t="shared" si="31"/>
        <v>5.3757029999999997</v>
      </c>
      <c r="Z32" s="502">
        <f t="shared" si="31"/>
        <v>5.3172230000000003</v>
      </c>
      <c r="AA32" s="1246">
        <f t="shared" si="31"/>
        <v>5.2614319081163972</v>
      </c>
      <c r="AB32" s="502">
        <f t="shared" si="31"/>
        <v>5.8138448832831502</v>
      </c>
      <c r="AC32" s="502">
        <f t="shared" si="31"/>
        <v>4.9758695748860697</v>
      </c>
      <c r="AD32" s="502">
        <f t="shared" si="31"/>
        <v>4.4465071526999704</v>
      </c>
      <c r="AE32" s="502">
        <f t="shared" si="31"/>
        <v>4.2250458685535595</v>
      </c>
      <c r="AF32" s="502">
        <f t="shared" si="31"/>
        <v>3.9900501605198913</v>
      </c>
      <c r="AG32" s="1639">
        <f t="shared" si="36"/>
        <v>61.397282548059046</v>
      </c>
      <c r="AH32" s="410"/>
      <c r="AK32" s="1019">
        <v>5.2180270000000002</v>
      </c>
      <c r="AL32" s="1019">
        <v>5.1101590000000003</v>
      </c>
      <c r="AM32" s="782">
        <f t="shared" si="15"/>
        <v>10.328186000000001</v>
      </c>
      <c r="AN32" s="782">
        <f t="shared" si="16"/>
        <v>11.075276791399547</v>
      </c>
      <c r="AO32" s="1651">
        <f t="shared" si="17"/>
        <v>-6.7455721917460076E-2</v>
      </c>
    </row>
    <row r="33" spans="1:41" ht="14" x14ac:dyDescent="0.25">
      <c r="B33" s="776">
        <f t="shared" si="34"/>
        <v>20</v>
      </c>
      <c r="C33" s="1252" t="s">
        <v>968</v>
      </c>
      <c r="D33" s="502">
        <v>15.789392400000001</v>
      </c>
      <c r="E33" s="502">
        <v>16.391738199999999</v>
      </c>
      <c r="F33" s="502">
        <v>16.6137759</v>
      </c>
      <c r="G33" s="502">
        <v>16.142716</v>
      </c>
      <c r="H33" s="502">
        <v>15.6557584</v>
      </c>
      <c r="I33" s="502">
        <v>15.598434300000001</v>
      </c>
      <c r="J33" s="1246">
        <f t="shared" si="24"/>
        <v>15.147769029841001</v>
      </c>
      <c r="K33" s="502">
        <f t="shared" si="25"/>
        <v>16.66373456308645</v>
      </c>
      <c r="L33" s="502">
        <f t="shared" si="26"/>
        <v>14.161420423622149</v>
      </c>
      <c r="M33" s="502">
        <f t="shared" si="27"/>
        <v>13.117746421184263</v>
      </c>
      <c r="N33" s="502">
        <f t="shared" si="28"/>
        <v>12.233085157671706</v>
      </c>
      <c r="O33" s="502">
        <f t="shared" si="29"/>
        <v>11.304297185207398</v>
      </c>
      <c r="P33" s="1247">
        <f t="shared" si="30"/>
        <v>178.81986798061297</v>
      </c>
      <c r="Q33" s="1651">
        <f t="shared" si="21"/>
        <v>0.53792577014109411</v>
      </c>
      <c r="R33" s="1396">
        <f t="shared" si="10"/>
        <v>0.46207422985890589</v>
      </c>
      <c r="S33" s="776">
        <f t="shared" si="35"/>
        <v>20</v>
      </c>
      <c r="T33" s="1252" t="s">
        <v>968</v>
      </c>
      <c r="U33" s="502">
        <f t="shared" si="33"/>
        <v>15.789392400000001</v>
      </c>
      <c r="V33" s="502">
        <f t="shared" si="31"/>
        <v>16.391738199999999</v>
      </c>
      <c r="W33" s="502">
        <f t="shared" si="31"/>
        <v>16.6137759</v>
      </c>
      <c r="X33" s="502">
        <f t="shared" si="31"/>
        <v>16.142716</v>
      </c>
      <c r="Y33" s="502">
        <f t="shared" si="31"/>
        <v>15.6557584</v>
      </c>
      <c r="Z33" s="502">
        <f t="shared" si="31"/>
        <v>15.598434300000001</v>
      </c>
      <c r="AA33" s="1246">
        <f t="shared" si="31"/>
        <v>15.147769029841001</v>
      </c>
      <c r="AB33" s="502">
        <f t="shared" si="31"/>
        <v>16.66373456308645</v>
      </c>
      <c r="AC33" s="502">
        <f t="shared" si="31"/>
        <v>14.161420423622149</v>
      </c>
      <c r="AD33" s="502">
        <f t="shared" si="31"/>
        <v>13.117746421184263</v>
      </c>
      <c r="AE33" s="502">
        <f t="shared" si="31"/>
        <v>12.233085157671706</v>
      </c>
      <c r="AF33" s="502">
        <f t="shared" si="31"/>
        <v>11.304297185207398</v>
      </c>
      <c r="AG33" s="1639">
        <f t="shared" si="36"/>
        <v>178.81986798061297</v>
      </c>
      <c r="AH33" s="410"/>
      <c r="AK33" s="1019">
        <v>15.569736199999999</v>
      </c>
      <c r="AL33" s="1019">
        <v>15.2498065</v>
      </c>
      <c r="AM33" s="782">
        <f t="shared" si="15"/>
        <v>30.8195427</v>
      </c>
      <c r="AN33" s="782">
        <f t="shared" si="16"/>
        <v>31.811503592927451</v>
      </c>
      <c r="AO33" s="1651">
        <f t="shared" si="17"/>
        <v>-3.1182458572879046E-2</v>
      </c>
    </row>
    <row r="34" spans="1:41" ht="14" x14ac:dyDescent="0.25">
      <c r="B34" s="776">
        <f t="shared" si="34"/>
        <v>21</v>
      </c>
      <c r="C34" s="1252" t="s">
        <v>970</v>
      </c>
      <c r="D34" s="502">
        <v>5.1580000000000003E-3</v>
      </c>
      <c r="E34" s="502">
        <v>5.1850000000000004E-3</v>
      </c>
      <c r="F34" s="502">
        <v>6.2360000000000002E-3</v>
      </c>
      <c r="G34" s="502">
        <v>5.8019999999999999E-3</v>
      </c>
      <c r="H34" s="502">
        <v>3.4450000000000001E-3</v>
      </c>
      <c r="I34" s="502">
        <v>3.6610000000000002E-3</v>
      </c>
      <c r="J34" s="1246">
        <f>I34</f>
        <v>3.6610000000000002E-3</v>
      </c>
      <c r="K34" s="502">
        <f t="shared" ref="K34:O34" si="37">J34</f>
        <v>3.6610000000000002E-3</v>
      </c>
      <c r="L34" s="502">
        <f t="shared" si="37"/>
        <v>3.6610000000000002E-3</v>
      </c>
      <c r="M34" s="502">
        <f t="shared" si="37"/>
        <v>3.6610000000000002E-3</v>
      </c>
      <c r="N34" s="502">
        <f t="shared" si="37"/>
        <v>3.6610000000000002E-3</v>
      </c>
      <c r="O34" s="502">
        <f t="shared" si="37"/>
        <v>3.6610000000000002E-3</v>
      </c>
      <c r="P34" s="1247">
        <f t="shared" si="30"/>
        <v>5.1452999999999992E-2</v>
      </c>
      <c r="Q34" s="1651">
        <f t="shared" si="21"/>
        <v>0.57308611742755544</v>
      </c>
      <c r="R34" s="1396">
        <f t="shared" si="10"/>
        <v>0.42691388257244456</v>
      </c>
      <c r="S34" s="776">
        <f t="shared" si="35"/>
        <v>21</v>
      </c>
      <c r="T34" s="1252" t="s">
        <v>970</v>
      </c>
      <c r="U34" s="502">
        <f t="shared" si="33"/>
        <v>5.1580000000000003E-3</v>
      </c>
      <c r="V34" s="502">
        <f t="shared" si="31"/>
        <v>5.1850000000000004E-3</v>
      </c>
      <c r="W34" s="502">
        <f t="shared" si="31"/>
        <v>6.2360000000000002E-3</v>
      </c>
      <c r="X34" s="502">
        <f t="shared" si="31"/>
        <v>5.8019999999999999E-3</v>
      </c>
      <c r="Y34" s="502">
        <f t="shared" si="31"/>
        <v>3.4450000000000001E-3</v>
      </c>
      <c r="Z34" s="502">
        <f t="shared" si="31"/>
        <v>3.6610000000000002E-3</v>
      </c>
      <c r="AA34" s="1246">
        <f t="shared" si="31"/>
        <v>3.6610000000000002E-3</v>
      </c>
      <c r="AB34" s="502">
        <f t="shared" si="31"/>
        <v>3.6610000000000002E-3</v>
      </c>
      <c r="AC34" s="502">
        <f t="shared" si="31"/>
        <v>3.6610000000000002E-3</v>
      </c>
      <c r="AD34" s="502">
        <f t="shared" si="31"/>
        <v>3.6610000000000002E-3</v>
      </c>
      <c r="AE34" s="502">
        <f t="shared" si="31"/>
        <v>3.6610000000000002E-3</v>
      </c>
      <c r="AF34" s="502">
        <f t="shared" si="31"/>
        <v>3.6610000000000002E-3</v>
      </c>
      <c r="AG34" s="1639">
        <f t="shared" si="36"/>
        <v>5.1452999999999992E-2</v>
      </c>
      <c r="AH34" s="410"/>
      <c r="AK34" s="1019">
        <v>4.7689999999999998E-3</v>
      </c>
      <c r="AL34" s="1019">
        <v>4.2240000000000003E-3</v>
      </c>
      <c r="AM34" s="782">
        <f t="shared" si="15"/>
        <v>8.993000000000001E-3</v>
      </c>
      <c r="AN34" s="782">
        <f t="shared" si="16"/>
        <v>7.3220000000000004E-3</v>
      </c>
      <c r="AO34" s="1651"/>
    </row>
    <row r="35" spans="1:41" ht="14" x14ac:dyDescent="0.25">
      <c r="B35" s="776">
        <f t="shared" si="34"/>
        <v>22</v>
      </c>
      <c r="C35" s="1252" t="s">
        <v>971</v>
      </c>
      <c r="D35" s="502">
        <v>1.484861</v>
      </c>
      <c r="E35" s="502">
        <v>1.520289</v>
      </c>
      <c r="F35" s="502">
        <v>1.623901</v>
      </c>
      <c r="G35" s="502">
        <v>1.5294099999999999</v>
      </c>
      <c r="H35" s="502">
        <v>1.406039</v>
      </c>
      <c r="I35" s="502">
        <v>1.5155940000000001</v>
      </c>
      <c r="J35" s="1246">
        <f>I35</f>
        <v>1.5155940000000001</v>
      </c>
      <c r="K35" s="1246">
        <f t="shared" ref="K35:O35" si="38">J35</f>
        <v>1.5155940000000001</v>
      </c>
      <c r="L35" s="1246">
        <f t="shared" si="38"/>
        <v>1.5155940000000001</v>
      </c>
      <c r="M35" s="1246">
        <f t="shared" si="38"/>
        <v>1.5155940000000001</v>
      </c>
      <c r="N35" s="1246">
        <f t="shared" si="38"/>
        <v>1.5155940000000001</v>
      </c>
      <c r="O35" s="1246">
        <f t="shared" si="38"/>
        <v>1.5155940000000001</v>
      </c>
      <c r="P35" s="1247">
        <f t="shared" si="30"/>
        <v>18.173658000000003</v>
      </c>
      <c r="Q35" s="1651">
        <f t="shared" si="21"/>
        <v>0.49962940867490735</v>
      </c>
      <c r="R35" s="1396">
        <f t="shared" si="10"/>
        <v>0.50037059132509265</v>
      </c>
      <c r="S35" s="776">
        <f t="shared" si="35"/>
        <v>22</v>
      </c>
      <c r="T35" s="1252" t="s">
        <v>971</v>
      </c>
      <c r="U35" s="502">
        <f t="shared" si="33"/>
        <v>1.484861</v>
      </c>
      <c r="V35" s="502">
        <f t="shared" si="31"/>
        <v>1.520289</v>
      </c>
      <c r="W35" s="502">
        <f t="shared" si="31"/>
        <v>1.623901</v>
      </c>
      <c r="X35" s="502">
        <f t="shared" si="31"/>
        <v>1.5294099999999999</v>
      </c>
      <c r="Y35" s="502">
        <f t="shared" si="31"/>
        <v>1.406039</v>
      </c>
      <c r="Z35" s="502">
        <f t="shared" si="31"/>
        <v>1.5155940000000001</v>
      </c>
      <c r="AA35" s="1246">
        <f t="shared" si="31"/>
        <v>1.5155940000000001</v>
      </c>
      <c r="AB35" s="502">
        <f t="shared" si="31"/>
        <v>1.5155940000000001</v>
      </c>
      <c r="AC35" s="502">
        <f t="shared" si="31"/>
        <v>1.5155940000000001</v>
      </c>
      <c r="AD35" s="502">
        <f t="shared" si="31"/>
        <v>1.5155940000000001</v>
      </c>
      <c r="AE35" s="502">
        <f t="shared" si="31"/>
        <v>1.5155940000000001</v>
      </c>
      <c r="AF35" s="502">
        <f t="shared" si="31"/>
        <v>1.5155940000000001</v>
      </c>
      <c r="AG35" s="1639">
        <f t="shared" si="36"/>
        <v>18.173658000000003</v>
      </c>
      <c r="AH35" s="410"/>
      <c r="AK35" s="1019">
        <v>1.4473130000000001</v>
      </c>
      <c r="AL35" s="1019">
        <v>1.568117</v>
      </c>
      <c r="AM35" s="782">
        <f t="shared" si="15"/>
        <v>3.0154300000000003</v>
      </c>
      <c r="AN35" s="782">
        <f t="shared" si="16"/>
        <v>3.0311880000000002</v>
      </c>
      <c r="AO35" s="1651">
        <f t="shared" si="17"/>
        <v>-5.1986217944911539E-3</v>
      </c>
    </row>
    <row r="36" spans="1:41" ht="14" x14ac:dyDescent="0.25">
      <c r="B36" s="776"/>
      <c r="C36" s="1251"/>
      <c r="D36" s="410"/>
      <c r="E36" s="410"/>
      <c r="F36" s="410"/>
      <c r="G36" s="410"/>
      <c r="H36" s="410"/>
      <c r="I36" s="410"/>
      <c r="J36" s="1244"/>
      <c r="K36" s="410"/>
      <c r="L36" s="410"/>
      <c r="M36" s="410"/>
      <c r="N36" s="410"/>
      <c r="O36" s="410"/>
      <c r="P36" s="1247"/>
      <c r="Q36" s="1651"/>
      <c r="R36" s="1396"/>
      <c r="S36" s="776"/>
      <c r="T36" s="1251"/>
      <c r="U36" s="410"/>
      <c r="V36" s="410"/>
      <c r="W36" s="410"/>
      <c r="X36" s="410"/>
      <c r="Y36" s="410"/>
      <c r="Z36" s="410"/>
      <c r="AA36" s="1244"/>
      <c r="AB36" s="410"/>
      <c r="AC36" s="410"/>
      <c r="AD36" s="410"/>
      <c r="AE36" s="410"/>
      <c r="AF36" s="410"/>
      <c r="AG36" s="1639"/>
      <c r="AH36" s="410"/>
      <c r="AK36" s="1019">
        <f>0/(10^6)</f>
        <v>0</v>
      </c>
      <c r="AL36" s="1019">
        <f>0/(10^6)</f>
        <v>0</v>
      </c>
      <c r="AM36" s="782">
        <f t="shared" si="15"/>
        <v>0</v>
      </c>
      <c r="AN36" s="782">
        <f t="shared" si="16"/>
        <v>0</v>
      </c>
      <c r="AO36" s="1651"/>
    </row>
    <row r="37" spans="1:41" ht="14" x14ac:dyDescent="0.3">
      <c r="B37" s="776"/>
      <c r="C37" s="1253" t="s">
        <v>416</v>
      </c>
      <c r="D37" s="1239">
        <f>SUM(D21:D36)</f>
        <v>333.14836739999993</v>
      </c>
      <c r="E37" s="1239">
        <f>SUM(E21:E36)</f>
        <v>384.34998119999995</v>
      </c>
      <c r="F37" s="1239">
        <f t="shared" ref="F37:O37" si="39">SUM(F21:F36)</f>
        <v>360.74753090000007</v>
      </c>
      <c r="G37" s="1239">
        <f t="shared" si="39"/>
        <v>331.98304100000007</v>
      </c>
      <c r="H37" s="1239">
        <f t="shared" si="39"/>
        <v>326.39311040000001</v>
      </c>
      <c r="I37" s="1239">
        <f t="shared" si="39"/>
        <v>327.12564130000004</v>
      </c>
      <c r="J37" s="1248">
        <f t="shared" si="39"/>
        <v>354.88646829133666</v>
      </c>
      <c r="K37" s="1248">
        <f t="shared" si="39"/>
        <v>369.12299399734599</v>
      </c>
      <c r="L37" s="1248">
        <f t="shared" si="39"/>
        <v>326.25335106522721</v>
      </c>
      <c r="M37" s="1248">
        <f t="shared" si="39"/>
        <v>285.79509079769628</v>
      </c>
      <c r="N37" s="1248">
        <f t="shared" si="39"/>
        <v>242.33604161103139</v>
      </c>
      <c r="O37" s="1248">
        <f t="shared" si="39"/>
        <v>261.12661659661904</v>
      </c>
      <c r="P37" s="1249">
        <f t="shared" si="30"/>
        <v>3903.2682345592571</v>
      </c>
      <c r="Q37" s="1651">
        <f t="shared" si="21"/>
        <v>0.5287229952396626</v>
      </c>
      <c r="R37" s="1396">
        <f t="shared" si="10"/>
        <v>0.4712770047603374</v>
      </c>
      <c r="S37" s="776"/>
      <c r="T37" s="1253" t="s">
        <v>416</v>
      </c>
      <c r="U37" s="1239">
        <f>SUM(U21:U36)</f>
        <v>333.14836739999993</v>
      </c>
      <c r="V37" s="1239">
        <f>SUM(V21:V36)</f>
        <v>384.34998119999995</v>
      </c>
      <c r="W37" s="1239">
        <f t="shared" ref="W37" si="40">SUM(W21:W36)</f>
        <v>360.74753090000007</v>
      </c>
      <c r="X37" s="1239">
        <f t="shared" ref="X37" si="41">SUM(X21:X36)</f>
        <v>331.98304100000007</v>
      </c>
      <c r="Y37" s="1239">
        <f t="shared" ref="Y37" si="42">SUM(Y21:Y36)</f>
        <v>326.39311040000001</v>
      </c>
      <c r="Z37" s="1239">
        <f t="shared" ref="Z37" si="43">SUM(Z21:Z36)</f>
        <v>327.12564130000004</v>
      </c>
      <c r="AA37" s="1248">
        <f t="shared" ref="AA37" si="44">SUM(AA21:AA36)</f>
        <v>354.88646829133666</v>
      </c>
      <c r="AB37" s="1248">
        <f t="shared" ref="AB37" si="45">SUM(AB21:AB36)</f>
        <v>369.12299399734599</v>
      </c>
      <c r="AC37" s="1248">
        <f t="shared" ref="AC37" si="46">SUM(AC21:AC36)</f>
        <v>326.25335106522721</v>
      </c>
      <c r="AD37" s="1248">
        <f t="shared" ref="AD37" si="47">SUM(AD21:AD36)</f>
        <v>285.79509079769628</v>
      </c>
      <c r="AE37" s="1248">
        <f t="shared" ref="AE37" si="48">SUM(AE21:AE36)</f>
        <v>242.33604161103139</v>
      </c>
      <c r="AF37" s="1248">
        <f t="shared" ref="AF37" si="49">SUM(AF21:AF36)</f>
        <v>261.12661659661904</v>
      </c>
      <c r="AG37" s="1475">
        <f t="shared" ref="AG37" si="50">SUM(AG21:AG36)</f>
        <v>3903.2682345592566</v>
      </c>
      <c r="AH37" s="410"/>
      <c r="AK37" s="1711">
        <f t="shared" ref="AK37:AL37" si="51">SUM(AK21:AK36)</f>
        <v>322.60249120000009</v>
      </c>
      <c r="AL37" s="1711">
        <f t="shared" si="51"/>
        <v>327.87747450000001</v>
      </c>
      <c r="AM37" s="782">
        <f t="shared" si="15"/>
        <v>650.47996570000009</v>
      </c>
      <c r="AN37" s="782">
        <f t="shared" si="16"/>
        <v>724.0094622886827</v>
      </c>
      <c r="AO37" s="1651">
        <f t="shared" si="17"/>
        <v>-0.10155875084318211</v>
      </c>
    </row>
    <row r="38" spans="1:41" ht="14" x14ac:dyDescent="0.3">
      <c r="B38" s="776"/>
      <c r="C38" s="434"/>
      <c r="D38" s="410"/>
      <c r="E38" s="410"/>
      <c r="F38" s="410"/>
      <c r="G38" s="410"/>
      <c r="H38" s="410"/>
      <c r="I38" s="410"/>
      <c r="J38" s="1246"/>
      <c r="K38" s="502"/>
      <c r="L38" s="502"/>
      <c r="M38" s="502"/>
      <c r="N38" s="502"/>
      <c r="O38" s="502"/>
      <c r="P38" s="1249">
        <f t="shared" si="30"/>
        <v>0</v>
      </c>
      <c r="Q38" s="782"/>
      <c r="R38" s="1396">
        <f t="shared" si="10"/>
        <v>1</v>
      </c>
      <c r="S38" s="776"/>
      <c r="T38" s="434" t="s">
        <v>1794</v>
      </c>
      <c r="U38" s="410"/>
      <c r="V38" s="410"/>
      <c r="W38" s="410"/>
      <c r="X38" s="410"/>
      <c r="Y38" s="410"/>
      <c r="Z38" s="410"/>
      <c r="AA38" s="1463">
        <f>J38</f>
        <v>0</v>
      </c>
      <c r="AB38" s="1463">
        <f t="shared" ref="AB38:AF38" si="52">K38</f>
        <v>0</v>
      </c>
      <c r="AC38" s="1463">
        <f t="shared" si="52"/>
        <v>0</v>
      </c>
      <c r="AD38" s="1463">
        <f t="shared" si="52"/>
        <v>0</v>
      </c>
      <c r="AE38" s="1463">
        <f t="shared" si="52"/>
        <v>0</v>
      </c>
      <c r="AF38" s="1463">
        <f t="shared" si="52"/>
        <v>0</v>
      </c>
      <c r="AG38" s="1639">
        <f t="shared" ref="AG38" si="53">SUM(U38:AF38)</f>
        <v>0</v>
      </c>
      <c r="AH38" s="410"/>
      <c r="AK38" s="1019">
        <f>0/(10^6)</f>
        <v>0</v>
      </c>
      <c r="AL38" s="1019">
        <f>0/(10^6)</f>
        <v>0</v>
      </c>
      <c r="AM38" s="782">
        <f t="shared" si="15"/>
        <v>0</v>
      </c>
      <c r="AN38" s="782">
        <f t="shared" si="16"/>
        <v>0</v>
      </c>
      <c r="AO38" s="1651"/>
    </row>
    <row r="39" spans="1:41" ht="14.5" thickBot="1" x14ac:dyDescent="0.35">
      <c r="B39" s="776"/>
      <c r="C39" s="1254" t="s">
        <v>145</v>
      </c>
      <c r="D39" s="1255">
        <f>D18+D37-D38</f>
        <v>383.73108039999994</v>
      </c>
      <c r="E39" s="1255">
        <f t="shared" ref="E39:P39" si="54">E18+E37-E38</f>
        <v>438.79527319999994</v>
      </c>
      <c r="F39" s="1255">
        <f t="shared" si="54"/>
        <v>419.60296790000007</v>
      </c>
      <c r="G39" s="1255">
        <f t="shared" si="54"/>
        <v>388.97806100000008</v>
      </c>
      <c r="H39" s="1255">
        <f t="shared" si="54"/>
        <v>382.89111539999999</v>
      </c>
      <c r="I39" s="1255">
        <f t="shared" si="54"/>
        <v>381.92235730000004</v>
      </c>
      <c r="J39" s="1255">
        <f t="shared" si="54"/>
        <v>406.69754745760167</v>
      </c>
      <c r="K39" s="1255">
        <f t="shared" si="54"/>
        <v>427.17792293039543</v>
      </c>
      <c r="L39" s="1255">
        <f t="shared" si="54"/>
        <v>379.25337432881247</v>
      </c>
      <c r="M39" s="1255">
        <f t="shared" si="54"/>
        <v>335.12914943865286</v>
      </c>
      <c r="N39" s="1255">
        <f t="shared" si="54"/>
        <v>289.86457606925148</v>
      </c>
      <c r="O39" s="1255">
        <f t="shared" si="54"/>
        <v>303.93309178649645</v>
      </c>
      <c r="P39" s="1255">
        <f t="shared" si="54"/>
        <v>4537.9765172112111</v>
      </c>
      <c r="Q39" s="1651">
        <f t="shared" ref="Q39" si="55">SUM(D39:I39)/P39</f>
        <v>0.52797118850504765</v>
      </c>
      <c r="R39" s="1396">
        <f t="shared" si="10"/>
        <v>0.47202881149495235</v>
      </c>
      <c r="S39" s="776"/>
      <c r="T39" s="1254" t="s">
        <v>145</v>
      </c>
      <c r="U39" s="1255">
        <f t="shared" ref="U39:AG39" si="56">U18+U37-U38</f>
        <v>384.61839639999994</v>
      </c>
      <c r="V39" s="1255">
        <f t="shared" si="56"/>
        <v>439.89954719999992</v>
      </c>
      <c r="W39" s="1255">
        <f t="shared" si="56"/>
        <v>420.79989790000008</v>
      </c>
      <c r="X39" s="1255">
        <f t="shared" si="56"/>
        <v>390.15395400000011</v>
      </c>
      <c r="Y39" s="1255">
        <f t="shared" si="56"/>
        <v>383.89621340000002</v>
      </c>
      <c r="Z39" s="1255">
        <f t="shared" si="56"/>
        <v>383.25924130000004</v>
      </c>
      <c r="AA39" s="1255">
        <f t="shared" si="56"/>
        <v>407.72497332984625</v>
      </c>
      <c r="AB39" s="1255">
        <f t="shared" si="56"/>
        <v>428.31062497322665</v>
      </c>
      <c r="AC39" s="1255">
        <f t="shared" si="56"/>
        <v>380.28890498226468</v>
      </c>
      <c r="AD39" s="1255">
        <f t="shared" si="56"/>
        <v>336.09166412858593</v>
      </c>
      <c r="AE39" s="1255">
        <f t="shared" si="56"/>
        <v>290.78778234612071</v>
      </c>
      <c r="AF39" s="1255">
        <f t="shared" si="56"/>
        <v>304.76455723968371</v>
      </c>
      <c r="AG39" s="1476">
        <f t="shared" si="56"/>
        <v>4550.5957571997278</v>
      </c>
      <c r="AH39" s="410"/>
      <c r="AK39" s="1712">
        <f t="shared" ref="AK39:AL39" si="57">AK18+AK37</f>
        <v>377.34205420000006</v>
      </c>
      <c r="AL39" s="1712">
        <f t="shared" si="57"/>
        <v>383.06199149999998</v>
      </c>
      <c r="AM39" s="782">
        <f t="shared" si="15"/>
        <v>760.4040457000001</v>
      </c>
      <c r="AN39" s="782">
        <f t="shared" si="16"/>
        <v>836.0355983030729</v>
      </c>
      <c r="AO39" s="1651">
        <f t="shared" si="17"/>
        <v>-9.0464512224819771E-2</v>
      </c>
    </row>
    <row r="40" spans="1:41" ht="13" thickBot="1" x14ac:dyDescent="0.3">
      <c r="D40" s="782"/>
      <c r="E40" s="782"/>
      <c r="F40" s="782"/>
      <c r="G40" s="782"/>
      <c r="H40" s="782"/>
      <c r="I40" s="782"/>
      <c r="J40" s="782"/>
      <c r="K40" s="782"/>
      <c r="L40" s="782"/>
      <c r="M40" s="782"/>
      <c r="N40" s="782"/>
      <c r="O40" s="782"/>
      <c r="P40" s="781"/>
      <c r="Q40" s="782">
        <f>P37+P18-P39</f>
        <v>0</v>
      </c>
      <c r="Z40" s="1019"/>
      <c r="AK40" s="1019"/>
      <c r="AL40" s="1019"/>
      <c r="AN40" s="782">
        <f>AN39-AM39</f>
        <v>75.631552603072805</v>
      </c>
    </row>
    <row r="41" spans="1:41" ht="13.5" thickBot="1" x14ac:dyDescent="0.35">
      <c r="B41" s="1258"/>
      <c r="C41" s="1259"/>
      <c r="D41" s="2413" t="s">
        <v>1729</v>
      </c>
      <c r="E41" s="2414"/>
      <c r="F41" s="2414"/>
      <c r="G41" s="2414"/>
      <c r="H41" s="2414"/>
      <c r="I41" s="2414"/>
      <c r="J41" s="2414"/>
      <c r="K41" s="2414"/>
      <c r="L41" s="2414"/>
      <c r="M41" s="2414"/>
      <c r="N41" s="2414"/>
      <c r="O41" s="2414"/>
      <c r="P41" s="2415"/>
      <c r="R41" s="782"/>
      <c r="S41" s="1258"/>
      <c r="T41" s="1259"/>
      <c r="U41" s="2413" t="s">
        <v>1735</v>
      </c>
      <c r="V41" s="2414"/>
      <c r="W41" s="2414"/>
      <c r="X41" s="2414"/>
      <c r="Y41" s="2414"/>
      <c r="Z41" s="2414"/>
      <c r="AA41" s="2414"/>
      <c r="AB41" s="2414"/>
      <c r="AC41" s="2414"/>
      <c r="AD41" s="2414"/>
      <c r="AE41" s="2414"/>
      <c r="AF41" s="2414"/>
      <c r="AG41" s="2415"/>
      <c r="AK41" s="1019"/>
      <c r="AL41" s="1019"/>
    </row>
    <row r="42" spans="1:41" ht="42" x14ac:dyDescent="0.3">
      <c r="A42" s="1636" t="s">
        <v>428</v>
      </c>
      <c r="B42" s="1190" t="s">
        <v>187</v>
      </c>
      <c r="C42" s="1191" t="s">
        <v>50</v>
      </c>
      <c r="D42" s="1188" t="s">
        <v>151</v>
      </c>
      <c r="E42" s="1188" t="s">
        <v>152</v>
      </c>
      <c r="F42" s="1188" t="s">
        <v>153</v>
      </c>
      <c r="G42" s="1188" t="s">
        <v>154</v>
      </c>
      <c r="H42" s="1188" t="s">
        <v>155</v>
      </c>
      <c r="I42" s="1188" t="s">
        <v>156</v>
      </c>
      <c r="J42" s="1188" t="s">
        <v>157</v>
      </c>
      <c r="K42" s="1188" t="s">
        <v>158</v>
      </c>
      <c r="L42" s="1188" t="s">
        <v>159</v>
      </c>
      <c r="M42" s="1188" t="s">
        <v>160</v>
      </c>
      <c r="N42" s="1188" t="s">
        <v>161</v>
      </c>
      <c r="O42" s="1188" t="s">
        <v>162</v>
      </c>
      <c r="P42" s="1188" t="s">
        <v>145</v>
      </c>
      <c r="Q42" s="1617" t="s">
        <v>1770</v>
      </c>
      <c r="R42" s="1661"/>
      <c r="S42" s="1614" t="s">
        <v>187</v>
      </c>
      <c r="T42" s="1615" t="s">
        <v>50</v>
      </c>
      <c r="U42" s="1612" t="s">
        <v>151</v>
      </c>
      <c r="V42" s="1612" t="s">
        <v>152</v>
      </c>
      <c r="W42" s="1612" t="s">
        <v>153</v>
      </c>
      <c r="X42" s="1612" t="s">
        <v>154</v>
      </c>
      <c r="Y42" s="1612" t="s">
        <v>155</v>
      </c>
      <c r="Z42" s="1612" t="s">
        <v>156</v>
      </c>
      <c r="AA42" s="1612" t="s">
        <v>157</v>
      </c>
      <c r="AB42" s="1612" t="s">
        <v>158</v>
      </c>
      <c r="AC42" s="1612" t="s">
        <v>159</v>
      </c>
      <c r="AD42" s="1612" t="s">
        <v>160</v>
      </c>
      <c r="AE42" s="1612" t="s">
        <v>161</v>
      </c>
      <c r="AF42" s="1612" t="s">
        <v>162</v>
      </c>
      <c r="AG42" s="1612" t="s">
        <v>145</v>
      </c>
    </row>
    <row r="43" spans="1:41" ht="14" x14ac:dyDescent="0.25">
      <c r="B43" s="776"/>
      <c r="C43" s="1236" t="s">
        <v>293</v>
      </c>
      <c r="D43" s="410"/>
      <c r="E43" s="410"/>
      <c r="F43" s="410"/>
      <c r="G43" s="410"/>
      <c r="H43" s="410"/>
      <c r="I43" s="410"/>
      <c r="J43" s="410"/>
      <c r="K43" s="410"/>
      <c r="L43" s="410"/>
      <c r="M43" s="410"/>
      <c r="N43" s="410"/>
      <c r="O43" s="410"/>
      <c r="P43" s="410"/>
      <c r="S43" s="776"/>
      <c r="T43" s="1236" t="s">
        <v>293</v>
      </c>
      <c r="U43" s="410"/>
      <c r="V43" s="410"/>
      <c r="W43" s="410"/>
      <c r="X43" s="410"/>
      <c r="Y43" s="410"/>
      <c r="Z43" s="410"/>
      <c r="AA43" s="410"/>
      <c r="AB43" s="410"/>
      <c r="AC43" s="410"/>
      <c r="AD43" s="410"/>
      <c r="AE43" s="410"/>
      <c r="AF43" s="410"/>
      <c r="AG43" s="410"/>
    </row>
    <row r="44" spans="1:41" ht="14" x14ac:dyDescent="0.25">
      <c r="B44" s="776"/>
      <c r="C44" s="1237"/>
      <c r="D44" s="410"/>
      <c r="E44" s="410"/>
      <c r="F44" s="410"/>
      <c r="G44" s="410"/>
      <c r="H44" s="410"/>
      <c r="I44" s="410"/>
      <c r="J44" s="410"/>
      <c r="K44" s="410"/>
      <c r="L44" s="410"/>
      <c r="M44" s="410"/>
      <c r="N44" s="410"/>
      <c r="O44" s="410"/>
      <c r="P44" s="410"/>
      <c r="S44" s="776"/>
      <c r="T44" s="1237"/>
      <c r="U44" s="410"/>
      <c r="V44" s="410"/>
      <c r="W44" s="410"/>
      <c r="X44" s="410"/>
      <c r="Y44" s="410"/>
      <c r="Z44" s="410"/>
      <c r="AA44" s="410"/>
      <c r="AB44" s="410"/>
      <c r="AC44" s="410"/>
      <c r="AD44" s="410"/>
      <c r="AE44" s="410"/>
      <c r="AF44" s="410"/>
      <c r="AG44" s="410"/>
    </row>
    <row r="45" spans="1:41" ht="14" x14ac:dyDescent="0.3">
      <c r="B45" s="776">
        <v>1</v>
      </c>
      <c r="C45" s="1237" t="s">
        <v>953</v>
      </c>
      <c r="D45" s="502">
        <f>D10*(1+$Q45)</f>
        <v>13.021186</v>
      </c>
      <c r="E45" s="502">
        <f t="shared" ref="E45:O45" si="58">E10*(1+$Q45)</f>
        <v>14.217597000000001</v>
      </c>
      <c r="F45" s="502">
        <f t="shared" si="58"/>
        <v>14.950192999999993</v>
      </c>
      <c r="G45" s="502">
        <f t="shared" si="58"/>
        <v>14.536417999999999</v>
      </c>
      <c r="H45" s="502">
        <f t="shared" si="58"/>
        <v>14.263358999999998</v>
      </c>
      <c r="I45" s="502">
        <f t="shared" si="58"/>
        <v>14.209485999999997</v>
      </c>
      <c r="J45" s="502">
        <f t="shared" si="58"/>
        <v>15.495541665872995</v>
      </c>
      <c r="K45" s="502">
        <f t="shared" si="58"/>
        <v>19.703005948925018</v>
      </c>
      <c r="L45" s="502">
        <f t="shared" si="58"/>
        <v>18.171892400207906</v>
      </c>
      <c r="M45" s="502">
        <f t="shared" si="58"/>
        <v>17.080680658648355</v>
      </c>
      <c r="N45" s="502">
        <f t="shared" si="58"/>
        <v>16.813368909517802</v>
      </c>
      <c r="O45" s="502">
        <f t="shared" si="58"/>
        <v>15.312123056774668</v>
      </c>
      <c r="P45" s="1238">
        <f>SUM(D45:O45)</f>
        <v>187.77485163994675</v>
      </c>
      <c r="Q45" s="1684">
        <v>0</v>
      </c>
      <c r="S45" s="776">
        <v>1</v>
      </c>
      <c r="T45" s="1237" t="s">
        <v>953</v>
      </c>
      <c r="U45" s="502">
        <f>U10*(1+$Q45)</f>
        <v>13.141249999999999</v>
      </c>
      <c r="V45" s="502">
        <f t="shared" ref="V45:AF45" si="59">V10*(1+$Q45)</f>
        <v>14.390719000000001</v>
      </c>
      <c r="W45" s="502">
        <f t="shared" si="59"/>
        <v>15.175905</v>
      </c>
      <c r="X45" s="502">
        <f t="shared" si="59"/>
        <v>14.764668</v>
      </c>
      <c r="Y45" s="502">
        <f t="shared" si="59"/>
        <v>14.473258</v>
      </c>
      <c r="Z45" s="502">
        <f t="shared" si="59"/>
        <v>14.438412</v>
      </c>
      <c r="AA45" s="502">
        <f t="shared" si="59"/>
        <v>15.711242063578407</v>
      </c>
      <c r="AB45" s="502">
        <f t="shared" si="59"/>
        <v>19.977274916787895</v>
      </c>
      <c r="AC45" s="502">
        <f t="shared" si="59"/>
        <v>18.424848024625824</v>
      </c>
      <c r="AD45" s="502">
        <f t="shared" si="59"/>
        <v>17.318446442548883</v>
      </c>
      <c r="AE45" s="502">
        <f t="shared" si="59"/>
        <v>17.047413671472658</v>
      </c>
      <c r="AF45" s="502">
        <f t="shared" si="59"/>
        <v>15.525270238349778</v>
      </c>
      <c r="AG45" s="1239">
        <f>SUM(U45:AF45)</f>
        <v>190.38870735736347</v>
      </c>
      <c r="AJ45" s="1019"/>
      <c r="AK45" s="782"/>
    </row>
    <row r="46" spans="1:41" ht="14" x14ac:dyDescent="0.3">
      <c r="B46" s="776">
        <f t="shared" ref="B46:B51" si="60">B45+1</f>
        <v>2</v>
      </c>
      <c r="C46" s="1237" t="s">
        <v>954</v>
      </c>
      <c r="D46" s="502">
        <f t="shared" ref="D46:O46" si="61">D11*(1+$Q46)</f>
        <v>17.623218000000001</v>
      </c>
      <c r="E46" s="502">
        <f t="shared" si="61"/>
        <v>18.917594000000001</v>
      </c>
      <c r="F46" s="502">
        <f t="shared" si="61"/>
        <v>20.755490000000002</v>
      </c>
      <c r="G46" s="502">
        <f t="shared" si="61"/>
        <v>19.993728000000001</v>
      </c>
      <c r="H46" s="502">
        <f t="shared" si="61"/>
        <v>19.073778999999998</v>
      </c>
      <c r="I46" s="502">
        <f t="shared" si="61"/>
        <v>18.393571000000001</v>
      </c>
      <c r="J46" s="502">
        <f t="shared" si="61"/>
        <v>16.278737423284973</v>
      </c>
      <c r="K46" s="502">
        <f t="shared" si="61"/>
        <v>16.846412323267447</v>
      </c>
      <c r="L46" s="502">
        <f t="shared" si="61"/>
        <v>15.310241821323169</v>
      </c>
      <c r="M46" s="502">
        <f t="shared" si="61"/>
        <v>14.229409092939555</v>
      </c>
      <c r="N46" s="502">
        <f t="shared" si="61"/>
        <v>13.673298052028954</v>
      </c>
      <c r="O46" s="502">
        <f t="shared" si="61"/>
        <v>12.539602401877387</v>
      </c>
      <c r="P46" s="1238">
        <f t="shared" ref="P46:P53" si="62">SUM(D46:O46)</f>
        <v>203.63508111472149</v>
      </c>
      <c r="Q46" s="1685">
        <v>0</v>
      </c>
      <c r="R46" s="1661"/>
      <c r="S46" s="776">
        <f t="shared" ref="S46:S51" si="63">S45+1</f>
        <v>2</v>
      </c>
      <c r="T46" s="1237" t="s">
        <v>954</v>
      </c>
      <c r="U46" s="502">
        <f t="shared" ref="U46:AF46" si="64">U11*(1+$Q46)</f>
        <v>18.082190000000001</v>
      </c>
      <c r="V46" s="502">
        <f t="shared" si="64"/>
        <v>19.416951000000001</v>
      </c>
      <c r="W46" s="502">
        <f t="shared" si="64"/>
        <v>21.328130999999999</v>
      </c>
      <c r="X46" s="502">
        <f t="shared" si="64"/>
        <v>20.552119999999999</v>
      </c>
      <c r="Y46" s="502">
        <f t="shared" si="64"/>
        <v>19.261130999999999</v>
      </c>
      <c r="Z46" s="502">
        <f t="shared" si="64"/>
        <v>18.830874999999999</v>
      </c>
      <c r="AA46" s="502">
        <f t="shared" si="64"/>
        <v>16.663730409218154</v>
      </c>
      <c r="AB46" s="502">
        <f t="shared" si="64"/>
        <v>17.244830850082625</v>
      </c>
      <c r="AC46" s="502">
        <f t="shared" si="64"/>
        <v>15.672329835945179</v>
      </c>
      <c r="AD46" s="502">
        <f t="shared" si="64"/>
        <v>14.565935357373281</v>
      </c>
      <c r="AE46" s="502">
        <f t="shared" si="64"/>
        <v>13.996672261448612</v>
      </c>
      <c r="AF46" s="502">
        <f t="shared" si="64"/>
        <v>12.836164650262095</v>
      </c>
      <c r="AG46" s="1239">
        <f t="shared" ref="AG46:AG53" si="65">SUM(U46:AF46)</f>
        <v>208.45106136432997</v>
      </c>
      <c r="AJ46" s="1019"/>
      <c r="AK46" s="782"/>
    </row>
    <row r="47" spans="1:41" ht="14" x14ac:dyDescent="0.3">
      <c r="B47" s="776">
        <f t="shared" si="60"/>
        <v>3</v>
      </c>
      <c r="C47" s="594" t="s">
        <v>955</v>
      </c>
      <c r="D47" s="502">
        <f t="shared" ref="D47:O47" si="66">D12*(1+$Q47)</f>
        <v>2.1478350000000002</v>
      </c>
      <c r="E47" s="502">
        <f t="shared" si="66"/>
        <v>2.89161</v>
      </c>
      <c r="F47" s="502">
        <f t="shared" si="66"/>
        <v>3.1744389999999991</v>
      </c>
      <c r="G47" s="502">
        <f t="shared" si="66"/>
        <v>2.9237770000000003</v>
      </c>
      <c r="H47" s="502">
        <f t="shared" si="66"/>
        <v>2.8083979999999999</v>
      </c>
      <c r="I47" s="502">
        <f t="shared" si="66"/>
        <v>2.806516999999999</v>
      </c>
      <c r="J47" s="502">
        <f t="shared" si="66"/>
        <v>2.6254686299999452</v>
      </c>
      <c r="K47" s="502">
        <f t="shared" si="66"/>
        <v>2.9056687084630846</v>
      </c>
      <c r="L47" s="502">
        <f t="shared" si="66"/>
        <v>2.6139647186555215</v>
      </c>
      <c r="M47" s="502">
        <f t="shared" si="66"/>
        <v>2.3037123563501321</v>
      </c>
      <c r="N47" s="502">
        <f t="shared" si="66"/>
        <v>2.1633315596088254</v>
      </c>
      <c r="O47" s="502">
        <f t="shared" si="66"/>
        <v>1.9493473741148628</v>
      </c>
      <c r="P47" s="1238">
        <f t="shared" si="62"/>
        <v>31.314069347192373</v>
      </c>
      <c r="Q47" s="1684">
        <v>0</v>
      </c>
      <c r="S47" s="776">
        <f t="shared" si="63"/>
        <v>3</v>
      </c>
      <c r="T47" s="594" t="s">
        <v>955</v>
      </c>
      <c r="U47" s="502">
        <f t="shared" ref="U47:AF47" si="67">U12*(1+$Q47)</f>
        <v>2.1974529999999999</v>
      </c>
      <c r="V47" s="502">
        <f t="shared" si="67"/>
        <v>2.9579749999999998</v>
      </c>
      <c r="W47" s="502">
        <f t="shared" si="67"/>
        <v>3.2539959999999999</v>
      </c>
      <c r="X47" s="502">
        <f t="shared" si="67"/>
        <v>2.9993599999999998</v>
      </c>
      <c r="Y47" s="502">
        <f t="shared" si="67"/>
        <v>2.8924799999999999</v>
      </c>
      <c r="Z47" s="502">
        <f t="shared" si="67"/>
        <v>2.8831820000000001</v>
      </c>
      <c r="AA47" s="502">
        <f t="shared" si="67"/>
        <v>2.6931514232156322</v>
      </c>
      <c r="AB47" s="502">
        <f t="shared" si="67"/>
        <v>2.9805748688723228</v>
      </c>
      <c r="AC47" s="502">
        <f t="shared" si="67"/>
        <v>2.6813509488714451</v>
      </c>
      <c r="AD47" s="502">
        <f t="shared" si="67"/>
        <v>2.3631004919620482</v>
      </c>
      <c r="AE47" s="502">
        <f t="shared" si="67"/>
        <v>2.2191007738865736</v>
      </c>
      <c r="AF47" s="502">
        <f t="shared" si="67"/>
        <v>1.9996002218237159</v>
      </c>
      <c r="AG47" s="1239">
        <f t="shared" si="65"/>
        <v>32.121324728631734</v>
      </c>
      <c r="AJ47" s="1019"/>
      <c r="AK47" s="782"/>
    </row>
    <row r="48" spans="1:41" ht="14" x14ac:dyDescent="0.3">
      <c r="B48" s="776">
        <f t="shared" si="60"/>
        <v>4</v>
      </c>
      <c r="C48" s="594" t="s">
        <v>956</v>
      </c>
      <c r="D48" s="502">
        <f t="shared" ref="D48:O48" si="68">D13*(1+$Q48)</f>
        <v>0.181812</v>
      </c>
      <c r="E48" s="502">
        <f t="shared" si="68"/>
        <v>0.182142</v>
      </c>
      <c r="F48" s="502">
        <f t="shared" si="68"/>
        <v>0.19559000000000001</v>
      </c>
      <c r="G48" s="502">
        <f t="shared" si="68"/>
        <v>0.18530199999999999</v>
      </c>
      <c r="H48" s="502">
        <f t="shared" si="68"/>
        <v>0.173372</v>
      </c>
      <c r="I48" s="502">
        <f t="shared" si="68"/>
        <v>0.17660600000000001</v>
      </c>
      <c r="J48" s="502">
        <f t="shared" si="68"/>
        <v>0.17024222642879444</v>
      </c>
      <c r="K48" s="502">
        <f t="shared" si="68"/>
        <v>0.18974850644418792</v>
      </c>
      <c r="L48" s="502">
        <f t="shared" si="68"/>
        <v>0.18944443503895558</v>
      </c>
      <c r="M48" s="502">
        <f t="shared" si="68"/>
        <v>0.17944386437798157</v>
      </c>
      <c r="N48" s="502">
        <f t="shared" si="68"/>
        <v>0.16260069340187772</v>
      </c>
      <c r="O48" s="502">
        <f t="shared" si="68"/>
        <v>0.14475190065422122</v>
      </c>
      <c r="P48" s="1238">
        <f t="shared" si="62"/>
        <v>2.1310556263460185</v>
      </c>
      <c r="Q48" s="1684">
        <v>0</v>
      </c>
      <c r="S48" s="776">
        <f t="shared" si="63"/>
        <v>4</v>
      </c>
      <c r="T48" s="594" t="s">
        <v>956</v>
      </c>
      <c r="U48" s="502">
        <f t="shared" ref="U48:AF48" si="69">U13*(1+$Q48)</f>
        <v>0.225715</v>
      </c>
      <c r="V48" s="502">
        <f t="shared" si="69"/>
        <v>0.226831</v>
      </c>
      <c r="W48" s="502">
        <f t="shared" si="69"/>
        <v>0.24124399999999999</v>
      </c>
      <c r="X48" s="502">
        <f t="shared" si="69"/>
        <v>0.21940999999999999</v>
      </c>
      <c r="Y48" s="502">
        <f t="shared" si="69"/>
        <v>0.21296599999999999</v>
      </c>
      <c r="Z48" s="502">
        <f t="shared" si="69"/>
        <v>0.195049</v>
      </c>
      <c r="AA48" s="502">
        <f t="shared" si="69"/>
        <v>0.20544542610604047</v>
      </c>
      <c r="AB48" s="502">
        <f t="shared" si="69"/>
        <v>0.2289852733787876</v>
      </c>
      <c r="AC48" s="502">
        <f t="shared" si="69"/>
        <v>0.2286183251737208</v>
      </c>
      <c r="AD48" s="502">
        <f t="shared" si="69"/>
        <v>0.21654980642930272</v>
      </c>
      <c r="AE48" s="502">
        <f t="shared" si="69"/>
        <v>0.19622375389374172</v>
      </c>
      <c r="AF48" s="502">
        <f t="shared" si="69"/>
        <v>0.17468413409175074</v>
      </c>
      <c r="AG48" s="1239">
        <f t="shared" si="65"/>
        <v>2.5717217190733441</v>
      </c>
      <c r="AJ48" s="1019"/>
      <c r="AK48" s="782"/>
    </row>
    <row r="49" spans="2:37" ht="14" x14ac:dyDescent="0.3">
      <c r="B49" s="776">
        <f t="shared" si="60"/>
        <v>5</v>
      </c>
      <c r="C49" s="594" t="s">
        <v>957</v>
      </c>
      <c r="D49" s="502">
        <f t="shared" ref="D49:O49" si="70">D14*(1+$Q49)</f>
        <v>2.3794499999999998</v>
      </c>
      <c r="E49" s="502">
        <f t="shared" si="70"/>
        <v>2.6210300000000002</v>
      </c>
      <c r="F49" s="502">
        <f t="shared" si="70"/>
        <v>2.73624</v>
      </c>
      <c r="G49" s="502">
        <f t="shared" si="70"/>
        <v>2.4497499999999999</v>
      </c>
      <c r="H49" s="502">
        <f t="shared" si="70"/>
        <v>2.3276500000000002</v>
      </c>
      <c r="I49" s="502">
        <f t="shared" si="70"/>
        <v>2.3572700000000002</v>
      </c>
      <c r="J49" s="502">
        <f t="shared" si="70"/>
        <v>2.2556880354355995</v>
      </c>
      <c r="K49" s="502">
        <f t="shared" si="70"/>
        <v>2.4605551366474212</v>
      </c>
      <c r="L49" s="502">
        <f t="shared" si="70"/>
        <v>2.1651046507210827</v>
      </c>
      <c r="M49" s="502">
        <f t="shared" si="70"/>
        <v>1.8935080624422158</v>
      </c>
      <c r="N49" s="502">
        <f t="shared" si="70"/>
        <v>1.9095198632665271</v>
      </c>
      <c r="O49" s="502">
        <f t="shared" si="70"/>
        <v>1.6857027343527879</v>
      </c>
      <c r="P49" s="1238">
        <f t="shared" si="62"/>
        <v>27.241468482865635</v>
      </c>
      <c r="Q49" s="1684">
        <v>0</v>
      </c>
      <c r="S49" s="776">
        <f t="shared" si="63"/>
        <v>5</v>
      </c>
      <c r="T49" s="594" t="s">
        <v>957</v>
      </c>
      <c r="U49" s="502">
        <f t="shared" ref="U49:AF49" si="71">U14*(1+$Q49)</f>
        <v>2.3998979999999999</v>
      </c>
      <c r="V49" s="502">
        <f t="shared" si="71"/>
        <v>2.6586859999999999</v>
      </c>
      <c r="W49" s="502">
        <f t="shared" si="71"/>
        <v>2.8057539999999999</v>
      </c>
      <c r="X49" s="502">
        <f t="shared" si="71"/>
        <v>2.5216789999999998</v>
      </c>
      <c r="Y49" s="502">
        <f t="shared" si="71"/>
        <v>2.3740070000000002</v>
      </c>
      <c r="Z49" s="502">
        <f t="shared" si="71"/>
        <v>2.4074390000000001</v>
      </c>
      <c r="AA49" s="502">
        <f t="shared" si="71"/>
        <v>2.3005963004811347</v>
      </c>
      <c r="AB49" s="502">
        <f t="shared" si="71"/>
        <v>2.5095420800987469</v>
      </c>
      <c r="AC49" s="502">
        <f t="shared" si="71"/>
        <v>2.208209500318393</v>
      </c>
      <c r="AD49" s="502">
        <f t="shared" si="71"/>
        <v>1.9312057230221249</v>
      </c>
      <c r="AE49" s="502">
        <f t="shared" si="71"/>
        <v>1.9475363011702409</v>
      </c>
      <c r="AF49" s="502">
        <f t="shared" si="71"/>
        <v>1.7192632196650577</v>
      </c>
      <c r="AG49" s="1239">
        <f t="shared" si="65"/>
        <v>27.783816124755699</v>
      </c>
      <c r="AJ49" s="1019"/>
      <c r="AK49" s="782"/>
    </row>
    <row r="50" spans="2:37" ht="14" x14ac:dyDescent="0.3">
      <c r="B50" s="776">
        <f t="shared" si="60"/>
        <v>6</v>
      </c>
      <c r="C50" s="594" t="s">
        <v>958</v>
      </c>
      <c r="D50" s="502">
        <f t="shared" ref="D50:O50" si="72">D15*(1+$Q50)</f>
        <v>15.229212</v>
      </c>
      <c r="E50" s="502">
        <f t="shared" si="72"/>
        <v>15.615319</v>
      </c>
      <c r="F50" s="502">
        <f t="shared" si="72"/>
        <v>17.043485</v>
      </c>
      <c r="G50" s="502">
        <f t="shared" si="72"/>
        <v>16.906044999999999</v>
      </c>
      <c r="H50" s="502">
        <f t="shared" si="72"/>
        <v>17.851447</v>
      </c>
      <c r="I50" s="502">
        <f t="shared" si="72"/>
        <v>16.853266000000001</v>
      </c>
      <c r="J50" s="502">
        <f t="shared" si="72"/>
        <v>14.985401185242683</v>
      </c>
      <c r="K50" s="502">
        <f t="shared" si="72"/>
        <v>15.949538309302266</v>
      </c>
      <c r="L50" s="502">
        <f t="shared" si="72"/>
        <v>14.549375237638598</v>
      </c>
      <c r="M50" s="502">
        <f t="shared" si="72"/>
        <v>13.647304606198336</v>
      </c>
      <c r="N50" s="502">
        <f t="shared" si="72"/>
        <v>12.806415380396141</v>
      </c>
      <c r="O50" s="502">
        <f t="shared" si="72"/>
        <v>11.174947722103468</v>
      </c>
      <c r="P50" s="1238">
        <f t="shared" si="62"/>
        <v>182.61175644088149</v>
      </c>
      <c r="Q50" s="1684">
        <v>0</v>
      </c>
      <c r="S50" s="776">
        <f t="shared" si="63"/>
        <v>6</v>
      </c>
      <c r="T50" s="594" t="s">
        <v>958</v>
      </c>
      <c r="U50" s="502">
        <f t="shared" ref="U50:AF50" si="73">U15*(1+$Q50)</f>
        <v>15.423522999999999</v>
      </c>
      <c r="V50" s="502">
        <f t="shared" si="73"/>
        <v>15.898403999999999</v>
      </c>
      <c r="W50" s="502">
        <f t="shared" si="73"/>
        <v>17.247337000000002</v>
      </c>
      <c r="X50" s="502">
        <f t="shared" si="73"/>
        <v>17.113676000000002</v>
      </c>
      <c r="Y50" s="502">
        <f t="shared" si="73"/>
        <v>18.289261</v>
      </c>
      <c r="Z50" s="502">
        <f t="shared" si="73"/>
        <v>17.378643</v>
      </c>
      <c r="AA50" s="502">
        <f t="shared" si="73"/>
        <v>15.26433941591025</v>
      </c>
      <c r="AB50" s="502">
        <f t="shared" si="73"/>
        <v>16.246422986660292</v>
      </c>
      <c r="AC50" s="502">
        <f t="shared" si="73"/>
        <v>14.820197282102916</v>
      </c>
      <c r="AD50" s="502">
        <f t="shared" si="73"/>
        <v>13.901335509554004</v>
      </c>
      <c r="AE50" s="502">
        <f t="shared" si="73"/>
        <v>13.044793973217496</v>
      </c>
      <c r="AF50" s="502">
        <f t="shared" si="73"/>
        <v>11.382958178872272</v>
      </c>
      <c r="AG50" s="1239">
        <f t="shared" si="65"/>
        <v>186.01089134631724</v>
      </c>
      <c r="AJ50" s="1019"/>
      <c r="AK50" s="782"/>
    </row>
    <row r="51" spans="2:37" ht="14" x14ac:dyDescent="0.3">
      <c r="B51" s="776">
        <f t="shared" si="60"/>
        <v>7</v>
      </c>
      <c r="C51" s="594" t="s">
        <v>959</v>
      </c>
      <c r="D51" s="502">
        <f t="shared" ref="D51:O51" si="74">D16*(1+$Q51)</f>
        <v>0</v>
      </c>
      <c r="E51" s="502">
        <f t="shared" si="74"/>
        <v>0</v>
      </c>
      <c r="F51" s="502">
        <f t="shared" si="74"/>
        <v>0</v>
      </c>
      <c r="G51" s="502">
        <f t="shared" si="74"/>
        <v>0</v>
      </c>
      <c r="H51" s="502">
        <f t="shared" si="74"/>
        <v>0</v>
      </c>
      <c r="I51" s="502">
        <f t="shared" si="74"/>
        <v>0</v>
      </c>
      <c r="J51" s="502">
        <f t="shared" si="74"/>
        <v>0</v>
      </c>
      <c r="K51" s="502">
        <f t="shared" si="74"/>
        <v>0</v>
      </c>
      <c r="L51" s="502">
        <f t="shared" si="74"/>
        <v>0</v>
      </c>
      <c r="M51" s="502">
        <f t="shared" si="74"/>
        <v>0</v>
      </c>
      <c r="N51" s="502">
        <f t="shared" si="74"/>
        <v>0</v>
      </c>
      <c r="O51" s="502">
        <f t="shared" si="74"/>
        <v>0</v>
      </c>
      <c r="P51" s="1238">
        <f t="shared" si="62"/>
        <v>0</v>
      </c>
      <c r="Q51" s="1684">
        <v>0</v>
      </c>
      <c r="S51" s="776">
        <f t="shared" si="63"/>
        <v>7</v>
      </c>
      <c r="T51" s="594" t="s">
        <v>959</v>
      </c>
      <c r="U51" s="502">
        <f t="shared" ref="U51:AF51" si="75">U16*(1+$Q51)</f>
        <v>0</v>
      </c>
      <c r="V51" s="502">
        <f t="shared" si="75"/>
        <v>0</v>
      </c>
      <c r="W51" s="502">
        <f t="shared" si="75"/>
        <v>0</v>
      </c>
      <c r="X51" s="502">
        <f t="shared" si="75"/>
        <v>0</v>
      </c>
      <c r="Y51" s="502">
        <f t="shared" si="75"/>
        <v>0</v>
      </c>
      <c r="Z51" s="502">
        <f t="shared" si="75"/>
        <v>0</v>
      </c>
      <c r="AA51" s="502">
        <f t="shared" si="75"/>
        <v>0</v>
      </c>
      <c r="AB51" s="502">
        <f t="shared" si="75"/>
        <v>0</v>
      </c>
      <c r="AC51" s="502">
        <f t="shared" si="75"/>
        <v>0</v>
      </c>
      <c r="AD51" s="502">
        <f t="shared" si="75"/>
        <v>0</v>
      </c>
      <c r="AE51" s="502">
        <f t="shared" si="75"/>
        <v>0</v>
      </c>
      <c r="AF51" s="502">
        <f t="shared" si="75"/>
        <v>0</v>
      </c>
      <c r="AG51" s="1239">
        <f t="shared" si="65"/>
        <v>0</v>
      </c>
      <c r="AJ51" s="1019"/>
      <c r="AK51" s="782"/>
    </row>
    <row r="52" spans="2:37" ht="14" x14ac:dyDescent="0.3">
      <c r="B52" s="776"/>
      <c r="C52" s="594"/>
      <c r="D52" s="1952">
        <f>$P$52/12</f>
        <v>0</v>
      </c>
      <c r="E52" s="1952">
        <f t="shared" ref="E52:O52" si="76">$P$52/12</f>
        <v>0</v>
      </c>
      <c r="F52" s="1952">
        <f t="shared" si="76"/>
        <v>0</v>
      </c>
      <c r="G52" s="1952">
        <f t="shared" si="76"/>
        <v>0</v>
      </c>
      <c r="H52" s="1952">
        <f t="shared" si="76"/>
        <v>0</v>
      </c>
      <c r="I52" s="1952">
        <f t="shared" si="76"/>
        <v>0</v>
      </c>
      <c r="J52" s="1952">
        <f t="shared" si="76"/>
        <v>0</v>
      </c>
      <c r="K52" s="1952">
        <f t="shared" si="76"/>
        <v>0</v>
      </c>
      <c r="L52" s="1952">
        <f t="shared" si="76"/>
        <v>0</v>
      </c>
      <c r="M52" s="1952">
        <f t="shared" si="76"/>
        <v>0</v>
      </c>
      <c r="N52" s="1952">
        <f t="shared" si="76"/>
        <v>0</v>
      </c>
      <c r="O52" s="1952">
        <f t="shared" si="76"/>
        <v>0</v>
      </c>
      <c r="P52" s="1238"/>
      <c r="Q52" s="1686"/>
      <c r="S52" s="776"/>
      <c r="T52" s="594"/>
      <c r="U52" s="410"/>
      <c r="V52" s="410"/>
      <c r="W52" s="410"/>
      <c r="X52" s="410"/>
      <c r="Y52" s="410"/>
      <c r="Z52" s="410"/>
      <c r="AA52" s="410"/>
      <c r="AB52" s="410"/>
      <c r="AC52" s="410"/>
      <c r="AD52" s="410"/>
      <c r="AE52" s="410"/>
      <c r="AF52" s="410"/>
      <c r="AG52" s="1239">
        <f t="shared" si="65"/>
        <v>0</v>
      </c>
      <c r="AJ52" s="1019"/>
      <c r="AK52" s="782"/>
    </row>
    <row r="53" spans="2:37" ht="14" x14ac:dyDescent="0.3">
      <c r="B53" s="776"/>
      <c r="C53" s="434" t="s">
        <v>416</v>
      </c>
      <c r="D53" s="1239">
        <f>SUM(D45:D52)</f>
        <v>50.582712999999998</v>
      </c>
      <c r="E53" s="1239">
        <f t="shared" ref="E53:O53" si="77">SUM(E45:E51)</f>
        <v>54.445292000000002</v>
      </c>
      <c r="F53" s="1239">
        <f t="shared" si="77"/>
        <v>58.855436999999995</v>
      </c>
      <c r="G53" s="1239">
        <f t="shared" si="77"/>
        <v>56.995020000000004</v>
      </c>
      <c r="H53" s="1239">
        <f t="shared" si="77"/>
        <v>56.498004999999992</v>
      </c>
      <c r="I53" s="1239">
        <f t="shared" si="77"/>
        <v>54.796716000000004</v>
      </c>
      <c r="J53" s="1239">
        <f t="shared" si="77"/>
        <v>51.811079166264989</v>
      </c>
      <c r="K53" s="1239">
        <f t="shared" si="77"/>
        <v>58.054928933049425</v>
      </c>
      <c r="L53" s="1239">
        <f t="shared" si="77"/>
        <v>53.000023263585241</v>
      </c>
      <c r="M53" s="1239">
        <f t="shared" si="77"/>
        <v>49.33405864095657</v>
      </c>
      <c r="N53" s="1239">
        <f t="shared" si="77"/>
        <v>47.528534458220122</v>
      </c>
      <c r="O53" s="1239">
        <f t="shared" si="77"/>
        <v>42.806475189877389</v>
      </c>
      <c r="P53" s="1239">
        <f t="shared" si="62"/>
        <v>634.70828265195382</v>
      </c>
      <c r="Q53" s="1686"/>
      <c r="S53" s="776"/>
      <c r="T53" s="434" t="s">
        <v>416</v>
      </c>
      <c r="U53" s="1239">
        <f>SUM(U45:U51)</f>
        <v>51.470028999999997</v>
      </c>
      <c r="V53" s="1239">
        <f t="shared" ref="V53:AF53" si="78">SUM(V45:V51)</f>
        <v>55.549565999999999</v>
      </c>
      <c r="W53" s="1239">
        <f t="shared" si="78"/>
        <v>60.052367000000004</v>
      </c>
      <c r="X53" s="1239">
        <f t="shared" si="78"/>
        <v>58.170913000000013</v>
      </c>
      <c r="Y53" s="1239">
        <f t="shared" si="78"/>
        <v>57.503102999999996</v>
      </c>
      <c r="Z53" s="1239">
        <f t="shared" si="78"/>
        <v>56.133599999999987</v>
      </c>
      <c r="AA53" s="1239">
        <f t="shared" si="78"/>
        <v>52.838505038509609</v>
      </c>
      <c r="AB53" s="1239">
        <f t="shared" si="78"/>
        <v>59.187630975880673</v>
      </c>
      <c r="AC53" s="1239">
        <f t="shared" si="78"/>
        <v>54.035553917037483</v>
      </c>
      <c r="AD53" s="1239">
        <f t="shared" si="78"/>
        <v>50.296573330889643</v>
      </c>
      <c r="AE53" s="1239">
        <f t="shared" si="78"/>
        <v>48.451740735089317</v>
      </c>
      <c r="AF53" s="1239">
        <f t="shared" si="78"/>
        <v>43.637940643064674</v>
      </c>
      <c r="AG53" s="1239">
        <f t="shared" si="65"/>
        <v>647.32752264047133</v>
      </c>
      <c r="AJ53" s="1019"/>
      <c r="AK53" s="782"/>
    </row>
    <row r="54" spans="2:37" ht="14" x14ac:dyDescent="0.3">
      <c r="B54" s="776"/>
      <c r="C54" s="594"/>
      <c r="D54" s="410"/>
      <c r="E54" s="410"/>
      <c r="F54" s="410"/>
      <c r="G54" s="410"/>
      <c r="H54" s="410"/>
      <c r="I54" s="410"/>
      <c r="J54" s="410"/>
      <c r="K54" s="410"/>
      <c r="L54" s="410"/>
      <c r="M54" s="410"/>
      <c r="N54" s="410"/>
      <c r="O54" s="410"/>
      <c r="P54" s="410"/>
      <c r="Q54" s="1686"/>
      <c r="S54" s="776"/>
      <c r="T54" s="594"/>
      <c r="U54" s="410"/>
      <c r="V54" s="410"/>
      <c r="W54" s="410"/>
      <c r="X54" s="410"/>
      <c r="Y54" s="410"/>
      <c r="Z54" s="410"/>
      <c r="AA54" s="410"/>
      <c r="AB54" s="410"/>
      <c r="AC54" s="410"/>
      <c r="AD54" s="410"/>
      <c r="AE54" s="410"/>
      <c r="AF54" s="410"/>
      <c r="AG54" s="949"/>
      <c r="AJ54" s="1019"/>
      <c r="AK54" s="782"/>
    </row>
    <row r="55" spans="2:37" ht="14" x14ac:dyDescent="0.3">
      <c r="B55" s="776"/>
      <c r="C55" s="1236" t="s">
        <v>294</v>
      </c>
      <c r="D55" s="410"/>
      <c r="E55" s="410"/>
      <c r="F55" s="410"/>
      <c r="G55" s="410"/>
      <c r="H55" s="410"/>
      <c r="I55" s="410"/>
      <c r="J55" s="410"/>
      <c r="K55" s="410"/>
      <c r="L55" s="410"/>
      <c r="M55" s="410"/>
      <c r="N55" s="410"/>
      <c r="O55" s="410"/>
      <c r="P55" s="410"/>
      <c r="Q55" s="1686"/>
      <c r="S55" s="776"/>
      <c r="T55" s="1236" t="s">
        <v>294</v>
      </c>
      <c r="U55" s="410"/>
      <c r="V55" s="410"/>
      <c r="W55" s="410"/>
      <c r="X55" s="410"/>
      <c r="Y55" s="410"/>
      <c r="Z55" s="410"/>
      <c r="AA55" s="410"/>
      <c r="AB55" s="410"/>
      <c r="AC55" s="410"/>
      <c r="AD55" s="410"/>
      <c r="AE55" s="410"/>
      <c r="AF55" s="410"/>
      <c r="AG55" s="949"/>
      <c r="AJ55" s="1019"/>
      <c r="AK55" s="782"/>
    </row>
    <row r="56" spans="2:37" ht="14" x14ac:dyDescent="0.3">
      <c r="B56" s="776">
        <f>B51+1</f>
        <v>8</v>
      </c>
      <c r="C56" s="1237" t="s">
        <v>960</v>
      </c>
      <c r="D56" s="502">
        <f t="shared" ref="D56:O56" si="79">D21*(1+$Q56)</f>
        <v>1.555E-3</v>
      </c>
      <c r="E56" s="502">
        <f t="shared" si="79"/>
        <v>1.6069999999999999E-3</v>
      </c>
      <c r="F56" s="502">
        <f t="shared" si="79"/>
        <v>1.3990000000000001E-3</v>
      </c>
      <c r="G56" s="502">
        <f t="shared" si="79"/>
        <v>1.2279999999999999E-3</v>
      </c>
      <c r="H56" s="502">
        <f t="shared" si="79"/>
        <v>1.7619999999999999E-3</v>
      </c>
      <c r="I56" s="502">
        <f t="shared" si="79"/>
        <v>1.575E-3</v>
      </c>
      <c r="J56" s="502">
        <f t="shared" si="79"/>
        <v>3.9576187034839816E-3</v>
      </c>
      <c r="K56" s="502">
        <f t="shared" si="79"/>
        <v>4.4119007658289288E-3</v>
      </c>
      <c r="L56" s="502">
        <f t="shared" si="79"/>
        <v>4.9429628950490769E-3</v>
      </c>
      <c r="M56" s="502">
        <f t="shared" si="79"/>
        <v>4.6191085104088005E-3</v>
      </c>
      <c r="N56" s="502">
        <f t="shared" si="79"/>
        <v>3.851307841656779E-3</v>
      </c>
      <c r="O56" s="502">
        <f t="shared" si="79"/>
        <v>5.0891403300614814E-3</v>
      </c>
      <c r="P56" s="1238">
        <f t="shared" ref="P56:P70" si="80">SUM(D56:O56)</f>
        <v>3.5998039046489051E-2</v>
      </c>
      <c r="Q56" s="1687">
        <v>0</v>
      </c>
      <c r="S56" s="776">
        <f>S51+1</f>
        <v>8</v>
      </c>
      <c r="T56" s="1237" t="s">
        <v>960</v>
      </c>
      <c r="U56" s="502">
        <f t="shared" ref="U56:AF56" si="81">U21*(1+$Q56)</f>
        <v>1.555E-3</v>
      </c>
      <c r="V56" s="502">
        <f t="shared" si="81"/>
        <v>1.6069999999999999E-3</v>
      </c>
      <c r="W56" s="502">
        <f t="shared" si="81"/>
        <v>1.3990000000000001E-3</v>
      </c>
      <c r="X56" s="502">
        <f t="shared" si="81"/>
        <v>1.2279999999999999E-3</v>
      </c>
      <c r="Y56" s="502">
        <f t="shared" si="81"/>
        <v>1.7619999999999999E-3</v>
      </c>
      <c r="Z56" s="502">
        <f t="shared" si="81"/>
        <v>1.575E-3</v>
      </c>
      <c r="AA56" s="502">
        <f t="shared" si="81"/>
        <v>3.9576187034839816E-3</v>
      </c>
      <c r="AB56" s="502">
        <f t="shared" si="81"/>
        <v>4.4119007658289288E-3</v>
      </c>
      <c r="AC56" s="502">
        <f t="shared" si="81"/>
        <v>4.9429628950490769E-3</v>
      </c>
      <c r="AD56" s="502">
        <f t="shared" si="81"/>
        <v>4.6191085104088005E-3</v>
      </c>
      <c r="AE56" s="502">
        <f t="shared" si="81"/>
        <v>3.851307841656779E-3</v>
      </c>
      <c r="AF56" s="502">
        <f t="shared" si="81"/>
        <v>5.0891403300614814E-3</v>
      </c>
      <c r="AG56" s="1239">
        <f t="shared" ref="AG56:AG70" si="82">SUM(U56:AF56)</f>
        <v>3.5998039046489051E-2</v>
      </c>
      <c r="AJ56" s="1019"/>
      <c r="AK56" s="782"/>
    </row>
    <row r="57" spans="2:37" ht="14" x14ac:dyDescent="0.3">
      <c r="B57" s="776">
        <f>B56+1</f>
        <v>9</v>
      </c>
      <c r="C57" s="1237" t="s">
        <v>961</v>
      </c>
      <c r="D57" s="502">
        <f t="shared" ref="D57:O57" si="83">D22*(1+$Q57)</f>
        <v>0</v>
      </c>
      <c r="E57" s="502">
        <f t="shared" si="83"/>
        <v>0</v>
      </c>
      <c r="F57" s="502">
        <f t="shared" si="83"/>
        <v>0</v>
      </c>
      <c r="G57" s="502">
        <f t="shared" si="83"/>
        <v>0</v>
      </c>
      <c r="H57" s="502">
        <f t="shared" si="83"/>
        <v>0</v>
      </c>
      <c r="I57" s="502">
        <f t="shared" si="83"/>
        <v>0</v>
      </c>
      <c r="J57" s="502">
        <f t="shared" si="83"/>
        <v>0</v>
      </c>
      <c r="K57" s="502">
        <f t="shared" si="83"/>
        <v>0</v>
      </c>
      <c r="L57" s="502">
        <f t="shared" si="83"/>
        <v>0</v>
      </c>
      <c r="M57" s="502">
        <f t="shared" si="83"/>
        <v>0</v>
      </c>
      <c r="N57" s="502">
        <f t="shared" si="83"/>
        <v>0</v>
      </c>
      <c r="O57" s="502">
        <f t="shared" si="83"/>
        <v>0</v>
      </c>
      <c r="P57" s="1238">
        <f t="shared" si="80"/>
        <v>0</v>
      </c>
      <c r="Q57" s="1686"/>
      <c r="S57" s="776">
        <f>S56+1</f>
        <v>9</v>
      </c>
      <c r="T57" s="1237" t="s">
        <v>961</v>
      </c>
      <c r="U57" s="502">
        <f t="shared" ref="U57:AF57" si="84">U22*(1+$Q57)</f>
        <v>0</v>
      </c>
      <c r="V57" s="502">
        <f t="shared" si="84"/>
        <v>0</v>
      </c>
      <c r="W57" s="502">
        <f t="shared" si="84"/>
        <v>0</v>
      </c>
      <c r="X57" s="502">
        <f t="shared" si="84"/>
        <v>0</v>
      </c>
      <c r="Y57" s="502">
        <f t="shared" si="84"/>
        <v>0</v>
      </c>
      <c r="Z57" s="502">
        <f t="shared" si="84"/>
        <v>0</v>
      </c>
      <c r="AA57" s="502">
        <f t="shared" si="84"/>
        <v>0</v>
      </c>
      <c r="AB57" s="502">
        <f t="shared" si="84"/>
        <v>0</v>
      </c>
      <c r="AC57" s="502">
        <f t="shared" si="84"/>
        <v>0</v>
      </c>
      <c r="AD57" s="502">
        <f t="shared" si="84"/>
        <v>0</v>
      </c>
      <c r="AE57" s="502">
        <f t="shared" si="84"/>
        <v>0</v>
      </c>
      <c r="AF57" s="502">
        <f t="shared" si="84"/>
        <v>0</v>
      </c>
      <c r="AG57" s="1239">
        <f t="shared" si="82"/>
        <v>0</v>
      </c>
      <c r="AJ57" s="1019"/>
      <c r="AK57" s="782"/>
    </row>
    <row r="58" spans="2:37" ht="14" x14ac:dyDescent="0.3">
      <c r="B58" s="776">
        <f t="shared" ref="B58:B70" si="85">B57+1</f>
        <v>10</v>
      </c>
      <c r="C58" s="594" t="s">
        <v>900</v>
      </c>
      <c r="D58" s="502">
        <f t="shared" ref="D58:O58" si="86">D23*(1+$Q58)</f>
        <v>63.666454481000009</v>
      </c>
      <c r="E58" s="502">
        <f t="shared" si="86"/>
        <v>64.745678942500007</v>
      </c>
      <c r="F58" s="502">
        <f t="shared" si="86"/>
        <v>63.404059331000006</v>
      </c>
      <c r="G58" s="502">
        <f t="shared" si="86"/>
        <v>63.850449325</v>
      </c>
      <c r="H58" s="502">
        <f t="shared" si="86"/>
        <v>64.132978666000014</v>
      </c>
      <c r="I58" s="502">
        <f t="shared" si="86"/>
        <v>64.266508304500007</v>
      </c>
      <c r="J58" s="502">
        <f t="shared" si="86"/>
        <v>65.422662586818262</v>
      </c>
      <c r="K58" s="502">
        <f t="shared" si="86"/>
        <v>65.124504485694516</v>
      </c>
      <c r="L58" s="502">
        <f t="shared" si="86"/>
        <v>64.108006751159508</v>
      </c>
      <c r="M58" s="502">
        <f t="shared" si="86"/>
        <v>62.292338307148441</v>
      </c>
      <c r="N58" s="502">
        <f t="shared" si="86"/>
        <v>58.073602440153977</v>
      </c>
      <c r="O58" s="502">
        <f t="shared" si="86"/>
        <v>60.74841310342179</v>
      </c>
      <c r="P58" s="1238">
        <f t="shared" si="80"/>
        <v>759.83565672439647</v>
      </c>
      <c r="Q58" s="1688">
        <v>1.35E-2</v>
      </c>
      <c r="S58" s="776">
        <f t="shared" ref="S58:S70" si="87">S57+1</f>
        <v>10</v>
      </c>
      <c r="T58" s="594" t="s">
        <v>900</v>
      </c>
      <c r="U58" s="502">
        <f t="shared" ref="U58:AF58" si="88">U23*(1+$Q58)</f>
        <v>63.666454481000009</v>
      </c>
      <c r="V58" s="502">
        <f t="shared" si="88"/>
        <v>64.745678942500007</v>
      </c>
      <c r="W58" s="502">
        <f t="shared" si="88"/>
        <v>63.404059331000006</v>
      </c>
      <c r="X58" s="502">
        <f t="shared" si="88"/>
        <v>63.850449325</v>
      </c>
      <c r="Y58" s="502">
        <f t="shared" si="88"/>
        <v>64.132978666000014</v>
      </c>
      <c r="Z58" s="502">
        <f t="shared" si="88"/>
        <v>64.266508304500007</v>
      </c>
      <c r="AA58" s="502">
        <f t="shared" si="88"/>
        <v>65.422662586818262</v>
      </c>
      <c r="AB58" s="502">
        <f t="shared" si="88"/>
        <v>65.124504485694516</v>
      </c>
      <c r="AC58" s="502">
        <f t="shared" si="88"/>
        <v>64.108006751159508</v>
      </c>
      <c r="AD58" s="502">
        <f t="shared" si="88"/>
        <v>62.292338307148441</v>
      </c>
      <c r="AE58" s="502">
        <f t="shared" si="88"/>
        <v>58.073602440153977</v>
      </c>
      <c r="AF58" s="502">
        <f t="shared" si="88"/>
        <v>60.74841310342179</v>
      </c>
      <c r="AG58" s="1239">
        <f t="shared" si="82"/>
        <v>759.83565672439647</v>
      </c>
      <c r="AJ58" s="1019"/>
      <c r="AK58" s="782"/>
    </row>
    <row r="59" spans="2:37" ht="14" x14ac:dyDescent="0.3">
      <c r="B59" s="776">
        <f t="shared" si="85"/>
        <v>11</v>
      </c>
      <c r="C59" s="594" t="s">
        <v>901</v>
      </c>
      <c r="D59" s="502">
        <f t="shared" ref="D59:O59" si="89">D24*(1+$Q59)</f>
        <v>63.345947268000003</v>
      </c>
      <c r="E59" s="502">
        <f t="shared" si="89"/>
        <v>73.775059900499997</v>
      </c>
      <c r="F59" s="502">
        <f t="shared" si="89"/>
        <v>66.938677067000015</v>
      </c>
      <c r="G59" s="502">
        <f t="shared" si="89"/>
        <v>63.205166037000005</v>
      </c>
      <c r="H59" s="502">
        <f t="shared" si="89"/>
        <v>62.411688779000002</v>
      </c>
      <c r="I59" s="502">
        <f t="shared" si="89"/>
        <v>62.382290184500008</v>
      </c>
      <c r="J59" s="502">
        <f t="shared" si="89"/>
        <v>72.378975954634043</v>
      </c>
      <c r="K59" s="502">
        <f t="shared" si="89"/>
        <v>71.870685372969604</v>
      </c>
      <c r="L59" s="502">
        <f t="shared" si="89"/>
        <v>62.874605759340312</v>
      </c>
      <c r="M59" s="502">
        <f t="shared" si="89"/>
        <v>50.540663582713378</v>
      </c>
      <c r="N59" s="502">
        <f t="shared" si="89"/>
        <v>36.25222486509184</v>
      </c>
      <c r="O59" s="502">
        <f t="shared" si="89"/>
        <v>44.854614610004532</v>
      </c>
      <c r="P59" s="1238">
        <f t="shared" si="80"/>
        <v>730.83059938075382</v>
      </c>
      <c r="Q59" s="1688">
        <v>1.35E-2</v>
      </c>
      <c r="S59" s="776">
        <f t="shared" si="87"/>
        <v>11</v>
      </c>
      <c r="T59" s="594" t="s">
        <v>901</v>
      </c>
      <c r="U59" s="502">
        <f t="shared" ref="U59:AF59" si="90">U24*(1+$Q59)</f>
        <v>63.345947268000003</v>
      </c>
      <c r="V59" s="502">
        <f t="shared" si="90"/>
        <v>73.775059900499997</v>
      </c>
      <c r="W59" s="502">
        <f t="shared" si="90"/>
        <v>66.938677067000015</v>
      </c>
      <c r="X59" s="502">
        <f t="shared" si="90"/>
        <v>63.205166037000005</v>
      </c>
      <c r="Y59" s="502">
        <f t="shared" si="90"/>
        <v>62.411688779000002</v>
      </c>
      <c r="Z59" s="502">
        <f t="shared" si="90"/>
        <v>62.382290184500008</v>
      </c>
      <c r="AA59" s="502">
        <f t="shared" si="90"/>
        <v>72.378975954634043</v>
      </c>
      <c r="AB59" s="502">
        <f t="shared" si="90"/>
        <v>71.870685372969604</v>
      </c>
      <c r="AC59" s="502">
        <f t="shared" si="90"/>
        <v>62.874605759340312</v>
      </c>
      <c r="AD59" s="502">
        <f t="shared" si="90"/>
        <v>50.540663582713378</v>
      </c>
      <c r="AE59" s="502">
        <f t="shared" si="90"/>
        <v>36.25222486509184</v>
      </c>
      <c r="AF59" s="502">
        <f t="shared" si="90"/>
        <v>44.854614610004532</v>
      </c>
      <c r="AG59" s="1239">
        <f t="shared" si="82"/>
        <v>730.83059938075382</v>
      </c>
      <c r="AJ59" s="1019"/>
      <c r="AK59" s="782"/>
    </row>
    <row r="60" spans="2:37" ht="14" x14ac:dyDescent="0.3">
      <c r="B60" s="776">
        <f t="shared" si="85"/>
        <v>12</v>
      </c>
      <c r="C60" s="594" t="s">
        <v>902</v>
      </c>
      <c r="D60" s="502">
        <f t="shared" ref="D60:O60" si="91">D25*(1+$Q60)</f>
        <v>21.409571292000003</v>
      </c>
      <c r="E60" s="502">
        <f t="shared" si="91"/>
        <v>31.012495954000002</v>
      </c>
      <c r="F60" s="502">
        <f t="shared" si="91"/>
        <v>26.376210812500002</v>
      </c>
      <c r="G60" s="502">
        <f t="shared" si="91"/>
        <v>19.947489097500004</v>
      </c>
      <c r="H60" s="502">
        <f t="shared" si="91"/>
        <v>18.540155159499999</v>
      </c>
      <c r="I60" s="502">
        <f t="shared" si="91"/>
        <v>18.643782494000003</v>
      </c>
      <c r="J60" s="502">
        <f t="shared" si="91"/>
        <v>24.997310064828472</v>
      </c>
      <c r="K60" s="502">
        <f t="shared" si="91"/>
        <v>26.68396192131334</v>
      </c>
      <c r="L60" s="502">
        <f t="shared" si="91"/>
        <v>19.791361698810231</v>
      </c>
      <c r="M60" s="502">
        <f t="shared" si="91"/>
        <v>14.13529180889873</v>
      </c>
      <c r="N60" s="502">
        <f t="shared" si="91"/>
        <v>8.3829591882129293</v>
      </c>
      <c r="O60" s="502">
        <f t="shared" si="91"/>
        <v>10.910169277469372</v>
      </c>
      <c r="P60" s="1238">
        <f t="shared" si="80"/>
        <v>240.83075876903308</v>
      </c>
      <c r="Q60" s="1688">
        <v>1.35E-2</v>
      </c>
      <c r="S60" s="776">
        <f t="shared" si="87"/>
        <v>12</v>
      </c>
      <c r="T60" s="594" t="s">
        <v>902</v>
      </c>
      <c r="U60" s="502">
        <f t="shared" ref="U60:AF60" si="92">U25*(1+$Q60)</f>
        <v>21.409571292000003</v>
      </c>
      <c r="V60" s="502">
        <f t="shared" si="92"/>
        <v>31.012495954000002</v>
      </c>
      <c r="W60" s="502">
        <f t="shared" si="92"/>
        <v>26.376210812500002</v>
      </c>
      <c r="X60" s="502">
        <f t="shared" si="92"/>
        <v>19.947489097500004</v>
      </c>
      <c r="Y60" s="502">
        <f t="shared" si="92"/>
        <v>18.540155159499999</v>
      </c>
      <c r="Z60" s="502">
        <f t="shared" si="92"/>
        <v>18.643782494000003</v>
      </c>
      <c r="AA60" s="502">
        <f t="shared" si="92"/>
        <v>24.997310064828472</v>
      </c>
      <c r="AB60" s="502">
        <f t="shared" si="92"/>
        <v>26.68396192131334</v>
      </c>
      <c r="AC60" s="502">
        <f t="shared" si="92"/>
        <v>19.791361698810231</v>
      </c>
      <c r="AD60" s="502">
        <f t="shared" si="92"/>
        <v>14.13529180889873</v>
      </c>
      <c r="AE60" s="502">
        <f t="shared" si="92"/>
        <v>8.3829591882129293</v>
      </c>
      <c r="AF60" s="502">
        <f t="shared" si="92"/>
        <v>10.910169277469372</v>
      </c>
      <c r="AG60" s="1239">
        <f t="shared" si="82"/>
        <v>240.83075876903308</v>
      </c>
      <c r="AJ60" s="1019"/>
      <c r="AK60" s="782"/>
    </row>
    <row r="61" spans="2:37" ht="14" x14ac:dyDescent="0.3">
      <c r="B61" s="776">
        <f t="shared" si="85"/>
        <v>13</v>
      </c>
      <c r="C61" s="594" t="s">
        <v>903</v>
      </c>
      <c r="D61" s="502">
        <f t="shared" ref="D61:O61" si="93">D26*(1+$Q61)</f>
        <v>34.569378258</v>
      </c>
      <c r="E61" s="502">
        <f t="shared" si="93"/>
        <v>49.583089559000008</v>
      </c>
      <c r="F61" s="502">
        <f t="shared" si="93"/>
        <v>41.845794413500002</v>
      </c>
      <c r="G61" s="502">
        <f t="shared" si="93"/>
        <v>32.103945252500004</v>
      </c>
      <c r="H61" s="502">
        <f t="shared" si="93"/>
        <v>32.980160596499999</v>
      </c>
      <c r="I61" s="502">
        <f t="shared" si="93"/>
        <v>32.257817863</v>
      </c>
      <c r="J61" s="502">
        <f t="shared" si="93"/>
        <v>37.716995893197456</v>
      </c>
      <c r="K61" s="502">
        <f t="shared" si="93"/>
        <v>41.471740197840766</v>
      </c>
      <c r="L61" s="502">
        <f t="shared" si="93"/>
        <v>32.969774122620215</v>
      </c>
      <c r="M61" s="502">
        <f t="shared" si="93"/>
        <v>25.350227370282955</v>
      </c>
      <c r="N61" s="502">
        <f t="shared" si="93"/>
        <v>18.996923521885325</v>
      </c>
      <c r="O61" s="502">
        <f t="shared" si="93"/>
        <v>20.818416359899924</v>
      </c>
      <c r="P61" s="1238">
        <f t="shared" si="80"/>
        <v>400.66426340822659</v>
      </c>
      <c r="Q61" s="1688">
        <v>1.35E-2</v>
      </c>
      <c r="S61" s="776">
        <f t="shared" si="87"/>
        <v>13</v>
      </c>
      <c r="T61" s="594" t="s">
        <v>903</v>
      </c>
      <c r="U61" s="502">
        <f t="shared" ref="U61:AF61" si="94">U26*(1+$Q61)</f>
        <v>34.569378258</v>
      </c>
      <c r="V61" s="502">
        <f t="shared" si="94"/>
        <v>49.583089559000008</v>
      </c>
      <c r="W61" s="502">
        <f t="shared" si="94"/>
        <v>41.845794413500002</v>
      </c>
      <c r="X61" s="502">
        <f t="shared" si="94"/>
        <v>32.103945252500004</v>
      </c>
      <c r="Y61" s="502">
        <f t="shared" si="94"/>
        <v>32.980160596499999</v>
      </c>
      <c r="Z61" s="502">
        <f t="shared" si="94"/>
        <v>32.257817863</v>
      </c>
      <c r="AA61" s="502">
        <f t="shared" si="94"/>
        <v>37.716995893197456</v>
      </c>
      <c r="AB61" s="502">
        <f t="shared" si="94"/>
        <v>41.471740197840766</v>
      </c>
      <c r="AC61" s="502">
        <f t="shared" si="94"/>
        <v>32.969774122620215</v>
      </c>
      <c r="AD61" s="502">
        <f t="shared" si="94"/>
        <v>25.350227370282955</v>
      </c>
      <c r="AE61" s="502">
        <f t="shared" si="94"/>
        <v>18.996923521885325</v>
      </c>
      <c r="AF61" s="502">
        <f t="shared" si="94"/>
        <v>20.818416359899924</v>
      </c>
      <c r="AG61" s="1239">
        <f t="shared" si="82"/>
        <v>400.66426340822659</v>
      </c>
      <c r="AJ61" s="1019"/>
      <c r="AK61" s="782"/>
    </row>
    <row r="62" spans="2:37" ht="14" x14ac:dyDescent="0.3">
      <c r="B62" s="776">
        <f t="shared" si="85"/>
        <v>14</v>
      </c>
      <c r="C62" s="1237" t="s">
        <v>962</v>
      </c>
      <c r="D62" s="502">
        <f t="shared" ref="D62:O62" si="95">D27*(1+$Q62)</f>
        <v>70.727204509499998</v>
      </c>
      <c r="E62" s="502">
        <f t="shared" si="95"/>
        <v>80.974503078699996</v>
      </c>
      <c r="F62" s="502">
        <f t="shared" si="95"/>
        <v>74.305773534300002</v>
      </c>
      <c r="G62" s="502">
        <f t="shared" si="95"/>
        <v>68.970020865899997</v>
      </c>
      <c r="H62" s="502">
        <f t="shared" si="95"/>
        <v>69.046336081799993</v>
      </c>
      <c r="I62" s="502">
        <f t="shared" si="95"/>
        <v>70.137683916299991</v>
      </c>
      <c r="J62" s="502">
        <f t="shared" si="95"/>
        <v>76.894965566234248</v>
      </c>
      <c r="K62" s="502">
        <f t="shared" si="95"/>
        <v>76.985373790937913</v>
      </c>
      <c r="L62" s="502">
        <f t="shared" si="95"/>
        <v>69.862229868743441</v>
      </c>
      <c r="M62" s="502">
        <f t="shared" si="95"/>
        <v>62.51323577518891</v>
      </c>
      <c r="N62" s="502">
        <f t="shared" si="95"/>
        <v>53.130591743758309</v>
      </c>
      <c r="O62" s="502">
        <f t="shared" si="95"/>
        <v>60.133835165747549</v>
      </c>
      <c r="P62" s="1238">
        <f t="shared" si="80"/>
        <v>833.6817538971103</v>
      </c>
      <c r="Q62" s="1688">
        <v>8.6999999999999994E-3</v>
      </c>
      <c r="S62" s="776">
        <f t="shared" si="87"/>
        <v>14</v>
      </c>
      <c r="T62" s="1237" t="s">
        <v>962</v>
      </c>
      <c r="U62" s="502">
        <f t="shared" ref="U62:AF62" si="96">U27*(1+$Q62)</f>
        <v>70.727204509499998</v>
      </c>
      <c r="V62" s="502">
        <f t="shared" si="96"/>
        <v>80.974503078699996</v>
      </c>
      <c r="W62" s="502">
        <f t="shared" si="96"/>
        <v>74.305773534300002</v>
      </c>
      <c r="X62" s="502">
        <f t="shared" si="96"/>
        <v>68.970020865899997</v>
      </c>
      <c r="Y62" s="502">
        <f t="shared" si="96"/>
        <v>69.046336081799993</v>
      </c>
      <c r="Z62" s="502">
        <f t="shared" si="96"/>
        <v>70.137683916299991</v>
      </c>
      <c r="AA62" s="502">
        <f t="shared" si="96"/>
        <v>76.894965566234248</v>
      </c>
      <c r="AB62" s="502">
        <f t="shared" si="96"/>
        <v>76.985373790937913</v>
      </c>
      <c r="AC62" s="502">
        <f t="shared" si="96"/>
        <v>69.862229868743441</v>
      </c>
      <c r="AD62" s="502">
        <f t="shared" si="96"/>
        <v>62.51323577518891</v>
      </c>
      <c r="AE62" s="502">
        <f t="shared" si="96"/>
        <v>53.130591743758309</v>
      </c>
      <c r="AF62" s="502">
        <f t="shared" si="96"/>
        <v>60.133835165747549</v>
      </c>
      <c r="AG62" s="1239">
        <f t="shared" si="82"/>
        <v>833.6817538971103</v>
      </c>
      <c r="AJ62" s="1019"/>
      <c r="AK62" s="782"/>
    </row>
    <row r="63" spans="2:37" ht="14" x14ac:dyDescent="0.3">
      <c r="B63" s="776">
        <f t="shared" si="85"/>
        <v>15</v>
      </c>
      <c r="C63" s="1237" t="s">
        <v>963</v>
      </c>
      <c r="D63" s="502">
        <f t="shared" ref="D63:O63" si="97">D28*(1+$Q63)</f>
        <v>14.911695822099999</v>
      </c>
      <c r="E63" s="502">
        <f t="shared" si="97"/>
        <v>15.868287388799999</v>
      </c>
      <c r="F63" s="502">
        <f t="shared" si="97"/>
        <v>16.935230735499999</v>
      </c>
      <c r="G63" s="502">
        <f t="shared" si="97"/>
        <v>15.7225504128</v>
      </c>
      <c r="H63" s="502">
        <f t="shared" si="97"/>
        <v>14.169852450599999</v>
      </c>
      <c r="I63" s="502">
        <f t="shared" si="97"/>
        <v>14.159100717299999</v>
      </c>
      <c r="J63" s="502">
        <f t="shared" si="97"/>
        <v>14.036350735233503</v>
      </c>
      <c r="K63" s="502">
        <f t="shared" si="97"/>
        <v>16.121693630960131</v>
      </c>
      <c r="L63" s="502">
        <f t="shared" si="97"/>
        <v>14.199321513771496</v>
      </c>
      <c r="M63" s="502">
        <f t="shared" si="97"/>
        <v>12.854231207344457</v>
      </c>
      <c r="N63" s="502">
        <f t="shared" si="97"/>
        <v>11.978754483673393</v>
      </c>
      <c r="O63" s="502">
        <f t="shared" si="97"/>
        <v>11.285974413652829</v>
      </c>
      <c r="P63" s="1238">
        <f t="shared" si="80"/>
        <v>172.24304351173583</v>
      </c>
      <c r="Q63" s="1688">
        <v>8.6999999999999994E-3</v>
      </c>
      <c r="S63" s="776">
        <f t="shared" si="87"/>
        <v>15</v>
      </c>
      <c r="T63" s="1237" t="s">
        <v>963</v>
      </c>
      <c r="U63" s="502">
        <f t="shared" ref="U63:AF63" si="98">U28*(1+$Q63)</f>
        <v>14.911695822099999</v>
      </c>
      <c r="V63" s="502">
        <f t="shared" si="98"/>
        <v>15.868287388799999</v>
      </c>
      <c r="W63" s="502">
        <f t="shared" si="98"/>
        <v>16.935230735499999</v>
      </c>
      <c r="X63" s="502">
        <f t="shared" si="98"/>
        <v>15.7225504128</v>
      </c>
      <c r="Y63" s="502">
        <f t="shared" si="98"/>
        <v>14.169852450599999</v>
      </c>
      <c r="Z63" s="502">
        <f t="shared" si="98"/>
        <v>14.159100717299999</v>
      </c>
      <c r="AA63" s="502">
        <f t="shared" si="98"/>
        <v>14.036350735233503</v>
      </c>
      <c r="AB63" s="502">
        <f t="shared" si="98"/>
        <v>16.121693630960131</v>
      </c>
      <c r="AC63" s="502">
        <f t="shared" si="98"/>
        <v>14.199321513771496</v>
      </c>
      <c r="AD63" s="502">
        <f t="shared" si="98"/>
        <v>12.854231207344457</v>
      </c>
      <c r="AE63" s="502">
        <f t="shared" si="98"/>
        <v>11.978754483673393</v>
      </c>
      <c r="AF63" s="502">
        <f t="shared" si="98"/>
        <v>11.285974413652829</v>
      </c>
      <c r="AG63" s="1239">
        <f t="shared" si="82"/>
        <v>172.24304351173583</v>
      </c>
      <c r="AJ63" s="1019"/>
      <c r="AK63" s="782"/>
    </row>
    <row r="64" spans="2:37" ht="14" x14ac:dyDescent="0.3">
      <c r="B64" s="776">
        <f t="shared" si="85"/>
        <v>16</v>
      </c>
      <c r="C64" s="1237" t="s">
        <v>964</v>
      </c>
      <c r="D64" s="502">
        <f t="shared" ref="D64:O64" si="99">D29*(1+$Q64)</f>
        <v>30.147994000000001</v>
      </c>
      <c r="E64" s="502">
        <f t="shared" si="99"/>
        <v>32.767401</v>
      </c>
      <c r="F64" s="502">
        <f t="shared" si="99"/>
        <v>35.315922999999998</v>
      </c>
      <c r="G64" s="502">
        <f t="shared" si="99"/>
        <v>32.943264999999997</v>
      </c>
      <c r="H64" s="502">
        <f t="shared" si="99"/>
        <v>30.200312</v>
      </c>
      <c r="I64" s="502">
        <f t="shared" si="99"/>
        <v>30.420096000000001</v>
      </c>
      <c r="J64" s="502">
        <f t="shared" si="99"/>
        <v>28.937710695102741</v>
      </c>
      <c r="K64" s="502">
        <f t="shared" si="99"/>
        <v>33.47249359298187</v>
      </c>
      <c r="L64" s="502">
        <f t="shared" si="99"/>
        <v>29.518267418991297</v>
      </c>
      <c r="M64" s="502">
        <f t="shared" si="99"/>
        <v>26.411988244099156</v>
      </c>
      <c r="N64" s="502">
        <f t="shared" si="99"/>
        <v>24.90639315380696</v>
      </c>
      <c r="O64" s="502">
        <f t="shared" si="99"/>
        <v>23.192545059551655</v>
      </c>
      <c r="P64" s="1238">
        <f t="shared" si="80"/>
        <v>358.2343891645337</v>
      </c>
      <c r="Q64" s="1688">
        <v>0</v>
      </c>
      <c r="S64" s="776">
        <f t="shared" si="87"/>
        <v>16</v>
      </c>
      <c r="T64" s="1237" t="s">
        <v>964</v>
      </c>
      <c r="U64" s="502">
        <f t="shared" ref="U64:AF64" si="100">U29*(1+$Q64)</f>
        <v>30.147994000000001</v>
      </c>
      <c r="V64" s="502">
        <f t="shared" si="100"/>
        <v>32.767401</v>
      </c>
      <c r="W64" s="502">
        <f t="shared" si="100"/>
        <v>35.315922999999998</v>
      </c>
      <c r="X64" s="502">
        <f t="shared" si="100"/>
        <v>32.943264999999997</v>
      </c>
      <c r="Y64" s="502">
        <f t="shared" si="100"/>
        <v>30.200312</v>
      </c>
      <c r="Z64" s="502">
        <f t="shared" si="100"/>
        <v>30.420096000000001</v>
      </c>
      <c r="AA64" s="502">
        <f t="shared" si="100"/>
        <v>28.937710695102741</v>
      </c>
      <c r="AB64" s="502">
        <f t="shared" si="100"/>
        <v>33.47249359298187</v>
      </c>
      <c r="AC64" s="502">
        <f t="shared" si="100"/>
        <v>29.518267418991297</v>
      </c>
      <c r="AD64" s="502">
        <f t="shared" si="100"/>
        <v>26.411988244099156</v>
      </c>
      <c r="AE64" s="502">
        <f t="shared" si="100"/>
        <v>24.90639315380696</v>
      </c>
      <c r="AF64" s="502">
        <f t="shared" si="100"/>
        <v>23.192545059551655</v>
      </c>
      <c r="AG64" s="1239">
        <f t="shared" si="82"/>
        <v>358.2343891645337</v>
      </c>
      <c r="AJ64" s="1019"/>
      <c r="AK64" s="782"/>
    </row>
    <row r="65" spans="1:37" ht="14" x14ac:dyDescent="0.3">
      <c r="B65" s="776">
        <f t="shared" si="85"/>
        <v>17</v>
      </c>
      <c r="C65" s="1237" t="s">
        <v>965</v>
      </c>
      <c r="D65" s="502">
        <f t="shared" ref="D65:O65" si="101">D30*(1+$Q65)</f>
        <v>8.1939659999999996</v>
      </c>
      <c r="E65" s="502">
        <f t="shared" si="101"/>
        <v>8.8921720000000004</v>
      </c>
      <c r="F65" s="502">
        <f t="shared" si="101"/>
        <v>8.0106610000000007</v>
      </c>
      <c r="G65" s="502">
        <f t="shared" si="101"/>
        <v>8.343629</v>
      </c>
      <c r="H65" s="502">
        <f t="shared" si="101"/>
        <v>8.8732399999999991</v>
      </c>
      <c r="I65" s="502">
        <f t="shared" si="101"/>
        <v>8.9088460000000005</v>
      </c>
      <c r="J65" s="502">
        <f t="shared" si="101"/>
        <v>9.4406769316606987</v>
      </c>
      <c r="K65" s="502">
        <f t="shared" si="101"/>
        <v>9.6176372381018123</v>
      </c>
      <c r="L65" s="502">
        <f t="shared" si="101"/>
        <v>9.0226297119287793</v>
      </c>
      <c r="M65" s="502">
        <f t="shared" si="101"/>
        <v>8.6399447407953609</v>
      </c>
      <c r="N65" s="502">
        <f t="shared" si="101"/>
        <v>8.7017791916651408</v>
      </c>
      <c r="O65" s="502">
        <f t="shared" si="101"/>
        <v>9.0940750897378102</v>
      </c>
      <c r="P65" s="1238">
        <f t="shared" si="80"/>
        <v>105.7392569038896</v>
      </c>
      <c r="Q65" s="1688">
        <v>0</v>
      </c>
      <c r="S65" s="776">
        <f t="shared" si="87"/>
        <v>17</v>
      </c>
      <c r="T65" s="1237" t="s">
        <v>965</v>
      </c>
      <c r="U65" s="502">
        <f t="shared" ref="U65:AF65" si="102">U30*(1+$Q65)</f>
        <v>8.1939659999999996</v>
      </c>
      <c r="V65" s="502">
        <f t="shared" si="102"/>
        <v>8.8921720000000004</v>
      </c>
      <c r="W65" s="502">
        <f t="shared" si="102"/>
        <v>8.0106610000000007</v>
      </c>
      <c r="X65" s="502">
        <f t="shared" si="102"/>
        <v>8.343629</v>
      </c>
      <c r="Y65" s="502">
        <f t="shared" si="102"/>
        <v>8.8732399999999991</v>
      </c>
      <c r="Z65" s="502">
        <f t="shared" si="102"/>
        <v>8.9088460000000005</v>
      </c>
      <c r="AA65" s="502">
        <f t="shared" si="102"/>
        <v>9.4406769316606987</v>
      </c>
      <c r="AB65" s="502">
        <f t="shared" si="102"/>
        <v>9.6176372381018123</v>
      </c>
      <c r="AC65" s="502">
        <f t="shared" si="102"/>
        <v>9.0226297119287793</v>
      </c>
      <c r="AD65" s="502">
        <f t="shared" si="102"/>
        <v>8.6399447407953609</v>
      </c>
      <c r="AE65" s="502">
        <f t="shared" si="102"/>
        <v>8.7017791916651408</v>
      </c>
      <c r="AF65" s="502">
        <f t="shared" si="102"/>
        <v>9.0940750897378102</v>
      </c>
      <c r="AG65" s="1239">
        <f t="shared" si="82"/>
        <v>105.7392569038896</v>
      </c>
      <c r="AJ65" s="1019"/>
      <c r="AK65" s="782"/>
    </row>
    <row r="66" spans="1:37" ht="14" x14ac:dyDescent="0.3">
      <c r="B66" s="776">
        <f t="shared" si="85"/>
        <v>18</v>
      </c>
      <c r="C66" s="1237" t="s">
        <v>966</v>
      </c>
      <c r="D66" s="502">
        <f t="shared" ref="D66:O66" si="103">D31*(1+$Q66)</f>
        <v>6.963355</v>
      </c>
      <c r="E66" s="502">
        <f t="shared" si="103"/>
        <v>6.8979689999999998</v>
      </c>
      <c r="F66" s="502">
        <f t="shared" si="103"/>
        <v>7.0801959999999999</v>
      </c>
      <c r="G66" s="502">
        <f t="shared" si="103"/>
        <v>6.8399150000000004</v>
      </c>
      <c r="H66" s="502">
        <f t="shared" si="103"/>
        <v>6.6852729999999996</v>
      </c>
      <c r="I66" s="502">
        <f t="shared" si="103"/>
        <v>6.6050880000000003</v>
      </c>
      <c r="J66" s="502">
        <f t="shared" si="103"/>
        <v>6.5835935223922322</v>
      </c>
      <c r="K66" s="502">
        <f t="shared" si="103"/>
        <v>7.3093487309523058</v>
      </c>
      <c r="L66" s="502">
        <f t="shared" si="103"/>
        <v>6.364912664709812</v>
      </c>
      <c r="M66" s="502">
        <f t="shared" si="103"/>
        <v>6.6479934324208294</v>
      </c>
      <c r="N66" s="502">
        <f t="shared" si="103"/>
        <v>6.1142830520131346</v>
      </c>
      <c r="O66" s="502">
        <f t="shared" si="103"/>
        <v>5.7151567138077377</v>
      </c>
      <c r="P66" s="1238">
        <f t="shared" si="80"/>
        <v>79.807084116296068</v>
      </c>
      <c r="Q66" s="1688">
        <v>0</v>
      </c>
      <c r="S66" s="776">
        <f t="shared" si="87"/>
        <v>18</v>
      </c>
      <c r="T66" s="1237" t="s">
        <v>966</v>
      </c>
      <c r="U66" s="502">
        <f t="shared" ref="U66:AF66" si="104">U31*(1+$Q66)</f>
        <v>6.963355</v>
      </c>
      <c r="V66" s="502">
        <f t="shared" si="104"/>
        <v>6.8979689999999998</v>
      </c>
      <c r="W66" s="502">
        <f t="shared" si="104"/>
        <v>7.0801959999999999</v>
      </c>
      <c r="X66" s="502">
        <f t="shared" si="104"/>
        <v>6.8399150000000004</v>
      </c>
      <c r="Y66" s="502">
        <f t="shared" si="104"/>
        <v>6.6852729999999996</v>
      </c>
      <c r="Z66" s="502">
        <f t="shared" si="104"/>
        <v>6.6050880000000003</v>
      </c>
      <c r="AA66" s="502">
        <f t="shared" si="104"/>
        <v>6.5835935223922322</v>
      </c>
      <c r="AB66" s="502">
        <f t="shared" si="104"/>
        <v>7.3093487309523058</v>
      </c>
      <c r="AC66" s="502">
        <f t="shared" si="104"/>
        <v>6.364912664709812</v>
      </c>
      <c r="AD66" s="502">
        <f t="shared" si="104"/>
        <v>6.6479934324208294</v>
      </c>
      <c r="AE66" s="502">
        <f t="shared" si="104"/>
        <v>6.1142830520131346</v>
      </c>
      <c r="AF66" s="502">
        <f t="shared" si="104"/>
        <v>5.7151567138077377</v>
      </c>
      <c r="AG66" s="1239">
        <f t="shared" si="82"/>
        <v>79.807084116296068</v>
      </c>
      <c r="AJ66" s="1019"/>
      <c r="AK66" s="782"/>
    </row>
    <row r="67" spans="1:37" ht="14" x14ac:dyDescent="0.3">
      <c r="B67" s="776">
        <f t="shared" si="85"/>
        <v>19</v>
      </c>
      <c r="C67" s="1237" t="s">
        <v>967</v>
      </c>
      <c r="D67" s="502">
        <f t="shared" ref="D67:O67" si="105">D32*(1+$Q67)</f>
        <v>5.1079439999999998</v>
      </c>
      <c r="E67" s="502">
        <f t="shared" si="105"/>
        <v>5.6684390000000002</v>
      </c>
      <c r="F67" s="502">
        <f t="shared" si="105"/>
        <v>5.7215610000000003</v>
      </c>
      <c r="G67" s="502">
        <f t="shared" si="105"/>
        <v>5.4936629999999997</v>
      </c>
      <c r="H67" s="502">
        <f t="shared" si="105"/>
        <v>5.3757029999999997</v>
      </c>
      <c r="I67" s="502">
        <f t="shared" si="105"/>
        <v>5.3172230000000003</v>
      </c>
      <c r="J67" s="502">
        <f t="shared" si="105"/>
        <v>5.2614319081163972</v>
      </c>
      <c r="K67" s="502">
        <f t="shared" si="105"/>
        <v>5.8138448832831502</v>
      </c>
      <c r="L67" s="502">
        <f t="shared" si="105"/>
        <v>4.9758695748860697</v>
      </c>
      <c r="M67" s="502">
        <f t="shared" si="105"/>
        <v>4.4465071526999704</v>
      </c>
      <c r="N67" s="502">
        <f t="shared" si="105"/>
        <v>4.2250458685535595</v>
      </c>
      <c r="O67" s="502">
        <f t="shared" si="105"/>
        <v>3.9900501605198913</v>
      </c>
      <c r="P67" s="1238">
        <f t="shared" si="80"/>
        <v>61.397282548059046</v>
      </c>
      <c r="Q67" s="1688">
        <v>0</v>
      </c>
      <c r="S67" s="776">
        <f t="shared" si="87"/>
        <v>19</v>
      </c>
      <c r="T67" s="1237" t="s">
        <v>967</v>
      </c>
      <c r="U67" s="502">
        <f t="shared" ref="U67:AF67" si="106">U32*(1+$Q67)</f>
        <v>5.1079439999999998</v>
      </c>
      <c r="V67" s="502">
        <f t="shared" si="106"/>
        <v>5.6684390000000002</v>
      </c>
      <c r="W67" s="502">
        <f t="shared" si="106"/>
        <v>5.7215610000000003</v>
      </c>
      <c r="X67" s="502">
        <f t="shared" si="106"/>
        <v>5.4936629999999997</v>
      </c>
      <c r="Y67" s="502">
        <f t="shared" si="106"/>
        <v>5.3757029999999997</v>
      </c>
      <c r="Z67" s="502">
        <f t="shared" si="106"/>
        <v>5.3172230000000003</v>
      </c>
      <c r="AA67" s="502">
        <f t="shared" si="106"/>
        <v>5.2614319081163972</v>
      </c>
      <c r="AB67" s="502">
        <f t="shared" si="106"/>
        <v>5.8138448832831502</v>
      </c>
      <c r="AC67" s="502">
        <f t="shared" si="106"/>
        <v>4.9758695748860697</v>
      </c>
      <c r="AD67" s="502">
        <f t="shared" si="106"/>
        <v>4.4465071526999704</v>
      </c>
      <c r="AE67" s="502">
        <f t="shared" si="106"/>
        <v>4.2250458685535595</v>
      </c>
      <c r="AF67" s="502">
        <f t="shared" si="106"/>
        <v>3.9900501605198913</v>
      </c>
      <c r="AG67" s="1239">
        <f t="shared" si="82"/>
        <v>61.397282548059046</v>
      </c>
      <c r="AJ67" s="1019"/>
      <c r="AK67" s="782"/>
    </row>
    <row r="68" spans="1:37" ht="14" x14ac:dyDescent="0.3">
      <c r="B68" s="776">
        <f t="shared" si="85"/>
        <v>20</v>
      </c>
      <c r="C68" s="1237" t="s">
        <v>968</v>
      </c>
      <c r="D68" s="502">
        <f t="shared" ref="D68:O68" si="107">D33*(1+$Q68)</f>
        <v>15.789392400000001</v>
      </c>
      <c r="E68" s="502">
        <f t="shared" si="107"/>
        <v>16.391738199999999</v>
      </c>
      <c r="F68" s="502">
        <f t="shared" si="107"/>
        <v>16.6137759</v>
      </c>
      <c r="G68" s="502">
        <f t="shared" si="107"/>
        <v>16.142716</v>
      </c>
      <c r="H68" s="502">
        <f t="shared" si="107"/>
        <v>15.6557584</v>
      </c>
      <c r="I68" s="502">
        <f t="shared" si="107"/>
        <v>15.598434300000001</v>
      </c>
      <c r="J68" s="502">
        <f t="shared" si="107"/>
        <v>15.147769029841001</v>
      </c>
      <c r="K68" s="502">
        <f t="shared" si="107"/>
        <v>16.66373456308645</v>
      </c>
      <c r="L68" s="502">
        <f t="shared" si="107"/>
        <v>14.161420423622149</v>
      </c>
      <c r="M68" s="502">
        <f t="shared" si="107"/>
        <v>13.117746421184263</v>
      </c>
      <c r="N68" s="502">
        <f t="shared" si="107"/>
        <v>12.233085157671706</v>
      </c>
      <c r="O68" s="502">
        <f t="shared" si="107"/>
        <v>11.304297185207398</v>
      </c>
      <c r="P68" s="1238">
        <f t="shared" si="80"/>
        <v>178.81986798061297</v>
      </c>
      <c r="Q68" s="1688">
        <v>0</v>
      </c>
      <c r="S68" s="776">
        <f t="shared" si="87"/>
        <v>20</v>
      </c>
      <c r="T68" s="1237" t="s">
        <v>968</v>
      </c>
      <c r="U68" s="502">
        <f t="shared" ref="U68:AF68" si="108">U33*(1+$Q68)</f>
        <v>15.789392400000001</v>
      </c>
      <c r="V68" s="502">
        <f t="shared" si="108"/>
        <v>16.391738199999999</v>
      </c>
      <c r="W68" s="502">
        <f t="shared" si="108"/>
        <v>16.6137759</v>
      </c>
      <c r="X68" s="502">
        <f t="shared" si="108"/>
        <v>16.142716</v>
      </c>
      <c r="Y68" s="502">
        <f t="shared" si="108"/>
        <v>15.6557584</v>
      </c>
      <c r="Z68" s="502">
        <f t="shared" si="108"/>
        <v>15.598434300000001</v>
      </c>
      <c r="AA68" s="502">
        <f t="shared" si="108"/>
        <v>15.147769029841001</v>
      </c>
      <c r="AB68" s="502">
        <f t="shared" si="108"/>
        <v>16.66373456308645</v>
      </c>
      <c r="AC68" s="502">
        <f t="shared" si="108"/>
        <v>14.161420423622149</v>
      </c>
      <c r="AD68" s="502">
        <f t="shared" si="108"/>
        <v>13.117746421184263</v>
      </c>
      <c r="AE68" s="502">
        <f t="shared" si="108"/>
        <v>12.233085157671706</v>
      </c>
      <c r="AF68" s="502">
        <f t="shared" si="108"/>
        <v>11.304297185207398</v>
      </c>
      <c r="AG68" s="1239">
        <f t="shared" si="82"/>
        <v>178.81986798061297</v>
      </c>
      <c r="AJ68" s="1019"/>
      <c r="AK68" s="782"/>
    </row>
    <row r="69" spans="1:37" ht="14" x14ac:dyDescent="0.3">
      <c r="B69" s="776">
        <f t="shared" si="85"/>
        <v>21</v>
      </c>
      <c r="C69" s="1237" t="s">
        <v>970</v>
      </c>
      <c r="D69" s="502">
        <f t="shared" ref="D69:O69" si="109">D34*(1+$Q69)</f>
        <v>5.1580000000000003E-3</v>
      </c>
      <c r="E69" s="502">
        <f t="shared" si="109"/>
        <v>5.1850000000000004E-3</v>
      </c>
      <c r="F69" s="502">
        <f t="shared" si="109"/>
        <v>6.2360000000000002E-3</v>
      </c>
      <c r="G69" s="502">
        <f t="shared" si="109"/>
        <v>5.8019999999999999E-3</v>
      </c>
      <c r="H69" s="502">
        <f t="shared" si="109"/>
        <v>3.4450000000000001E-3</v>
      </c>
      <c r="I69" s="502">
        <f t="shared" si="109"/>
        <v>3.6610000000000002E-3</v>
      </c>
      <c r="J69" s="502">
        <f t="shared" si="109"/>
        <v>3.6610000000000002E-3</v>
      </c>
      <c r="K69" s="502">
        <f t="shared" si="109"/>
        <v>3.6610000000000002E-3</v>
      </c>
      <c r="L69" s="502">
        <f t="shared" si="109"/>
        <v>3.6610000000000002E-3</v>
      </c>
      <c r="M69" s="502">
        <f t="shared" si="109"/>
        <v>3.6610000000000002E-3</v>
      </c>
      <c r="N69" s="502">
        <f t="shared" si="109"/>
        <v>3.6610000000000002E-3</v>
      </c>
      <c r="O69" s="502">
        <f t="shared" si="109"/>
        <v>3.6610000000000002E-3</v>
      </c>
      <c r="P69" s="1238">
        <f t="shared" si="80"/>
        <v>5.1452999999999992E-2</v>
      </c>
      <c r="Q69" s="1688">
        <v>0</v>
      </c>
      <c r="S69" s="776">
        <f t="shared" si="87"/>
        <v>21</v>
      </c>
      <c r="T69" s="1237" t="s">
        <v>970</v>
      </c>
      <c r="U69" s="502">
        <f t="shared" ref="U69:AF69" si="110">U34*(1+$Q69)</f>
        <v>5.1580000000000003E-3</v>
      </c>
      <c r="V69" s="502">
        <f t="shared" si="110"/>
        <v>5.1850000000000004E-3</v>
      </c>
      <c r="W69" s="502">
        <f t="shared" si="110"/>
        <v>6.2360000000000002E-3</v>
      </c>
      <c r="X69" s="502">
        <f t="shared" si="110"/>
        <v>5.8019999999999999E-3</v>
      </c>
      <c r="Y69" s="502">
        <f t="shared" si="110"/>
        <v>3.4450000000000001E-3</v>
      </c>
      <c r="Z69" s="502">
        <f t="shared" si="110"/>
        <v>3.6610000000000002E-3</v>
      </c>
      <c r="AA69" s="502">
        <f t="shared" si="110"/>
        <v>3.6610000000000002E-3</v>
      </c>
      <c r="AB69" s="502">
        <f t="shared" si="110"/>
        <v>3.6610000000000002E-3</v>
      </c>
      <c r="AC69" s="502">
        <f t="shared" si="110"/>
        <v>3.6610000000000002E-3</v>
      </c>
      <c r="AD69" s="502">
        <f t="shared" si="110"/>
        <v>3.6610000000000002E-3</v>
      </c>
      <c r="AE69" s="502">
        <f t="shared" si="110"/>
        <v>3.6610000000000002E-3</v>
      </c>
      <c r="AF69" s="502">
        <f t="shared" si="110"/>
        <v>3.6610000000000002E-3</v>
      </c>
      <c r="AG69" s="1239">
        <f t="shared" si="82"/>
        <v>5.1452999999999992E-2</v>
      </c>
      <c r="AJ69" s="1019"/>
      <c r="AK69" s="782"/>
    </row>
    <row r="70" spans="1:37" ht="14" x14ac:dyDescent="0.3">
      <c r="B70" s="776">
        <f t="shared" si="85"/>
        <v>22</v>
      </c>
      <c r="C70" s="1237" t="s">
        <v>971</v>
      </c>
      <c r="D70" s="502">
        <f t="shared" ref="D70:O70" si="111">D35*(1+$Q70)</f>
        <v>1.8560762500000001</v>
      </c>
      <c r="E70" s="502">
        <f t="shared" si="111"/>
        <v>1.90036125</v>
      </c>
      <c r="F70" s="502">
        <f t="shared" si="111"/>
        <v>2.02987625</v>
      </c>
      <c r="G70" s="502">
        <f t="shared" si="111"/>
        <v>1.9117625</v>
      </c>
      <c r="H70" s="502">
        <f t="shared" si="111"/>
        <v>1.75754875</v>
      </c>
      <c r="I70" s="502">
        <f t="shared" si="111"/>
        <v>1.8944925000000001</v>
      </c>
      <c r="J70" s="502">
        <f t="shared" si="111"/>
        <v>1.8944925000000001</v>
      </c>
      <c r="K70" s="502">
        <f t="shared" si="111"/>
        <v>1.8944925000000001</v>
      </c>
      <c r="L70" s="502">
        <f t="shared" si="111"/>
        <v>1.8944925000000001</v>
      </c>
      <c r="M70" s="502">
        <f t="shared" si="111"/>
        <v>1.8944925000000001</v>
      </c>
      <c r="N70" s="502">
        <f t="shared" si="111"/>
        <v>1.8944925000000001</v>
      </c>
      <c r="O70" s="502">
        <f t="shared" si="111"/>
        <v>1.8944925000000001</v>
      </c>
      <c r="P70" s="1238">
        <f t="shared" si="80"/>
        <v>22.717072499999993</v>
      </c>
      <c r="Q70" s="1687">
        <v>0.25</v>
      </c>
      <c r="S70" s="776">
        <f t="shared" si="87"/>
        <v>22</v>
      </c>
      <c r="T70" s="1237" t="s">
        <v>971</v>
      </c>
      <c r="U70" s="502">
        <f t="shared" ref="U70:AF70" si="112">U35*(1+$Q70)</f>
        <v>1.8560762500000001</v>
      </c>
      <c r="V70" s="502">
        <f t="shared" si="112"/>
        <v>1.90036125</v>
      </c>
      <c r="W70" s="502">
        <f t="shared" si="112"/>
        <v>2.02987625</v>
      </c>
      <c r="X70" s="502">
        <f t="shared" si="112"/>
        <v>1.9117625</v>
      </c>
      <c r="Y70" s="502">
        <f t="shared" si="112"/>
        <v>1.75754875</v>
      </c>
      <c r="Z70" s="502">
        <f t="shared" si="112"/>
        <v>1.8944925000000001</v>
      </c>
      <c r="AA70" s="502">
        <f t="shared" si="112"/>
        <v>1.8944925000000001</v>
      </c>
      <c r="AB70" s="502">
        <f t="shared" si="112"/>
        <v>1.8944925000000001</v>
      </c>
      <c r="AC70" s="502">
        <f t="shared" si="112"/>
        <v>1.8944925000000001</v>
      </c>
      <c r="AD70" s="502">
        <f t="shared" si="112"/>
        <v>1.8944925000000001</v>
      </c>
      <c r="AE70" s="502">
        <f t="shared" si="112"/>
        <v>1.8944925000000001</v>
      </c>
      <c r="AF70" s="502">
        <f t="shared" si="112"/>
        <v>1.8944925000000001</v>
      </c>
      <c r="AG70" s="1239">
        <f t="shared" si="82"/>
        <v>22.717072499999993</v>
      </c>
      <c r="AJ70" s="1019"/>
      <c r="AK70" s="782"/>
    </row>
    <row r="71" spans="1:37" ht="14" x14ac:dyDescent="0.3">
      <c r="B71" s="776"/>
      <c r="C71" s="1236"/>
      <c r="D71" s="410"/>
      <c r="E71" s="410"/>
      <c r="F71" s="410"/>
      <c r="G71" s="410"/>
      <c r="H71" s="410"/>
      <c r="I71" s="410"/>
      <c r="J71" s="410"/>
      <c r="K71" s="410"/>
      <c r="L71" s="410"/>
      <c r="M71" s="410"/>
      <c r="N71" s="410"/>
      <c r="O71" s="410"/>
      <c r="P71" s="1238"/>
      <c r="Q71" s="1686"/>
      <c r="S71" s="776"/>
      <c r="T71" s="1236"/>
      <c r="U71" s="410"/>
      <c r="V71" s="410"/>
      <c r="W71" s="410"/>
      <c r="X71" s="410"/>
      <c r="Y71" s="410"/>
      <c r="Z71" s="410"/>
      <c r="AA71" s="410"/>
      <c r="AB71" s="410"/>
      <c r="AC71" s="410"/>
      <c r="AD71" s="410"/>
      <c r="AE71" s="410"/>
      <c r="AF71" s="410"/>
      <c r="AG71" s="1239"/>
      <c r="AJ71" s="1019"/>
      <c r="AK71" s="782"/>
    </row>
    <row r="72" spans="1:37" ht="14" x14ac:dyDescent="0.3">
      <c r="B72" s="776"/>
      <c r="C72" s="434" t="s">
        <v>416</v>
      </c>
      <c r="D72" s="1239">
        <f t="shared" ref="D72:O72" si="113">SUM(D56:D71)</f>
        <v>336.69569228059993</v>
      </c>
      <c r="E72" s="1239">
        <f t="shared" si="113"/>
        <v>388.48398727350002</v>
      </c>
      <c r="F72" s="1239">
        <f t="shared" si="113"/>
        <v>364.58537404380002</v>
      </c>
      <c r="G72" s="1239">
        <f t="shared" si="113"/>
        <v>335.48160149070009</v>
      </c>
      <c r="H72" s="1239">
        <f t="shared" si="113"/>
        <v>329.83421388340003</v>
      </c>
      <c r="I72" s="1239">
        <f t="shared" si="113"/>
        <v>330.59659927960007</v>
      </c>
      <c r="J72" s="1239">
        <f t="shared" si="113"/>
        <v>358.72055400676254</v>
      </c>
      <c r="K72" s="1239">
        <f t="shared" si="113"/>
        <v>373.03758380888769</v>
      </c>
      <c r="L72" s="1239">
        <f t="shared" si="113"/>
        <v>329.75149597147839</v>
      </c>
      <c r="M72" s="1239">
        <f t="shared" si="113"/>
        <v>288.85294065128693</v>
      </c>
      <c r="N72" s="1239">
        <f t="shared" si="113"/>
        <v>244.89764747432793</v>
      </c>
      <c r="O72" s="1239">
        <f t="shared" si="113"/>
        <v>263.9507897793506</v>
      </c>
      <c r="P72" s="1239">
        <f>SUM(D72:O72)</f>
        <v>3944.8884799436946</v>
      </c>
      <c r="Q72" s="1686"/>
      <c r="S72" s="776"/>
      <c r="T72" s="434" t="s">
        <v>416</v>
      </c>
      <c r="U72" s="1239">
        <f t="shared" ref="U72" si="114">SUM(U56:U71)</f>
        <v>336.69569228059993</v>
      </c>
      <c r="V72" s="1239">
        <f t="shared" ref="V72" si="115">SUM(V56:V71)</f>
        <v>388.48398727350002</v>
      </c>
      <c r="W72" s="1239">
        <f t="shared" ref="W72" si="116">SUM(W56:W71)</f>
        <v>364.58537404380002</v>
      </c>
      <c r="X72" s="1239">
        <f t="shared" ref="X72" si="117">SUM(X56:X71)</f>
        <v>335.48160149070009</v>
      </c>
      <c r="Y72" s="1239">
        <f t="shared" ref="Y72" si="118">SUM(Y56:Y71)</f>
        <v>329.83421388340003</v>
      </c>
      <c r="Z72" s="1239">
        <f t="shared" ref="Z72" si="119">SUM(Z56:Z71)</f>
        <v>330.59659927960007</v>
      </c>
      <c r="AA72" s="1239">
        <f t="shared" ref="AA72" si="120">SUM(AA56:AA71)</f>
        <v>358.72055400676254</v>
      </c>
      <c r="AB72" s="1239">
        <f t="shared" ref="AB72" si="121">SUM(AB56:AB71)</f>
        <v>373.03758380888769</v>
      </c>
      <c r="AC72" s="1239">
        <f t="shared" ref="AC72" si="122">SUM(AC56:AC71)</f>
        <v>329.75149597147839</v>
      </c>
      <c r="AD72" s="1239">
        <f t="shared" ref="AD72" si="123">SUM(AD56:AD71)</f>
        <v>288.85294065128693</v>
      </c>
      <c r="AE72" s="1239">
        <f t="shared" ref="AE72" si="124">SUM(AE56:AE71)</f>
        <v>244.89764747432793</v>
      </c>
      <c r="AF72" s="1239">
        <f t="shared" ref="AF72" si="125">SUM(AF56:AF71)</f>
        <v>263.9507897793506</v>
      </c>
      <c r="AG72" s="1239">
        <f>SUM(U72:AF72)</f>
        <v>3944.8884799436946</v>
      </c>
      <c r="AJ72" s="1019"/>
      <c r="AK72" s="782"/>
    </row>
    <row r="73" spans="1:37" ht="14" x14ac:dyDescent="0.3">
      <c r="B73" s="776"/>
      <c r="C73" s="434"/>
      <c r="D73" s="502"/>
      <c r="E73" s="1238"/>
      <c r="F73" s="1238"/>
      <c r="G73" s="1238"/>
      <c r="H73" s="1238"/>
      <c r="I73" s="1238"/>
      <c r="J73" s="1238"/>
      <c r="K73" s="1238"/>
      <c r="L73" s="1238"/>
      <c r="M73" s="1238"/>
      <c r="N73" s="1238"/>
      <c r="O73" s="1238"/>
      <c r="P73" s="1239">
        <f>SUM(D73:O73)</f>
        <v>0</v>
      </c>
      <c r="Q73" s="1686"/>
      <c r="S73" s="776"/>
      <c r="T73" s="434" t="s">
        <v>1794</v>
      </c>
      <c r="U73" s="1238">
        <f>D73</f>
        <v>0</v>
      </c>
      <c r="V73" s="1238">
        <f t="shared" ref="V73:AF73" si="126">E73</f>
        <v>0</v>
      </c>
      <c r="W73" s="1238">
        <f t="shared" si="126"/>
        <v>0</v>
      </c>
      <c r="X73" s="1238">
        <f t="shared" si="126"/>
        <v>0</v>
      </c>
      <c r="Y73" s="1238">
        <f t="shared" si="126"/>
        <v>0</v>
      </c>
      <c r="Z73" s="1238">
        <f t="shared" si="126"/>
        <v>0</v>
      </c>
      <c r="AA73" s="1238">
        <f t="shared" si="126"/>
        <v>0</v>
      </c>
      <c r="AB73" s="1238">
        <f t="shared" si="126"/>
        <v>0</v>
      </c>
      <c r="AC73" s="1238">
        <f t="shared" si="126"/>
        <v>0</v>
      </c>
      <c r="AD73" s="1238">
        <f t="shared" si="126"/>
        <v>0</v>
      </c>
      <c r="AE73" s="1238">
        <f t="shared" si="126"/>
        <v>0</v>
      </c>
      <c r="AF73" s="1238">
        <f t="shared" si="126"/>
        <v>0</v>
      </c>
      <c r="AG73" s="1239">
        <f t="shared" ref="AG73" si="127">SUM(U73:AF73)</f>
        <v>0</v>
      </c>
      <c r="AJ73" s="1019"/>
      <c r="AK73" s="782"/>
    </row>
    <row r="74" spans="1:37" ht="14" x14ac:dyDescent="0.3">
      <c r="B74" s="776"/>
      <c r="C74" s="429" t="s">
        <v>145</v>
      </c>
      <c r="D74" s="1240">
        <f>D53+D72-D73</f>
        <v>387.27840528059994</v>
      </c>
      <c r="E74" s="1240">
        <f t="shared" ref="E74:P74" si="128">E53+E72-E73</f>
        <v>442.92927927350001</v>
      </c>
      <c r="F74" s="1240">
        <f t="shared" si="128"/>
        <v>423.44081104380001</v>
      </c>
      <c r="G74" s="1240">
        <f t="shared" si="128"/>
        <v>392.4766214907001</v>
      </c>
      <c r="H74" s="1240">
        <f t="shared" si="128"/>
        <v>386.3322188834</v>
      </c>
      <c r="I74" s="1240">
        <f t="shared" si="128"/>
        <v>385.39331527960007</v>
      </c>
      <c r="J74" s="1240">
        <f t="shared" si="128"/>
        <v>410.53163317302756</v>
      </c>
      <c r="K74" s="1240">
        <f t="shared" si="128"/>
        <v>431.09251274193713</v>
      </c>
      <c r="L74" s="1240">
        <f t="shared" si="128"/>
        <v>382.75151923506365</v>
      </c>
      <c r="M74" s="1240">
        <f t="shared" si="128"/>
        <v>338.18699929224351</v>
      </c>
      <c r="N74" s="1240">
        <f t="shared" si="128"/>
        <v>292.42618193254805</v>
      </c>
      <c r="O74" s="1240">
        <f t="shared" si="128"/>
        <v>306.757264969228</v>
      </c>
      <c r="P74" s="1240">
        <f t="shared" si="128"/>
        <v>4579.5967625956482</v>
      </c>
      <c r="Q74" s="1689">
        <f>P74/P39-1</f>
        <v>9.1715426967469149E-3</v>
      </c>
      <c r="S74" s="776"/>
      <c r="T74" s="429" t="s">
        <v>145</v>
      </c>
      <c r="U74" s="1240">
        <f t="shared" ref="U74:AG74" si="129">U53+U72-U73</f>
        <v>388.16572128059994</v>
      </c>
      <c r="V74" s="1240">
        <f t="shared" si="129"/>
        <v>444.03355327350005</v>
      </c>
      <c r="W74" s="1240">
        <f t="shared" si="129"/>
        <v>424.63774104380002</v>
      </c>
      <c r="X74" s="1240">
        <f t="shared" si="129"/>
        <v>393.65251449070013</v>
      </c>
      <c r="Y74" s="1240">
        <f t="shared" si="129"/>
        <v>387.33731688340004</v>
      </c>
      <c r="Z74" s="1240">
        <f t="shared" si="129"/>
        <v>386.73019927960007</v>
      </c>
      <c r="AA74" s="1240">
        <f t="shared" si="129"/>
        <v>411.55905904527214</v>
      </c>
      <c r="AB74" s="1240">
        <f t="shared" si="129"/>
        <v>432.22521478476835</v>
      </c>
      <c r="AC74" s="1240">
        <f t="shared" si="129"/>
        <v>383.78704988851587</v>
      </c>
      <c r="AD74" s="1240">
        <f t="shared" si="129"/>
        <v>339.14951398217659</v>
      </c>
      <c r="AE74" s="1240">
        <f t="shared" si="129"/>
        <v>293.34938820941727</v>
      </c>
      <c r="AF74" s="1240">
        <f t="shared" si="129"/>
        <v>307.58873042241527</v>
      </c>
      <c r="AG74" s="1240">
        <f t="shared" si="129"/>
        <v>4592.2160025841658</v>
      </c>
      <c r="AJ74" s="1019"/>
      <c r="AK74" s="782"/>
    </row>
    <row r="75" spans="1:37" ht="13" thickBot="1" x14ac:dyDescent="0.3">
      <c r="R75" s="782"/>
      <c r="T75" s="1235"/>
      <c r="AJ75" s="1019"/>
    </row>
    <row r="76" spans="1:37" ht="13.5" thickBot="1" x14ac:dyDescent="0.35">
      <c r="B76" s="1256"/>
      <c r="C76" s="1257"/>
      <c r="D76" s="2413" t="s">
        <v>1730</v>
      </c>
      <c r="E76" s="2414"/>
      <c r="F76" s="2414"/>
      <c r="G76" s="2414"/>
      <c r="H76" s="2414"/>
      <c r="I76" s="2414"/>
      <c r="J76" s="2414"/>
      <c r="K76" s="2414"/>
      <c r="L76" s="2414"/>
      <c r="M76" s="2414"/>
      <c r="N76" s="2414"/>
      <c r="O76" s="2414"/>
      <c r="P76" s="2415"/>
      <c r="S76" s="1258"/>
      <c r="T76" s="1259"/>
      <c r="U76" s="2413" t="s">
        <v>1736</v>
      </c>
      <c r="V76" s="2414"/>
      <c r="W76" s="2414"/>
      <c r="X76" s="2414"/>
      <c r="Y76" s="2414"/>
      <c r="Z76" s="2414"/>
      <c r="AA76" s="2414"/>
      <c r="AB76" s="2414"/>
      <c r="AC76" s="2414"/>
      <c r="AD76" s="2414"/>
      <c r="AE76" s="2414"/>
      <c r="AF76" s="2414"/>
      <c r="AG76" s="2415"/>
      <c r="AJ76" s="1019"/>
    </row>
    <row r="77" spans="1:37" ht="42" x14ac:dyDescent="0.25">
      <c r="A77" s="1241" t="s">
        <v>429</v>
      </c>
      <c r="B77" s="1190" t="s">
        <v>187</v>
      </c>
      <c r="C77" s="1191" t="s">
        <v>50</v>
      </c>
      <c r="D77" s="1188" t="s">
        <v>151</v>
      </c>
      <c r="E77" s="1188" t="s">
        <v>152</v>
      </c>
      <c r="F77" s="1188" t="s">
        <v>153</v>
      </c>
      <c r="G77" s="1188" t="s">
        <v>154</v>
      </c>
      <c r="H77" s="1188" t="s">
        <v>155</v>
      </c>
      <c r="I77" s="1188" t="s">
        <v>156</v>
      </c>
      <c r="J77" s="1188" t="s">
        <v>157</v>
      </c>
      <c r="K77" s="1188" t="s">
        <v>158</v>
      </c>
      <c r="L77" s="1188" t="s">
        <v>159</v>
      </c>
      <c r="M77" s="1188" t="s">
        <v>160</v>
      </c>
      <c r="N77" s="1188" t="s">
        <v>161</v>
      </c>
      <c r="O77" s="1188" t="s">
        <v>162</v>
      </c>
      <c r="P77" s="1188" t="s">
        <v>145</v>
      </c>
      <c r="Q77" s="1617" t="s">
        <v>1770</v>
      </c>
      <c r="S77" s="1614" t="s">
        <v>187</v>
      </c>
      <c r="T77" s="1615" t="s">
        <v>50</v>
      </c>
      <c r="U77" s="1612" t="s">
        <v>151</v>
      </c>
      <c r="V77" s="1612" t="s">
        <v>152</v>
      </c>
      <c r="W77" s="1612" t="s">
        <v>153</v>
      </c>
      <c r="X77" s="1612" t="s">
        <v>154</v>
      </c>
      <c r="Y77" s="1612" t="s">
        <v>155</v>
      </c>
      <c r="Z77" s="1612" t="s">
        <v>156</v>
      </c>
      <c r="AA77" s="1612" t="s">
        <v>157</v>
      </c>
      <c r="AB77" s="1612" t="s">
        <v>158</v>
      </c>
      <c r="AC77" s="1612" t="s">
        <v>159</v>
      </c>
      <c r="AD77" s="1612" t="s">
        <v>160</v>
      </c>
      <c r="AE77" s="1612" t="s">
        <v>161</v>
      </c>
      <c r="AF77" s="1612" t="s">
        <v>162</v>
      </c>
      <c r="AG77" s="1612" t="s">
        <v>145</v>
      </c>
      <c r="AJ77" s="1019"/>
    </row>
    <row r="78" spans="1:37" ht="14" x14ac:dyDescent="0.25">
      <c r="B78" s="776"/>
      <c r="C78" s="1236" t="s">
        <v>293</v>
      </c>
      <c r="D78" s="410"/>
      <c r="E78" s="410"/>
      <c r="F78" s="410"/>
      <c r="G78" s="410"/>
      <c r="H78" s="410"/>
      <c r="I78" s="410"/>
      <c r="J78" s="410"/>
      <c r="K78" s="410"/>
      <c r="L78" s="410"/>
      <c r="M78" s="410"/>
      <c r="N78" s="410"/>
      <c r="O78" s="410"/>
      <c r="P78" s="410"/>
      <c r="S78" s="776"/>
      <c r="T78" s="1236" t="s">
        <v>293</v>
      </c>
      <c r="U78" s="410"/>
      <c r="V78" s="410"/>
      <c r="W78" s="410"/>
      <c r="X78" s="410"/>
      <c r="Y78" s="410"/>
      <c r="Z78" s="410"/>
      <c r="AA78" s="410"/>
      <c r="AB78" s="410"/>
      <c r="AC78" s="410"/>
      <c r="AD78" s="410"/>
      <c r="AE78" s="410"/>
      <c r="AF78" s="410"/>
      <c r="AG78" s="410"/>
      <c r="AJ78" s="1019"/>
    </row>
    <row r="79" spans="1:37" ht="14" x14ac:dyDescent="0.25">
      <c r="B79" s="776"/>
      <c r="C79" s="1237"/>
      <c r="D79" s="410"/>
      <c r="E79" s="410"/>
      <c r="F79" s="410"/>
      <c r="G79" s="410"/>
      <c r="H79" s="410"/>
      <c r="I79" s="410"/>
      <c r="J79" s="410"/>
      <c r="K79" s="410"/>
      <c r="L79" s="410"/>
      <c r="M79" s="410"/>
      <c r="N79" s="410"/>
      <c r="O79" s="410"/>
      <c r="P79" s="410"/>
      <c r="S79" s="776"/>
      <c r="T79" s="1237"/>
      <c r="U79" s="410"/>
      <c r="V79" s="410"/>
      <c r="W79" s="410"/>
      <c r="X79" s="410"/>
      <c r="Y79" s="410"/>
      <c r="Z79" s="410"/>
      <c r="AA79" s="410"/>
      <c r="AB79" s="410"/>
      <c r="AC79" s="410"/>
      <c r="AD79" s="410"/>
      <c r="AE79" s="410"/>
      <c r="AF79" s="410"/>
      <c r="AG79" s="410"/>
      <c r="AJ79" s="1019"/>
    </row>
    <row r="80" spans="1:37" ht="14" x14ac:dyDescent="0.25">
      <c r="B80" s="776">
        <v>1</v>
      </c>
      <c r="C80" s="1237" t="s">
        <v>953</v>
      </c>
      <c r="D80" s="502">
        <f>D45*(1+$Q80)</f>
        <v>13.021186</v>
      </c>
      <c r="E80" s="502">
        <f t="shared" ref="E80:O80" si="130">E45*(1+$Q80)</f>
        <v>14.217597000000001</v>
      </c>
      <c r="F80" s="502">
        <f t="shared" si="130"/>
        <v>14.950192999999993</v>
      </c>
      <c r="G80" s="502">
        <f t="shared" si="130"/>
        <v>14.536417999999999</v>
      </c>
      <c r="H80" s="502">
        <f t="shared" si="130"/>
        <v>14.263358999999998</v>
      </c>
      <c r="I80" s="502">
        <f t="shared" si="130"/>
        <v>14.209485999999997</v>
      </c>
      <c r="J80" s="502">
        <f t="shared" si="130"/>
        <v>15.495541665872995</v>
      </c>
      <c r="K80" s="502">
        <f t="shared" si="130"/>
        <v>19.703005948925018</v>
      </c>
      <c r="L80" s="502">
        <f t="shared" si="130"/>
        <v>18.171892400207906</v>
      </c>
      <c r="M80" s="502">
        <f t="shared" si="130"/>
        <v>17.080680658648355</v>
      </c>
      <c r="N80" s="502">
        <f t="shared" si="130"/>
        <v>16.813368909517802</v>
      </c>
      <c r="O80" s="502">
        <f t="shared" si="130"/>
        <v>15.312123056774668</v>
      </c>
      <c r="P80" s="1238">
        <f>SUM(D80:O80)</f>
        <v>187.77485163994675</v>
      </c>
      <c r="Q80" s="1688">
        <f>Q45</f>
        <v>0</v>
      </c>
      <c r="S80" s="776">
        <v>1</v>
      </c>
      <c r="T80" s="1237" t="s">
        <v>953</v>
      </c>
      <c r="U80" s="502">
        <f>U45*(1+$Q80)</f>
        <v>13.141249999999999</v>
      </c>
      <c r="V80" s="502">
        <f t="shared" ref="V80:AF80" si="131">V45*(1+$Q80)</f>
        <v>14.390719000000001</v>
      </c>
      <c r="W80" s="502">
        <f t="shared" si="131"/>
        <v>15.175905</v>
      </c>
      <c r="X80" s="502">
        <f t="shared" si="131"/>
        <v>14.764668</v>
      </c>
      <c r="Y80" s="502">
        <f t="shared" si="131"/>
        <v>14.473258</v>
      </c>
      <c r="Z80" s="502">
        <f t="shared" si="131"/>
        <v>14.438412</v>
      </c>
      <c r="AA80" s="502">
        <f t="shared" si="131"/>
        <v>15.711242063578407</v>
      </c>
      <c r="AB80" s="502">
        <f t="shared" si="131"/>
        <v>19.977274916787895</v>
      </c>
      <c r="AC80" s="502">
        <f t="shared" si="131"/>
        <v>18.424848024625824</v>
      </c>
      <c r="AD80" s="502">
        <f t="shared" si="131"/>
        <v>17.318446442548883</v>
      </c>
      <c r="AE80" s="502">
        <f t="shared" si="131"/>
        <v>17.047413671472658</v>
      </c>
      <c r="AF80" s="502">
        <f t="shared" si="131"/>
        <v>15.525270238349778</v>
      </c>
      <c r="AG80" s="1238">
        <f>SUM(U80:AF80)</f>
        <v>190.38870735736347</v>
      </c>
      <c r="AJ80" s="1019"/>
      <c r="AK80" s="782"/>
    </row>
    <row r="81" spans="2:37" ht="14" x14ac:dyDescent="0.25">
      <c r="B81" s="776">
        <f t="shared" ref="B81:B86" si="132">B80+1</f>
        <v>2</v>
      </c>
      <c r="C81" s="1237" t="s">
        <v>954</v>
      </c>
      <c r="D81" s="502">
        <f t="shared" ref="D81:O81" si="133">D46*(1+$Q81)</f>
        <v>17.623218000000001</v>
      </c>
      <c r="E81" s="502">
        <f t="shared" si="133"/>
        <v>18.917594000000001</v>
      </c>
      <c r="F81" s="502">
        <f t="shared" si="133"/>
        <v>20.755490000000002</v>
      </c>
      <c r="G81" s="502">
        <f t="shared" si="133"/>
        <v>19.993728000000001</v>
      </c>
      <c r="H81" s="502">
        <f t="shared" si="133"/>
        <v>19.073778999999998</v>
      </c>
      <c r="I81" s="502">
        <f t="shared" si="133"/>
        <v>18.393571000000001</v>
      </c>
      <c r="J81" s="502">
        <f t="shared" si="133"/>
        <v>16.278737423284973</v>
      </c>
      <c r="K81" s="502">
        <f t="shared" si="133"/>
        <v>16.846412323267447</v>
      </c>
      <c r="L81" s="502">
        <f t="shared" si="133"/>
        <v>15.310241821323169</v>
      </c>
      <c r="M81" s="502">
        <f t="shared" si="133"/>
        <v>14.229409092939555</v>
      </c>
      <c r="N81" s="502">
        <f t="shared" si="133"/>
        <v>13.673298052028954</v>
      </c>
      <c r="O81" s="502">
        <f t="shared" si="133"/>
        <v>12.539602401877387</v>
      </c>
      <c r="P81" s="1238">
        <f t="shared" ref="P81:P88" si="134">SUM(D81:O81)</f>
        <v>203.63508111472149</v>
      </c>
      <c r="Q81" s="1688">
        <f t="shared" ref="Q81:Q86" si="135">Q46</f>
        <v>0</v>
      </c>
      <c r="S81" s="776">
        <f t="shared" ref="S81:S86" si="136">S80+1</f>
        <v>2</v>
      </c>
      <c r="T81" s="1237" t="s">
        <v>954</v>
      </c>
      <c r="U81" s="502">
        <f t="shared" ref="U81:AF81" si="137">U46*(1+$Q81)</f>
        <v>18.082190000000001</v>
      </c>
      <c r="V81" s="502">
        <f t="shared" si="137"/>
        <v>19.416951000000001</v>
      </c>
      <c r="W81" s="502">
        <f t="shared" si="137"/>
        <v>21.328130999999999</v>
      </c>
      <c r="X81" s="502">
        <f t="shared" si="137"/>
        <v>20.552119999999999</v>
      </c>
      <c r="Y81" s="502">
        <f t="shared" si="137"/>
        <v>19.261130999999999</v>
      </c>
      <c r="Z81" s="502">
        <f t="shared" si="137"/>
        <v>18.830874999999999</v>
      </c>
      <c r="AA81" s="502">
        <f t="shared" si="137"/>
        <v>16.663730409218154</v>
      </c>
      <c r="AB81" s="502">
        <f t="shared" si="137"/>
        <v>17.244830850082625</v>
      </c>
      <c r="AC81" s="502">
        <f t="shared" si="137"/>
        <v>15.672329835945179</v>
      </c>
      <c r="AD81" s="502">
        <f t="shared" si="137"/>
        <v>14.565935357373281</v>
      </c>
      <c r="AE81" s="502">
        <f t="shared" si="137"/>
        <v>13.996672261448612</v>
      </c>
      <c r="AF81" s="502">
        <f t="shared" si="137"/>
        <v>12.836164650262095</v>
      </c>
      <c r="AG81" s="1238">
        <f t="shared" ref="AG81:AG88" si="138">SUM(U81:AF81)</f>
        <v>208.45106136432997</v>
      </c>
      <c r="AJ81" s="1019"/>
      <c r="AK81" s="782"/>
    </row>
    <row r="82" spans="2:37" ht="14" x14ac:dyDescent="0.25">
      <c r="B82" s="776">
        <f t="shared" si="132"/>
        <v>3</v>
      </c>
      <c r="C82" s="594" t="s">
        <v>955</v>
      </c>
      <c r="D82" s="502">
        <f t="shared" ref="D82:O82" si="139">D47*(1+$Q82)</f>
        <v>2.1478350000000002</v>
      </c>
      <c r="E82" s="502">
        <f t="shared" si="139"/>
        <v>2.89161</v>
      </c>
      <c r="F82" s="502">
        <f t="shared" si="139"/>
        <v>3.1744389999999991</v>
      </c>
      <c r="G82" s="502">
        <f t="shared" si="139"/>
        <v>2.9237770000000003</v>
      </c>
      <c r="H82" s="502">
        <f t="shared" si="139"/>
        <v>2.8083979999999999</v>
      </c>
      <c r="I82" s="502">
        <f t="shared" si="139"/>
        <v>2.806516999999999</v>
      </c>
      <c r="J82" s="502">
        <f t="shared" si="139"/>
        <v>2.6254686299999452</v>
      </c>
      <c r="K82" s="502">
        <f t="shared" si="139"/>
        <v>2.9056687084630846</v>
      </c>
      <c r="L82" s="502">
        <f t="shared" si="139"/>
        <v>2.6139647186555215</v>
      </c>
      <c r="M82" s="502">
        <f t="shared" si="139"/>
        <v>2.3037123563501321</v>
      </c>
      <c r="N82" s="502">
        <f t="shared" si="139"/>
        <v>2.1633315596088254</v>
      </c>
      <c r="O82" s="502">
        <f t="shared" si="139"/>
        <v>1.9493473741148628</v>
      </c>
      <c r="P82" s="1238">
        <f t="shared" si="134"/>
        <v>31.314069347192373</v>
      </c>
      <c r="Q82" s="1688">
        <f t="shared" si="135"/>
        <v>0</v>
      </c>
      <c r="S82" s="776">
        <f t="shared" si="136"/>
        <v>3</v>
      </c>
      <c r="T82" s="594" t="s">
        <v>955</v>
      </c>
      <c r="U82" s="502">
        <f t="shared" ref="U82:AF82" si="140">U47*(1+$Q82)</f>
        <v>2.1974529999999999</v>
      </c>
      <c r="V82" s="502">
        <f t="shared" si="140"/>
        <v>2.9579749999999998</v>
      </c>
      <c r="W82" s="502">
        <f t="shared" si="140"/>
        <v>3.2539959999999999</v>
      </c>
      <c r="X82" s="502">
        <f t="shared" si="140"/>
        <v>2.9993599999999998</v>
      </c>
      <c r="Y82" s="502">
        <f t="shared" si="140"/>
        <v>2.8924799999999999</v>
      </c>
      <c r="Z82" s="502">
        <f t="shared" si="140"/>
        <v>2.8831820000000001</v>
      </c>
      <c r="AA82" s="502">
        <f t="shared" si="140"/>
        <v>2.6931514232156322</v>
      </c>
      <c r="AB82" s="502">
        <f t="shared" si="140"/>
        <v>2.9805748688723228</v>
      </c>
      <c r="AC82" s="502">
        <f t="shared" si="140"/>
        <v>2.6813509488714451</v>
      </c>
      <c r="AD82" s="502">
        <f t="shared" si="140"/>
        <v>2.3631004919620482</v>
      </c>
      <c r="AE82" s="502">
        <f t="shared" si="140"/>
        <v>2.2191007738865736</v>
      </c>
      <c r="AF82" s="502">
        <f t="shared" si="140"/>
        <v>1.9996002218237159</v>
      </c>
      <c r="AG82" s="1238">
        <f t="shared" si="138"/>
        <v>32.121324728631734</v>
      </c>
      <c r="AJ82" s="1019"/>
      <c r="AK82" s="782"/>
    </row>
    <row r="83" spans="2:37" ht="14" x14ac:dyDescent="0.25">
      <c r="B83" s="776">
        <f t="shared" si="132"/>
        <v>4</v>
      </c>
      <c r="C83" s="594" t="s">
        <v>956</v>
      </c>
      <c r="D83" s="502">
        <f t="shared" ref="D83:O83" si="141">D48*(1+$Q83)</f>
        <v>0.181812</v>
      </c>
      <c r="E83" s="502">
        <f t="shared" si="141"/>
        <v>0.182142</v>
      </c>
      <c r="F83" s="502">
        <f t="shared" si="141"/>
        <v>0.19559000000000001</v>
      </c>
      <c r="G83" s="502">
        <f t="shared" si="141"/>
        <v>0.18530199999999999</v>
      </c>
      <c r="H83" s="502">
        <f t="shared" si="141"/>
        <v>0.173372</v>
      </c>
      <c r="I83" s="502">
        <f t="shared" si="141"/>
        <v>0.17660600000000001</v>
      </c>
      <c r="J83" s="502">
        <f t="shared" si="141"/>
        <v>0.17024222642879444</v>
      </c>
      <c r="K83" s="502">
        <f t="shared" si="141"/>
        <v>0.18974850644418792</v>
      </c>
      <c r="L83" s="502">
        <f t="shared" si="141"/>
        <v>0.18944443503895558</v>
      </c>
      <c r="M83" s="502">
        <f t="shared" si="141"/>
        <v>0.17944386437798157</v>
      </c>
      <c r="N83" s="502">
        <f t="shared" si="141"/>
        <v>0.16260069340187772</v>
      </c>
      <c r="O83" s="502">
        <f t="shared" si="141"/>
        <v>0.14475190065422122</v>
      </c>
      <c r="P83" s="1238">
        <f t="shared" si="134"/>
        <v>2.1310556263460185</v>
      </c>
      <c r="Q83" s="1688">
        <f t="shared" si="135"/>
        <v>0</v>
      </c>
      <c r="S83" s="776">
        <f t="shared" si="136"/>
        <v>4</v>
      </c>
      <c r="T83" s="594" t="s">
        <v>956</v>
      </c>
      <c r="U83" s="502">
        <f t="shared" ref="U83:AF83" si="142">U48*(1+$Q83)</f>
        <v>0.225715</v>
      </c>
      <c r="V83" s="502">
        <f t="shared" si="142"/>
        <v>0.226831</v>
      </c>
      <c r="W83" s="502">
        <f t="shared" si="142"/>
        <v>0.24124399999999999</v>
      </c>
      <c r="X83" s="502">
        <f t="shared" si="142"/>
        <v>0.21940999999999999</v>
      </c>
      <c r="Y83" s="502">
        <f t="shared" si="142"/>
        <v>0.21296599999999999</v>
      </c>
      <c r="Z83" s="502">
        <f t="shared" si="142"/>
        <v>0.195049</v>
      </c>
      <c r="AA83" s="502">
        <f t="shared" si="142"/>
        <v>0.20544542610604047</v>
      </c>
      <c r="AB83" s="502">
        <f t="shared" si="142"/>
        <v>0.2289852733787876</v>
      </c>
      <c r="AC83" s="502">
        <f t="shared" si="142"/>
        <v>0.2286183251737208</v>
      </c>
      <c r="AD83" s="502">
        <f t="shared" si="142"/>
        <v>0.21654980642930272</v>
      </c>
      <c r="AE83" s="502">
        <f t="shared" si="142"/>
        <v>0.19622375389374172</v>
      </c>
      <c r="AF83" s="502">
        <f t="shared" si="142"/>
        <v>0.17468413409175074</v>
      </c>
      <c r="AG83" s="1238">
        <f t="shared" si="138"/>
        <v>2.5717217190733441</v>
      </c>
      <c r="AJ83" s="1019"/>
      <c r="AK83" s="782"/>
    </row>
    <row r="84" spans="2:37" ht="14" x14ac:dyDescent="0.25">
      <c r="B84" s="776">
        <f t="shared" si="132"/>
        <v>5</v>
      </c>
      <c r="C84" s="594" t="s">
        <v>957</v>
      </c>
      <c r="D84" s="502">
        <f t="shared" ref="D84:O84" si="143">D49*(1+$Q84)</f>
        <v>2.3794499999999998</v>
      </c>
      <c r="E84" s="502">
        <f t="shared" si="143"/>
        <v>2.6210300000000002</v>
      </c>
      <c r="F84" s="502">
        <f t="shared" si="143"/>
        <v>2.73624</v>
      </c>
      <c r="G84" s="502">
        <f t="shared" si="143"/>
        <v>2.4497499999999999</v>
      </c>
      <c r="H84" s="502">
        <f t="shared" si="143"/>
        <v>2.3276500000000002</v>
      </c>
      <c r="I84" s="502">
        <f t="shared" si="143"/>
        <v>2.3572700000000002</v>
      </c>
      <c r="J84" s="502">
        <f t="shared" si="143"/>
        <v>2.2556880354355995</v>
      </c>
      <c r="K84" s="502">
        <f t="shared" si="143"/>
        <v>2.4605551366474212</v>
      </c>
      <c r="L84" s="502">
        <f t="shared" si="143"/>
        <v>2.1651046507210827</v>
      </c>
      <c r="M84" s="502">
        <f t="shared" si="143"/>
        <v>1.8935080624422158</v>
      </c>
      <c r="N84" s="502">
        <f t="shared" si="143"/>
        <v>1.9095198632665271</v>
      </c>
      <c r="O84" s="502">
        <f t="shared" si="143"/>
        <v>1.6857027343527879</v>
      </c>
      <c r="P84" s="1238">
        <f t="shared" si="134"/>
        <v>27.241468482865635</v>
      </c>
      <c r="Q84" s="1688">
        <f t="shared" si="135"/>
        <v>0</v>
      </c>
      <c r="S84" s="776">
        <f t="shared" si="136"/>
        <v>5</v>
      </c>
      <c r="T84" s="594" t="s">
        <v>957</v>
      </c>
      <c r="U84" s="502">
        <f t="shared" ref="U84:AF84" si="144">U49*(1+$Q84)</f>
        <v>2.3998979999999999</v>
      </c>
      <c r="V84" s="502">
        <f t="shared" si="144"/>
        <v>2.6586859999999999</v>
      </c>
      <c r="W84" s="502">
        <f t="shared" si="144"/>
        <v>2.8057539999999999</v>
      </c>
      <c r="X84" s="502">
        <f t="shared" si="144"/>
        <v>2.5216789999999998</v>
      </c>
      <c r="Y84" s="502">
        <f t="shared" si="144"/>
        <v>2.3740070000000002</v>
      </c>
      <c r="Z84" s="502">
        <f t="shared" si="144"/>
        <v>2.4074390000000001</v>
      </c>
      <c r="AA84" s="502">
        <f t="shared" si="144"/>
        <v>2.3005963004811347</v>
      </c>
      <c r="AB84" s="502">
        <f t="shared" si="144"/>
        <v>2.5095420800987469</v>
      </c>
      <c r="AC84" s="502">
        <f t="shared" si="144"/>
        <v>2.208209500318393</v>
      </c>
      <c r="AD84" s="502">
        <f t="shared" si="144"/>
        <v>1.9312057230221249</v>
      </c>
      <c r="AE84" s="502">
        <f t="shared" si="144"/>
        <v>1.9475363011702409</v>
      </c>
      <c r="AF84" s="502">
        <f t="shared" si="144"/>
        <v>1.7192632196650577</v>
      </c>
      <c r="AG84" s="1238">
        <f t="shared" si="138"/>
        <v>27.783816124755699</v>
      </c>
      <c r="AJ84" s="1019"/>
      <c r="AK84" s="782"/>
    </row>
    <row r="85" spans="2:37" ht="14" x14ac:dyDescent="0.25">
      <c r="B85" s="776">
        <f t="shared" si="132"/>
        <v>6</v>
      </c>
      <c r="C85" s="594" t="s">
        <v>958</v>
      </c>
      <c r="D85" s="502">
        <f t="shared" ref="D85:O85" si="145">D50*(1+$Q85)</f>
        <v>15.229212</v>
      </c>
      <c r="E85" s="502">
        <f t="shared" si="145"/>
        <v>15.615319</v>
      </c>
      <c r="F85" s="502">
        <f t="shared" si="145"/>
        <v>17.043485</v>
      </c>
      <c r="G85" s="502">
        <f t="shared" si="145"/>
        <v>16.906044999999999</v>
      </c>
      <c r="H85" s="502">
        <f t="shared" si="145"/>
        <v>17.851447</v>
      </c>
      <c r="I85" s="502">
        <f t="shared" si="145"/>
        <v>16.853266000000001</v>
      </c>
      <c r="J85" s="502">
        <f t="shared" si="145"/>
        <v>14.985401185242683</v>
      </c>
      <c r="K85" s="502">
        <f t="shared" si="145"/>
        <v>15.949538309302266</v>
      </c>
      <c r="L85" s="502">
        <f t="shared" si="145"/>
        <v>14.549375237638598</v>
      </c>
      <c r="M85" s="502">
        <f t="shared" si="145"/>
        <v>13.647304606198336</v>
      </c>
      <c r="N85" s="502">
        <f t="shared" si="145"/>
        <v>12.806415380396141</v>
      </c>
      <c r="O85" s="502">
        <f t="shared" si="145"/>
        <v>11.174947722103468</v>
      </c>
      <c r="P85" s="1238">
        <f t="shared" si="134"/>
        <v>182.61175644088149</v>
      </c>
      <c r="Q85" s="1688">
        <f t="shared" si="135"/>
        <v>0</v>
      </c>
      <c r="S85" s="776">
        <f t="shared" si="136"/>
        <v>6</v>
      </c>
      <c r="T85" s="594" t="s">
        <v>958</v>
      </c>
      <c r="U85" s="502">
        <f t="shared" ref="U85:AF85" si="146">U50*(1+$Q85)</f>
        <v>15.423522999999999</v>
      </c>
      <c r="V85" s="502">
        <f t="shared" si="146"/>
        <v>15.898403999999999</v>
      </c>
      <c r="W85" s="502">
        <f t="shared" si="146"/>
        <v>17.247337000000002</v>
      </c>
      <c r="X85" s="502">
        <f t="shared" si="146"/>
        <v>17.113676000000002</v>
      </c>
      <c r="Y85" s="502">
        <f t="shared" si="146"/>
        <v>18.289261</v>
      </c>
      <c r="Z85" s="502">
        <f t="shared" si="146"/>
        <v>17.378643</v>
      </c>
      <c r="AA85" s="502">
        <f t="shared" si="146"/>
        <v>15.26433941591025</v>
      </c>
      <c r="AB85" s="502">
        <f t="shared" si="146"/>
        <v>16.246422986660292</v>
      </c>
      <c r="AC85" s="502">
        <f t="shared" si="146"/>
        <v>14.820197282102916</v>
      </c>
      <c r="AD85" s="502">
        <f t="shared" si="146"/>
        <v>13.901335509554004</v>
      </c>
      <c r="AE85" s="502">
        <f t="shared" si="146"/>
        <v>13.044793973217496</v>
      </c>
      <c r="AF85" s="502">
        <f t="shared" si="146"/>
        <v>11.382958178872272</v>
      </c>
      <c r="AG85" s="1238">
        <f t="shared" si="138"/>
        <v>186.01089134631724</v>
      </c>
      <c r="AJ85" s="1019"/>
      <c r="AK85" s="782"/>
    </row>
    <row r="86" spans="2:37" ht="14" x14ac:dyDescent="0.25">
      <c r="B86" s="776">
        <f t="shared" si="132"/>
        <v>7</v>
      </c>
      <c r="C86" s="594" t="s">
        <v>959</v>
      </c>
      <c r="D86" s="502">
        <f t="shared" ref="D86:O86" si="147">D51*(1+$Q86)</f>
        <v>0</v>
      </c>
      <c r="E86" s="502">
        <f t="shared" si="147"/>
        <v>0</v>
      </c>
      <c r="F86" s="502">
        <f t="shared" si="147"/>
        <v>0</v>
      </c>
      <c r="G86" s="502">
        <f t="shared" si="147"/>
        <v>0</v>
      </c>
      <c r="H86" s="502">
        <f t="shared" si="147"/>
        <v>0</v>
      </c>
      <c r="I86" s="502">
        <f t="shared" si="147"/>
        <v>0</v>
      </c>
      <c r="J86" s="502">
        <f t="shared" si="147"/>
        <v>0</v>
      </c>
      <c r="K86" s="502">
        <f t="shared" si="147"/>
        <v>0</v>
      </c>
      <c r="L86" s="502">
        <f t="shared" si="147"/>
        <v>0</v>
      </c>
      <c r="M86" s="502">
        <f t="shared" si="147"/>
        <v>0</v>
      </c>
      <c r="N86" s="502">
        <f t="shared" si="147"/>
        <v>0</v>
      </c>
      <c r="O86" s="502">
        <f t="shared" si="147"/>
        <v>0</v>
      </c>
      <c r="P86" s="1238">
        <f t="shared" si="134"/>
        <v>0</v>
      </c>
      <c r="Q86" s="1688">
        <f t="shared" si="135"/>
        <v>0</v>
      </c>
      <c r="S86" s="776">
        <f t="shared" si="136"/>
        <v>7</v>
      </c>
      <c r="T86" s="594" t="s">
        <v>959</v>
      </c>
      <c r="U86" s="502">
        <f t="shared" ref="U86:AF86" si="148">U51*(1+$Q86)</f>
        <v>0</v>
      </c>
      <c r="V86" s="502">
        <f t="shared" si="148"/>
        <v>0</v>
      </c>
      <c r="W86" s="502">
        <f t="shared" si="148"/>
        <v>0</v>
      </c>
      <c r="X86" s="502">
        <f t="shared" si="148"/>
        <v>0</v>
      </c>
      <c r="Y86" s="502">
        <f t="shared" si="148"/>
        <v>0</v>
      </c>
      <c r="Z86" s="502">
        <f t="shared" si="148"/>
        <v>0</v>
      </c>
      <c r="AA86" s="502">
        <f t="shared" si="148"/>
        <v>0</v>
      </c>
      <c r="AB86" s="502">
        <f t="shared" si="148"/>
        <v>0</v>
      </c>
      <c r="AC86" s="502">
        <f t="shared" si="148"/>
        <v>0</v>
      </c>
      <c r="AD86" s="502">
        <f t="shared" si="148"/>
        <v>0</v>
      </c>
      <c r="AE86" s="502">
        <f t="shared" si="148"/>
        <v>0</v>
      </c>
      <c r="AF86" s="502">
        <f t="shared" si="148"/>
        <v>0</v>
      </c>
      <c r="AG86" s="1238">
        <f t="shared" si="138"/>
        <v>0</v>
      </c>
      <c r="AJ86" s="1019"/>
      <c r="AK86" s="782"/>
    </row>
    <row r="87" spans="2:37" ht="14" x14ac:dyDescent="0.25">
      <c r="B87" s="776"/>
      <c r="C87" s="594"/>
      <c r="D87" s="410"/>
      <c r="E87" s="410"/>
      <c r="F87" s="410"/>
      <c r="G87" s="410"/>
      <c r="H87" s="410"/>
      <c r="I87" s="410"/>
      <c r="J87" s="410"/>
      <c r="K87" s="410"/>
      <c r="L87" s="410"/>
      <c r="M87" s="410"/>
      <c r="N87" s="410"/>
      <c r="O87" s="410"/>
      <c r="P87" s="1238">
        <f t="shared" si="134"/>
        <v>0</v>
      </c>
      <c r="Q87" s="1688"/>
      <c r="S87" s="776"/>
      <c r="T87" s="594"/>
      <c r="U87" s="410"/>
      <c r="V87" s="410"/>
      <c r="W87" s="410"/>
      <c r="X87" s="410"/>
      <c r="Y87" s="410"/>
      <c r="Z87" s="410"/>
      <c r="AA87" s="410"/>
      <c r="AB87" s="410"/>
      <c r="AC87" s="410"/>
      <c r="AD87" s="410"/>
      <c r="AE87" s="410"/>
      <c r="AF87" s="410"/>
      <c r="AG87" s="1238">
        <f t="shared" si="138"/>
        <v>0</v>
      </c>
      <c r="AJ87" s="1019"/>
      <c r="AK87" s="782"/>
    </row>
    <row r="88" spans="2:37" ht="14" x14ac:dyDescent="0.3">
      <c r="B88" s="776"/>
      <c r="C88" s="434" t="s">
        <v>416</v>
      </c>
      <c r="D88" s="1239">
        <f>SUM(D80:D86)</f>
        <v>50.582712999999998</v>
      </c>
      <c r="E88" s="1239">
        <f t="shared" ref="E88:O88" si="149">SUM(E80:E86)</f>
        <v>54.445292000000002</v>
      </c>
      <c r="F88" s="1239">
        <f t="shared" si="149"/>
        <v>58.855436999999995</v>
      </c>
      <c r="G88" s="1239">
        <f t="shared" si="149"/>
        <v>56.995020000000004</v>
      </c>
      <c r="H88" s="1239">
        <f t="shared" si="149"/>
        <v>56.498004999999992</v>
      </c>
      <c r="I88" s="1239">
        <f t="shared" si="149"/>
        <v>54.796716000000004</v>
      </c>
      <c r="J88" s="1239">
        <f t="shared" si="149"/>
        <v>51.811079166264989</v>
      </c>
      <c r="K88" s="1239">
        <f t="shared" si="149"/>
        <v>58.054928933049425</v>
      </c>
      <c r="L88" s="1239">
        <f t="shared" si="149"/>
        <v>53.000023263585241</v>
      </c>
      <c r="M88" s="1239">
        <f t="shared" si="149"/>
        <v>49.33405864095657</v>
      </c>
      <c r="N88" s="1239">
        <f t="shared" si="149"/>
        <v>47.528534458220122</v>
      </c>
      <c r="O88" s="1239">
        <f t="shared" si="149"/>
        <v>42.806475189877389</v>
      </c>
      <c r="P88" s="1239">
        <f t="shared" si="134"/>
        <v>634.70828265195382</v>
      </c>
      <c r="Q88" s="1688"/>
      <c r="S88" s="776"/>
      <c r="T88" s="434" t="s">
        <v>416</v>
      </c>
      <c r="U88" s="1239">
        <f>SUM(U80:U86)</f>
        <v>51.470028999999997</v>
      </c>
      <c r="V88" s="1239">
        <f t="shared" ref="V88:AF88" si="150">SUM(V80:V86)</f>
        <v>55.549565999999999</v>
      </c>
      <c r="W88" s="1239">
        <f t="shared" si="150"/>
        <v>60.052367000000004</v>
      </c>
      <c r="X88" s="1239">
        <f t="shared" si="150"/>
        <v>58.170913000000013</v>
      </c>
      <c r="Y88" s="1239">
        <f t="shared" si="150"/>
        <v>57.503102999999996</v>
      </c>
      <c r="Z88" s="1239">
        <f t="shared" si="150"/>
        <v>56.133599999999987</v>
      </c>
      <c r="AA88" s="1239">
        <f t="shared" si="150"/>
        <v>52.838505038509609</v>
      </c>
      <c r="AB88" s="1239">
        <f t="shared" si="150"/>
        <v>59.187630975880673</v>
      </c>
      <c r="AC88" s="1239">
        <f t="shared" si="150"/>
        <v>54.035553917037483</v>
      </c>
      <c r="AD88" s="1239">
        <f t="shared" si="150"/>
        <v>50.296573330889643</v>
      </c>
      <c r="AE88" s="1239">
        <f t="shared" si="150"/>
        <v>48.451740735089317</v>
      </c>
      <c r="AF88" s="1239">
        <f t="shared" si="150"/>
        <v>43.637940643064674</v>
      </c>
      <c r="AG88" s="1239">
        <f t="shared" si="138"/>
        <v>647.32752264047133</v>
      </c>
      <c r="AJ88" s="1019"/>
      <c r="AK88" s="782"/>
    </row>
    <row r="89" spans="2:37" ht="14" x14ac:dyDescent="0.25">
      <c r="B89" s="776"/>
      <c r="C89" s="594"/>
      <c r="D89" s="410"/>
      <c r="E89" s="410"/>
      <c r="F89" s="410"/>
      <c r="G89" s="410"/>
      <c r="H89" s="410"/>
      <c r="I89" s="410"/>
      <c r="J89" s="410"/>
      <c r="K89" s="410"/>
      <c r="L89" s="410"/>
      <c r="M89" s="410"/>
      <c r="N89" s="410"/>
      <c r="O89" s="410"/>
      <c r="P89" s="410"/>
      <c r="Q89" s="1688"/>
      <c r="S89" s="776"/>
      <c r="T89" s="594"/>
      <c r="U89" s="410"/>
      <c r="V89" s="410"/>
      <c r="W89" s="410"/>
      <c r="X89" s="410"/>
      <c r="Y89" s="410"/>
      <c r="Z89" s="410"/>
      <c r="AA89" s="410"/>
      <c r="AB89" s="410"/>
      <c r="AC89" s="410"/>
      <c r="AD89" s="410"/>
      <c r="AE89" s="410"/>
      <c r="AF89" s="410"/>
      <c r="AG89" s="410"/>
      <c r="AJ89" s="1019"/>
      <c r="AK89" s="782"/>
    </row>
    <row r="90" spans="2:37" ht="14" x14ac:dyDescent="0.25">
      <c r="B90" s="776"/>
      <c r="C90" s="1236" t="s">
        <v>294</v>
      </c>
      <c r="D90" s="410"/>
      <c r="E90" s="410"/>
      <c r="F90" s="410"/>
      <c r="G90" s="410"/>
      <c r="H90" s="410"/>
      <c r="I90" s="410"/>
      <c r="J90" s="410"/>
      <c r="K90" s="410"/>
      <c r="L90" s="410"/>
      <c r="M90" s="410"/>
      <c r="N90" s="410"/>
      <c r="O90" s="410"/>
      <c r="P90" s="410"/>
      <c r="Q90" s="1688"/>
      <c r="S90" s="776"/>
      <c r="T90" s="1236" t="s">
        <v>294</v>
      </c>
      <c r="U90" s="410"/>
      <c r="V90" s="410"/>
      <c r="W90" s="410"/>
      <c r="X90" s="410"/>
      <c r="Y90" s="410"/>
      <c r="Z90" s="410"/>
      <c r="AA90" s="410"/>
      <c r="AB90" s="410"/>
      <c r="AC90" s="410"/>
      <c r="AD90" s="410"/>
      <c r="AE90" s="410"/>
      <c r="AF90" s="410"/>
      <c r="AG90" s="410"/>
      <c r="AJ90" s="1019"/>
      <c r="AK90" s="782"/>
    </row>
    <row r="91" spans="2:37" ht="14" x14ac:dyDescent="0.25">
      <c r="B91" s="776">
        <f>B86+1</f>
        <v>8</v>
      </c>
      <c r="C91" s="1237" t="s">
        <v>960</v>
      </c>
      <c r="D91" s="502">
        <f t="shared" ref="D91:O91" si="151">D56*(1+$Q91)</f>
        <v>1.555E-3</v>
      </c>
      <c r="E91" s="502">
        <f t="shared" si="151"/>
        <v>1.6069999999999999E-3</v>
      </c>
      <c r="F91" s="502">
        <f t="shared" si="151"/>
        <v>1.3990000000000001E-3</v>
      </c>
      <c r="G91" s="502">
        <f t="shared" si="151"/>
        <v>1.2279999999999999E-3</v>
      </c>
      <c r="H91" s="502">
        <f t="shared" si="151"/>
        <v>1.7619999999999999E-3</v>
      </c>
      <c r="I91" s="502">
        <f t="shared" si="151"/>
        <v>1.575E-3</v>
      </c>
      <c r="J91" s="502">
        <f t="shared" si="151"/>
        <v>3.9576187034839816E-3</v>
      </c>
      <c r="K91" s="502">
        <f t="shared" si="151"/>
        <v>4.4119007658289288E-3</v>
      </c>
      <c r="L91" s="502">
        <f t="shared" si="151"/>
        <v>4.9429628950490769E-3</v>
      </c>
      <c r="M91" s="502">
        <f t="shared" si="151"/>
        <v>4.6191085104088005E-3</v>
      </c>
      <c r="N91" s="502">
        <f t="shared" si="151"/>
        <v>3.851307841656779E-3</v>
      </c>
      <c r="O91" s="502">
        <f t="shared" si="151"/>
        <v>5.0891403300614814E-3</v>
      </c>
      <c r="P91" s="1238">
        <f t="shared" ref="P91:P105" si="152">SUM(D91:O91)</f>
        <v>3.5998039046489051E-2</v>
      </c>
      <c r="Q91" s="1688">
        <f>Q56</f>
        <v>0</v>
      </c>
      <c r="S91" s="776">
        <f>S86+1</f>
        <v>8</v>
      </c>
      <c r="T91" s="1237" t="s">
        <v>960</v>
      </c>
      <c r="U91" s="502">
        <f t="shared" ref="U91:AF91" si="153">U56*(1+$Q91)</f>
        <v>1.555E-3</v>
      </c>
      <c r="V91" s="502">
        <f t="shared" si="153"/>
        <v>1.6069999999999999E-3</v>
      </c>
      <c r="W91" s="502">
        <f t="shared" si="153"/>
        <v>1.3990000000000001E-3</v>
      </c>
      <c r="X91" s="502">
        <f t="shared" si="153"/>
        <v>1.2279999999999999E-3</v>
      </c>
      <c r="Y91" s="502">
        <f t="shared" si="153"/>
        <v>1.7619999999999999E-3</v>
      </c>
      <c r="Z91" s="502">
        <f t="shared" si="153"/>
        <v>1.575E-3</v>
      </c>
      <c r="AA91" s="502">
        <f t="shared" si="153"/>
        <v>3.9576187034839816E-3</v>
      </c>
      <c r="AB91" s="502">
        <f t="shared" si="153"/>
        <v>4.4119007658289288E-3</v>
      </c>
      <c r="AC91" s="502">
        <f t="shared" si="153"/>
        <v>4.9429628950490769E-3</v>
      </c>
      <c r="AD91" s="502">
        <f t="shared" si="153"/>
        <v>4.6191085104088005E-3</v>
      </c>
      <c r="AE91" s="502">
        <f t="shared" si="153"/>
        <v>3.851307841656779E-3</v>
      </c>
      <c r="AF91" s="502">
        <f t="shared" si="153"/>
        <v>5.0891403300614814E-3</v>
      </c>
      <c r="AG91" s="1238">
        <f t="shared" ref="AG91:AG105" si="154">SUM(U91:AF91)</f>
        <v>3.5998039046489051E-2</v>
      </c>
      <c r="AJ91" s="1019"/>
      <c r="AK91" s="782"/>
    </row>
    <row r="92" spans="2:37" ht="14" x14ac:dyDescent="0.25">
      <c r="B92" s="776">
        <f>B91+1</f>
        <v>9</v>
      </c>
      <c r="C92" s="1237" t="s">
        <v>961</v>
      </c>
      <c r="D92" s="502">
        <f t="shared" ref="D92:O92" si="155">D57*(1+$Q92)</f>
        <v>0</v>
      </c>
      <c r="E92" s="502">
        <f t="shared" si="155"/>
        <v>0</v>
      </c>
      <c r="F92" s="502">
        <f t="shared" si="155"/>
        <v>0</v>
      </c>
      <c r="G92" s="502">
        <f t="shared" si="155"/>
        <v>0</v>
      </c>
      <c r="H92" s="502">
        <f t="shared" si="155"/>
        <v>0</v>
      </c>
      <c r="I92" s="502">
        <f t="shared" si="155"/>
        <v>0</v>
      </c>
      <c r="J92" s="502">
        <f t="shared" si="155"/>
        <v>0</v>
      </c>
      <c r="K92" s="502">
        <f t="shared" si="155"/>
        <v>0</v>
      </c>
      <c r="L92" s="502">
        <f t="shared" si="155"/>
        <v>0</v>
      </c>
      <c r="M92" s="502">
        <f t="shared" si="155"/>
        <v>0</v>
      </c>
      <c r="N92" s="502">
        <f t="shared" si="155"/>
        <v>0</v>
      </c>
      <c r="O92" s="502">
        <f t="shared" si="155"/>
        <v>0</v>
      </c>
      <c r="P92" s="1238">
        <f t="shared" si="152"/>
        <v>0</v>
      </c>
      <c r="Q92" s="1688">
        <f t="shared" ref="Q92:Q105" si="156">Q57</f>
        <v>0</v>
      </c>
      <c r="S92" s="776">
        <f>S91+1</f>
        <v>9</v>
      </c>
      <c r="T92" s="1237" t="s">
        <v>961</v>
      </c>
      <c r="U92" s="502">
        <f t="shared" ref="U92:AF92" si="157">U57*(1+$Q92)</f>
        <v>0</v>
      </c>
      <c r="V92" s="502">
        <f t="shared" si="157"/>
        <v>0</v>
      </c>
      <c r="W92" s="502">
        <f t="shared" si="157"/>
        <v>0</v>
      </c>
      <c r="X92" s="502">
        <f t="shared" si="157"/>
        <v>0</v>
      </c>
      <c r="Y92" s="502">
        <f t="shared" si="157"/>
        <v>0</v>
      </c>
      <c r="Z92" s="502">
        <f t="shared" si="157"/>
        <v>0</v>
      </c>
      <c r="AA92" s="502">
        <f t="shared" si="157"/>
        <v>0</v>
      </c>
      <c r="AB92" s="502">
        <f t="shared" si="157"/>
        <v>0</v>
      </c>
      <c r="AC92" s="502">
        <f t="shared" si="157"/>
        <v>0</v>
      </c>
      <c r="AD92" s="502">
        <f t="shared" si="157"/>
        <v>0</v>
      </c>
      <c r="AE92" s="502">
        <f t="shared" si="157"/>
        <v>0</v>
      </c>
      <c r="AF92" s="502">
        <f t="shared" si="157"/>
        <v>0</v>
      </c>
      <c r="AG92" s="1238">
        <f t="shared" si="154"/>
        <v>0</v>
      </c>
      <c r="AJ92" s="1019"/>
      <c r="AK92" s="782"/>
    </row>
    <row r="93" spans="2:37" ht="14" x14ac:dyDescent="0.25">
      <c r="B93" s="776">
        <f t="shared" ref="B93:B106" si="158">B92+1</f>
        <v>10</v>
      </c>
      <c r="C93" s="594" t="s">
        <v>900</v>
      </c>
      <c r="D93" s="502">
        <f t="shared" ref="D93:O93" si="159">D58*(1+$Q93)</f>
        <v>64.525951616493515</v>
      </c>
      <c r="E93" s="502">
        <f t="shared" si="159"/>
        <v>65.619745608223766</v>
      </c>
      <c r="F93" s="502">
        <f t="shared" si="159"/>
        <v>64.260014131968504</v>
      </c>
      <c r="G93" s="502">
        <f t="shared" si="159"/>
        <v>64.712430390887505</v>
      </c>
      <c r="H93" s="502">
        <f t="shared" si="159"/>
        <v>64.998773877991013</v>
      </c>
      <c r="I93" s="502">
        <f t="shared" si="159"/>
        <v>65.134106166610763</v>
      </c>
      <c r="J93" s="502">
        <f t="shared" si="159"/>
        <v>66.305868531740316</v>
      </c>
      <c r="K93" s="502">
        <f t="shared" si="159"/>
        <v>66.00368529625139</v>
      </c>
      <c r="L93" s="502">
        <f t="shared" si="159"/>
        <v>64.97346484230016</v>
      </c>
      <c r="M93" s="502">
        <f t="shared" si="159"/>
        <v>63.133284874294951</v>
      </c>
      <c r="N93" s="502">
        <f t="shared" si="159"/>
        <v>58.857596073096062</v>
      </c>
      <c r="O93" s="502">
        <f t="shared" si="159"/>
        <v>61.568516680317991</v>
      </c>
      <c r="P93" s="1238">
        <f t="shared" si="152"/>
        <v>770.09343809017594</v>
      </c>
      <c r="Q93" s="1688">
        <f t="shared" si="156"/>
        <v>1.35E-2</v>
      </c>
      <c r="S93" s="776">
        <f t="shared" ref="S93:S106" si="160">S92+1</f>
        <v>10</v>
      </c>
      <c r="T93" s="594" t="s">
        <v>900</v>
      </c>
      <c r="U93" s="502">
        <f t="shared" ref="U93:AF93" si="161">U58*(1+$Q93)</f>
        <v>64.525951616493515</v>
      </c>
      <c r="V93" s="502">
        <f t="shared" si="161"/>
        <v>65.619745608223766</v>
      </c>
      <c r="W93" s="502">
        <f t="shared" si="161"/>
        <v>64.260014131968504</v>
      </c>
      <c r="X93" s="502">
        <f t="shared" si="161"/>
        <v>64.712430390887505</v>
      </c>
      <c r="Y93" s="502">
        <f t="shared" si="161"/>
        <v>64.998773877991013</v>
      </c>
      <c r="Z93" s="502">
        <f t="shared" si="161"/>
        <v>65.134106166610763</v>
      </c>
      <c r="AA93" s="502">
        <f t="shared" si="161"/>
        <v>66.305868531740316</v>
      </c>
      <c r="AB93" s="502">
        <f t="shared" si="161"/>
        <v>66.00368529625139</v>
      </c>
      <c r="AC93" s="502">
        <f t="shared" si="161"/>
        <v>64.97346484230016</v>
      </c>
      <c r="AD93" s="502">
        <f t="shared" si="161"/>
        <v>63.133284874294951</v>
      </c>
      <c r="AE93" s="502">
        <f t="shared" si="161"/>
        <v>58.857596073096062</v>
      </c>
      <c r="AF93" s="502">
        <f t="shared" si="161"/>
        <v>61.568516680317991</v>
      </c>
      <c r="AG93" s="1238">
        <f t="shared" si="154"/>
        <v>770.09343809017594</v>
      </c>
      <c r="AJ93" s="1019"/>
      <c r="AK93" s="782"/>
    </row>
    <row r="94" spans="2:37" ht="14" x14ac:dyDescent="0.25">
      <c r="B94" s="776">
        <f t="shared" si="158"/>
        <v>11</v>
      </c>
      <c r="C94" s="594" t="s">
        <v>901</v>
      </c>
      <c r="D94" s="502">
        <f t="shared" ref="D94:O94" si="162">D59*(1+$Q94)</f>
        <v>64.201117556118007</v>
      </c>
      <c r="E94" s="502">
        <f t="shared" si="162"/>
        <v>74.771023209156752</v>
      </c>
      <c r="F94" s="502">
        <f t="shared" si="162"/>
        <v>67.842349207404524</v>
      </c>
      <c r="G94" s="502">
        <f t="shared" si="162"/>
        <v>64.058435778499515</v>
      </c>
      <c r="H94" s="502">
        <f t="shared" si="162"/>
        <v>63.254246577516504</v>
      </c>
      <c r="I94" s="502">
        <f t="shared" si="162"/>
        <v>63.224451101990759</v>
      </c>
      <c r="J94" s="502">
        <f t="shared" si="162"/>
        <v>73.356092130021608</v>
      </c>
      <c r="K94" s="502">
        <f t="shared" si="162"/>
        <v>72.840939625504703</v>
      </c>
      <c r="L94" s="502">
        <f t="shared" si="162"/>
        <v>63.72341293709141</v>
      </c>
      <c r="M94" s="502">
        <f t="shared" si="162"/>
        <v>51.222962541080015</v>
      </c>
      <c r="N94" s="502">
        <f t="shared" si="162"/>
        <v>36.741629900770583</v>
      </c>
      <c r="O94" s="502">
        <f t="shared" si="162"/>
        <v>45.460151907239599</v>
      </c>
      <c r="P94" s="1238">
        <f t="shared" si="152"/>
        <v>740.69681247239407</v>
      </c>
      <c r="Q94" s="1688">
        <f t="shared" si="156"/>
        <v>1.35E-2</v>
      </c>
      <c r="S94" s="776">
        <f t="shared" si="160"/>
        <v>11</v>
      </c>
      <c r="T94" s="594" t="s">
        <v>901</v>
      </c>
      <c r="U94" s="502">
        <f t="shared" ref="U94:AF94" si="163">U59*(1+$Q94)</f>
        <v>64.201117556118007</v>
      </c>
      <c r="V94" s="502">
        <f t="shared" si="163"/>
        <v>74.771023209156752</v>
      </c>
      <c r="W94" s="502">
        <f t="shared" si="163"/>
        <v>67.842349207404524</v>
      </c>
      <c r="X94" s="502">
        <f t="shared" si="163"/>
        <v>64.058435778499515</v>
      </c>
      <c r="Y94" s="502">
        <f t="shared" si="163"/>
        <v>63.254246577516504</v>
      </c>
      <c r="Z94" s="502">
        <f t="shared" si="163"/>
        <v>63.224451101990759</v>
      </c>
      <c r="AA94" s="502">
        <f t="shared" si="163"/>
        <v>73.356092130021608</v>
      </c>
      <c r="AB94" s="502">
        <f t="shared" si="163"/>
        <v>72.840939625504703</v>
      </c>
      <c r="AC94" s="502">
        <f t="shared" si="163"/>
        <v>63.72341293709141</v>
      </c>
      <c r="AD94" s="502">
        <f t="shared" si="163"/>
        <v>51.222962541080015</v>
      </c>
      <c r="AE94" s="502">
        <f t="shared" si="163"/>
        <v>36.741629900770583</v>
      </c>
      <c r="AF94" s="502">
        <f t="shared" si="163"/>
        <v>45.460151907239599</v>
      </c>
      <c r="AG94" s="1238">
        <f t="shared" si="154"/>
        <v>740.69681247239407</v>
      </c>
      <c r="AJ94" s="1019"/>
      <c r="AK94" s="782"/>
    </row>
    <row r="95" spans="2:37" ht="14" x14ac:dyDescent="0.25">
      <c r="B95" s="776">
        <f t="shared" si="158"/>
        <v>12</v>
      </c>
      <c r="C95" s="594" t="s">
        <v>902</v>
      </c>
      <c r="D95" s="502">
        <f t="shared" ref="D95:O95" si="164">D60*(1+$Q95)</f>
        <v>21.698600504442005</v>
      </c>
      <c r="E95" s="502">
        <f t="shared" si="164"/>
        <v>31.431164649379003</v>
      </c>
      <c r="F95" s="502">
        <f t="shared" si="164"/>
        <v>26.732289658468755</v>
      </c>
      <c r="G95" s="502">
        <f t="shared" si="164"/>
        <v>20.216780200316254</v>
      </c>
      <c r="H95" s="502">
        <f t="shared" si="164"/>
        <v>18.79044725415325</v>
      </c>
      <c r="I95" s="502">
        <f t="shared" si="164"/>
        <v>18.895473557669003</v>
      </c>
      <c r="J95" s="502">
        <f t="shared" si="164"/>
        <v>25.334773750703658</v>
      </c>
      <c r="K95" s="502">
        <f t="shared" si="164"/>
        <v>27.044195407251074</v>
      </c>
      <c r="L95" s="502">
        <f t="shared" si="164"/>
        <v>20.058545081744171</v>
      </c>
      <c r="M95" s="502">
        <f t="shared" si="164"/>
        <v>14.326118248318863</v>
      </c>
      <c r="N95" s="502">
        <f t="shared" si="164"/>
        <v>8.4961291372538046</v>
      </c>
      <c r="O95" s="502">
        <f t="shared" si="164"/>
        <v>11.05745656271521</v>
      </c>
      <c r="P95" s="1238">
        <f t="shared" si="152"/>
        <v>244.08197401241503</v>
      </c>
      <c r="Q95" s="1688">
        <f t="shared" si="156"/>
        <v>1.35E-2</v>
      </c>
      <c r="S95" s="776">
        <f t="shared" si="160"/>
        <v>12</v>
      </c>
      <c r="T95" s="594" t="s">
        <v>902</v>
      </c>
      <c r="U95" s="502">
        <f t="shared" ref="U95:AF95" si="165">U60*(1+$Q95)</f>
        <v>21.698600504442005</v>
      </c>
      <c r="V95" s="502">
        <f t="shared" si="165"/>
        <v>31.431164649379003</v>
      </c>
      <c r="W95" s="502">
        <f t="shared" si="165"/>
        <v>26.732289658468755</v>
      </c>
      <c r="X95" s="502">
        <f t="shared" si="165"/>
        <v>20.216780200316254</v>
      </c>
      <c r="Y95" s="502">
        <f t="shared" si="165"/>
        <v>18.79044725415325</v>
      </c>
      <c r="Z95" s="502">
        <f t="shared" si="165"/>
        <v>18.895473557669003</v>
      </c>
      <c r="AA95" s="502">
        <f t="shared" si="165"/>
        <v>25.334773750703658</v>
      </c>
      <c r="AB95" s="502">
        <f t="shared" si="165"/>
        <v>27.044195407251074</v>
      </c>
      <c r="AC95" s="502">
        <f t="shared" si="165"/>
        <v>20.058545081744171</v>
      </c>
      <c r="AD95" s="502">
        <f t="shared" si="165"/>
        <v>14.326118248318863</v>
      </c>
      <c r="AE95" s="502">
        <f t="shared" si="165"/>
        <v>8.4961291372538046</v>
      </c>
      <c r="AF95" s="502">
        <f t="shared" si="165"/>
        <v>11.05745656271521</v>
      </c>
      <c r="AG95" s="1238">
        <f t="shared" si="154"/>
        <v>244.08197401241503</v>
      </c>
      <c r="AJ95" s="1019"/>
      <c r="AK95" s="782"/>
    </row>
    <row r="96" spans="2:37" ht="14" x14ac:dyDescent="0.25">
      <c r="B96" s="776">
        <f t="shared" si="158"/>
        <v>13</v>
      </c>
      <c r="C96" s="594" t="s">
        <v>903</v>
      </c>
      <c r="D96" s="502">
        <f t="shared" ref="D96:O96" si="166">D61*(1+$Q96)</f>
        <v>35.036064864483002</v>
      </c>
      <c r="E96" s="502">
        <f t="shared" si="166"/>
        <v>50.25246126804651</v>
      </c>
      <c r="F96" s="502">
        <f t="shared" si="166"/>
        <v>42.410712638082252</v>
      </c>
      <c r="G96" s="502">
        <f t="shared" si="166"/>
        <v>32.537348513408759</v>
      </c>
      <c r="H96" s="502">
        <f t="shared" si="166"/>
        <v>33.425392764552754</v>
      </c>
      <c r="I96" s="502">
        <f t="shared" si="166"/>
        <v>32.693298404150504</v>
      </c>
      <c r="J96" s="502">
        <f t="shared" si="166"/>
        <v>38.226175337755627</v>
      </c>
      <c r="K96" s="502">
        <f t="shared" si="166"/>
        <v>42.031608690511618</v>
      </c>
      <c r="L96" s="502">
        <f t="shared" si="166"/>
        <v>33.41486607327559</v>
      </c>
      <c r="M96" s="502">
        <f t="shared" si="166"/>
        <v>25.692455439781778</v>
      </c>
      <c r="N96" s="502">
        <f t="shared" si="166"/>
        <v>19.253381989430778</v>
      </c>
      <c r="O96" s="502">
        <f t="shared" si="166"/>
        <v>21.099464980758576</v>
      </c>
      <c r="P96" s="1238">
        <f t="shared" si="152"/>
        <v>406.07323096423778</v>
      </c>
      <c r="Q96" s="1688">
        <f t="shared" si="156"/>
        <v>1.35E-2</v>
      </c>
      <c r="S96" s="776">
        <f t="shared" si="160"/>
        <v>13</v>
      </c>
      <c r="T96" s="594" t="s">
        <v>903</v>
      </c>
      <c r="U96" s="502">
        <f t="shared" ref="U96:AF96" si="167">U61*(1+$Q96)</f>
        <v>35.036064864483002</v>
      </c>
      <c r="V96" s="502">
        <f t="shared" si="167"/>
        <v>50.25246126804651</v>
      </c>
      <c r="W96" s="502">
        <f t="shared" si="167"/>
        <v>42.410712638082252</v>
      </c>
      <c r="X96" s="502">
        <f t="shared" si="167"/>
        <v>32.537348513408759</v>
      </c>
      <c r="Y96" s="502">
        <f t="shared" si="167"/>
        <v>33.425392764552754</v>
      </c>
      <c r="Z96" s="502">
        <f t="shared" si="167"/>
        <v>32.693298404150504</v>
      </c>
      <c r="AA96" s="502">
        <f t="shared" si="167"/>
        <v>38.226175337755627</v>
      </c>
      <c r="AB96" s="502">
        <f t="shared" si="167"/>
        <v>42.031608690511618</v>
      </c>
      <c r="AC96" s="502">
        <f t="shared" si="167"/>
        <v>33.41486607327559</v>
      </c>
      <c r="AD96" s="502">
        <f t="shared" si="167"/>
        <v>25.692455439781778</v>
      </c>
      <c r="AE96" s="502">
        <f t="shared" si="167"/>
        <v>19.253381989430778</v>
      </c>
      <c r="AF96" s="502">
        <f t="shared" si="167"/>
        <v>21.099464980758576</v>
      </c>
      <c r="AG96" s="1238">
        <f t="shared" si="154"/>
        <v>406.07323096423778</v>
      </c>
      <c r="AJ96" s="1019"/>
      <c r="AK96" s="782"/>
    </row>
    <row r="97" spans="2:37" ht="14" x14ac:dyDescent="0.25">
      <c r="B97" s="776">
        <f t="shared" si="158"/>
        <v>14</v>
      </c>
      <c r="C97" s="1237" t="s">
        <v>962</v>
      </c>
      <c r="D97" s="502">
        <f t="shared" ref="D97:O97" si="168">D62*(1+$Q97)</f>
        <v>71.34253118873265</v>
      </c>
      <c r="E97" s="502">
        <f t="shared" si="168"/>
        <v>81.678981255484686</v>
      </c>
      <c r="F97" s="502">
        <f t="shared" si="168"/>
        <v>74.952233764048401</v>
      </c>
      <c r="G97" s="502">
        <f t="shared" si="168"/>
        <v>69.570060047433316</v>
      </c>
      <c r="H97" s="502">
        <f t="shared" si="168"/>
        <v>69.64703920571165</v>
      </c>
      <c r="I97" s="502">
        <f t="shared" si="168"/>
        <v>70.74788176637179</v>
      </c>
      <c r="J97" s="502">
        <f t="shared" si="168"/>
        <v>77.56395176666048</v>
      </c>
      <c r="K97" s="502">
        <f t="shared" si="168"/>
        <v>77.65514654291907</v>
      </c>
      <c r="L97" s="502">
        <f t="shared" si="168"/>
        <v>70.470031268601502</v>
      </c>
      <c r="M97" s="502">
        <f t="shared" si="168"/>
        <v>63.057100926433051</v>
      </c>
      <c r="N97" s="502">
        <f t="shared" si="168"/>
        <v>53.592827891929005</v>
      </c>
      <c r="O97" s="502">
        <f t="shared" si="168"/>
        <v>60.65699953168955</v>
      </c>
      <c r="P97" s="1238">
        <f t="shared" si="152"/>
        <v>840.9347851560151</v>
      </c>
      <c r="Q97" s="1688">
        <f t="shared" si="156"/>
        <v>8.6999999999999994E-3</v>
      </c>
      <c r="S97" s="776">
        <f t="shared" si="160"/>
        <v>14</v>
      </c>
      <c r="T97" s="1237" t="s">
        <v>962</v>
      </c>
      <c r="U97" s="502">
        <f t="shared" ref="U97:AF97" si="169">U62*(1+$Q97)</f>
        <v>71.34253118873265</v>
      </c>
      <c r="V97" s="502">
        <f t="shared" si="169"/>
        <v>81.678981255484686</v>
      </c>
      <c r="W97" s="502">
        <f t="shared" si="169"/>
        <v>74.952233764048401</v>
      </c>
      <c r="X97" s="502">
        <f t="shared" si="169"/>
        <v>69.570060047433316</v>
      </c>
      <c r="Y97" s="502">
        <f t="shared" si="169"/>
        <v>69.64703920571165</v>
      </c>
      <c r="Z97" s="502">
        <f t="shared" si="169"/>
        <v>70.74788176637179</v>
      </c>
      <c r="AA97" s="502">
        <f t="shared" si="169"/>
        <v>77.56395176666048</v>
      </c>
      <c r="AB97" s="502">
        <f t="shared" si="169"/>
        <v>77.65514654291907</v>
      </c>
      <c r="AC97" s="502">
        <f t="shared" si="169"/>
        <v>70.470031268601502</v>
      </c>
      <c r="AD97" s="502">
        <f t="shared" si="169"/>
        <v>63.057100926433051</v>
      </c>
      <c r="AE97" s="502">
        <f t="shared" si="169"/>
        <v>53.592827891929005</v>
      </c>
      <c r="AF97" s="502">
        <f t="shared" si="169"/>
        <v>60.65699953168955</v>
      </c>
      <c r="AG97" s="1238">
        <f t="shared" si="154"/>
        <v>840.9347851560151</v>
      </c>
      <c r="AJ97" s="1019"/>
      <c r="AK97" s="782"/>
    </row>
    <row r="98" spans="2:37" ht="14" x14ac:dyDescent="0.25">
      <c r="B98" s="776">
        <f t="shared" si="158"/>
        <v>15</v>
      </c>
      <c r="C98" s="1237" t="s">
        <v>963</v>
      </c>
      <c r="D98" s="502">
        <f t="shared" ref="D98:O98" si="170">D63*(1+$Q98)</f>
        <v>15.041427575752268</v>
      </c>
      <c r="E98" s="502">
        <f t="shared" si="170"/>
        <v>16.006341489082558</v>
      </c>
      <c r="F98" s="502">
        <f t="shared" si="170"/>
        <v>17.082567242898847</v>
      </c>
      <c r="G98" s="502">
        <f t="shared" si="170"/>
        <v>15.859336601391359</v>
      </c>
      <c r="H98" s="502">
        <f t="shared" si="170"/>
        <v>14.293130166920218</v>
      </c>
      <c r="I98" s="502">
        <f t="shared" si="170"/>
        <v>14.282284893540508</v>
      </c>
      <c r="J98" s="502">
        <f t="shared" si="170"/>
        <v>14.158466986630033</v>
      </c>
      <c r="K98" s="502">
        <f t="shared" si="170"/>
        <v>16.261952365549483</v>
      </c>
      <c r="L98" s="502">
        <f t="shared" si="170"/>
        <v>14.322855610941307</v>
      </c>
      <c r="M98" s="502">
        <f t="shared" si="170"/>
        <v>12.966063018848352</v>
      </c>
      <c r="N98" s="502">
        <f t="shared" si="170"/>
        <v>12.082969647681351</v>
      </c>
      <c r="O98" s="502">
        <f t="shared" si="170"/>
        <v>11.384162391051607</v>
      </c>
      <c r="P98" s="1346">
        <f t="shared" si="152"/>
        <v>173.7415579902879</v>
      </c>
      <c r="Q98" s="1688">
        <f t="shared" si="156"/>
        <v>8.6999999999999994E-3</v>
      </c>
      <c r="S98" s="776">
        <f t="shared" si="160"/>
        <v>15</v>
      </c>
      <c r="T98" s="1237" t="s">
        <v>963</v>
      </c>
      <c r="U98" s="502">
        <f t="shared" ref="U98:AF98" si="171">U63*(1+$Q98)</f>
        <v>15.041427575752268</v>
      </c>
      <c r="V98" s="502">
        <f t="shared" si="171"/>
        <v>16.006341489082558</v>
      </c>
      <c r="W98" s="502">
        <f t="shared" si="171"/>
        <v>17.082567242898847</v>
      </c>
      <c r="X98" s="502">
        <f t="shared" si="171"/>
        <v>15.859336601391359</v>
      </c>
      <c r="Y98" s="502">
        <f t="shared" si="171"/>
        <v>14.293130166920218</v>
      </c>
      <c r="Z98" s="502">
        <f t="shared" si="171"/>
        <v>14.282284893540508</v>
      </c>
      <c r="AA98" s="502">
        <f t="shared" si="171"/>
        <v>14.158466986630033</v>
      </c>
      <c r="AB98" s="502">
        <f t="shared" si="171"/>
        <v>16.261952365549483</v>
      </c>
      <c r="AC98" s="502">
        <f t="shared" si="171"/>
        <v>14.322855610941307</v>
      </c>
      <c r="AD98" s="502">
        <f t="shared" si="171"/>
        <v>12.966063018848352</v>
      </c>
      <c r="AE98" s="502">
        <f t="shared" si="171"/>
        <v>12.082969647681351</v>
      </c>
      <c r="AF98" s="502">
        <f t="shared" si="171"/>
        <v>11.384162391051607</v>
      </c>
      <c r="AG98" s="1346">
        <f t="shared" si="154"/>
        <v>173.7415579902879</v>
      </c>
      <c r="AJ98" s="1019"/>
      <c r="AK98" s="782"/>
    </row>
    <row r="99" spans="2:37" ht="14" x14ac:dyDescent="0.25">
      <c r="B99" s="776">
        <f t="shared" si="158"/>
        <v>16</v>
      </c>
      <c r="C99" s="1237" t="s">
        <v>964</v>
      </c>
      <c r="D99" s="502">
        <f t="shared" ref="D99:O99" si="172">D64*(1+$Q99)</f>
        <v>30.147994000000001</v>
      </c>
      <c r="E99" s="502">
        <f t="shared" si="172"/>
        <v>32.767401</v>
      </c>
      <c r="F99" s="502">
        <f t="shared" si="172"/>
        <v>35.315922999999998</v>
      </c>
      <c r="G99" s="502">
        <f t="shared" si="172"/>
        <v>32.943264999999997</v>
      </c>
      <c r="H99" s="502">
        <f t="shared" si="172"/>
        <v>30.200312</v>
      </c>
      <c r="I99" s="502">
        <f t="shared" si="172"/>
        <v>30.420096000000001</v>
      </c>
      <c r="J99" s="502">
        <f t="shared" si="172"/>
        <v>28.937710695102741</v>
      </c>
      <c r="K99" s="502">
        <f t="shared" si="172"/>
        <v>33.47249359298187</v>
      </c>
      <c r="L99" s="502">
        <f t="shared" si="172"/>
        <v>29.518267418991297</v>
      </c>
      <c r="M99" s="502">
        <f t="shared" si="172"/>
        <v>26.411988244099156</v>
      </c>
      <c r="N99" s="502">
        <f t="shared" si="172"/>
        <v>24.90639315380696</v>
      </c>
      <c r="O99" s="502">
        <f t="shared" si="172"/>
        <v>23.192545059551655</v>
      </c>
      <c r="P99" s="1238">
        <f t="shared" si="152"/>
        <v>358.2343891645337</v>
      </c>
      <c r="Q99" s="1688">
        <f t="shared" si="156"/>
        <v>0</v>
      </c>
      <c r="S99" s="776">
        <f t="shared" si="160"/>
        <v>16</v>
      </c>
      <c r="T99" s="1237" t="s">
        <v>964</v>
      </c>
      <c r="U99" s="502">
        <f t="shared" ref="U99:AF99" si="173">U64*(1+$Q99)</f>
        <v>30.147994000000001</v>
      </c>
      <c r="V99" s="502">
        <f t="shared" si="173"/>
        <v>32.767401</v>
      </c>
      <c r="W99" s="502">
        <f t="shared" si="173"/>
        <v>35.315922999999998</v>
      </c>
      <c r="X99" s="502">
        <f t="shared" si="173"/>
        <v>32.943264999999997</v>
      </c>
      <c r="Y99" s="502">
        <f t="shared" si="173"/>
        <v>30.200312</v>
      </c>
      <c r="Z99" s="502">
        <f t="shared" si="173"/>
        <v>30.420096000000001</v>
      </c>
      <c r="AA99" s="502">
        <f t="shared" si="173"/>
        <v>28.937710695102741</v>
      </c>
      <c r="AB99" s="502">
        <f t="shared" si="173"/>
        <v>33.47249359298187</v>
      </c>
      <c r="AC99" s="502">
        <f t="shared" si="173"/>
        <v>29.518267418991297</v>
      </c>
      <c r="AD99" s="502">
        <f t="shared" si="173"/>
        <v>26.411988244099156</v>
      </c>
      <c r="AE99" s="502">
        <f t="shared" si="173"/>
        <v>24.90639315380696</v>
      </c>
      <c r="AF99" s="502">
        <f t="shared" si="173"/>
        <v>23.192545059551655</v>
      </c>
      <c r="AG99" s="1238">
        <f t="shared" si="154"/>
        <v>358.2343891645337</v>
      </c>
      <c r="AJ99" s="1019"/>
      <c r="AK99" s="782"/>
    </row>
    <row r="100" spans="2:37" ht="14" x14ac:dyDescent="0.25">
      <c r="B100" s="776">
        <f t="shared" si="158"/>
        <v>17</v>
      </c>
      <c r="C100" s="1237" t="s">
        <v>965</v>
      </c>
      <c r="D100" s="502">
        <f t="shared" ref="D100:O100" si="174">D65*(1+$Q100)</f>
        <v>8.1939659999999996</v>
      </c>
      <c r="E100" s="502">
        <f t="shared" si="174"/>
        <v>8.8921720000000004</v>
      </c>
      <c r="F100" s="502">
        <f t="shared" si="174"/>
        <v>8.0106610000000007</v>
      </c>
      <c r="G100" s="502">
        <f t="shared" si="174"/>
        <v>8.343629</v>
      </c>
      <c r="H100" s="502">
        <f t="shared" si="174"/>
        <v>8.8732399999999991</v>
      </c>
      <c r="I100" s="502">
        <f t="shared" si="174"/>
        <v>8.9088460000000005</v>
      </c>
      <c r="J100" s="502">
        <f t="shared" si="174"/>
        <v>9.4406769316606987</v>
      </c>
      <c r="K100" s="502">
        <f t="shared" si="174"/>
        <v>9.6176372381018123</v>
      </c>
      <c r="L100" s="502">
        <f t="shared" si="174"/>
        <v>9.0226297119287793</v>
      </c>
      <c r="M100" s="502">
        <f t="shared" si="174"/>
        <v>8.6399447407953609</v>
      </c>
      <c r="N100" s="502">
        <f t="shared" si="174"/>
        <v>8.7017791916651408</v>
      </c>
      <c r="O100" s="502">
        <f t="shared" si="174"/>
        <v>9.0940750897378102</v>
      </c>
      <c r="P100" s="1238">
        <f t="shared" si="152"/>
        <v>105.7392569038896</v>
      </c>
      <c r="Q100" s="1688">
        <f t="shared" si="156"/>
        <v>0</v>
      </c>
      <c r="S100" s="776">
        <f t="shared" si="160"/>
        <v>17</v>
      </c>
      <c r="T100" s="1237" t="s">
        <v>965</v>
      </c>
      <c r="U100" s="502">
        <f t="shared" ref="U100:AF100" si="175">U65*(1+$Q100)</f>
        <v>8.1939659999999996</v>
      </c>
      <c r="V100" s="502">
        <f t="shared" si="175"/>
        <v>8.8921720000000004</v>
      </c>
      <c r="W100" s="502">
        <f t="shared" si="175"/>
        <v>8.0106610000000007</v>
      </c>
      <c r="X100" s="502">
        <f t="shared" si="175"/>
        <v>8.343629</v>
      </c>
      <c r="Y100" s="502">
        <f t="shared" si="175"/>
        <v>8.8732399999999991</v>
      </c>
      <c r="Z100" s="502">
        <f t="shared" si="175"/>
        <v>8.9088460000000005</v>
      </c>
      <c r="AA100" s="502">
        <f t="shared" si="175"/>
        <v>9.4406769316606987</v>
      </c>
      <c r="AB100" s="502">
        <f t="shared" si="175"/>
        <v>9.6176372381018123</v>
      </c>
      <c r="AC100" s="502">
        <f t="shared" si="175"/>
        <v>9.0226297119287793</v>
      </c>
      <c r="AD100" s="502">
        <f t="shared" si="175"/>
        <v>8.6399447407953609</v>
      </c>
      <c r="AE100" s="502">
        <f t="shared" si="175"/>
        <v>8.7017791916651408</v>
      </c>
      <c r="AF100" s="502">
        <f t="shared" si="175"/>
        <v>9.0940750897378102</v>
      </c>
      <c r="AG100" s="1238">
        <f t="shared" si="154"/>
        <v>105.7392569038896</v>
      </c>
      <c r="AJ100" s="1019"/>
      <c r="AK100" s="782"/>
    </row>
    <row r="101" spans="2:37" ht="14" x14ac:dyDescent="0.25">
      <c r="B101" s="776">
        <f t="shared" si="158"/>
        <v>18</v>
      </c>
      <c r="C101" s="1237" t="s">
        <v>966</v>
      </c>
      <c r="D101" s="502">
        <f t="shared" ref="D101:O101" si="176">D66*(1+$Q101)</f>
        <v>6.963355</v>
      </c>
      <c r="E101" s="502">
        <f t="shared" si="176"/>
        <v>6.8979689999999998</v>
      </c>
      <c r="F101" s="502">
        <f t="shared" si="176"/>
        <v>7.0801959999999999</v>
      </c>
      <c r="G101" s="502">
        <f t="shared" si="176"/>
        <v>6.8399150000000004</v>
      </c>
      <c r="H101" s="502">
        <f t="shared" si="176"/>
        <v>6.6852729999999996</v>
      </c>
      <c r="I101" s="502">
        <f t="shared" si="176"/>
        <v>6.6050880000000003</v>
      </c>
      <c r="J101" s="502">
        <f t="shared" si="176"/>
        <v>6.5835935223922322</v>
      </c>
      <c r="K101" s="502">
        <f t="shared" si="176"/>
        <v>7.3093487309523058</v>
      </c>
      <c r="L101" s="502">
        <f t="shared" si="176"/>
        <v>6.364912664709812</v>
      </c>
      <c r="M101" s="502">
        <f t="shared" si="176"/>
        <v>6.6479934324208294</v>
      </c>
      <c r="N101" s="502">
        <f t="shared" si="176"/>
        <v>6.1142830520131346</v>
      </c>
      <c r="O101" s="502">
        <f t="shared" si="176"/>
        <v>5.7151567138077377</v>
      </c>
      <c r="P101" s="1238">
        <f t="shared" si="152"/>
        <v>79.807084116296068</v>
      </c>
      <c r="Q101" s="1688">
        <f t="shared" si="156"/>
        <v>0</v>
      </c>
      <c r="S101" s="776">
        <f t="shared" si="160"/>
        <v>18</v>
      </c>
      <c r="T101" s="1237" t="s">
        <v>966</v>
      </c>
      <c r="U101" s="502">
        <f t="shared" ref="U101:AF101" si="177">U66*(1+$Q101)</f>
        <v>6.963355</v>
      </c>
      <c r="V101" s="502">
        <f t="shared" si="177"/>
        <v>6.8979689999999998</v>
      </c>
      <c r="W101" s="502">
        <f t="shared" si="177"/>
        <v>7.0801959999999999</v>
      </c>
      <c r="X101" s="502">
        <f t="shared" si="177"/>
        <v>6.8399150000000004</v>
      </c>
      <c r="Y101" s="502">
        <f t="shared" si="177"/>
        <v>6.6852729999999996</v>
      </c>
      <c r="Z101" s="502">
        <f t="shared" si="177"/>
        <v>6.6050880000000003</v>
      </c>
      <c r="AA101" s="502">
        <f t="shared" si="177"/>
        <v>6.5835935223922322</v>
      </c>
      <c r="AB101" s="502">
        <f t="shared" si="177"/>
        <v>7.3093487309523058</v>
      </c>
      <c r="AC101" s="502">
        <f t="shared" si="177"/>
        <v>6.364912664709812</v>
      </c>
      <c r="AD101" s="502">
        <f t="shared" si="177"/>
        <v>6.6479934324208294</v>
      </c>
      <c r="AE101" s="502">
        <f t="shared" si="177"/>
        <v>6.1142830520131346</v>
      </c>
      <c r="AF101" s="502">
        <f t="shared" si="177"/>
        <v>5.7151567138077377</v>
      </c>
      <c r="AG101" s="1238">
        <f t="shared" si="154"/>
        <v>79.807084116296068</v>
      </c>
      <c r="AJ101" s="1019"/>
      <c r="AK101" s="782"/>
    </row>
    <row r="102" spans="2:37" ht="14" x14ac:dyDescent="0.25">
      <c r="B102" s="776">
        <f t="shared" si="158"/>
        <v>19</v>
      </c>
      <c r="C102" s="1237" t="s">
        <v>967</v>
      </c>
      <c r="D102" s="502">
        <f t="shared" ref="D102:O102" si="178">D67*(1+$Q102)</f>
        <v>5.1079439999999998</v>
      </c>
      <c r="E102" s="502">
        <f t="shared" si="178"/>
        <v>5.6684390000000002</v>
      </c>
      <c r="F102" s="502">
        <f t="shared" si="178"/>
        <v>5.7215610000000003</v>
      </c>
      <c r="G102" s="502">
        <f t="shared" si="178"/>
        <v>5.4936629999999997</v>
      </c>
      <c r="H102" s="502">
        <f t="shared" si="178"/>
        <v>5.3757029999999997</v>
      </c>
      <c r="I102" s="502">
        <f t="shared" si="178"/>
        <v>5.3172230000000003</v>
      </c>
      <c r="J102" s="502">
        <f t="shared" si="178"/>
        <v>5.2614319081163972</v>
      </c>
      <c r="K102" s="502">
        <f t="shared" si="178"/>
        <v>5.8138448832831502</v>
      </c>
      <c r="L102" s="502">
        <f t="shared" si="178"/>
        <v>4.9758695748860697</v>
      </c>
      <c r="M102" s="502">
        <f t="shared" si="178"/>
        <v>4.4465071526999704</v>
      </c>
      <c r="N102" s="502">
        <f t="shared" si="178"/>
        <v>4.2250458685535595</v>
      </c>
      <c r="O102" s="502">
        <f t="shared" si="178"/>
        <v>3.9900501605198913</v>
      </c>
      <c r="P102" s="1238">
        <f t="shared" si="152"/>
        <v>61.397282548059046</v>
      </c>
      <c r="Q102" s="1688">
        <f t="shared" si="156"/>
        <v>0</v>
      </c>
      <c r="S102" s="776">
        <f t="shared" si="160"/>
        <v>19</v>
      </c>
      <c r="T102" s="1237" t="s">
        <v>967</v>
      </c>
      <c r="U102" s="502">
        <f t="shared" ref="U102:AF102" si="179">U67*(1+$Q102)</f>
        <v>5.1079439999999998</v>
      </c>
      <c r="V102" s="502">
        <f t="shared" si="179"/>
        <v>5.6684390000000002</v>
      </c>
      <c r="W102" s="502">
        <f t="shared" si="179"/>
        <v>5.7215610000000003</v>
      </c>
      <c r="X102" s="502">
        <f t="shared" si="179"/>
        <v>5.4936629999999997</v>
      </c>
      <c r="Y102" s="502">
        <f t="shared" si="179"/>
        <v>5.3757029999999997</v>
      </c>
      <c r="Z102" s="502">
        <f t="shared" si="179"/>
        <v>5.3172230000000003</v>
      </c>
      <c r="AA102" s="502">
        <f t="shared" si="179"/>
        <v>5.2614319081163972</v>
      </c>
      <c r="AB102" s="502">
        <f t="shared" si="179"/>
        <v>5.8138448832831502</v>
      </c>
      <c r="AC102" s="502">
        <f t="shared" si="179"/>
        <v>4.9758695748860697</v>
      </c>
      <c r="AD102" s="502">
        <f t="shared" si="179"/>
        <v>4.4465071526999704</v>
      </c>
      <c r="AE102" s="502">
        <f t="shared" si="179"/>
        <v>4.2250458685535595</v>
      </c>
      <c r="AF102" s="502">
        <f t="shared" si="179"/>
        <v>3.9900501605198913</v>
      </c>
      <c r="AG102" s="1238">
        <f t="shared" si="154"/>
        <v>61.397282548059046</v>
      </c>
      <c r="AJ102" s="1019"/>
      <c r="AK102" s="782"/>
    </row>
    <row r="103" spans="2:37" ht="14" x14ac:dyDescent="0.25">
      <c r="B103" s="776">
        <f t="shared" si="158"/>
        <v>20</v>
      </c>
      <c r="C103" s="1237" t="s">
        <v>968</v>
      </c>
      <c r="D103" s="502">
        <f t="shared" ref="D103:O103" si="180">D68*(1+$Q103)</f>
        <v>15.789392400000001</v>
      </c>
      <c r="E103" s="502">
        <f t="shared" si="180"/>
        <v>16.391738199999999</v>
      </c>
      <c r="F103" s="502">
        <f t="shared" si="180"/>
        <v>16.6137759</v>
      </c>
      <c r="G103" s="502">
        <f t="shared" si="180"/>
        <v>16.142716</v>
      </c>
      <c r="H103" s="502">
        <f t="shared" si="180"/>
        <v>15.6557584</v>
      </c>
      <c r="I103" s="502">
        <f t="shared" si="180"/>
        <v>15.598434300000001</v>
      </c>
      <c r="J103" s="502">
        <f t="shared" si="180"/>
        <v>15.147769029841001</v>
      </c>
      <c r="K103" s="502">
        <f t="shared" si="180"/>
        <v>16.66373456308645</v>
      </c>
      <c r="L103" s="502">
        <f t="shared" si="180"/>
        <v>14.161420423622149</v>
      </c>
      <c r="M103" s="502">
        <f t="shared" si="180"/>
        <v>13.117746421184263</v>
      </c>
      <c r="N103" s="502">
        <f t="shared" si="180"/>
        <v>12.233085157671706</v>
      </c>
      <c r="O103" s="502">
        <f t="shared" si="180"/>
        <v>11.304297185207398</v>
      </c>
      <c r="P103" s="1238">
        <f t="shared" si="152"/>
        <v>178.81986798061297</v>
      </c>
      <c r="Q103" s="1688">
        <f t="shared" si="156"/>
        <v>0</v>
      </c>
      <c r="S103" s="776">
        <f t="shared" si="160"/>
        <v>20</v>
      </c>
      <c r="T103" s="1237" t="s">
        <v>968</v>
      </c>
      <c r="U103" s="502">
        <f t="shared" ref="U103:AF103" si="181">U68*(1+$Q103)</f>
        <v>15.789392400000001</v>
      </c>
      <c r="V103" s="502">
        <f t="shared" si="181"/>
        <v>16.391738199999999</v>
      </c>
      <c r="W103" s="502">
        <f t="shared" si="181"/>
        <v>16.6137759</v>
      </c>
      <c r="X103" s="502">
        <f t="shared" si="181"/>
        <v>16.142716</v>
      </c>
      <c r="Y103" s="502">
        <f t="shared" si="181"/>
        <v>15.6557584</v>
      </c>
      <c r="Z103" s="502">
        <f t="shared" si="181"/>
        <v>15.598434300000001</v>
      </c>
      <c r="AA103" s="502">
        <f t="shared" si="181"/>
        <v>15.147769029841001</v>
      </c>
      <c r="AB103" s="502">
        <f t="shared" si="181"/>
        <v>16.66373456308645</v>
      </c>
      <c r="AC103" s="502">
        <f t="shared" si="181"/>
        <v>14.161420423622149</v>
      </c>
      <c r="AD103" s="502">
        <f t="shared" si="181"/>
        <v>13.117746421184263</v>
      </c>
      <c r="AE103" s="502">
        <f t="shared" si="181"/>
        <v>12.233085157671706</v>
      </c>
      <c r="AF103" s="502">
        <f t="shared" si="181"/>
        <v>11.304297185207398</v>
      </c>
      <c r="AG103" s="1238">
        <f t="shared" si="154"/>
        <v>178.81986798061297</v>
      </c>
      <c r="AJ103" s="1019"/>
      <c r="AK103" s="782"/>
    </row>
    <row r="104" spans="2:37" ht="14" x14ac:dyDescent="0.25">
      <c r="B104" s="776">
        <f t="shared" si="158"/>
        <v>21</v>
      </c>
      <c r="C104" s="1237" t="s">
        <v>970</v>
      </c>
      <c r="D104" s="502">
        <f t="shared" ref="D104:O104" si="182">D69*(1+$Q104)</f>
        <v>5.1580000000000003E-3</v>
      </c>
      <c r="E104" s="502">
        <f t="shared" si="182"/>
        <v>5.1850000000000004E-3</v>
      </c>
      <c r="F104" s="502">
        <f t="shared" si="182"/>
        <v>6.2360000000000002E-3</v>
      </c>
      <c r="G104" s="502">
        <f t="shared" si="182"/>
        <v>5.8019999999999999E-3</v>
      </c>
      <c r="H104" s="502">
        <f t="shared" si="182"/>
        <v>3.4450000000000001E-3</v>
      </c>
      <c r="I104" s="502">
        <f t="shared" si="182"/>
        <v>3.6610000000000002E-3</v>
      </c>
      <c r="J104" s="502">
        <f t="shared" si="182"/>
        <v>3.6610000000000002E-3</v>
      </c>
      <c r="K104" s="502">
        <f t="shared" si="182"/>
        <v>3.6610000000000002E-3</v>
      </c>
      <c r="L104" s="502">
        <f t="shared" si="182"/>
        <v>3.6610000000000002E-3</v>
      </c>
      <c r="M104" s="502">
        <f t="shared" si="182"/>
        <v>3.6610000000000002E-3</v>
      </c>
      <c r="N104" s="502">
        <f t="shared" si="182"/>
        <v>3.6610000000000002E-3</v>
      </c>
      <c r="O104" s="502">
        <f t="shared" si="182"/>
        <v>3.6610000000000002E-3</v>
      </c>
      <c r="P104" s="1238">
        <f t="shared" si="152"/>
        <v>5.1452999999999992E-2</v>
      </c>
      <c r="Q104" s="1688">
        <f t="shared" si="156"/>
        <v>0</v>
      </c>
      <c r="S104" s="776">
        <f t="shared" si="160"/>
        <v>21</v>
      </c>
      <c r="T104" s="1237" t="s">
        <v>970</v>
      </c>
      <c r="U104" s="502">
        <f t="shared" ref="U104:AF104" si="183">U69*(1+$Q104)</f>
        <v>5.1580000000000003E-3</v>
      </c>
      <c r="V104" s="502">
        <f t="shared" si="183"/>
        <v>5.1850000000000004E-3</v>
      </c>
      <c r="W104" s="502">
        <f t="shared" si="183"/>
        <v>6.2360000000000002E-3</v>
      </c>
      <c r="X104" s="502">
        <f t="shared" si="183"/>
        <v>5.8019999999999999E-3</v>
      </c>
      <c r="Y104" s="502">
        <f t="shared" si="183"/>
        <v>3.4450000000000001E-3</v>
      </c>
      <c r="Z104" s="502">
        <f t="shared" si="183"/>
        <v>3.6610000000000002E-3</v>
      </c>
      <c r="AA104" s="502">
        <f t="shared" si="183"/>
        <v>3.6610000000000002E-3</v>
      </c>
      <c r="AB104" s="502">
        <f t="shared" si="183"/>
        <v>3.6610000000000002E-3</v>
      </c>
      <c r="AC104" s="502">
        <f t="shared" si="183"/>
        <v>3.6610000000000002E-3</v>
      </c>
      <c r="AD104" s="502">
        <f t="shared" si="183"/>
        <v>3.6610000000000002E-3</v>
      </c>
      <c r="AE104" s="502">
        <f t="shared" si="183"/>
        <v>3.6610000000000002E-3</v>
      </c>
      <c r="AF104" s="502">
        <f t="shared" si="183"/>
        <v>3.6610000000000002E-3</v>
      </c>
      <c r="AG104" s="1238">
        <f t="shared" si="154"/>
        <v>5.1452999999999992E-2</v>
      </c>
      <c r="AJ104" s="1019"/>
      <c r="AK104" s="782"/>
    </row>
    <row r="105" spans="2:37" ht="14" x14ac:dyDescent="0.25">
      <c r="B105" s="776">
        <f t="shared" si="158"/>
        <v>22</v>
      </c>
      <c r="C105" s="1237" t="s">
        <v>971</v>
      </c>
      <c r="D105" s="502">
        <f t="shared" ref="D105:O105" si="184">D70*(1+$Q105)</f>
        <v>2.3200953125000003</v>
      </c>
      <c r="E105" s="502">
        <f t="shared" si="184"/>
        <v>2.3754515624999999</v>
      </c>
      <c r="F105" s="502">
        <f t="shared" si="184"/>
        <v>2.5373453125000003</v>
      </c>
      <c r="G105" s="502">
        <f t="shared" si="184"/>
        <v>2.389703125</v>
      </c>
      <c r="H105" s="502">
        <f t="shared" si="184"/>
        <v>2.1969359375000002</v>
      </c>
      <c r="I105" s="502">
        <f t="shared" si="184"/>
        <v>2.3681156250000002</v>
      </c>
      <c r="J105" s="502">
        <f t="shared" si="184"/>
        <v>2.3681156250000002</v>
      </c>
      <c r="K105" s="502">
        <f t="shared" si="184"/>
        <v>2.3681156250000002</v>
      </c>
      <c r="L105" s="502">
        <f t="shared" si="184"/>
        <v>2.3681156250000002</v>
      </c>
      <c r="M105" s="502">
        <f t="shared" si="184"/>
        <v>2.3681156250000002</v>
      </c>
      <c r="N105" s="502">
        <f t="shared" si="184"/>
        <v>2.3681156250000002</v>
      </c>
      <c r="O105" s="502">
        <f t="shared" si="184"/>
        <v>2.3681156250000002</v>
      </c>
      <c r="P105" s="1238">
        <f t="shared" si="152"/>
        <v>28.396340625000008</v>
      </c>
      <c r="Q105" s="1688">
        <f t="shared" si="156"/>
        <v>0.25</v>
      </c>
      <c r="S105" s="776">
        <f t="shared" si="160"/>
        <v>22</v>
      </c>
      <c r="T105" s="1237" t="s">
        <v>971</v>
      </c>
      <c r="U105" s="502">
        <f t="shared" ref="U105:AF105" si="185">U70*(1+$Q105)</f>
        <v>2.3200953125000003</v>
      </c>
      <c r="V105" s="502">
        <f t="shared" si="185"/>
        <v>2.3754515624999999</v>
      </c>
      <c r="W105" s="502">
        <f t="shared" si="185"/>
        <v>2.5373453125000003</v>
      </c>
      <c r="X105" s="502">
        <f t="shared" si="185"/>
        <v>2.389703125</v>
      </c>
      <c r="Y105" s="502">
        <f t="shared" si="185"/>
        <v>2.1969359375000002</v>
      </c>
      <c r="Z105" s="502">
        <f t="shared" si="185"/>
        <v>2.3681156250000002</v>
      </c>
      <c r="AA105" s="502">
        <f t="shared" si="185"/>
        <v>2.3681156250000002</v>
      </c>
      <c r="AB105" s="502">
        <f t="shared" si="185"/>
        <v>2.3681156250000002</v>
      </c>
      <c r="AC105" s="502">
        <f t="shared" si="185"/>
        <v>2.3681156250000002</v>
      </c>
      <c r="AD105" s="502">
        <f t="shared" si="185"/>
        <v>2.3681156250000002</v>
      </c>
      <c r="AE105" s="502">
        <f t="shared" si="185"/>
        <v>2.3681156250000002</v>
      </c>
      <c r="AF105" s="502">
        <f t="shared" si="185"/>
        <v>2.3681156250000002</v>
      </c>
      <c r="AG105" s="1238">
        <f t="shared" si="154"/>
        <v>28.396340625000008</v>
      </c>
      <c r="AJ105" s="1019"/>
      <c r="AK105" s="782"/>
    </row>
    <row r="106" spans="2:37" ht="14" x14ac:dyDescent="0.25">
      <c r="B106" s="776">
        <f t="shared" si="158"/>
        <v>23</v>
      </c>
      <c r="C106" s="1236"/>
      <c r="D106" s="410"/>
      <c r="E106" s="410"/>
      <c r="F106" s="410"/>
      <c r="G106" s="410"/>
      <c r="H106" s="410"/>
      <c r="I106" s="410"/>
      <c r="J106" s="410"/>
      <c r="K106" s="410"/>
      <c r="L106" s="410"/>
      <c r="M106" s="410"/>
      <c r="N106" s="410"/>
      <c r="O106" s="410"/>
      <c r="P106" s="1238"/>
      <c r="Q106" s="1688"/>
      <c r="S106" s="776">
        <f t="shared" si="160"/>
        <v>23</v>
      </c>
      <c r="T106" s="1236"/>
      <c r="U106" s="410"/>
      <c r="V106" s="410"/>
      <c r="W106" s="410"/>
      <c r="X106" s="410"/>
      <c r="Y106" s="410"/>
      <c r="Z106" s="410"/>
      <c r="AA106" s="410"/>
      <c r="AB106" s="410"/>
      <c r="AC106" s="410"/>
      <c r="AD106" s="410"/>
      <c r="AE106" s="410"/>
      <c r="AF106" s="410"/>
      <c r="AG106" s="1238"/>
      <c r="AJ106" s="1019"/>
      <c r="AK106" s="782"/>
    </row>
    <row r="107" spans="2:37" ht="14" x14ac:dyDescent="0.3">
      <c r="B107" s="776"/>
      <c r="C107" s="434" t="s">
        <v>416</v>
      </c>
      <c r="D107" s="1239">
        <f t="shared" ref="D107:O107" si="186">SUM(D91:D106)</f>
        <v>340.3751530185213</v>
      </c>
      <c r="E107" s="1239">
        <f t="shared" si="186"/>
        <v>392.7596802418733</v>
      </c>
      <c r="F107" s="1239">
        <f t="shared" si="186"/>
        <v>368.56726385537132</v>
      </c>
      <c r="G107" s="1239">
        <f t="shared" si="186"/>
        <v>339.11431265693676</v>
      </c>
      <c r="H107" s="1239">
        <f t="shared" si="186"/>
        <v>333.40145918434536</v>
      </c>
      <c r="I107" s="1239">
        <f t="shared" si="186"/>
        <v>334.20053481533336</v>
      </c>
      <c r="J107" s="1239">
        <f t="shared" si="186"/>
        <v>362.69224483432822</v>
      </c>
      <c r="K107" s="1239">
        <f t="shared" si="186"/>
        <v>377.09077546215872</v>
      </c>
      <c r="L107" s="1239">
        <f t="shared" si="186"/>
        <v>333.38299519598729</v>
      </c>
      <c r="M107" s="1239">
        <f t="shared" si="186"/>
        <v>292.03856077346705</v>
      </c>
      <c r="N107" s="1239">
        <f t="shared" si="186"/>
        <v>247.58074899671371</v>
      </c>
      <c r="O107" s="1239">
        <f t="shared" si="186"/>
        <v>266.89974202792712</v>
      </c>
      <c r="P107" s="1239">
        <f>SUM(D107:O107)</f>
        <v>3988.1034710629629</v>
      </c>
      <c r="Q107" s="1688"/>
      <c r="S107" s="776"/>
      <c r="T107" s="434" t="s">
        <v>416</v>
      </c>
      <c r="U107" s="1239">
        <f t="shared" ref="U107" si="187">SUM(U91:U106)</f>
        <v>340.3751530185213</v>
      </c>
      <c r="V107" s="1239">
        <f t="shared" ref="V107" si="188">SUM(V91:V106)</f>
        <v>392.7596802418733</v>
      </c>
      <c r="W107" s="1239">
        <f t="shared" ref="W107" si="189">SUM(W91:W106)</f>
        <v>368.56726385537132</v>
      </c>
      <c r="X107" s="1239">
        <f t="shared" ref="X107" si="190">SUM(X91:X106)</f>
        <v>339.11431265693676</v>
      </c>
      <c r="Y107" s="1239">
        <f t="shared" ref="Y107" si="191">SUM(Y91:Y106)</f>
        <v>333.40145918434536</v>
      </c>
      <c r="Z107" s="1239">
        <f t="shared" ref="Z107" si="192">SUM(Z91:Z106)</f>
        <v>334.20053481533336</v>
      </c>
      <c r="AA107" s="1239">
        <f t="shared" ref="AA107" si="193">SUM(AA91:AA106)</f>
        <v>362.69224483432822</v>
      </c>
      <c r="AB107" s="1239">
        <f t="shared" ref="AB107" si="194">SUM(AB91:AB106)</f>
        <v>377.09077546215872</v>
      </c>
      <c r="AC107" s="1239">
        <f t="shared" ref="AC107" si="195">SUM(AC91:AC106)</f>
        <v>333.38299519598729</v>
      </c>
      <c r="AD107" s="1239">
        <f t="shared" ref="AD107" si="196">SUM(AD91:AD106)</f>
        <v>292.03856077346705</v>
      </c>
      <c r="AE107" s="1239">
        <f t="shared" ref="AE107" si="197">SUM(AE91:AE106)</f>
        <v>247.58074899671371</v>
      </c>
      <c r="AF107" s="1239">
        <f t="shared" ref="AF107" si="198">SUM(AF91:AF106)</f>
        <v>266.89974202792712</v>
      </c>
      <c r="AG107" s="1239">
        <f>SUM(U107:AF107)</f>
        <v>3988.1034710629629</v>
      </c>
      <c r="AJ107" s="1019"/>
      <c r="AK107" s="782"/>
    </row>
    <row r="108" spans="2:37" ht="14" x14ac:dyDescent="0.3">
      <c r="B108" s="776"/>
      <c r="C108" s="434"/>
      <c r="D108" s="502"/>
      <c r="E108" s="1238"/>
      <c r="F108" s="1238"/>
      <c r="G108" s="1238"/>
      <c r="H108" s="1238"/>
      <c r="I108" s="1238"/>
      <c r="J108" s="1238"/>
      <c r="K108" s="1238"/>
      <c r="L108" s="1238"/>
      <c r="M108" s="1238"/>
      <c r="N108" s="1238"/>
      <c r="O108" s="1238"/>
      <c r="P108" s="1239">
        <f>SUM(D108:O108)</f>
        <v>0</v>
      </c>
      <c r="Q108" s="1688"/>
      <c r="S108" s="776"/>
      <c r="T108" s="434" t="s">
        <v>1794</v>
      </c>
      <c r="U108" s="1238">
        <f>D108</f>
        <v>0</v>
      </c>
      <c r="V108" s="1238">
        <f t="shared" ref="V108:AF108" si="199">E108</f>
        <v>0</v>
      </c>
      <c r="W108" s="1238">
        <f t="shared" si="199"/>
        <v>0</v>
      </c>
      <c r="X108" s="1238">
        <f t="shared" si="199"/>
        <v>0</v>
      </c>
      <c r="Y108" s="1238">
        <f t="shared" si="199"/>
        <v>0</v>
      </c>
      <c r="Z108" s="1238">
        <f t="shared" si="199"/>
        <v>0</v>
      </c>
      <c r="AA108" s="1238">
        <f t="shared" si="199"/>
        <v>0</v>
      </c>
      <c r="AB108" s="1238">
        <f t="shared" si="199"/>
        <v>0</v>
      </c>
      <c r="AC108" s="1238">
        <f t="shared" si="199"/>
        <v>0</v>
      </c>
      <c r="AD108" s="1238">
        <f t="shared" si="199"/>
        <v>0</v>
      </c>
      <c r="AE108" s="1238">
        <f t="shared" si="199"/>
        <v>0</v>
      </c>
      <c r="AF108" s="1238">
        <f t="shared" si="199"/>
        <v>0</v>
      </c>
      <c r="AG108" s="1238">
        <f t="shared" ref="AG108" si="200">SUM(U108:AF108)</f>
        <v>0</v>
      </c>
      <c r="AJ108" s="1019"/>
      <c r="AK108" s="782"/>
    </row>
    <row r="109" spans="2:37" ht="14" x14ac:dyDescent="0.3">
      <c r="B109" s="776"/>
      <c r="C109" s="429" t="s">
        <v>145</v>
      </c>
      <c r="D109" s="1240">
        <f>D88+D107-D108</f>
        <v>390.95786601852132</v>
      </c>
      <c r="E109" s="1240">
        <f t="shared" ref="E109:O109" si="201">E88+E107-E108</f>
        <v>447.20497224187329</v>
      </c>
      <c r="F109" s="1240">
        <f t="shared" si="201"/>
        <v>427.42270085537132</v>
      </c>
      <c r="G109" s="1240">
        <f t="shared" si="201"/>
        <v>396.10933265693677</v>
      </c>
      <c r="H109" s="1240">
        <f t="shared" si="201"/>
        <v>389.89946418434533</v>
      </c>
      <c r="I109" s="1240">
        <f t="shared" si="201"/>
        <v>388.99725081533336</v>
      </c>
      <c r="J109" s="1240">
        <f t="shared" si="201"/>
        <v>414.50332400059324</v>
      </c>
      <c r="K109" s="1240">
        <f t="shared" si="201"/>
        <v>435.14570439520816</v>
      </c>
      <c r="L109" s="1240">
        <f t="shared" si="201"/>
        <v>386.38301845957255</v>
      </c>
      <c r="M109" s="1240">
        <f t="shared" si="201"/>
        <v>341.37261941442364</v>
      </c>
      <c r="N109" s="1240">
        <f t="shared" si="201"/>
        <v>295.1092834549338</v>
      </c>
      <c r="O109" s="1240">
        <f t="shared" si="201"/>
        <v>309.70621721780452</v>
      </c>
      <c r="P109" s="1240">
        <f>P88+P107-P108</f>
        <v>4622.8117537149164</v>
      </c>
      <c r="Q109" s="1689">
        <f>P109/P74-1</f>
        <v>9.4364183921675782E-3</v>
      </c>
      <c r="S109" s="776"/>
      <c r="T109" s="429" t="s">
        <v>145</v>
      </c>
      <c r="U109" s="1240">
        <f t="shared" ref="U109:AG109" si="202">U88+U107-U108</f>
        <v>391.84518201852131</v>
      </c>
      <c r="V109" s="1240">
        <f t="shared" si="202"/>
        <v>448.30924624187332</v>
      </c>
      <c r="W109" s="1240">
        <f t="shared" si="202"/>
        <v>428.61963085537133</v>
      </c>
      <c r="X109" s="1240">
        <f t="shared" si="202"/>
        <v>397.28522565693675</v>
      </c>
      <c r="Y109" s="1240">
        <f t="shared" si="202"/>
        <v>390.90456218434537</v>
      </c>
      <c r="Z109" s="1240">
        <f t="shared" si="202"/>
        <v>390.33413481533336</v>
      </c>
      <c r="AA109" s="1240">
        <f t="shared" si="202"/>
        <v>415.53074987283782</v>
      </c>
      <c r="AB109" s="1240">
        <f t="shared" si="202"/>
        <v>436.27840643803938</v>
      </c>
      <c r="AC109" s="1240">
        <f t="shared" si="202"/>
        <v>387.41854911302477</v>
      </c>
      <c r="AD109" s="1240">
        <f t="shared" si="202"/>
        <v>342.33513410435671</v>
      </c>
      <c r="AE109" s="1240">
        <f t="shared" si="202"/>
        <v>296.03248973180303</v>
      </c>
      <c r="AF109" s="1240">
        <f t="shared" si="202"/>
        <v>310.53768267099179</v>
      </c>
      <c r="AG109" s="1240">
        <f t="shared" si="202"/>
        <v>4635.4309937034341</v>
      </c>
      <c r="AJ109" s="1019"/>
      <c r="AK109" s="782"/>
    </row>
    <row r="110" spans="2:37" x14ac:dyDescent="0.25">
      <c r="R110" s="782"/>
    </row>
    <row r="111" spans="2:37" x14ac:dyDescent="0.25">
      <c r="R111" s="782"/>
    </row>
    <row r="123" spans="3:26" ht="13" x14ac:dyDescent="0.3">
      <c r="C123" s="1654" t="s">
        <v>1747</v>
      </c>
      <c r="D123" s="2425" t="s">
        <v>1768</v>
      </c>
      <c r="E123" s="2425"/>
      <c r="F123" s="2425"/>
      <c r="G123" s="2416" t="s">
        <v>1767</v>
      </c>
      <c r="H123" s="2416"/>
    </row>
    <row r="124" spans="3:26" ht="70" x14ac:dyDescent="0.25">
      <c r="C124" s="1655" t="s">
        <v>50</v>
      </c>
      <c r="D124" s="1652" t="s">
        <v>1746</v>
      </c>
      <c r="E124" s="1652" t="s">
        <v>1748</v>
      </c>
      <c r="F124" s="1652" t="s">
        <v>1749</v>
      </c>
      <c r="G124" s="1652" t="s">
        <v>1748</v>
      </c>
      <c r="H124" s="1652" t="s">
        <v>1749</v>
      </c>
      <c r="I124" s="1652" t="s">
        <v>151</v>
      </c>
      <c r="J124" s="1652" t="s">
        <v>152</v>
      </c>
      <c r="K124" s="1652" t="s">
        <v>153</v>
      </c>
      <c r="L124" s="1652" t="s">
        <v>154</v>
      </c>
      <c r="M124" s="1652" t="s">
        <v>155</v>
      </c>
      <c r="N124" s="1652" t="s">
        <v>156</v>
      </c>
      <c r="O124" s="1652" t="s">
        <v>157</v>
      </c>
      <c r="P124" s="1652" t="s">
        <v>158</v>
      </c>
      <c r="Q124" s="1652" t="s">
        <v>159</v>
      </c>
      <c r="R124" s="1652" t="s">
        <v>160</v>
      </c>
      <c r="S124" s="1652" t="s">
        <v>161</v>
      </c>
      <c r="T124" s="1652" t="s">
        <v>162</v>
      </c>
      <c r="U124" s="1652" t="s">
        <v>145</v>
      </c>
      <c r="W124" s="1660" t="s">
        <v>1769</v>
      </c>
    </row>
    <row r="125" spans="3:26" ht="14" x14ac:dyDescent="0.25">
      <c r="C125" s="1588" t="s">
        <v>293</v>
      </c>
      <c r="D125" s="410"/>
      <c r="E125" s="410"/>
      <c r="F125" s="410"/>
      <c r="G125" s="410"/>
      <c r="H125" s="410"/>
      <c r="I125" s="410"/>
      <c r="J125" s="410"/>
      <c r="K125" s="410"/>
      <c r="L125" s="410"/>
      <c r="M125" s="410"/>
      <c r="N125" s="410"/>
      <c r="O125" s="410"/>
      <c r="P125" s="410"/>
      <c r="Q125" s="410"/>
      <c r="R125" s="410"/>
      <c r="S125" s="410"/>
      <c r="T125" s="410"/>
      <c r="U125" s="410"/>
    </row>
    <row r="126" spans="3:26" ht="14" x14ac:dyDescent="0.3">
      <c r="C126" s="343"/>
      <c r="D126" s="410"/>
      <c r="E126" s="410"/>
      <c r="F126" s="410"/>
      <c r="G126" s="410"/>
      <c r="H126" s="410"/>
      <c r="I126" s="410"/>
      <c r="J126" s="410"/>
      <c r="K126" s="410"/>
      <c r="L126" s="410"/>
      <c r="M126" s="410"/>
      <c r="N126" s="410"/>
      <c r="O126" s="410"/>
      <c r="P126" s="410"/>
      <c r="Q126" s="410"/>
      <c r="R126" s="410"/>
      <c r="S126" s="410"/>
      <c r="T126" s="410"/>
      <c r="U126" s="410"/>
    </row>
    <row r="127" spans="3:26" ht="14" x14ac:dyDescent="0.25">
      <c r="C127" s="507" t="s">
        <v>891</v>
      </c>
      <c r="D127" s="1238">
        <f>SUM(E127:F127)</f>
        <v>156.86413599999997</v>
      </c>
      <c r="E127" s="1238">
        <v>71.173258999999987</v>
      </c>
      <c r="F127" s="1238">
        <v>85.690877</v>
      </c>
      <c r="G127" s="1657">
        <f>IFERROR(E127/$D127,0)</f>
        <v>0.45372550294096542</v>
      </c>
      <c r="H127" s="1657">
        <f>IFERROR(F127/$D127,0)</f>
        <v>0.54627449705903464</v>
      </c>
      <c r="I127" s="1238">
        <v>11.113740999999999</v>
      </c>
      <c r="J127" s="1238">
        <v>11.483961000000001</v>
      </c>
      <c r="K127" s="1238">
        <v>12.173299</v>
      </c>
      <c r="L127" s="1238">
        <v>11.528274</v>
      </c>
      <c r="M127" s="1238">
        <v>11.276016</v>
      </c>
      <c r="N127" s="1238">
        <v>13.597968</v>
      </c>
      <c r="O127" s="1238">
        <v>12.94473</v>
      </c>
      <c r="P127" s="1238">
        <v>16.459579000000002</v>
      </c>
      <c r="Q127" s="1238">
        <v>15.180510999999999</v>
      </c>
      <c r="R127" s="1238">
        <v>14.268929999999999</v>
      </c>
      <c r="S127" s="1238">
        <v>14.045622</v>
      </c>
      <c r="T127" s="1238">
        <v>12.791505000000001</v>
      </c>
      <c r="U127" s="1238">
        <f>SUM(I127:T127)</f>
        <v>156.864136</v>
      </c>
      <c r="V127" s="782">
        <f>U127-D127</f>
        <v>0</v>
      </c>
      <c r="W127" s="1651">
        <f>(P10/U127)^(1/4)-1</f>
        <v>4.5992189026175634E-2</v>
      </c>
      <c r="Y127" s="782"/>
    </row>
    <row r="128" spans="3:26" ht="14" x14ac:dyDescent="0.25">
      <c r="C128" s="507" t="s">
        <v>892</v>
      </c>
      <c r="D128" s="1238">
        <f>SUM(E128:F128)</f>
        <v>268.123965</v>
      </c>
      <c r="E128" s="1238">
        <v>151.09971999999999</v>
      </c>
      <c r="F128" s="1238">
        <v>117.02424500000001</v>
      </c>
      <c r="G128" s="1657">
        <f t="shared" ref="G128:G153" si="203">IFERROR(E128/$D128,0)</f>
        <v>0.56354425461371938</v>
      </c>
      <c r="H128" s="1657">
        <f t="shared" ref="H128:H153" si="204">IFERROR(F128/$D128,0)</f>
        <v>0.43645574538628057</v>
      </c>
      <c r="I128" s="1238">
        <v>23.890872999999999</v>
      </c>
      <c r="J128" s="1238">
        <v>25.358452</v>
      </c>
      <c r="K128" s="1238">
        <v>27.667632999999999</v>
      </c>
      <c r="L128" s="1238">
        <v>26.090857</v>
      </c>
      <c r="M128" s="1238">
        <v>25.268675999999999</v>
      </c>
      <c r="N128" s="1238">
        <v>22.823228999999998</v>
      </c>
      <c r="O128" s="1238">
        <v>21.434025999999999</v>
      </c>
      <c r="P128" s="1238">
        <v>22.181477000000001</v>
      </c>
      <c r="Q128" s="1238">
        <v>20.158819000000001</v>
      </c>
      <c r="R128" s="1238">
        <v>18.735699</v>
      </c>
      <c r="S128" s="1238">
        <v>18.003473999999997</v>
      </c>
      <c r="T128" s="1238">
        <v>16.510750000000002</v>
      </c>
      <c r="U128" s="1238">
        <f>SUM(I128:T128)</f>
        <v>268.123965</v>
      </c>
      <c r="V128" s="782">
        <f>U128-D128</f>
        <v>0</v>
      </c>
      <c r="W128" s="1651">
        <f t="shared" ref="W128:W157" si="205">(P11/U128)^(1/4)-1</f>
        <v>-6.6467931763847465E-2</v>
      </c>
      <c r="X128" s="782">
        <v>21.314074999999999</v>
      </c>
      <c r="Y128" s="782">
        <f>U128-X128</f>
        <v>246.80989</v>
      </c>
      <c r="Z128" s="1651">
        <f>X128/U128</f>
        <v>7.9493360468542967E-2</v>
      </c>
    </row>
    <row r="129" spans="3:23" ht="14" x14ac:dyDescent="0.25">
      <c r="C129" s="507" t="s">
        <v>893</v>
      </c>
      <c r="D129" s="1238">
        <f t="shared" ref="D129:D133" si="206">SUM(E129:F129)</f>
        <v>30.67191</v>
      </c>
      <c r="E129" s="1238">
        <v>16.409030000000001</v>
      </c>
      <c r="F129" s="1238">
        <v>14.262879999999999</v>
      </c>
      <c r="G129" s="1657">
        <f t="shared" si="203"/>
        <v>0.53498559431088577</v>
      </c>
      <c r="H129" s="1657">
        <f t="shared" si="204"/>
        <v>0.46501440568911423</v>
      </c>
      <c r="I129" s="1238">
        <v>2.6723520000000001</v>
      </c>
      <c r="J129" s="1238">
        <v>2.751169</v>
      </c>
      <c r="K129" s="1238">
        <v>2.966456</v>
      </c>
      <c r="L129" s="1238">
        <v>2.7435209999999999</v>
      </c>
      <c r="M129" s="1238">
        <v>2.6788080000000001</v>
      </c>
      <c r="N129" s="1238">
        <v>2.596724</v>
      </c>
      <c r="O129" s="1238">
        <v>2.571628</v>
      </c>
      <c r="P129" s="1238">
        <v>2.846082</v>
      </c>
      <c r="Q129" s="1238">
        <v>2.5603600000000002</v>
      </c>
      <c r="R129" s="1238">
        <v>2.2564700000000002</v>
      </c>
      <c r="S129" s="1238">
        <v>2.1189680000000002</v>
      </c>
      <c r="T129" s="1238">
        <v>1.9093720000000001</v>
      </c>
      <c r="U129" s="1238">
        <f>SUM(I129:T129)</f>
        <v>30.67191</v>
      </c>
      <c r="V129" s="782">
        <f>U129-D129</f>
        <v>0</v>
      </c>
      <c r="W129" s="1651">
        <f t="shared" si="205"/>
        <v>5.1935008214274436E-3</v>
      </c>
    </row>
    <row r="130" spans="3:23" ht="14" x14ac:dyDescent="0.25">
      <c r="C130" s="507" t="s">
        <v>1705</v>
      </c>
      <c r="D130" s="1238">
        <f t="shared" si="206"/>
        <v>2.1445720000000001</v>
      </c>
      <c r="E130" s="1238">
        <v>1.1017680000000001</v>
      </c>
      <c r="F130" s="1238">
        <v>1.0428040000000001</v>
      </c>
      <c r="G130" s="1657">
        <f t="shared" si="203"/>
        <v>0.51374726518857838</v>
      </c>
      <c r="H130" s="1657">
        <f t="shared" si="204"/>
        <v>0.48625273481142156</v>
      </c>
      <c r="I130" s="1238">
        <v>0.184942</v>
      </c>
      <c r="J130" s="1238">
        <v>0.18318599999999999</v>
      </c>
      <c r="K130" s="1238">
        <v>0.20508199999999999</v>
      </c>
      <c r="L130" s="1238">
        <v>0.17810999999999999</v>
      </c>
      <c r="M130" s="1238">
        <v>0.168738</v>
      </c>
      <c r="N130" s="1238">
        <v>0.18171000000000001</v>
      </c>
      <c r="O130" s="1238">
        <v>0.171322</v>
      </c>
      <c r="P130" s="1238">
        <v>0.19095200000000001</v>
      </c>
      <c r="Q130" s="1238">
        <v>0.19064600000000001</v>
      </c>
      <c r="R130" s="1238">
        <v>0.18058199999999999</v>
      </c>
      <c r="S130" s="1238">
        <v>0.163632</v>
      </c>
      <c r="T130" s="1238">
        <v>0.14566999999999999</v>
      </c>
      <c r="U130" s="1238">
        <f t="shared" ref="U130:U157" si="207">SUM(I130:T130)</f>
        <v>2.1445720000000001</v>
      </c>
      <c r="V130" s="782">
        <f t="shared" ref="V130:V157" si="208">U130-D130</f>
        <v>0</v>
      </c>
      <c r="W130" s="1651">
        <f t="shared" si="205"/>
        <v>-1.5793870771433349E-3</v>
      </c>
    </row>
    <row r="131" spans="3:23" ht="28" x14ac:dyDescent="0.25">
      <c r="C131" s="507" t="s">
        <v>1706</v>
      </c>
      <c r="D131" s="1238">
        <f t="shared" si="206"/>
        <v>26.608910000000002</v>
      </c>
      <c r="E131" s="1238">
        <v>14.526070000000001</v>
      </c>
      <c r="F131" s="1238">
        <v>12.082840000000001</v>
      </c>
      <c r="G131" s="1657">
        <f t="shared" si="203"/>
        <v>0.54590999781652083</v>
      </c>
      <c r="H131" s="1657">
        <f t="shared" si="204"/>
        <v>0.45409000218347917</v>
      </c>
      <c r="I131" s="1238">
        <v>2.3415699999999999</v>
      </c>
      <c r="J131" s="1238">
        <v>2.53328</v>
      </c>
      <c r="K131" s="1238">
        <v>2.6292900000000001</v>
      </c>
      <c r="L131" s="1238">
        <v>2.4249700000000001</v>
      </c>
      <c r="M131" s="1238">
        <v>2.3049200000000001</v>
      </c>
      <c r="N131" s="1238">
        <v>2.2920400000000001</v>
      </c>
      <c r="O131" s="1238">
        <v>2.2033100000000001</v>
      </c>
      <c r="P131" s="1238">
        <v>2.4034200000000001</v>
      </c>
      <c r="Q131" s="1238">
        <v>2.11483</v>
      </c>
      <c r="R131" s="1238">
        <v>1.84954</v>
      </c>
      <c r="S131" s="1238">
        <v>1.8651800000000001</v>
      </c>
      <c r="T131" s="1238">
        <v>1.64656</v>
      </c>
      <c r="U131" s="1238">
        <f t="shared" si="207"/>
        <v>26.608910000000002</v>
      </c>
      <c r="V131" s="782">
        <f t="shared" si="208"/>
        <v>0</v>
      </c>
      <c r="W131" s="1651">
        <f t="shared" si="205"/>
        <v>5.8908499104852741E-3</v>
      </c>
    </row>
    <row r="132" spans="3:23" ht="14" x14ac:dyDescent="0.25">
      <c r="C132" s="507" t="s">
        <v>1707</v>
      </c>
      <c r="D132" s="1238">
        <f t="shared" si="206"/>
        <v>196.829938</v>
      </c>
      <c r="E132" s="1238">
        <v>107.24576500000001</v>
      </c>
      <c r="F132" s="1238">
        <v>89.584172999999993</v>
      </c>
      <c r="G132" s="1657">
        <f t="shared" si="203"/>
        <v>0.54486510583567838</v>
      </c>
      <c r="H132" s="1657">
        <f t="shared" si="204"/>
        <v>0.45513489416432168</v>
      </c>
      <c r="I132" s="1238">
        <v>16.863022000000001</v>
      </c>
      <c r="J132" s="1238">
        <v>17.191447</v>
      </c>
      <c r="K132" s="1238">
        <v>18.030083999999999</v>
      </c>
      <c r="L132" s="1238">
        <v>18.621818000000001</v>
      </c>
      <c r="M132" s="1238">
        <v>18.959350999999998</v>
      </c>
      <c r="N132" s="1238">
        <v>17.580043</v>
      </c>
      <c r="O132" s="1238">
        <v>16.152167000000002</v>
      </c>
      <c r="P132" s="1238">
        <v>17.191372000000001</v>
      </c>
      <c r="Q132" s="1238">
        <v>15.682192000000001</v>
      </c>
      <c r="R132" s="1238">
        <v>14.709886000000001</v>
      </c>
      <c r="S132" s="1238">
        <v>13.803525</v>
      </c>
      <c r="T132" s="1238">
        <v>12.045030999999998</v>
      </c>
      <c r="U132" s="1238">
        <f t="shared" si="207"/>
        <v>196.82993800000003</v>
      </c>
      <c r="V132" s="782">
        <f t="shared" si="208"/>
        <v>0</v>
      </c>
      <c r="W132" s="1651">
        <f t="shared" si="205"/>
        <v>-1.8569852416532195E-2</v>
      </c>
    </row>
    <row r="133" spans="3:23" ht="14" x14ac:dyDescent="0.25">
      <c r="C133" s="1057" t="s">
        <v>1704</v>
      </c>
      <c r="D133" s="1238">
        <f t="shared" si="206"/>
        <v>0</v>
      </c>
      <c r="E133" s="410"/>
      <c r="F133" s="410"/>
      <c r="G133" s="1657">
        <f t="shared" si="203"/>
        <v>0</v>
      </c>
      <c r="H133" s="1657">
        <f t="shared" si="204"/>
        <v>0</v>
      </c>
      <c r="I133" s="410"/>
      <c r="J133" s="410"/>
      <c r="K133" s="410"/>
      <c r="L133" s="410"/>
      <c r="M133" s="410"/>
      <c r="N133" s="410"/>
      <c r="O133" s="410"/>
      <c r="P133" s="410"/>
      <c r="Q133" s="410"/>
      <c r="R133" s="410"/>
      <c r="S133" s="410"/>
      <c r="T133" s="410"/>
      <c r="U133" s="1238">
        <f t="shared" si="207"/>
        <v>0</v>
      </c>
      <c r="V133" s="782">
        <f t="shared" si="208"/>
        <v>0</v>
      </c>
      <c r="W133" s="1651" t="e">
        <f t="shared" si="205"/>
        <v>#DIV/0!</v>
      </c>
    </row>
    <row r="134" spans="3:23" ht="14" x14ac:dyDescent="0.3">
      <c r="C134" s="343"/>
      <c r="D134" s="410"/>
      <c r="E134" s="410"/>
      <c r="F134" s="410"/>
      <c r="G134" s="1657">
        <f t="shared" si="203"/>
        <v>0</v>
      </c>
      <c r="H134" s="1657">
        <f t="shared" si="204"/>
        <v>0</v>
      </c>
      <c r="I134" s="410"/>
      <c r="J134" s="410"/>
      <c r="K134" s="410"/>
      <c r="L134" s="410"/>
      <c r="M134" s="410"/>
      <c r="N134" s="410"/>
      <c r="O134" s="410"/>
      <c r="P134" s="410"/>
      <c r="Q134" s="410"/>
      <c r="R134" s="410"/>
      <c r="S134" s="410"/>
      <c r="T134" s="410"/>
      <c r="U134" s="1238">
        <f t="shared" si="207"/>
        <v>0</v>
      </c>
      <c r="V134" s="782">
        <f t="shared" si="208"/>
        <v>0</v>
      </c>
      <c r="W134" s="1651" t="e">
        <f t="shared" si="205"/>
        <v>#DIV/0!</v>
      </c>
    </row>
    <row r="135" spans="3:23" ht="14" x14ac:dyDescent="0.3">
      <c r="C135" s="1588" t="s">
        <v>416</v>
      </c>
      <c r="D135" s="1239">
        <f>SUM(D127:D134)</f>
        <v>681.24343099999999</v>
      </c>
      <c r="E135" s="1239">
        <f t="shared" ref="E135:F135" si="209">SUM(E127:E134)</f>
        <v>361.555612</v>
      </c>
      <c r="F135" s="1239">
        <f t="shared" si="209"/>
        <v>319.68781899999999</v>
      </c>
      <c r="G135" s="1657">
        <f t="shared" si="203"/>
        <v>0.53072895171887535</v>
      </c>
      <c r="H135" s="1657">
        <f t="shared" si="204"/>
        <v>0.46927104828112465</v>
      </c>
      <c r="I135" s="1239">
        <f t="shared" ref="I135:T135" si="210">SUM(I127:I134)</f>
        <v>57.066499999999991</v>
      </c>
      <c r="J135" s="1239">
        <f t="shared" si="210"/>
        <v>59.501494999999991</v>
      </c>
      <c r="K135" s="1239">
        <f t="shared" si="210"/>
        <v>63.671843999999993</v>
      </c>
      <c r="L135" s="1239">
        <f t="shared" si="210"/>
        <v>61.587549999999993</v>
      </c>
      <c r="M135" s="1239">
        <f t="shared" si="210"/>
        <v>60.656509</v>
      </c>
      <c r="N135" s="1239">
        <f t="shared" si="210"/>
        <v>59.071714</v>
      </c>
      <c r="O135" s="1239">
        <f t="shared" si="210"/>
        <v>55.477182999999997</v>
      </c>
      <c r="P135" s="1239">
        <f t="shared" si="210"/>
        <v>61.27288200000001</v>
      </c>
      <c r="Q135" s="1239">
        <f t="shared" si="210"/>
        <v>55.887358000000006</v>
      </c>
      <c r="R135" s="1239">
        <f t="shared" si="210"/>
        <v>52.001107000000005</v>
      </c>
      <c r="S135" s="1239">
        <f t="shared" si="210"/>
        <v>50.000401000000004</v>
      </c>
      <c r="T135" s="1239">
        <f t="shared" si="210"/>
        <v>45.048888000000005</v>
      </c>
      <c r="U135" s="1239">
        <f t="shared" si="207"/>
        <v>681.2434310000001</v>
      </c>
      <c r="V135" s="1659">
        <f t="shared" si="208"/>
        <v>0</v>
      </c>
      <c r="W135" s="1651">
        <f t="shared" si="205"/>
        <v>-1.7533027771155174E-2</v>
      </c>
    </row>
    <row r="136" spans="3:23" ht="14" x14ac:dyDescent="0.3">
      <c r="C136" s="343"/>
      <c r="D136" s="410"/>
      <c r="E136" s="410"/>
      <c r="F136" s="410"/>
      <c r="G136" s="1657">
        <f t="shared" si="203"/>
        <v>0</v>
      </c>
      <c r="H136" s="1657">
        <f t="shared" si="204"/>
        <v>0</v>
      </c>
      <c r="I136" s="410"/>
      <c r="J136" s="410"/>
      <c r="K136" s="410"/>
      <c r="L136" s="410"/>
      <c r="M136" s="410"/>
      <c r="N136" s="410"/>
      <c r="O136" s="410"/>
      <c r="P136" s="410"/>
      <c r="Q136" s="410"/>
      <c r="R136" s="410"/>
      <c r="S136" s="410"/>
      <c r="T136" s="410"/>
      <c r="U136" s="1238">
        <f t="shared" si="207"/>
        <v>0</v>
      </c>
      <c r="V136" s="782">
        <f t="shared" si="208"/>
        <v>0</v>
      </c>
      <c r="W136" s="1651" t="e">
        <f t="shared" si="205"/>
        <v>#DIV/0!</v>
      </c>
    </row>
    <row r="137" spans="3:23" ht="14" x14ac:dyDescent="0.25">
      <c r="C137" s="458" t="s">
        <v>294</v>
      </c>
      <c r="D137" s="410"/>
      <c r="E137" s="410"/>
      <c r="F137" s="410"/>
      <c r="G137" s="1657">
        <f t="shared" si="203"/>
        <v>0</v>
      </c>
      <c r="H137" s="1657">
        <f t="shared" si="204"/>
        <v>0</v>
      </c>
      <c r="I137" s="410"/>
      <c r="J137" s="410"/>
      <c r="K137" s="410"/>
      <c r="L137" s="410"/>
      <c r="M137" s="410"/>
      <c r="N137" s="410"/>
      <c r="O137" s="410"/>
      <c r="P137" s="410"/>
      <c r="Q137" s="410"/>
      <c r="R137" s="410"/>
      <c r="S137" s="410"/>
      <c r="T137" s="410"/>
      <c r="U137" s="1238">
        <f t="shared" si="207"/>
        <v>0</v>
      </c>
      <c r="V137" s="782">
        <f t="shared" si="208"/>
        <v>0</v>
      </c>
      <c r="W137" s="1651" t="e">
        <f t="shared" si="205"/>
        <v>#DIV/0!</v>
      </c>
    </row>
    <row r="138" spans="3:23" ht="14" x14ac:dyDescent="0.25">
      <c r="C138" s="344" t="s">
        <v>898</v>
      </c>
      <c r="D138" s="1238">
        <f t="shared" ref="D138:D153" si="211">SUM(E138:F138)</f>
        <v>7.3139999999999997E-2</v>
      </c>
      <c r="E138" s="1238">
        <v>1.8541999999999999E-2</v>
      </c>
      <c r="F138" s="1238">
        <v>5.4598000000000001E-2</v>
      </c>
      <c r="G138" s="1657">
        <f t="shared" si="203"/>
        <v>0.25351380913316929</v>
      </c>
      <c r="H138" s="1657">
        <f t="shared" si="204"/>
        <v>0.74648619086683077</v>
      </c>
      <c r="I138" s="1238">
        <v>1.5139999999999999E-3</v>
      </c>
      <c r="J138" s="1238">
        <v>2.2929999999999999E-3</v>
      </c>
      <c r="K138" s="1238">
        <v>2.666E-3</v>
      </c>
      <c r="L138" s="1238">
        <v>3.0690000000000001E-3</v>
      </c>
      <c r="M138" s="1238">
        <v>4.0540000000000003E-3</v>
      </c>
      <c r="N138" s="1238">
        <v>4.9459999999999999E-3</v>
      </c>
      <c r="O138" s="1238">
        <v>8.0409999999999995E-3</v>
      </c>
      <c r="P138" s="1238">
        <v>8.9639999999999997E-3</v>
      </c>
      <c r="Q138" s="1238">
        <v>1.0043E-2</v>
      </c>
      <c r="R138" s="1238">
        <v>9.3849999999999992E-3</v>
      </c>
      <c r="S138" s="1238">
        <v>7.8250000000000004E-3</v>
      </c>
      <c r="T138" s="1238">
        <v>1.034E-2</v>
      </c>
      <c r="U138" s="1238">
        <f t="shared" si="207"/>
        <v>7.3139999999999997E-2</v>
      </c>
      <c r="V138" s="782">
        <f t="shared" si="208"/>
        <v>0</v>
      </c>
      <c r="W138" s="1651">
        <f t="shared" si="205"/>
        <v>-0.16241098693158629</v>
      </c>
    </row>
    <row r="139" spans="3:23" ht="14" x14ac:dyDescent="0.25">
      <c r="C139" s="1156" t="s">
        <v>899</v>
      </c>
      <c r="D139" s="1238">
        <f t="shared" si="211"/>
        <v>0</v>
      </c>
      <c r="E139" s="410"/>
      <c r="F139" s="410"/>
      <c r="G139" s="1657">
        <f t="shared" si="203"/>
        <v>0</v>
      </c>
      <c r="H139" s="1657">
        <f t="shared" si="204"/>
        <v>0</v>
      </c>
      <c r="I139" s="1238"/>
      <c r="J139" s="1238"/>
      <c r="K139" s="1238"/>
      <c r="L139" s="1238"/>
      <c r="M139" s="1238"/>
      <c r="N139" s="1238"/>
      <c r="O139" s="1238"/>
      <c r="P139" s="1238"/>
      <c r="Q139" s="1238"/>
      <c r="R139" s="1238"/>
      <c r="S139" s="1238"/>
      <c r="T139" s="1238"/>
      <c r="U139" s="1238">
        <f t="shared" si="207"/>
        <v>0</v>
      </c>
      <c r="V139" s="782">
        <f t="shared" si="208"/>
        <v>0</v>
      </c>
      <c r="W139" s="1651">
        <f>(SUM(P23:P26)/SUM(U140:U143)^(1/4)-1)</f>
        <v>312.71308380911699</v>
      </c>
    </row>
    <row r="140" spans="3:23" ht="14" x14ac:dyDescent="0.25">
      <c r="C140" s="344" t="s">
        <v>900</v>
      </c>
      <c r="D140" s="1238">
        <f t="shared" si="211"/>
        <v>739.96272599999998</v>
      </c>
      <c r="E140" s="1238">
        <v>374.02116799999999</v>
      </c>
      <c r="F140" s="1238">
        <v>365.94155799999999</v>
      </c>
      <c r="G140" s="1657">
        <f t="shared" si="203"/>
        <v>0.50545947094097277</v>
      </c>
      <c r="H140" s="1657">
        <f t="shared" si="204"/>
        <v>0.49454052905902723</v>
      </c>
      <c r="I140" s="1238">
        <v>61.335357999999999</v>
      </c>
      <c r="J140" s="1238">
        <v>63.106954999999999</v>
      </c>
      <c r="K140" s="1238">
        <v>62.279519999999998</v>
      </c>
      <c r="L140" s="1238">
        <v>62.476384000000003</v>
      </c>
      <c r="M140" s="1238">
        <v>61.687178000000003</v>
      </c>
      <c r="N140" s="1238">
        <v>63.135773</v>
      </c>
      <c r="O140" s="1238">
        <v>63.711582</v>
      </c>
      <c r="P140" s="1238">
        <v>63.421222</v>
      </c>
      <c r="Q140" s="1238">
        <v>62.431310000000003</v>
      </c>
      <c r="R140" s="1238">
        <v>60.663128999999998</v>
      </c>
      <c r="S140" s="1238">
        <v>56.554730999999997</v>
      </c>
      <c r="T140" s="1238">
        <v>59.159584000000002</v>
      </c>
      <c r="U140" s="1238">
        <f t="shared" si="207"/>
        <v>739.96272599999998</v>
      </c>
      <c r="V140" s="782">
        <f t="shared" si="208"/>
        <v>0</v>
      </c>
      <c r="W140" s="1651">
        <f t="shared" si="205"/>
        <v>3.2785294536787912E-3</v>
      </c>
    </row>
    <row r="141" spans="3:23" ht="14" x14ac:dyDescent="0.25">
      <c r="C141" s="344" t="s">
        <v>901</v>
      </c>
      <c r="D141" s="1238">
        <f t="shared" si="211"/>
        <v>684.38097299999993</v>
      </c>
      <c r="E141" s="1238">
        <v>367.14062499999994</v>
      </c>
      <c r="F141" s="1238">
        <v>317.24034799999998</v>
      </c>
      <c r="G141" s="1657">
        <f t="shared" si="203"/>
        <v>0.53645650519860377</v>
      </c>
      <c r="H141" s="1657">
        <f t="shared" si="204"/>
        <v>0.46354349480139628</v>
      </c>
      <c r="I141" s="1238">
        <v>54.534047999999999</v>
      </c>
      <c r="J141" s="1238">
        <v>69.654254999999992</v>
      </c>
      <c r="K141" s="1238">
        <v>66.806429999999992</v>
      </c>
      <c r="L141" s="1238">
        <v>61.468267999999995</v>
      </c>
      <c r="M141" s="1238">
        <v>52.67745</v>
      </c>
      <c r="N141" s="1238">
        <v>62.000174000000001</v>
      </c>
      <c r="O141" s="1238">
        <v>67.778762999999998</v>
      </c>
      <c r="P141" s="1238">
        <v>67.302778000000004</v>
      </c>
      <c r="Q141" s="1238">
        <v>58.878464999999998</v>
      </c>
      <c r="R141" s="1238">
        <v>47.328435000000006</v>
      </c>
      <c r="S141" s="1238">
        <v>33.948131000000004</v>
      </c>
      <c r="T141" s="1238">
        <v>42.003775999999995</v>
      </c>
      <c r="U141" s="1238">
        <f t="shared" si="207"/>
        <v>684.38097300000004</v>
      </c>
      <c r="V141" s="782">
        <f t="shared" si="208"/>
        <v>0</v>
      </c>
      <c r="W141" s="1651">
        <f t="shared" si="205"/>
        <v>1.3150027820181487E-2</v>
      </c>
    </row>
    <row r="142" spans="3:23" ht="14" x14ac:dyDescent="0.25">
      <c r="C142" s="344" t="s">
        <v>902</v>
      </c>
      <c r="D142" s="1238">
        <f t="shared" si="211"/>
        <v>220.53927700000003</v>
      </c>
      <c r="E142" s="1238">
        <v>124.47678600000002</v>
      </c>
      <c r="F142" s="1238">
        <v>96.062490999999994</v>
      </c>
      <c r="G142" s="1657">
        <f t="shared" si="203"/>
        <v>0.56442003299031407</v>
      </c>
      <c r="H142" s="1657">
        <f t="shared" si="204"/>
        <v>0.43557996700968593</v>
      </c>
      <c r="I142" s="1238">
        <v>16.422948999999999</v>
      </c>
      <c r="J142" s="1238">
        <v>27.534455999999999</v>
      </c>
      <c r="K142" s="1238">
        <v>27.898156</v>
      </c>
      <c r="L142" s="1238">
        <v>20.253246999999998</v>
      </c>
      <c r="M142" s="1238">
        <v>14.080880000000001</v>
      </c>
      <c r="N142" s="1238">
        <v>18.287098</v>
      </c>
      <c r="O142" s="1238">
        <v>22.891132000000002</v>
      </c>
      <c r="P142" s="1238">
        <v>24.435672999999998</v>
      </c>
      <c r="Q142" s="1238">
        <v>18.123816999999999</v>
      </c>
      <c r="R142" s="1238">
        <v>12.944306000000001</v>
      </c>
      <c r="S142" s="1238">
        <v>7.6766430000000003</v>
      </c>
      <c r="T142" s="1238">
        <v>9.9909199999999991</v>
      </c>
      <c r="U142" s="1238">
        <f t="shared" si="207"/>
        <v>220.53927700000003</v>
      </c>
      <c r="V142" s="782">
        <f t="shared" si="208"/>
        <v>0</v>
      </c>
      <c r="W142" s="1651">
        <f t="shared" si="205"/>
        <v>1.8827276600257958E-2</v>
      </c>
    </row>
    <row r="143" spans="3:23" ht="14" x14ac:dyDescent="0.25">
      <c r="C143" s="344" t="s">
        <v>903</v>
      </c>
      <c r="D143" s="1238">
        <f t="shared" si="211"/>
        <v>377.45933500000001</v>
      </c>
      <c r="E143" s="1238">
        <v>210.40518400000002</v>
      </c>
      <c r="F143" s="1238">
        <v>167.05415099999999</v>
      </c>
      <c r="G143" s="1657">
        <f t="shared" si="203"/>
        <v>0.55742477265796064</v>
      </c>
      <c r="H143" s="1657">
        <f t="shared" si="204"/>
        <v>0.44257522734203936</v>
      </c>
      <c r="I143" s="1238">
        <v>29.935002999999998</v>
      </c>
      <c r="J143" s="1238">
        <v>44.037725000000002</v>
      </c>
      <c r="K143" s="1238">
        <v>46.160755999999999</v>
      </c>
      <c r="L143" s="1238">
        <v>33.216358999999997</v>
      </c>
      <c r="M143" s="1238">
        <v>25.534032</v>
      </c>
      <c r="N143" s="1238">
        <v>31.521308999999999</v>
      </c>
      <c r="O143" s="1238">
        <v>35.532572999999999</v>
      </c>
      <c r="P143" s="1238">
        <v>39.069856999999999</v>
      </c>
      <c r="Q143" s="1238">
        <v>31.060292</v>
      </c>
      <c r="R143" s="1238">
        <v>23.88204</v>
      </c>
      <c r="S143" s="1238">
        <v>17.896695000000001</v>
      </c>
      <c r="T143" s="1238">
        <v>19.612694000000001</v>
      </c>
      <c r="U143" s="1238">
        <f t="shared" si="207"/>
        <v>377.45933500000007</v>
      </c>
      <c r="V143" s="782">
        <f t="shared" si="208"/>
        <v>0</v>
      </c>
      <c r="W143" s="1651">
        <f t="shared" si="205"/>
        <v>1.1629932944052124E-2</v>
      </c>
    </row>
    <row r="144" spans="3:23" ht="14" x14ac:dyDescent="0.25">
      <c r="C144" s="507" t="s">
        <v>904</v>
      </c>
      <c r="D144" s="1238">
        <f t="shared" si="211"/>
        <v>905.16323299999999</v>
      </c>
      <c r="E144" s="1238">
        <v>471.38736700000004</v>
      </c>
      <c r="F144" s="1238">
        <v>433.77586600000001</v>
      </c>
      <c r="G144" s="1657">
        <f t="shared" si="203"/>
        <v>0.52077608746620407</v>
      </c>
      <c r="H144" s="1657">
        <f t="shared" si="204"/>
        <v>0.47922391253379598</v>
      </c>
      <c r="I144" s="1238">
        <v>73.747178999999988</v>
      </c>
      <c r="J144" s="1238">
        <v>89.250596000000002</v>
      </c>
      <c r="K144" s="1238">
        <v>84.975658999999993</v>
      </c>
      <c r="L144" s="1238">
        <v>75.836263000000002</v>
      </c>
      <c r="M144" s="1238">
        <v>69.046443000000011</v>
      </c>
      <c r="N144" s="1238">
        <v>78.531227000000015</v>
      </c>
      <c r="O144" s="1238">
        <v>83.488087999999991</v>
      </c>
      <c r="P144" s="1238">
        <v>83.586247999999998</v>
      </c>
      <c r="Q144" s="1238">
        <v>75.852351999999996</v>
      </c>
      <c r="R144" s="1238">
        <v>67.873241000000007</v>
      </c>
      <c r="S144" s="1238">
        <v>57.686110999999997</v>
      </c>
      <c r="T144" s="1238">
        <v>65.289825999999991</v>
      </c>
      <c r="U144" s="1238">
        <f t="shared" si="207"/>
        <v>905.16323299999988</v>
      </c>
      <c r="V144" s="782">
        <f t="shared" si="208"/>
        <v>0</v>
      </c>
      <c r="W144" s="1651">
        <f t="shared" si="205"/>
        <v>-2.2475068665839815E-2</v>
      </c>
    </row>
    <row r="145" spans="3:23" ht="28" x14ac:dyDescent="0.25">
      <c r="C145" s="507" t="s">
        <v>1708</v>
      </c>
      <c r="D145" s="1238">
        <f t="shared" si="211"/>
        <v>211.31035400000002</v>
      </c>
      <c r="E145" s="1238">
        <v>112.58078800000001</v>
      </c>
      <c r="F145" s="1238">
        <v>98.729566000000005</v>
      </c>
      <c r="G145" s="1657">
        <f t="shared" si="203"/>
        <v>0.53277459371441871</v>
      </c>
      <c r="H145" s="1657">
        <f t="shared" si="204"/>
        <v>0.46722540628558124</v>
      </c>
      <c r="I145" s="1238">
        <v>18.332422999999999</v>
      </c>
      <c r="J145" s="1238">
        <v>19.399225000000001</v>
      </c>
      <c r="K145" s="1238">
        <v>20.786256999999999</v>
      </c>
      <c r="L145" s="1238">
        <v>18.809204000000001</v>
      </c>
      <c r="M145" s="1238">
        <v>17.639576000000002</v>
      </c>
      <c r="N145" s="1238">
        <v>17.614103</v>
      </c>
      <c r="O145" s="1238">
        <v>17.220006000000001</v>
      </c>
      <c r="P145" s="1238">
        <v>19.778335999999999</v>
      </c>
      <c r="Q145" s="1238">
        <v>17.419941000000001</v>
      </c>
      <c r="R145" s="1238">
        <v>15.769764</v>
      </c>
      <c r="S145" s="1238">
        <v>14.695715999999999</v>
      </c>
      <c r="T145" s="1238">
        <v>13.845803</v>
      </c>
      <c r="U145" s="1238">
        <f t="shared" si="207"/>
        <v>211.31035400000002</v>
      </c>
      <c r="V145" s="782">
        <f t="shared" si="208"/>
        <v>0</v>
      </c>
      <c r="W145" s="1651">
        <f t="shared" si="205"/>
        <v>-5.1876910309469393E-2</v>
      </c>
    </row>
    <row r="146" spans="3:23" ht="28" x14ac:dyDescent="0.25">
      <c r="C146" s="507" t="s">
        <v>1709</v>
      </c>
      <c r="D146" s="1238">
        <f t="shared" si="211"/>
        <v>370.32386600000001</v>
      </c>
      <c r="E146" s="1238">
        <v>198.267572</v>
      </c>
      <c r="F146" s="1238">
        <v>172.05629400000001</v>
      </c>
      <c r="G146" s="1657">
        <f t="shared" si="203"/>
        <v>0.5353896688905273</v>
      </c>
      <c r="H146" s="1657">
        <f t="shared" si="204"/>
        <v>0.4646103311094727</v>
      </c>
      <c r="I146" s="1238">
        <v>31.866074999999999</v>
      </c>
      <c r="J146" s="1238">
        <v>33.918880000000001</v>
      </c>
      <c r="K146" s="1238">
        <v>36.570998000000003</v>
      </c>
      <c r="L146" s="1238">
        <v>33.496769999999998</v>
      </c>
      <c r="M146" s="1238">
        <v>31.256889000000001</v>
      </c>
      <c r="N146" s="1238">
        <v>31.157959999999999</v>
      </c>
      <c r="O146" s="1238">
        <v>29.914283000000001</v>
      </c>
      <c r="P146" s="1238">
        <v>34.602103</v>
      </c>
      <c r="Q146" s="1238">
        <v>30.514431999999999</v>
      </c>
      <c r="R146" s="1238">
        <v>27.303324</v>
      </c>
      <c r="S146" s="1238">
        <v>25.746918999999998</v>
      </c>
      <c r="T146" s="1238">
        <v>23.975232999999999</v>
      </c>
      <c r="U146" s="1238">
        <f t="shared" si="207"/>
        <v>370.32386599999995</v>
      </c>
      <c r="V146" s="782">
        <f t="shared" si="208"/>
        <v>0</v>
      </c>
      <c r="W146" s="1651">
        <f t="shared" si="205"/>
        <v>-8.263281286905344E-3</v>
      </c>
    </row>
    <row r="147" spans="3:23" ht="28" customHeight="1" x14ac:dyDescent="0.25">
      <c r="C147" s="507" t="s">
        <v>908</v>
      </c>
      <c r="D147" s="1238">
        <f t="shared" si="211"/>
        <v>43.270800000000001</v>
      </c>
      <c r="E147" s="1238">
        <v>20.961365000000001</v>
      </c>
      <c r="F147" s="1238">
        <v>22.309435000000001</v>
      </c>
      <c r="G147" s="1657">
        <f t="shared" si="203"/>
        <v>0.48442286715290683</v>
      </c>
      <c r="H147" s="1657">
        <f t="shared" si="204"/>
        <v>0.51557713284709317</v>
      </c>
      <c r="I147" s="1238">
        <v>3.468763</v>
      </c>
      <c r="J147" s="1238">
        <v>3.8541659999999998</v>
      </c>
      <c r="K147" s="1238">
        <v>3.44041</v>
      </c>
      <c r="L147" s="1238">
        <v>3.2773479999999999</v>
      </c>
      <c r="M147" s="1238">
        <v>3.257698</v>
      </c>
      <c r="N147" s="1238">
        <v>3.6629800000000001</v>
      </c>
      <c r="O147" s="1238">
        <v>3.8633299999999999</v>
      </c>
      <c r="P147" s="1238">
        <v>3.935746</v>
      </c>
      <c r="Q147" s="1238">
        <v>3.692256</v>
      </c>
      <c r="R147" s="1238">
        <v>3.5356529999999999</v>
      </c>
      <c r="S147" s="1238">
        <v>3.5609570000000001</v>
      </c>
      <c r="T147" s="1238">
        <v>3.7214930000000002</v>
      </c>
      <c r="U147" s="1238">
        <f t="shared" si="207"/>
        <v>43.270800000000001</v>
      </c>
      <c r="V147" s="782">
        <f t="shared" si="208"/>
        <v>0</v>
      </c>
      <c r="W147" s="1651">
        <f t="shared" si="205"/>
        <v>0.250288775639401</v>
      </c>
    </row>
    <row r="148" spans="3:23" ht="14" x14ac:dyDescent="0.25">
      <c r="C148" s="507" t="s">
        <v>1594</v>
      </c>
      <c r="D148" s="1238">
        <f t="shared" si="211"/>
        <v>90.386606</v>
      </c>
      <c r="E148" s="1238">
        <v>46.516424999999998</v>
      </c>
      <c r="F148" s="1238">
        <v>43.870181000000002</v>
      </c>
      <c r="G148" s="1657">
        <f t="shared" si="203"/>
        <v>0.51463847420048048</v>
      </c>
      <c r="H148" s="1657">
        <f t="shared" si="204"/>
        <v>0.48536152579951947</v>
      </c>
      <c r="I148" s="1238">
        <v>7.8688739999999999</v>
      </c>
      <c r="J148" s="1238">
        <v>7.6960569999999997</v>
      </c>
      <c r="K148" s="1238">
        <v>7.9335950000000004</v>
      </c>
      <c r="L148" s="1238">
        <v>7.6454810000000002</v>
      </c>
      <c r="M148" s="1238">
        <v>7.5408090000000003</v>
      </c>
      <c r="N148" s="1238">
        <v>7.8316090000000003</v>
      </c>
      <c r="O148" s="1238">
        <v>7.4563389999999998</v>
      </c>
      <c r="P148" s="1238">
        <v>8.2783029999999993</v>
      </c>
      <c r="Q148" s="1238">
        <v>7.2086690000000004</v>
      </c>
      <c r="R148" s="1238">
        <v>7.5292760000000003</v>
      </c>
      <c r="S148" s="1238">
        <v>6.9248149999999997</v>
      </c>
      <c r="T148" s="1238">
        <v>6.4727790000000001</v>
      </c>
      <c r="U148" s="1238">
        <f t="shared" si="207"/>
        <v>90.386605999999986</v>
      </c>
      <c r="V148" s="782">
        <f t="shared" si="208"/>
        <v>0</v>
      </c>
      <c r="W148" s="1651">
        <f t="shared" si="205"/>
        <v>-3.0641682459911945E-2</v>
      </c>
    </row>
    <row r="149" spans="3:23" ht="28" x14ac:dyDescent="0.25">
      <c r="C149" s="507" t="s">
        <v>1710</v>
      </c>
      <c r="D149" s="1238">
        <f t="shared" si="211"/>
        <v>54.776781999999997</v>
      </c>
      <c r="E149" s="1238">
        <v>29.160143000000001</v>
      </c>
      <c r="F149" s="1238">
        <v>25.616638999999999</v>
      </c>
      <c r="G149" s="1657">
        <f t="shared" si="203"/>
        <v>0.53234494498052121</v>
      </c>
      <c r="H149" s="1657">
        <f t="shared" si="204"/>
        <v>0.4676550550194789</v>
      </c>
      <c r="I149" s="1238">
        <v>4.5293219999999996</v>
      </c>
      <c r="J149" s="1238">
        <v>4.8177349999999999</v>
      </c>
      <c r="K149" s="1238">
        <v>5.1002910000000004</v>
      </c>
      <c r="L149" s="1238">
        <v>4.9143330000000001</v>
      </c>
      <c r="M149" s="1238">
        <v>4.9501080000000002</v>
      </c>
      <c r="N149" s="1238">
        <v>4.8483539999999996</v>
      </c>
      <c r="O149" s="1238">
        <v>4.694089</v>
      </c>
      <c r="P149" s="1238">
        <v>5.1869350000000001</v>
      </c>
      <c r="Q149" s="1238">
        <v>4.4393190000000002</v>
      </c>
      <c r="R149" s="1238">
        <v>3.9670380000000001</v>
      </c>
      <c r="S149" s="1238">
        <v>3.7694570000000001</v>
      </c>
      <c r="T149" s="1238">
        <v>3.5598010000000002</v>
      </c>
      <c r="U149" s="1238">
        <f t="shared" si="207"/>
        <v>54.776782000000004</v>
      </c>
      <c r="V149" s="782">
        <f t="shared" si="208"/>
        <v>0</v>
      </c>
      <c r="W149" s="1651">
        <f t="shared" si="205"/>
        <v>2.8935517304189418E-2</v>
      </c>
    </row>
    <row r="150" spans="3:23" ht="28" customHeight="1" x14ac:dyDescent="0.25">
      <c r="C150" s="507" t="s">
        <v>1596</v>
      </c>
      <c r="D150" s="1238">
        <f t="shared" si="211"/>
        <v>193.08247882000001</v>
      </c>
      <c r="E150" s="1238">
        <v>103.86404112</v>
      </c>
      <c r="F150" s="1238">
        <v>89.21843770000001</v>
      </c>
      <c r="G150" s="1657">
        <f t="shared" si="203"/>
        <v>0.53792577014109411</v>
      </c>
      <c r="H150" s="1657">
        <f t="shared" si="204"/>
        <v>0.46207422985890589</v>
      </c>
      <c r="I150" s="1238">
        <v>17.308676729999998</v>
      </c>
      <c r="J150" s="1238">
        <v>17.75684644</v>
      </c>
      <c r="K150" s="1238">
        <v>18.06409519</v>
      </c>
      <c r="L150" s="1238">
        <v>17.21126361</v>
      </c>
      <c r="M150" s="1238">
        <v>16.637503120000002</v>
      </c>
      <c r="N150" s="1238">
        <v>16.88565603</v>
      </c>
      <c r="O150" s="1238">
        <v>16.355949850000002</v>
      </c>
      <c r="P150" s="1238">
        <v>17.99282827</v>
      </c>
      <c r="Q150" s="1238">
        <v>15.290930419999999</v>
      </c>
      <c r="R150" s="1238">
        <v>14.16401334</v>
      </c>
      <c r="S150" s="1238">
        <v>13.2087918</v>
      </c>
      <c r="T150" s="1238">
        <v>12.205924020000001</v>
      </c>
      <c r="U150" s="1238">
        <f t="shared" si="207"/>
        <v>193.08247881999998</v>
      </c>
      <c r="V150" s="782">
        <f t="shared" si="208"/>
        <v>0</v>
      </c>
      <c r="W150" s="1651">
        <f t="shared" si="205"/>
        <v>-1.9001764896415363E-2</v>
      </c>
    </row>
    <row r="151" spans="3:23" ht="14" x14ac:dyDescent="0.25">
      <c r="C151" s="507" t="s">
        <v>1597</v>
      </c>
      <c r="D151" s="1238">
        <f t="shared" si="211"/>
        <v>0</v>
      </c>
      <c r="E151" s="410"/>
      <c r="F151" s="410"/>
      <c r="G151" s="1657">
        <f t="shared" si="203"/>
        <v>0</v>
      </c>
      <c r="H151" s="1657">
        <f t="shared" si="204"/>
        <v>0</v>
      </c>
      <c r="I151" s="410"/>
      <c r="J151" s="410"/>
      <c r="K151" s="410"/>
      <c r="L151" s="410"/>
      <c r="M151" s="410"/>
      <c r="N151" s="410"/>
      <c r="O151" s="410"/>
      <c r="P151" s="410"/>
      <c r="Q151" s="410"/>
      <c r="R151" s="410"/>
      <c r="S151" s="410"/>
      <c r="T151" s="410"/>
      <c r="U151" s="1238">
        <f t="shared" si="207"/>
        <v>0</v>
      </c>
      <c r="V151" s="782">
        <f t="shared" si="208"/>
        <v>0</v>
      </c>
      <c r="W151" s="1651" t="e">
        <f t="shared" si="205"/>
        <v>#DIV/0!</v>
      </c>
    </row>
    <row r="152" spans="3:23" ht="14" x14ac:dyDescent="0.25">
      <c r="C152" s="507" t="s">
        <v>1598</v>
      </c>
      <c r="D152" s="1238">
        <f t="shared" si="211"/>
        <v>0</v>
      </c>
      <c r="E152" s="410"/>
      <c r="F152" s="410"/>
      <c r="G152" s="1657">
        <f t="shared" si="203"/>
        <v>0</v>
      </c>
      <c r="H152" s="1657">
        <f t="shared" si="204"/>
        <v>0</v>
      </c>
      <c r="I152" s="410"/>
      <c r="J152" s="410"/>
      <c r="K152" s="410"/>
      <c r="L152" s="410"/>
      <c r="M152" s="410"/>
      <c r="N152" s="410"/>
      <c r="O152" s="410"/>
      <c r="P152" s="410"/>
      <c r="Q152" s="410"/>
      <c r="R152" s="410"/>
      <c r="S152" s="410"/>
      <c r="T152" s="410"/>
      <c r="U152" s="1238">
        <f t="shared" si="207"/>
        <v>0</v>
      </c>
      <c r="V152" s="782">
        <f t="shared" si="208"/>
        <v>0</v>
      </c>
      <c r="W152" s="1651" t="e">
        <f t="shared" si="205"/>
        <v>#DIV/0!</v>
      </c>
    </row>
    <row r="153" spans="3:23" ht="14" x14ac:dyDescent="0.25">
      <c r="C153" s="507" t="s">
        <v>1599</v>
      </c>
      <c r="D153" s="1238">
        <f t="shared" si="211"/>
        <v>3.3160000000000002E-2</v>
      </c>
      <c r="E153" s="1238">
        <v>0</v>
      </c>
      <c r="F153" s="1238">
        <v>3.3160000000000002E-2</v>
      </c>
      <c r="G153" s="1657">
        <f t="shared" si="203"/>
        <v>0</v>
      </c>
      <c r="H153" s="1657">
        <f t="shared" si="204"/>
        <v>1</v>
      </c>
      <c r="I153" s="1238">
        <v>0</v>
      </c>
      <c r="J153" s="1238">
        <v>0</v>
      </c>
      <c r="K153" s="1238">
        <v>0</v>
      </c>
      <c r="L153" s="1238">
        <v>0</v>
      </c>
      <c r="M153" s="1238">
        <v>0</v>
      </c>
      <c r="N153" s="1238">
        <v>0</v>
      </c>
      <c r="O153" s="1238">
        <v>0</v>
      </c>
      <c r="P153" s="1238">
        <v>0</v>
      </c>
      <c r="Q153" s="1238">
        <v>0</v>
      </c>
      <c r="R153" s="1238">
        <v>0</v>
      </c>
      <c r="S153" s="1238">
        <v>1.452E-2</v>
      </c>
      <c r="T153" s="1238">
        <v>1.864E-2</v>
      </c>
      <c r="U153" s="1238">
        <f t="shared" si="207"/>
        <v>3.3160000000000002E-2</v>
      </c>
      <c r="V153" s="782">
        <f t="shared" si="208"/>
        <v>0</v>
      </c>
      <c r="W153" s="1651">
        <f t="shared" si="205"/>
        <v>-1</v>
      </c>
    </row>
    <row r="154" spans="3:23" ht="14" x14ac:dyDescent="0.3">
      <c r="C154" s="343"/>
      <c r="D154" s="1239"/>
      <c r="E154" s="410"/>
      <c r="F154" s="410"/>
      <c r="G154" s="1657">
        <f t="shared" ref="G154:G157" si="212">IFERROR(E154/$D154,0)</f>
        <v>0</v>
      </c>
      <c r="H154" s="1657">
        <f t="shared" ref="H154:H157" si="213">IFERROR(F154/$D154,0)</f>
        <v>0</v>
      </c>
      <c r="I154" s="410"/>
      <c r="J154" s="410"/>
      <c r="K154" s="410"/>
      <c r="L154" s="410"/>
      <c r="M154" s="410"/>
      <c r="N154" s="410"/>
      <c r="O154" s="410"/>
      <c r="P154" s="410"/>
      <c r="Q154" s="410"/>
      <c r="R154" s="410"/>
      <c r="S154" s="410"/>
      <c r="T154" s="410"/>
      <c r="U154" s="1238">
        <f t="shared" si="207"/>
        <v>0</v>
      </c>
      <c r="V154" s="782">
        <f t="shared" si="208"/>
        <v>0</v>
      </c>
      <c r="W154" s="1651" t="e">
        <f t="shared" si="205"/>
        <v>#DIV/0!</v>
      </c>
    </row>
    <row r="155" spans="3:23" ht="14" x14ac:dyDescent="0.25">
      <c r="C155" s="1588" t="s">
        <v>416</v>
      </c>
      <c r="D155" s="1238">
        <f>SUM(D138:D154)</f>
        <v>3890.7627308199999</v>
      </c>
      <c r="E155" s="1238">
        <f t="shared" ref="E155:F155" si="214">SUM(E138:E154)</f>
        <v>2058.8000061200005</v>
      </c>
      <c r="F155" s="1238">
        <f t="shared" si="214"/>
        <v>1831.9627246999999</v>
      </c>
      <c r="G155" s="1657">
        <f t="shared" si="212"/>
        <v>0.52915074718167066</v>
      </c>
      <c r="H155" s="1657">
        <f t="shared" si="213"/>
        <v>0.4708492528183294</v>
      </c>
      <c r="I155" s="1238">
        <f t="shared" ref="I155" si="215">SUM(I138:I154)</f>
        <v>319.35018473000002</v>
      </c>
      <c r="J155" s="1238">
        <f t="shared" ref="J155" si="216">SUM(J138:J154)</f>
        <v>381.02918944000004</v>
      </c>
      <c r="K155" s="1238">
        <f t="shared" ref="K155" si="217">SUM(K138:K154)</f>
        <v>380.01883318999995</v>
      </c>
      <c r="L155" s="1238">
        <f t="shared" ref="L155" si="218">SUM(L138:L154)</f>
        <v>338.60798961000006</v>
      </c>
      <c r="M155" s="1238">
        <f t="shared" ref="M155" si="219">SUM(M138:M154)</f>
        <v>304.31262012000008</v>
      </c>
      <c r="N155" s="1238">
        <f t="shared" ref="N155" si="220">SUM(N138:N154)</f>
        <v>335.48118903000005</v>
      </c>
      <c r="O155" s="1238">
        <f t="shared" ref="O155" si="221">SUM(O138:O154)</f>
        <v>352.91417585000005</v>
      </c>
      <c r="P155" s="1238">
        <f t="shared" ref="P155" si="222">SUM(P138:P154)</f>
        <v>367.59899327000005</v>
      </c>
      <c r="Q155" s="1238">
        <f t="shared" ref="Q155" si="223">SUM(Q138:Q154)</f>
        <v>324.92182642</v>
      </c>
      <c r="R155" s="1238">
        <f t="shared" ref="R155" si="224">SUM(R138:R154)</f>
        <v>284.96960433999999</v>
      </c>
      <c r="S155" s="1238">
        <f t="shared" ref="S155" si="225">SUM(S138:S154)</f>
        <v>241.69131179999997</v>
      </c>
      <c r="T155" s="1238">
        <f t="shared" ref="T155" si="226">SUM(T138:T154)</f>
        <v>259.86681302</v>
      </c>
      <c r="U155" s="1238">
        <f t="shared" si="207"/>
        <v>3890.7627308199994</v>
      </c>
      <c r="V155" s="782">
        <f t="shared" si="208"/>
        <v>0</v>
      </c>
      <c r="W155" s="1651">
        <f t="shared" si="205"/>
        <v>-1</v>
      </c>
    </row>
    <row r="156" spans="3:23" ht="14" x14ac:dyDescent="0.3">
      <c r="C156" s="434"/>
      <c r="D156" s="1239"/>
      <c r="E156" s="410"/>
      <c r="F156" s="410"/>
      <c r="G156" s="1657">
        <f t="shared" si="212"/>
        <v>0</v>
      </c>
      <c r="H156" s="1657">
        <f t="shared" si="213"/>
        <v>0</v>
      </c>
      <c r="I156" s="410"/>
      <c r="J156" s="410"/>
      <c r="K156" s="410"/>
      <c r="L156" s="410"/>
      <c r="M156" s="410"/>
      <c r="N156" s="410"/>
      <c r="O156" s="410"/>
      <c r="P156" s="410"/>
      <c r="Q156" s="410"/>
      <c r="R156" s="410"/>
      <c r="S156" s="410"/>
      <c r="T156" s="410"/>
      <c r="U156" s="1238">
        <f t="shared" si="207"/>
        <v>0</v>
      </c>
      <c r="V156" s="782">
        <f t="shared" si="208"/>
        <v>0</v>
      </c>
      <c r="W156" s="1651" t="e">
        <f t="shared" si="205"/>
        <v>#DIV/0!</v>
      </c>
    </row>
    <row r="157" spans="3:23" ht="14" x14ac:dyDescent="0.3">
      <c r="C157" s="433" t="s">
        <v>145</v>
      </c>
      <c r="D157" s="1239">
        <f>D155+D135</f>
        <v>4572.0061618199998</v>
      </c>
      <c r="E157" s="1239">
        <f t="shared" ref="E157:F157" si="227">E155+E135</f>
        <v>2420.3556181200006</v>
      </c>
      <c r="F157" s="1239">
        <f t="shared" si="227"/>
        <v>2151.6505436999996</v>
      </c>
      <c r="G157" s="1658">
        <f t="shared" si="212"/>
        <v>0.52938590466739843</v>
      </c>
      <c r="H157" s="1658">
        <f t="shared" si="213"/>
        <v>0.47061409533260168</v>
      </c>
      <c r="I157" s="1239">
        <f t="shared" ref="I157:T157" si="228">I155+I135</f>
        <v>376.41668473000004</v>
      </c>
      <c r="J157" s="1239">
        <f t="shared" si="228"/>
        <v>440.53068444000002</v>
      </c>
      <c r="K157" s="1239">
        <f t="shared" si="228"/>
        <v>443.69067718999997</v>
      </c>
      <c r="L157" s="1239">
        <f t="shared" si="228"/>
        <v>400.19553961000008</v>
      </c>
      <c r="M157" s="1239">
        <f t="shared" si="228"/>
        <v>364.96912912000005</v>
      </c>
      <c r="N157" s="1239">
        <f t="shared" si="228"/>
        <v>394.55290303000004</v>
      </c>
      <c r="O157" s="1239">
        <f t="shared" si="228"/>
        <v>408.39135885000007</v>
      </c>
      <c r="P157" s="1239">
        <f t="shared" si="228"/>
        <v>428.87187527000003</v>
      </c>
      <c r="Q157" s="1239">
        <f t="shared" si="228"/>
        <v>380.80918442000001</v>
      </c>
      <c r="R157" s="1239">
        <f t="shared" si="228"/>
        <v>336.97071133999998</v>
      </c>
      <c r="S157" s="1239">
        <f t="shared" si="228"/>
        <v>291.69171279999995</v>
      </c>
      <c r="T157" s="1239">
        <f t="shared" si="228"/>
        <v>304.91570102000003</v>
      </c>
      <c r="U157" s="1239">
        <f t="shared" si="207"/>
        <v>4572.0061618199998</v>
      </c>
      <c r="V157" s="782">
        <f t="shared" si="208"/>
        <v>0</v>
      </c>
      <c r="W157" s="1651">
        <f t="shared" si="205"/>
        <v>-1</v>
      </c>
    </row>
    <row r="158" spans="3:23" x14ac:dyDescent="0.25">
      <c r="D158" s="782">
        <v>0</v>
      </c>
    </row>
    <row r="159" spans="3:23" ht="13" x14ac:dyDescent="0.3">
      <c r="C159" s="1654" t="s">
        <v>1765</v>
      </c>
    </row>
    <row r="160" spans="3:23" ht="13" x14ac:dyDescent="0.3">
      <c r="C160" s="1656" t="s">
        <v>1756</v>
      </c>
      <c r="D160" s="1636" t="s">
        <v>1757</v>
      </c>
    </row>
    <row r="161" spans="3:7" x14ac:dyDescent="0.25">
      <c r="C161" s="1653" t="s">
        <v>1763</v>
      </c>
      <c r="D161" s="1241" t="s">
        <v>1758</v>
      </c>
    </row>
    <row r="162" spans="3:7" x14ac:dyDescent="0.25">
      <c r="C162" s="1235" t="s">
        <v>1750</v>
      </c>
      <c r="D162" s="1241" t="s">
        <v>1759</v>
      </c>
    </row>
    <row r="163" spans="3:7" x14ac:dyDescent="0.25">
      <c r="C163" s="1653" t="s">
        <v>1764</v>
      </c>
      <c r="D163" t="s">
        <v>1760</v>
      </c>
    </row>
    <row r="164" spans="3:7" x14ac:dyDescent="0.25">
      <c r="C164" s="1235" t="s">
        <v>1751</v>
      </c>
      <c r="D164" t="s">
        <v>1761</v>
      </c>
      <c r="G164" s="1241" t="s">
        <v>193</v>
      </c>
    </row>
    <row r="165" spans="3:7" x14ac:dyDescent="0.25">
      <c r="C165" s="1235" t="s">
        <v>1752</v>
      </c>
      <c r="D165" t="s">
        <v>1760</v>
      </c>
    </row>
    <row r="166" spans="3:7" x14ac:dyDescent="0.25">
      <c r="C166" s="1653" t="s">
        <v>1753</v>
      </c>
      <c r="D166" t="s">
        <v>1762</v>
      </c>
      <c r="G166" s="1241" t="s">
        <v>1543</v>
      </c>
    </row>
    <row r="167" spans="3:7" x14ac:dyDescent="0.25">
      <c r="C167" s="1235" t="s">
        <v>1754</v>
      </c>
      <c r="D167" t="s">
        <v>1761</v>
      </c>
      <c r="G167" s="1241" t="s">
        <v>193</v>
      </c>
    </row>
    <row r="168" spans="3:7" x14ac:dyDescent="0.25">
      <c r="C168" s="1235" t="s">
        <v>1755</v>
      </c>
      <c r="D168" s="1241" t="s">
        <v>1762</v>
      </c>
      <c r="G168" s="1241" t="s">
        <v>1766</v>
      </c>
    </row>
    <row r="169" spans="3:7" x14ac:dyDescent="0.25">
      <c r="D169" s="1241"/>
    </row>
    <row r="175" spans="3:7" x14ac:dyDescent="0.25">
      <c r="C175" s="1653"/>
      <c r="D175" s="1241"/>
    </row>
    <row r="181" spans="3:4" x14ac:dyDescent="0.25">
      <c r="C181" s="1653"/>
      <c r="D181" s="1241"/>
    </row>
    <row r="182" spans="3:4" x14ac:dyDescent="0.25">
      <c r="D182" s="1241"/>
    </row>
    <row r="185" spans="3:4" x14ac:dyDescent="0.25">
      <c r="C185" s="1653"/>
      <c r="D185" s="1241"/>
    </row>
    <row r="186" spans="3:4" x14ac:dyDescent="0.25">
      <c r="D186" s="1241"/>
    </row>
  </sheetData>
  <mergeCells count="11">
    <mergeCell ref="D6:I6"/>
    <mergeCell ref="J6:P6"/>
    <mergeCell ref="D41:P41"/>
    <mergeCell ref="D76:P76"/>
    <mergeCell ref="G123:H123"/>
    <mergeCell ref="D123:F123"/>
    <mergeCell ref="U41:AG41"/>
    <mergeCell ref="U76:AG76"/>
    <mergeCell ref="U5:AG5"/>
    <mergeCell ref="U6:Z6"/>
    <mergeCell ref="AA6:AG6"/>
  </mergeCell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9"/>
  <sheetViews>
    <sheetView showGridLines="0" view="pageBreakPreview" topLeftCell="A175" zoomScale="57" zoomScaleNormal="80" zoomScaleSheetLayoutView="83" workbookViewId="0">
      <selection activeCell="C132" sqref="C132"/>
    </sheetView>
  </sheetViews>
  <sheetFormatPr defaultColWidth="9.1796875" defaultRowHeight="14" x14ac:dyDescent="0.25"/>
  <cols>
    <col min="1" max="1" width="9.1796875" style="15"/>
    <col min="2" max="2" width="38.1796875" style="15" customWidth="1"/>
    <col min="3" max="4" width="14" style="15" customWidth="1"/>
    <col min="5" max="5" width="17.7265625" style="15" customWidth="1"/>
    <col min="6" max="8" width="19" style="15" customWidth="1"/>
    <col min="9" max="9" width="19.7265625" style="15" customWidth="1"/>
    <col min="10" max="11" width="19" style="15" customWidth="1"/>
    <col min="12" max="12" width="15.7265625" style="15" customWidth="1"/>
    <col min="13" max="13" width="16.81640625" style="15" customWidth="1"/>
    <col min="14" max="14" width="22.453125" style="15" customWidth="1"/>
    <col min="15" max="15" width="21.81640625" style="15" customWidth="1"/>
    <col min="16" max="16384" width="9.1796875" style="15"/>
  </cols>
  <sheetData>
    <row r="1" spans="2:18" s="119" customFormat="1" x14ac:dyDescent="0.3">
      <c r="B1" s="48"/>
    </row>
    <row r="2" spans="2:18" s="119" customFormat="1" x14ac:dyDescent="0.3">
      <c r="B2" s="16"/>
      <c r="C2" s="19"/>
      <c r="D2" s="132"/>
      <c r="F2" s="19"/>
      <c r="G2" s="19"/>
      <c r="H2" s="19"/>
      <c r="I2" s="132" t="s">
        <v>1027</v>
      </c>
      <c r="J2" s="19"/>
      <c r="K2" s="19"/>
    </row>
    <row r="3" spans="2:18" s="119" customFormat="1" x14ac:dyDescent="0.3">
      <c r="B3" s="18"/>
      <c r="C3" s="47"/>
      <c r="D3" s="134"/>
      <c r="F3" s="47"/>
      <c r="G3" s="47"/>
      <c r="H3" s="47"/>
      <c r="I3" s="134" t="s">
        <v>826</v>
      </c>
      <c r="J3" s="47"/>
      <c r="K3" s="47"/>
    </row>
    <row r="4" spans="2:18" s="119" customFormat="1" x14ac:dyDescent="0.3">
      <c r="C4" s="118"/>
      <c r="D4" s="138"/>
      <c r="F4" s="118"/>
      <c r="G4" s="118"/>
      <c r="H4" s="118"/>
      <c r="I4" s="138" t="s">
        <v>334</v>
      </c>
      <c r="J4" s="118"/>
      <c r="K4" s="118"/>
    </row>
    <row r="6" spans="2:18" x14ac:dyDescent="0.3">
      <c r="B6" s="46" t="s">
        <v>179</v>
      </c>
      <c r="C6" s="118"/>
      <c r="D6" s="118"/>
      <c r="E6" s="118"/>
      <c r="F6" s="118"/>
      <c r="G6" s="118"/>
      <c r="H6" s="118"/>
      <c r="I6" s="118"/>
      <c r="J6" s="118"/>
      <c r="K6" s="118"/>
    </row>
    <row r="7" spans="2:18" x14ac:dyDescent="0.25">
      <c r="B7" s="172"/>
      <c r="D7" s="34"/>
      <c r="E7" s="34"/>
      <c r="F7" s="34"/>
      <c r="G7" s="34"/>
      <c r="H7" s="34"/>
    </row>
    <row r="8" spans="2:18" ht="56" x14ac:dyDescent="0.25">
      <c r="B8" s="2278" t="s">
        <v>279</v>
      </c>
      <c r="C8" s="249" t="s">
        <v>358</v>
      </c>
      <c r="D8" s="249" t="s">
        <v>359</v>
      </c>
      <c r="E8" s="249" t="s">
        <v>360</v>
      </c>
      <c r="F8" s="249" t="s">
        <v>361</v>
      </c>
      <c r="G8" s="249" t="s">
        <v>990</v>
      </c>
      <c r="H8" s="249" t="s">
        <v>584</v>
      </c>
      <c r="I8" s="249" t="s">
        <v>362</v>
      </c>
      <c r="J8" s="249" t="s">
        <v>363</v>
      </c>
      <c r="K8" s="249" t="s">
        <v>364</v>
      </c>
      <c r="L8" s="249" t="s">
        <v>578</v>
      </c>
      <c r="M8" s="249" t="s">
        <v>579</v>
      </c>
      <c r="N8" s="249" t="s">
        <v>590</v>
      </c>
      <c r="O8" s="249" t="s">
        <v>39</v>
      </c>
      <c r="Q8" s="15" t="s">
        <v>1569</v>
      </c>
      <c r="R8" s="15" t="s">
        <v>1568</v>
      </c>
    </row>
    <row r="9" spans="2:18" x14ac:dyDescent="0.25">
      <c r="B9" s="2402"/>
      <c r="C9" s="249" t="s">
        <v>73</v>
      </c>
      <c r="D9" s="249" t="s">
        <v>74</v>
      </c>
      <c r="E9" s="249" t="s">
        <v>580</v>
      </c>
      <c r="F9" s="249" t="s">
        <v>411</v>
      </c>
      <c r="G9" s="249" t="s">
        <v>412</v>
      </c>
      <c r="H9" s="249" t="s">
        <v>581</v>
      </c>
      <c r="I9" s="249" t="s">
        <v>586</v>
      </c>
      <c r="J9" s="249" t="s">
        <v>582</v>
      </c>
      <c r="K9" s="249" t="s">
        <v>587</v>
      </c>
      <c r="L9" s="249" t="s">
        <v>588</v>
      </c>
      <c r="M9" s="249" t="s">
        <v>583</v>
      </c>
      <c r="N9" s="249" t="s">
        <v>589</v>
      </c>
      <c r="O9" s="249" t="s">
        <v>585</v>
      </c>
    </row>
    <row r="10" spans="2:18" x14ac:dyDescent="0.25">
      <c r="B10" s="161"/>
      <c r="C10" s="112"/>
      <c r="D10" s="162"/>
      <c r="E10" s="162"/>
      <c r="F10" s="162"/>
      <c r="G10" s="162"/>
      <c r="H10" s="162"/>
      <c r="I10" s="162"/>
      <c r="J10" s="162"/>
      <c r="K10" s="112"/>
      <c r="L10" s="112"/>
      <c r="M10" s="112"/>
      <c r="N10" s="112"/>
      <c r="O10" s="112"/>
    </row>
    <row r="11" spans="2:18" x14ac:dyDescent="0.25">
      <c r="B11" s="177" t="s">
        <v>293</v>
      </c>
      <c r="C11" s="25"/>
      <c r="D11" s="25"/>
      <c r="E11" s="25"/>
      <c r="F11" s="25"/>
      <c r="G11" s="25"/>
      <c r="H11" s="25"/>
      <c r="I11" s="380"/>
      <c r="J11" s="25"/>
      <c r="K11" s="335"/>
      <c r="L11" s="335"/>
      <c r="M11" s="25"/>
      <c r="N11" s="335"/>
      <c r="O11" s="25"/>
    </row>
    <row r="12" spans="2:18" x14ac:dyDescent="0.25">
      <c r="B12" s="25" t="s">
        <v>953</v>
      </c>
      <c r="C12" s="402">
        <f>'F16'!E13</f>
        <v>40</v>
      </c>
      <c r="D12" s="353">
        <f>'F1'!O66</f>
        <v>178.86294300000003</v>
      </c>
      <c r="E12" s="353">
        <v>13.570273614999998</v>
      </c>
      <c r="F12" s="353">
        <v>116.75563253399999</v>
      </c>
      <c r="G12" s="353">
        <v>9.4651854029999978</v>
      </c>
      <c r="H12" s="353">
        <v>9.9858986230000006</v>
      </c>
      <c r="I12" s="378">
        <f t="shared" ref="I12:I42" si="0">E12+F12+G12+H12</f>
        <v>149.77699017499998</v>
      </c>
      <c r="J12" s="353">
        <v>0</v>
      </c>
      <c r="K12" s="359">
        <f t="shared" ref="K12:K51" si="1">I12+J12</f>
        <v>149.77699017499998</v>
      </c>
      <c r="L12" s="359">
        <f t="shared" ref="L12:L46" si="2">K12*10/D12</f>
        <v>8.3738413146316155</v>
      </c>
      <c r="M12" s="353">
        <v>8.331339375515828</v>
      </c>
      <c r="N12" s="359">
        <f t="shared" ref="N12:N46" si="3">M12-L12</f>
        <v>-4.2501939115787479E-2</v>
      </c>
      <c r="O12" s="353"/>
      <c r="Q12" s="375">
        <f t="shared" ref="Q12:Q18" si="4">F12/D12*10</f>
        <v>6.5276591436829907</v>
      </c>
      <c r="R12" s="375">
        <f t="shared" ref="R12:R18" si="5">G12/D12*10</f>
        <v>0.52918649577402943</v>
      </c>
    </row>
    <row r="13" spans="2:18" x14ac:dyDescent="0.25">
      <c r="B13" s="25" t="s">
        <v>954</v>
      </c>
      <c r="C13" s="402">
        <f>'F16'!E14</f>
        <v>78</v>
      </c>
      <c r="D13" s="353">
        <f>'F1'!O67</f>
        <v>225.82804600000003</v>
      </c>
      <c r="E13" s="353">
        <v>25.152756059000005</v>
      </c>
      <c r="F13" s="353">
        <v>150.15591287399999</v>
      </c>
      <c r="G13" s="353">
        <v>11.950854305999998</v>
      </c>
      <c r="H13" s="353">
        <v>13.047681811000004</v>
      </c>
      <c r="I13" s="378">
        <f t="shared" si="0"/>
        <v>200.30720504999999</v>
      </c>
      <c r="J13" s="353">
        <v>0</v>
      </c>
      <c r="K13" s="359">
        <f t="shared" si="1"/>
        <v>200.30720504999999</v>
      </c>
      <c r="L13" s="359">
        <f t="shared" si="2"/>
        <v>8.8698994034602752</v>
      </c>
      <c r="M13" s="374">
        <v>8.7905227923393205</v>
      </c>
      <c r="N13" s="359">
        <f t="shared" si="3"/>
        <v>-7.9376611120954621E-2</v>
      </c>
      <c r="O13" s="374"/>
      <c r="Q13" s="375">
        <f t="shared" si="4"/>
        <v>6.649125984732648</v>
      </c>
      <c r="R13" s="375">
        <f t="shared" si="5"/>
        <v>0.52920151051566011</v>
      </c>
    </row>
    <row r="14" spans="2:18" x14ac:dyDescent="0.25">
      <c r="B14" s="25" t="s">
        <v>1717</v>
      </c>
      <c r="C14" s="402">
        <f>'F16'!E15</f>
        <v>8</v>
      </c>
      <c r="D14" s="353">
        <f>'F1'!O68</f>
        <v>30.026651999999999</v>
      </c>
      <c r="E14" s="353">
        <v>2.0594026899999998</v>
      </c>
      <c r="F14" s="353">
        <v>16.761674473999999</v>
      </c>
      <c r="G14" s="353">
        <v>1.5891071779999999</v>
      </c>
      <c r="H14" s="353">
        <v>1.4422741899999998</v>
      </c>
      <c r="I14" s="378">
        <f t="shared" si="0"/>
        <v>21.852458531999996</v>
      </c>
      <c r="J14" s="353">
        <v>0</v>
      </c>
      <c r="K14" s="359">
        <f t="shared" si="1"/>
        <v>21.852458531999996</v>
      </c>
      <c r="L14" s="359">
        <f t="shared" si="2"/>
        <v>7.2776873465613141</v>
      </c>
      <c r="M14" s="374">
        <v>7.3160940638538738</v>
      </c>
      <c r="N14" s="359">
        <f t="shared" si="3"/>
        <v>3.8406717292559733E-2</v>
      </c>
      <c r="O14" s="374"/>
      <c r="Q14" s="375">
        <f t="shared" si="4"/>
        <v>5.5822655399609653</v>
      </c>
      <c r="R14" s="375">
        <f t="shared" si="5"/>
        <v>0.52923222275996673</v>
      </c>
    </row>
    <row r="15" spans="2:18" x14ac:dyDescent="0.25">
      <c r="B15" s="25" t="s">
        <v>987</v>
      </c>
      <c r="C15" s="402">
        <f>'F16'!E16</f>
        <v>12</v>
      </c>
      <c r="D15" s="353">
        <f>'F1'!O69</f>
        <v>37.338343999999999</v>
      </c>
      <c r="E15" s="353">
        <v>4.2798500899999992</v>
      </c>
      <c r="F15" s="353">
        <v>21.560395024000002</v>
      </c>
      <c r="G15" s="353">
        <v>1.9764086980000004</v>
      </c>
      <c r="H15" s="353">
        <v>2.0486431060000001</v>
      </c>
      <c r="I15" s="378">
        <f t="shared" si="0"/>
        <v>29.865296918000002</v>
      </c>
      <c r="J15" s="353">
        <v>0</v>
      </c>
      <c r="K15" s="359">
        <f t="shared" si="1"/>
        <v>29.865296918000002</v>
      </c>
      <c r="L15" s="359">
        <f t="shared" si="2"/>
        <v>7.9985595820746633</v>
      </c>
      <c r="M15" s="374">
        <v>8.0570612151974323</v>
      </c>
      <c r="N15" s="359">
        <f t="shared" si="3"/>
        <v>5.8501633122769015E-2</v>
      </c>
      <c r="O15" s="374"/>
      <c r="Q15" s="375">
        <f t="shared" si="4"/>
        <v>5.7743308123145471</v>
      </c>
      <c r="R15" s="375">
        <f t="shared" si="5"/>
        <v>0.52932414410237383</v>
      </c>
    </row>
    <row r="16" spans="2:18" x14ac:dyDescent="0.25">
      <c r="B16" s="25" t="s">
        <v>1718</v>
      </c>
      <c r="C16" s="402">
        <f>'F16'!E17</f>
        <v>3</v>
      </c>
      <c r="D16" s="353">
        <f>'F1'!O70</f>
        <v>2.2195320000000001</v>
      </c>
      <c r="E16" s="353">
        <v>0.40974820000000001</v>
      </c>
      <c r="F16" s="353">
        <v>1.2379701599999999</v>
      </c>
      <c r="G16" s="353">
        <v>0.11746005600000001</v>
      </c>
      <c r="H16" s="353">
        <v>0.11185991199999999</v>
      </c>
      <c r="I16" s="378">
        <f t="shared" si="0"/>
        <v>1.8770383279999998</v>
      </c>
      <c r="J16" s="353">
        <v>0</v>
      </c>
      <c r="K16" s="359">
        <f t="shared" si="1"/>
        <v>1.8770383279999998</v>
      </c>
      <c r="L16" s="359">
        <f t="shared" si="2"/>
        <v>8.456910411744456</v>
      </c>
      <c r="M16" s="374">
        <v>7.7197737341235477</v>
      </c>
      <c r="N16" s="359">
        <f t="shared" si="3"/>
        <v>-0.73713667762090829</v>
      </c>
      <c r="O16" s="374"/>
      <c r="Q16" s="375">
        <f t="shared" si="4"/>
        <v>5.5776179843318321</v>
      </c>
      <c r="R16" s="375">
        <f t="shared" si="5"/>
        <v>0.52921091473337623</v>
      </c>
    </row>
    <row r="17" spans="1:18" x14ac:dyDescent="0.25">
      <c r="B17" s="25" t="s">
        <v>988</v>
      </c>
      <c r="C17" s="402">
        <f>'F16'!E18</f>
        <v>4</v>
      </c>
      <c r="D17" s="353">
        <f>'F1'!O71</f>
        <v>25.843350000000001</v>
      </c>
      <c r="E17" s="353">
        <v>2.0148280000000001</v>
      </c>
      <c r="F17" s="353">
        <v>16.347330630000002</v>
      </c>
      <c r="G17" s="353">
        <v>1.3676969399999999</v>
      </c>
      <c r="H17" s="353">
        <v>1.3563287500000001</v>
      </c>
      <c r="I17" s="378">
        <f t="shared" si="0"/>
        <v>21.086184320000001</v>
      </c>
      <c r="J17" s="353">
        <v>0</v>
      </c>
      <c r="K17" s="359">
        <f t="shared" si="1"/>
        <v>21.086184320000001</v>
      </c>
      <c r="L17" s="359">
        <f t="shared" si="2"/>
        <v>8.1592302545916073</v>
      </c>
      <c r="M17" s="374">
        <v>7.2488685907434371</v>
      </c>
      <c r="N17" s="359">
        <f t="shared" si="3"/>
        <v>-0.91036166384817019</v>
      </c>
      <c r="O17" s="374"/>
      <c r="Q17" s="375">
        <f t="shared" si="4"/>
        <v>6.3255462739931172</v>
      </c>
      <c r="R17" s="375">
        <f t="shared" si="5"/>
        <v>0.52922587048505698</v>
      </c>
    </row>
    <row r="18" spans="1:18" x14ac:dyDescent="0.25">
      <c r="B18" s="25" t="s">
        <v>989</v>
      </c>
      <c r="C18" s="402">
        <f>'F16'!E19</f>
        <v>31</v>
      </c>
      <c r="D18" s="353">
        <f>'F1'!O72</f>
        <v>159.86613100000002</v>
      </c>
      <c r="E18" s="353">
        <v>12.452565091999999</v>
      </c>
      <c r="F18" s="353">
        <v>106.419336609</v>
      </c>
      <c r="G18" s="353">
        <v>8.4603140089999993</v>
      </c>
      <c r="H18" s="353">
        <v>8.9298551300000018</v>
      </c>
      <c r="I18" s="378">
        <f t="shared" si="0"/>
        <v>136.26207084000001</v>
      </c>
      <c r="J18" s="353">
        <v>0</v>
      </c>
      <c r="K18" s="359">
        <f t="shared" si="1"/>
        <v>136.26207084000001</v>
      </c>
      <c r="L18" s="359">
        <f t="shared" si="2"/>
        <v>8.5235108892452018</v>
      </c>
      <c r="M18" s="374">
        <v>8.2111369231813498</v>
      </c>
      <c r="N18" s="359">
        <f t="shared" si="3"/>
        <v>-0.31237396606385204</v>
      </c>
      <c r="O18" s="374"/>
      <c r="Q18" s="375">
        <f t="shared" si="4"/>
        <v>6.6567781395172432</v>
      </c>
      <c r="R18" s="375">
        <f t="shared" si="5"/>
        <v>0.52921240766125743</v>
      </c>
    </row>
    <row r="19" spans="1:18" x14ac:dyDescent="0.25">
      <c r="B19" s="25" t="s">
        <v>986</v>
      </c>
      <c r="C19" s="402">
        <f>'F16'!E20</f>
        <v>9</v>
      </c>
      <c r="D19" s="353">
        <f>'F1'!O73</f>
        <v>20.814780000000003</v>
      </c>
      <c r="E19" s="353">
        <v>0.92469749999999995</v>
      </c>
      <c r="F19" s="353">
        <v>17.157806304000001</v>
      </c>
      <c r="G19" s="353">
        <v>1.1020657319999998</v>
      </c>
      <c r="H19" s="353">
        <v>1.3255599579999999</v>
      </c>
      <c r="I19" s="378">
        <f t="shared" si="0"/>
        <v>20.510129494000001</v>
      </c>
      <c r="J19" s="374"/>
      <c r="K19" s="359">
        <f t="shared" si="1"/>
        <v>20.510129494000001</v>
      </c>
      <c r="L19" s="359">
        <f t="shared" si="2"/>
        <v>9.8536374124540345</v>
      </c>
      <c r="M19" s="374">
        <v>9.1493436204326279</v>
      </c>
      <c r="N19" s="359"/>
      <c r="O19" s="374"/>
    </row>
    <row r="20" spans="1:18" x14ac:dyDescent="0.25">
      <c r="B20" s="385"/>
      <c r="C20" s="403"/>
      <c r="D20" s="376"/>
      <c r="E20" s="386"/>
      <c r="F20" s="376"/>
      <c r="G20" s="376"/>
      <c r="H20" s="376"/>
      <c r="I20" s="381"/>
      <c r="J20" s="376"/>
      <c r="K20" s="382"/>
      <c r="L20" s="382"/>
      <c r="M20" s="376"/>
      <c r="N20" s="382"/>
      <c r="O20" s="376"/>
    </row>
    <row r="21" spans="1:18" s="28" customFormat="1" x14ac:dyDescent="0.25">
      <c r="B21" s="177" t="s">
        <v>972</v>
      </c>
      <c r="C21" s="401">
        <f>SUM(C12:C19)</f>
        <v>185</v>
      </c>
      <c r="D21" s="379">
        <f>SUM(D12:D19)</f>
        <v>680.79977800000017</v>
      </c>
      <c r="E21" s="354">
        <f>(SUM(E12:E19))</f>
        <v>60.864121246000003</v>
      </c>
      <c r="F21" s="354">
        <f>(SUM(F12:F19))</f>
        <v>446.39605860899997</v>
      </c>
      <c r="G21" s="354">
        <f>(SUM(G12:G19))</f>
        <v>36.02909232199999</v>
      </c>
      <c r="H21" s="354">
        <f>(SUM(H12:H19))</f>
        <v>38.248101480000003</v>
      </c>
      <c r="I21" s="373">
        <f t="shared" si="0"/>
        <v>581.53737365699999</v>
      </c>
      <c r="J21" s="379">
        <v>0</v>
      </c>
      <c r="K21" s="361">
        <f t="shared" si="1"/>
        <v>581.53737365699999</v>
      </c>
      <c r="L21" s="361">
        <f t="shared" si="2"/>
        <v>8.541973608825117</v>
      </c>
      <c r="M21" s="379">
        <v>8.3960535464384947</v>
      </c>
      <c r="N21" s="361">
        <f t="shared" si="3"/>
        <v>-0.14592006238662236</v>
      </c>
      <c r="O21" s="379"/>
    </row>
    <row r="22" spans="1:18" x14ac:dyDescent="0.25">
      <c r="B22" s="366"/>
      <c r="C22" s="404"/>
      <c r="D22" s="387"/>
      <c r="E22" s="387"/>
      <c r="F22" s="387"/>
      <c r="G22" s="387"/>
      <c r="H22" s="387"/>
      <c r="I22" s="388"/>
      <c r="J22" s="387"/>
      <c r="K22" s="360"/>
      <c r="L22" s="360"/>
      <c r="M22" s="387"/>
      <c r="N22" s="360"/>
      <c r="O22" s="387"/>
    </row>
    <row r="23" spans="1:18" x14ac:dyDescent="0.25">
      <c r="B23" s="177" t="s">
        <v>294</v>
      </c>
      <c r="C23" s="405"/>
      <c r="D23" s="374"/>
      <c r="E23" s="374"/>
      <c r="F23" s="374"/>
      <c r="G23" s="374"/>
      <c r="H23" s="374"/>
      <c r="I23" s="378"/>
      <c r="J23" s="374"/>
      <c r="K23" s="359"/>
      <c r="L23" s="359"/>
      <c r="M23" s="374"/>
      <c r="N23" s="359"/>
      <c r="O23" s="374"/>
    </row>
    <row r="24" spans="1:18" x14ac:dyDescent="0.25">
      <c r="B24" s="76"/>
      <c r="C24" s="405"/>
      <c r="D24" s="374"/>
      <c r="E24" s="374"/>
      <c r="F24" s="374"/>
      <c r="G24" s="374"/>
      <c r="H24" s="374"/>
      <c r="I24" s="378"/>
      <c r="J24" s="374"/>
      <c r="K24" s="359"/>
      <c r="L24" s="359"/>
      <c r="M24" s="374"/>
      <c r="N24" s="359"/>
      <c r="O24" s="374"/>
    </row>
    <row r="25" spans="1:18" x14ac:dyDescent="0.25">
      <c r="B25" s="25" t="s">
        <v>898</v>
      </c>
      <c r="C25" s="405">
        <f>'F16'!E26</f>
        <v>58</v>
      </c>
      <c r="D25" s="374">
        <f>'F1'!$O$78</f>
        <v>3.2233999999999999E-2</v>
      </c>
      <c r="E25" s="353">
        <v>9.4899999999999997E-4</v>
      </c>
      <c r="F25" s="353">
        <v>3.2234E-3</v>
      </c>
      <c r="G25" s="353">
        <v>4.7679619999999997E-3</v>
      </c>
      <c r="H25" s="353">
        <v>4.4567499999999998E-4</v>
      </c>
      <c r="I25" s="378">
        <f t="shared" si="0"/>
        <v>9.3860369999999999E-3</v>
      </c>
      <c r="J25" s="374">
        <v>0</v>
      </c>
      <c r="K25" s="359">
        <f t="shared" si="1"/>
        <v>9.3860369999999999E-3</v>
      </c>
      <c r="L25" s="359">
        <f t="shared" si="2"/>
        <v>2.9118437054042317</v>
      </c>
      <c r="M25" s="374">
        <v>2.7912528315142566</v>
      </c>
      <c r="N25" s="359">
        <f t="shared" si="3"/>
        <v>-0.12059087388997503</v>
      </c>
      <c r="O25" s="374"/>
      <c r="Q25" s="375">
        <f t="shared" ref="Q25:Q42" si="6">F25/D25*10</f>
        <v>1</v>
      </c>
      <c r="R25" s="375">
        <f>G25/D25*10</f>
        <v>1.4791716820748277</v>
      </c>
    </row>
    <row r="26" spans="1:18" x14ac:dyDescent="0.25">
      <c r="B26" s="25" t="s">
        <v>899</v>
      </c>
      <c r="C26" s="403">
        <f>'F16'!E27</f>
        <v>759935</v>
      </c>
      <c r="D26" s="374">
        <f>SUM('F1'!O80:O83)</f>
        <v>2034.6959980000001</v>
      </c>
      <c r="E26" s="353">
        <v>102.11972400000001</v>
      </c>
      <c r="F26" s="353">
        <v>789.37153853799998</v>
      </c>
      <c r="G26" s="353">
        <v>300.88791668200003</v>
      </c>
      <c r="H26" s="353">
        <v>75.901435575999997</v>
      </c>
      <c r="I26" s="378">
        <f>E26+F26+G26+H26</f>
        <v>1268.280614796</v>
      </c>
      <c r="J26" s="374">
        <v>0</v>
      </c>
      <c r="K26" s="359">
        <f>I26+J26</f>
        <v>1268.280614796</v>
      </c>
      <c r="L26" s="359">
        <f t="shared" si="2"/>
        <v>6.2332683410330274</v>
      </c>
      <c r="M26" s="374"/>
      <c r="N26" s="359">
        <f t="shared" si="3"/>
        <v>-6.2332683410330274</v>
      </c>
      <c r="O26" s="374"/>
      <c r="Q26" s="375">
        <f t="shared" si="6"/>
        <v>3.8795551734210463</v>
      </c>
      <c r="R26" s="375">
        <v>0</v>
      </c>
    </row>
    <row r="27" spans="1:18" ht="15.5" x14ac:dyDescent="0.35">
      <c r="B27" s="367" t="s">
        <v>1719</v>
      </c>
      <c r="C27" s="405">
        <f>'F16'!C28</f>
        <v>253151</v>
      </c>
      <c r="D27" s="374">
        <f>'F1'!O84</f>
        <v>885.73634700000002</v>
      </c>
      <c r="E27" s="353">
        <v>110.28251</v>
      </c>
      <c r="F27" s="353">
        <v>452.662711887</v>
      </c>
      <c r="G27" s="353">
        <v>130.975047402</v>
      </c>
      <c r="H27" s="353">
        <v>47.974365077000002</v>
      </c>
      <c r="I27" s="378">
        <f t="shared" si="0"/>
        <v>741.89463436599999</v>
      </c>
      <c r="J27" s="374">
        <v>0</v>
      </c>
      <c r="K27" s="359">
        <f t="shared" si="1"/>
        <v>741.89463436599999</v>
      </c>
      <c r="L27" s="359">
        <f t="shared" si="2"/>
        <v>8.3760211137186165</v>
      </c>
      <c r="M27" s="374">
        <v>8.3320734887230437</v>
      </c>
      <c r="N27" s="359">
        <f t="shared" si="3"/>
        <v>-4.3947624995572809E-2</v>
      </c>
      <c r="O27" s="374"/>
      <c r="Q27" s="375">
        <f t="shared" si="6"/>
        <v>5.1105807435832817</v>
      </c>
      <c r="R27" s="375">
        <f t="shared" ref="R27:R42" si="7">G27/D27*10</f>
        <v>1.4787137035260447</v>
      </c>
    </row>
    <row r="28" spans="1:18" ht="15.5" x14ac:dyDescent="0.35">
      <c r="B28" s="367" t="s">
        <v>1720</v>
      </c>
      <c r="C28" s="405">
        <f>'F16'!C29</f>
        <v>6075</v>
      </c>
      <c r="D28" s="374">
        <f>'F1'!O85</f>
        <v>209.245994</v>
      </c>
      <c r="E28" s="353">
        <v>35.533821291999999</v>
      </c>
      <c r="F28" s="353">
        <v>106.98126647300001</v>
      </c>
      <c r="G28" s="353">
        <v>30.93502655</v>
      </c>
      <c r="H28" s="353">
        <v>11.662097154000001</v>
      </c>
      <c r="I28" s="378">
        <f t="shared" si="0"/>
        <v>185.11221146900002</v>
      </c>
      <c r="J28" s="374">
        <v>0</v>
      </c>
      <c r="K28" s="359">
        <f t="shared" si="1"/>
        <v>185.11221146900002</v>
      </c>
      <c r="L28" s="359">
        <f t="shared" si="2"/>
        <v>8.8466310838428779</v>
      </c>
      <c r="M28" s="374">
        <v>8.7239606384025876</v>
      </c>
      <c r="N28" s="359">
        <f t="shared" si="3"/>
        <v>-0.12267044544029027</v>
      </c>
      <c r="O28" s="374"/>
      <c r="Q28" s="375">
        <f t="shared" si="6"/>
        <v>5.1127032077373968</v>
      </c>
      <c r="R28" s="375">
        <f t="shared" si="7"/>
        <v>1.4784047215737854</v>
      </c>
    </row>
    <row r="29" spans="1:18" ht="15.5" x14ac:dyDescent="0.35">
      <c r="B29" s="367" t="s">
        <v>1721</v>
      </c>
      <c r="C29" s="405">
        <f>'F16'!C30</f>
        <v>2923</v>
      </c>
      <c r="D29" s="374">
        <f>'F1'!O86</f>
        <v>369.407149</v>
      </c>
      <c r="E29" s="353">
        <v>59.270319269000005</v>
      </c>
      <c r="F29" s="353">
        <v>204.591294707</v>
      </c>
      <c r="G29" s="353">
        <v>54.61403829599999</v>
      </c>
      <c r="H29" s="353">
        <v>21.35627852</v>
      </c>
      <c r="I29" s="378">
        <f t="shared" si="0"/>
        <v>339.83193079199998</v>
      </c>
      <c r="J29" s="374">
        <v>0</v>
      </c>
      <c r="K29" s="359">
        <f t="shared" si="1"/>
        <v>339.83193079199998</v>
      </c>
      <c r="L29" s="359">
        <f t="shared" si="2"/>
        <v>9.1993869558815717</v>
      </c>
      <c r="M29" s="374">
        <v>8.9424082370652176</v>
      </c>
      <c r="N29" s="359">
        <f t="shared" si="3"/>
        <v>-0.25697871881635415</v>
      </c>
      <c r="O29" s="374"/>
      <c r="Q29" s="375">
        <f t="shared" si="6"/>
        <v>5.538368579515498</v>
      </c>
      <c r="R29" s="375">
        <f t="shared" si="7"/>
        <v>1.4784239678046942</v>
      </c>
    </row>
    <row r="30" spans="1:18" ht="15.5" x14ac:dyDescent="0.35">
      <c r="A30" s="731"/>
      <c r="B30" s="367" t="s">
        <v>908</v>
      </c>
      <c r="C30" s="405">
        <f>'F16'!C31</f>
        <v>6893</v>
      </c>
      <c r="D30" s="374">
        <f>'F1'!O87</f>
        <v>46.877510000000001</v>
      </c>
      <c r="E30" s="353">
        <v>3.0341084999999999</v>
      </c>
      <c r="F30" s="353">
        <v>22.145644544000003</v>
      </c>
      <c r="G30" s="353">
        <v>6.9319128040000004</v>
      </c>
      <c r="H30" s="353">
        <v>2.3481426089999995</v>
      </c>
      <c r="I30" s="378">
        <f t="shared" si="0"/>
        <v>34.459808457000001</v>
      </c>
      <c r="J30" s="374">
        <v>0</v>
      </c>
      <c r="K30" s="359">
        <f t="shared" si="1"/>
        <v>34.459808457000001</v>
      </c>
      <c r="L30" s="359">
        <f t="shared" si="2"/>
        <v>7.3510321808901544</v>
      </c>
      <c r="M30" s="374">
        <v>7.4700561338681144</v>
      </c>
      <c r="N30" s="359">
        <f t="shared" si="3"/>
        <v>0.11902395297795998</v>
      </c>
      <c r="O30" s="374"/>
      <c r="Q30" s="375">
        <f t="shared" si="6"/>
        <v>4.7241512068367122</v>
      </c>
      <c r="R30" s="375">
        <f t="shared" si="7"/>
        <v>1.4787288838506996</v>
      </c>
    </row>
    <row r="31" spans="1:18" ht="15.5" x14ac:dyDescent="0.35">
      <c r="B31" s="367" t="s">
        <v>1722</v>
      </c>
      <c r="C31" s="405">
        <f>'F16'!C32</f>
        <v>1007</v>
      </c>
      <c r="D31" s="374">
        <f>'F1'!O88</f>
        <v>84.487307000000001</v>
      </c>
      <c r="E31" s="353">
        <v>11.494219060999999</v>
      </c>
      <c r="F31" s="353">
        <v>39.688673424999998</v>
      </c>
      <c r="G31" s="353">
        <v>12.489552580000002</v>
      </c>
      <c r="H31" s="353">
        <v>4.3613696170000003</v>
      </c>
      <c r="I31" s="378">
        <f t="shared" si="0"/>
        <v>68.033814683000003</v>
      </c>
      <c r="J31" s="374">
        <v>0</v>
      </c>
      <c r="K31" s="359">
        <f t="shared" si="1"/>
        <v>68.033814683000003</v>
      </c>
      <c r="L31" s="359">
        <f t="shared" si="2"/>
        <v>8.0525486133674491</v>
      </c>
      <c r="M31" s="374">
        <v>7.895898276212943</v>
      </c>
      <c r="N31" s="359">
        <f t="shared" si="3"/>
        <v>-0.15665033715450605</v>
      </c>
      <c r="O31" s="374"/>
      <c r="Q31" s="375">
        <f t="shared" si="6"/>
        <v>4.6975900681743816</v>
      </c>
      <c r="R31" s="375">
        <f t="shared" si="7"/>
        <v>1.4782756160046624</v>
      </c>
    </row>
    <row r="32" spans="1:18" ht="15.5" x14ac:dyDescent="0.35">
      <c r="B32" s="367" t="s">
        <v>1723</v>
      </c>
      <c r="C32" s="405">
        <f>'F16'!C33</f>
        <v>63</v>
      </c>
      <c r="D32" s="374">
        <f>'F1'!O89</f>
        <v>5.4476819999999995</v>
      </c>
      <c r="E32" s="353">
        <v>0.93060925700000008</v>
      </c>
      <c r="F32" s="353">
        <v>2.5099188680000002</v>
      </c>
      <c r="G32" s="353">
        <v>0.80545262400000006</v>
      </c>
      <c r="H32" s="353">
        <v>0.28633747900000006</v>
      </c>
      <c r="I32" s="378">
        <f t="shared" si="0"/>
        <v>4.5323182280000003</v>
      </c>
      <c r="J32" s="374">
        <v>0</v>
      </c>
      <c r="K32" s="359">
        <f t="shared" si="1"/>
        <v>4.5323182280000003</v>
      </c>
      <c r="L32" s="359">
        <f t="shared" si="2"/>
        <v>8.3197187868161198</v>
      </c>
      <c r="M32" s="374">
        <v>7.9046448248187238</v>
      </c>
      <c r="N32" s="359">
        <f t="shared" si="3"/>
        <v>-0.41507396199739599</v>
      </c>
      <c r="O32" s="374"/>
      <c r="Q32" s="375">
        <f t="shared" si="6"/>
        <v>4.6073153095206374</v>
      </c>
      <c r="R32" s="375">
        <f t="shared" si="7"/>
        <v>1.4785235702083934</v>
      </c>
    </row>
    <row r="33" spans="2:18" ht="15.5" x14ac:dyDescent="0.35">
      <c r="B33" s="367" t="s">
        <v>911</v>
      </c>
      <c r="C33" s="405">
        <f>'F16'!C34</f>
        <v>780</v>
      </c>
      <c r="D33" s="374">
        <f>'F1'!O90</f>
        <v>1.4289839999999998</v>
      </c>
      <c r="E33" s="353">
        <v>0.54434950000000004</v>
      </c>
      <c r="F33" s="353">
        <v>1.003572103</v>
      </c>
      <c r="G33" s="353">
        <v>0.21129300199999995</v>
      </c>
      <c r="H33" s="353">
        <v>0.12271483999999999</v>
      </c>
      <c r="I33" s="378">
        <f t="shared" si="0"/>
        <v>1.8819294449999999</v>
      </c>
      <c r="J33" s="374">
        <v>0</v>
      </c>
      <c r="K33" s="359">
        <f t="shared" si="1"/>
        <v>1.8819294449999999</v>
      </c>
      <c r="L33" s="359">
        <f t="shared" si="2"/>
        <v>13.169702704858839</v>
      </c>
      <c r="M33" s="374">
        <v>13.437791749971923</v>
      </c>
      <c r="N33" s="359">
        <f t="shared" si="3"/>
        <v>0.26808904511308462</v>
      </c>
      <c r="O33" s="374"/>
      <c r="Q33" s="375">
        <f t="shared" si="6"/>
        <v>7.0229764853910206</v>
      </c>
      <c r="R33" s="375">
        <f t="shared" si="7"/>
        <v>1.4786239873924409</v>
      </c>
    </row>
    <row r="34" spans="2:18" ht="15.5" x14ac:dyDescent="0.35">
      <c r="B34" s="367" t="s">
        <v>979</v>
      </c>
      <c r="C34" s="405">
        <f>'F16'!C35</f>
        <v>688</v>
      </c>
      <c r="D34" s="374">
        <f>'F1'!O91</f>
        <v>18.957036270000003</v>
      </c>
      <c r="E34" s="353">
        <v>2.1485177899999996</v>
      </c>
      <c r="F34" s="353">
        <v>8.0669042681299992</v>
      </c>
      <c r="G34" s="353">
        <v>2.8027660504000003</v>
      </c>
      <c r="H34" s="353">
        <v>1.1350730960000002</v>
      </c>
      <c r="I34" s="378">
        <f t="shared" si="0"/>
        <v>14.153261204530001</v>
      </c>
      <c r="J34" s="374">
        <v>0</v>
      </c>
      <c r="K34" s="359">
        <f t="shared" si="1"/>
        <v>14.153261204530001</v>
      </c>
      <c r="L34" s="359">
        <f t="shared" si="2"/>
        <v>7.4659672550861229</v>
      </c>
      <c r="M34" s="374">
        <v>8.1814667906736656</v>
      </c>
      <c r="N34" s="359">
        <f t="shared" si="3"/>
        <v>0.71549953558754265</v>
      </c>
      <c r="O34" s="374"/>
      <c r="Q34" s="375">
        <f t="shared" si="6"/>
        <v>4.2553615202478055</v>
      </c>
      <c r="R34" s="375">
        <f t="shared" si="7"/>
        <v>1.4784832452082446</v>
      </c>
    </row>
    <row r="35" spans="2:18" x14ac:dyDescent="0.25">
      <c r="B35" s="25" t="s">
        <v>913</v>
      </c>
      <c r="C35" s="405">
        <f>'F16'!C36</f>
        <v>61</v>
      </c>
      <c r="D35" s="374">
        <f>'F1'!O92</f>
        <v>0.16557700000000003</v>
      </c>
      <c r="E35" s="353">
        <v>1.42325E-2</v>
      </c>
      <c r="F35" s="353">
        <v>5.960772000000001E-2</v>
      </c>
      <c r="G35" s="353">
        <v>2.4494912000000001E-2</v>
      </c>
      <c r="H35" s="353">
        <v>2.187198E-3</v>
      </c>
      <c r="I35" s="378">
        <f t="shared" si="0"/>
        <v>0.10052233000000002</v>
      </c>
      <c r="J35" s="374">
        <v>0</v>
      </c>
      <c r="K35" s="359">
        <f t="shared" si="1"/>
        <v>0.10052233000000002</v>
      </c>
      <c r="L35" s="359">
        <f t="shared" si="2"/>
        <v>6.0710322085796937</v>
      </c>
      <c r="M35" s="374">
        <v>5.1693132006554112</v>
      </c>
      <c r="N35" s="359">
        <f t="shared" si="3"/>
        <v>-0.9017190079242825</v>
      </c>
      <c r="O35" s="374"/>
      <c r="Q35" s="375">
        <f t="shared" si="6"/>
        <v>3.5999999999999996</v>
      </c>
      <c r="R35" s="375">
        <f t="shared" si="7"/>
        <v>1.4793668202709311</v>
      </c>
    </row>
    <row r="36" spans="2:18" x14ac:dyDescent="0.25">
      <c r="B36" s="25" t="s">
        <v>914</v>
      </c>
      <c r="C36" s="405">
        <f>'F16'!C37</f>
        <v>662</v>
      </c>
      <c r="D36" s="374">
        <f>'F1'!O93</f>
        <v>10.751319999999998</v>
      </c>
      <c r="E36" s="353">
        <v>1.5081395</v>
      </c>
      <c r="F36" s="353">
        <v>7.7007282069999992</v>
      </c>
      <c r="G36" s="353">
        <v>1.5898826180000001</v>
      </c>
      <c r="H36" s="353">
        <v>0.75335683699999989</v>
      </c>
      <c r="I36" s="378">
        <f t="shared" si="0"/>
        <v>11.552107162</v>
      </c>
      <c r="J36" s="374">
        <v>0</v>
      </c>
      <c r="K36" s="359">
        <f t="shared" si="1"/>
        <v>11.552107162</v>
      </c>
      <c r="L36" s="359">
        <f t="shared" si="2"/>
        <v>10.74482683242616</v>
      </c>
      <c r="M36" s="374">
        <v>9.8382839458257472</v>
      </c>
      <c r="N36" s="359">
        <f t="shared" si="3"/>
        <v>-0.9065428866004126</v>
      </c>
      <c r="O36" s="374"/>
      <c r="Q36" s="375">
        <f t="shared" si="6"/>
        <v>7.1625886002835006</v>
      </c>
      <c r="R36" s="375">
        <f t="shared" si="7"/>
        <v>1.4787789945792706</v>
      </c>
    </row>
    <row r="37" spans="2:18" x14ac:dyDescent="0.25">
      <c r="B37" s="25" t="s">
        <v>915</v>
      </c>
      <c r="C37" s="405">
        <f>'F16'!C38</f>
        <v>45</v>
      </c>
      <c r="D37" s="374">
        <f>'F1'!O94</f>
        <v>1.4703659999999998</v>
      </c>
      <c r="E37" s="353">
        <v>1.6230999999999999E-2</v>
      </c>
      <c r="F37" s="353">
        <v>0.602058706</v>
      </c>
      <c r="G37" s="353">
        <v>0.21736130000000001</v>
      </c>
      <c r="H37" s="353">
        <v>5.9107657999999993E-2</v>
      </c>
      <c r="I37" s="378">
        <f t="shared" si="0"/>
        <v>0.89475866399999993</v>
      </c>
      <c r="J37" s="374">
        <v>0</v>
      </c>
      <c r="K37" s="359">
        <f t="shared" si="1"/>
        <v>0.89475866399999993</v>
      </c>
      <c r="L37" s="359">
        <f t="shared" si="2"/>
        <v>6.0852785224903183</v>
      </c>
      <c r="M37" s="374">
        <v>5.9922206741360764</v>
      </c>
      <c r="N37" s="359">
        <f t="shared" si="3"/>
        <v>-9.3057848354241912E-2</v>
      </c>
      <c r="O37" s="374"/>
      <c r="Q37" s="375">
        <f t="shared" si="6"/>
        <v>4.0946179794690583</v>
      </c>
      <c r="R37" s="375">
        <f t="shared" si="7"/>
        <v>1.4782802377095228</v>
      </c>
    </row>
    <row r="38" spans="2:18" x14ac:dyDescent="0.25">
      <c r="B38" s="28" t="s">
        <v>1724</v>
      </c>
      <c r="C38" s="405">
        <f>'F16'!C39</f>
        <v>637</v>
      </c>
      <c r="D38" s="374">
        <f>'F1'!O95</f>
        <v>56.793369999999996</v>
      </c>
      <c r="E38" s="353">
        <v>0.27146199999999998</v>
      </c>
      <c r="F38" s="353">
        <v>32.985141894000002</v>
      </c>
      <c r="G38" s="353">
        <v>8.396937037999999</v>
      </c>
      <c r="H38" s="353">
        <v>2.9422424490000001</v>
      </c>
      <c r="I38" s="378">
        <f t="shared" si="0"/>
        <v>44.595783380999997</v>
      </c>
      <c r="J38" s="374">
        <v>0</v>
      </c>
      <c r="K38" s="359">
        <f t="shared" si="1"/>
        <v>44.595783380999997</v>
      </c>
      <c r="L38" s="359">
        <f t="shared" si="2"/>
        <v>7.8522868745066541</v>
      </c>
      <c r="M38" s="374">
        <v>7.8260232726735364</v>
      </c>
      <c r="N38" s="359">
        <f t="shared" si="3"/>
        <v>-2.6263601833117711E-2</v>
      </c>
      <c r="O38" s="374"/>
      <c r="Q38" s="375">
        <f t="shared" si="6"/>
        <v>5.8079212228469634</v>
      </c>
      <c r="R38" s="375">
        <f t="shared" si="7"/>
        <v>1.4785065647627529</v>
      </c>
    </row>
    <row r="39" spans="2:18" x14ac:dyDescent="0.25">
      <c r="B39" s="28" t="s">
        <v>1725</v>
      </c>
      <c r="C39" s="405">
        <f>'F16'!C40</f>
        <v>6269</v>
      </c>
      <c r="D39" s="374">
        <f>'F1'!O96</f>
        <v>162.42448400000001</v>
      </c>
      <c r="E39" s="353">
        <v>2.7427619999999999</v>
      </c>
      <c r="F39" s="353">
        <v>98.562766495000005</v>
      </c>
      <c r="G39" s="353">
        <v>24.015147337999998</v>
      </c>
      <c r="H39" s="353">
        <v>8.7996136209999989</v>
      </c>
      <c r="I39" s="378">
        <f t="shared" si="0"/>
        <v>134.12028945399999</v>
      </c>
      <c r="J39" s="374">
        <v>0</v>
      </c>
      <c r="K39" s="359">
        <f t="shared" si="1"/>
        <v>134.12028945399999</v>
      </c>
      <c r="L39" s="359">
        <f t="shared" si="2"/>
        <v>8.2573935992310101</v>
      </c>
      <c r="M39" s="374">
        <v>8.1403427363576579</v>
      </c>
      <c r="N39" s="359">
        <f t="shared" si="3"/>
        <v>-0.1170508628733522</v>
      </c>
      <c r="O39" s="374"/>
      <c r="Q39" s="375">
        <f t="shared" si="6"/>
        <v>6.0682210013977942</v>
      </c>
      <c r="R39" s="375">
        <f t="shared" si="7"/>
        <v>1.4785423198881764</v>
      </c>
    </row>
    <row r="40" spans="2:18" x14ac:dyDescent="0.25">
      <c r="B40" s="25" t="s">
        <v>917</v>
      </c>
      <c r="C40" s="405"/>
      <c r="D40" s="374"/>
      <c r="E40" s="353"/>
      <c r="F40" s="353"/>
      <c r="G40" s="353"/>
      <c r="H40" s="353"/>
      <c r="I40" s="378"/>
      <c r="J40" s="374"/>
      <c r="K40" s="359"/>
      <c r="L40" s="359"/>
      <c r="M40" s="374"/>
      <c r="N40" s="359"/>
      <c r="O40" s="374"/>
      <c r="Q40" s="375"/>
      <c r="R40" s="375"/>
    </row>
    <row r="41" spans="2:18" x14ac:dyDescent="0.25">
      <c r="B41" s="25" t="s">
        <v>918</v>
      </c>
      <c r="C41" s="405"/>
      <c r="D41" s="374"/>
      <c r="E41" s="353"/>
      <c r="F41" s="353"/>
      <c r="G41" s="353"/>
      <c r="H41" s="353"/>
      <c r="I41" s="378"/>
      <c r="J41" s="374"/>
      <c r="K41" s="359"/>
      <c r="L41" s="359"/>
      <c r="M41" s="374"/>
      <c r="N41" s="359"/>
      <c r="O41" s="374"/>
      <c r="Q41" s="375"/>
      <c r="R41" s="375"/>
    </row>
    <row r="42" spans="2:18" x14ac:dyDescent="0.25">
      <c r="B42" s="25" t="s">
        <v>1726</v>
      </c>
      <c r="C42" s="405">
        <f>'F16'!C41</f>
        <v>7</v>
      </c>
      <c r="D42" s="374">
        <f>'F1'!O99</f>
        <v>0.62017299999999997</v>
      </c>
      <c r="E42" s="353">
        <v>5.2104429999999993E-2</v>
      </c>
      <c r="F42" s="353">
        <v>0.28035520399999991</v>
      </c>
      <c r="G42" s="353">
        <v>9.1748596000000002E-2</v>
      </c>
      <c r="H42" s="353">
        <v>3.7320197999999999E-2</v>
      </c>
      <c r="I42" s="378">
        <f t="shared" si="0"/>
        <v>0.46152842799999994</v>
      </c>
      <c r="J42" s="374">
        <v>0</v>
      </c>
      <c r="K42" s="359">
        <f t="shared" si="1"/>
        <v>0.46152842799999994</v>
      </c>
      <c r="L42" s="359">
        <f t="shared" si="2"/>
        <v>7.4419303645918147</v>
      </c>
      <c r="M42" s="374">
        <v>6.4561145462388865</v>
      </c>
      <c r="N42" s="359">
        <f t="shared" si="3"/>
        <v>-0.9858158183529282</v>
      </c>
      <c r="O42" s="374"/>
      <c r="Q42" s="375">
        <f t="shared" si="6"/>
        <v>4.5205967367170121</v>
      </c>
      <c r="R42" s="375">
        <f t="shared" si="7"/>
        <v>1.4794032632829874</v>
      </c>
    </row>
    <row r="43" spans="2:18" ht="15.5" x14ac:dyDescent="0.35">
      <c r="B43" s="367"/>
      <c r="C43" s="405"/>
      <c r="D43" s="374"/>
      <c r="E43" s="374"/>
      <c r="F43" s="374"/>
      <c r="G43" s="374"/>
      <c r="H43" s="374"/>
      <c r="I43" s="378"/>
      <c r="J43" s="374"/>
      <c r="K43" s="359">
        <f t="shared" si="1"/>
        <v>0</v>
      </c>
      <c r="L43" s="359"/>
      <c r="M43" s="374"/>
      <c r="N43" s="359"/>
      <c r="O43" s="374"/>
    </row>
    <row r="44" spans="2:18" s="22" customFormat="1" x14ac:dyDescent="0.25">
      <c r="B44" s="177" t="s">
        <v>972</v>
      </c>
      <c r="C44" s="401">
        <f t="shared" ref="C44:I44" si="8">SUM(C25:C42)</f>
        <v>1039254</v>
      </c>
      <c r="D44" s="379">
        <f t="shared" si="8"/>
        <v>3888.5415312700002</v>
      </c>
      <c r="E44" s="379">
        <f t="shared" si="8"/>
        <v>329.96405909900005</v>
      </c>
      <c r="F44" s="379">
        <f t="shared" si="8"/>
        <v>1767.2154064391302</v>
      </c>
      <c r="G44" s="379">
        <f t="shared" si="8"/>
        <v>574.99334575440025</v>
      </c>
      <c r="H44" s="379">
        <f t="shared" si="8"/>
        <v>177.74208760399998</v>
      </c>
      <c r="I44" s="379">
        <f t="shared" si="8"/>
        <v>2849.9148988965294</v>
      </c>
      <c r="J44" s="379">
        <v>0</v>
      </c>
      <c r="K44" s="361">
        <f t="shared" si="1"/>
        <v>2849.9148988965294</v>
      </c>
      <c r="L44" s="361">
        <f t="shared" si="2"/>
        <v>7.3290072279766685</v>
      </c>
      <c r="M44" s="379">
        <v>7.2318376175457209</v>
      </c>
      <c r="N44" s="361">
        <f t="shared" si="3"/>
        <v>-9.7169610430947628E-2</v>
      </c>
      <c r="O44" s="379"/>
    </row>
    <row r="45" spans="2:18" x14ac:dyDescent="0.25">
      <c r="B45" s="76" t="s">
        <v>978</v>
      </c>
      <c r="C45" s="405">
        <v>0</v>
      </c>
      <c r="D45" s="374">
        <v>0</v>
      </c>
      <c r="E45" s="375">
        <v>0.62442420799999998</v>
      </c>
      <c r="F45" s="374">
        <v>-1.9256784219999965</v>
      </c>
      <c r="G45" s="374">
        <v>-0.34506659900000008</v>
      </c>
      <c r="H45" s="374">
        <v>-0.20101997200000007</v>
      </c>
      <c r="I45" s="374">
        <v>-1.8473407849999963</v>
      </c>
      <c r="J45" s="374">
        <v>0</v>
      </c>
      <c r="K45" s="359">
        <f t="shared" si="1"/>
        <v>-1.8473407849999963</v>
      </c>
      <c r="L45" s="359"/>
      <c r="M45" s="374"/>
      <c r="N45" s="359"/>
      <c r="O45" s="374"/>
    </row>
    <row r="46" spans="2:18" s="22" customFormat="1" x14ac:dyDescent="0.25">
      <c r="B46" s="177" t="s">
        <v>145</v>
      </c>
      <c r="C46" s="401">
        <f t="shared" ref="C46:I46" si="9">SUM(C21,C44,C45)</f>
        <v>1039439</v>
      </c>
      <c r="D46" s="379">
        <f t="shared" si="9"/>
        <v>4569.3413092700002</v>
      </c>
      <c r="E46" s="379">
        <f t="shared" si="9"/>
        <v>391.45260455300007</v>
      </c>
      <c r="F46" s="379">
        <f t="shared" si="9"/>
        <v>2211.6857866261303</v>
      </c>
      <c r="G46" s="379">
        <f t="shared" si="9"/>
        <v>610.67737147740024</v>
      </c>
      <c r="H46" s="379">
        <f t="shared" si="9"/>
        <v>215.78916911199997</v>
      </c>
      <c r="I46" s="379">
        <f t="shared" si="9"/>
        <v>3429.6049317685292</v>
      </c>
      <c r="J46" s="379">
        <v>0</v>
      </c>
      <c r="K46" s="361">
        <f t="shared" si="1"/>
        <v>3429.6049317685292</v>
      </c>
      <c r="L46" s="361">
        <f t="shared" si="2"/>
        <v>7.5056877997070526</v>
      </c>
      <c r="M46" s="379">
        <v>7.4051834632223272</v>
      </c>
      <c r="N46" s="361">
        <f t="shared" si="3"/>
        <v>-0.10050433648472534</v>
      </c>
      <c r="O46" s="379"/>
    </row>
    <row r="47" spans="2:18" x14ac:dyDescent="0.25">
      <c r="B47" s="76" t="s">
        <v>980</v>
      </c>
      <c r="C47" s="76"/>
      <c r="D47" s="374"/>
      <c r="E47" s="374"/>
      <c r="F47" s="374"/>
      <c r="G47" s="374"/>
      <c r="H47" s="374"/>
      <c r="I47" s="353">
        <v>18.632217487000002</v>
      </c>
      <c r="J47" s="374"/>
      <c r="K47" s="359">
        <f t="shared" si="1"/>
        <v>18.632217487000002</v>
      </c>
      <c r="L47" s="359"/>
      <c r="M47" s="374"/>
      <c r="N47" s="359"/>
      <c r="O47" s="374"/>
    </row>
    <row r="48" spans="2:18" x14ac:dyDescent="0.25">
      <c r="B48" s="76" t="s">
        <v>981</v>
      </c>
      <c r="C48" s="76"/>
      <c r="D48" s="374"/>
      <c r="E48" s="374"/>
      <c r="F48" s="374"/>
      <c r="G48" s="374"/>
      <c r="H48" s="374"/>
      <c r="I48" s="353">
        <v>-5.3535410999999943E-2</v>
      </c>
      <c r="J48" s="374"/>
      <c r="K48" s="359">
        <f t="shared" si="1"/>
        <v>-5.3535410999999943E-2</v>
      </c>
      <c r="L48" s="359"/>
      <c r="M48" s="374"/>
      <c r="N48" s="359"/>
      <c r="O48" s="374"/>
    </row>
    <row r="49" spans="2:18" x14ac:dyDescent="0.25">
      <c r="B49" s="76" t="s">
        <v>982</v>
      </c>
      <c r="C49" s="76"/>
      <c r="D49" s="374"/>
      <c r="E49" s="374"/>
      <c r="F49" s="374"/>
      <c r="G49" s="374"/>
      <c r="H49" s="374"/>
      <c r="I49" s="353">
        <v>-0.10152895199999988</v>
      </c>
      <c r="J49" s="374"/>
      <c r="K49" s="359">
        <f t="shared" si="1"/>
        <v>-0.10152895199999988</v>
      </c>
      <c r="L49" s="359"/>
      <c r="M49" s="374"/>
      <c r="N49" s="359"/>
      <c r="O49" s="374"/>
    </row>
    <row r="50" spans="2:18" x14ac:dyDescent="0.25">
      <c r="B50" s="76" t="s">
        <v>983</v>
      </c>
      <c r="C50" s="76"/>
      <c r="D50" s="374"/>
      <c r="E50" s="374"/>
      <c r="F50" s="374"/>
      <c r="G50" s="374"/>
      <c r="H50" s="374"/>
      <c r="I50" s="353">
        <v>15.175268771000001</v>
      </c>
      <c r="J50" s="374"/>
      <c r="K50" s="359">
        <f t="shared" si="1"/>
        <v>15.175268771000001</v>
      </c>
      <c r="L50" s="359"/>
      <c r="M50" s="374"/>
      <c r="N50" s="359"/>
      <c r="O50" s="374"/>
    </row>
    <row r="51" spans="2:18" x14ac:dyDescent="0.25">
      <c r="B51" s="76" t="s">
        <v>984</v>
      </c>
      <c r="C51" s="76"/>
      <c r="D51" s="374"/>
      <c r="E51" s="374"/>
      <c r="F51" s="374"/>
      <c r="G51" s="374"/>
      <c r="H51" s="374"/>
      <c r="I51" s="353">
        <v>3.4190614310000003</v>
      </c>
      <c r="J51" s="374"/>
      <c r="K51" s="359">
        <f t="shared" si="1"/>
        <v>3.4190614310000003</v>
      </c>
      <c r="L51" s="359"/>
      <c r="M51" s="374"/>
      <c r="N51" s="359"/>
      <c r="O51" s="374"/>
    </row>
    <row r="52" spans="2:18" s="22" customFormat="1" x14ac:dyDescent="0.25">
      <c r="B52" s="177" t="s">
        <v>985</v>
      </c>
      <c r="C52" s="1622">
        <f t="shared" ref="C52:H52" si="10">SUM(C46:C51)</f>
        <v>1039439</v>
      </c>
      <c r="D52" s="373">
        <f t="shared" si="10"/>
        <v>4569.3413092700002</v>
      </c>
      <c r="E52" s="373">
        <f t="shared" si="10"/>
        <v>391.45260455300007</v>
      </c>
      <c r="F52" s="373">
        <f t="shared" si="10"/>
        <v>2211.6857866261303</v>
      </c>
      <c r="G52" s="373">
        <f t="shared" si="10"/>
        <v>610.67737147740024</v>
      </c>
      <c r="H52" s="373">
        <f t="shared" si="10"/>
        <v>215.78916911199997</v>
      </c>
      <c r="I52" s="373">
        <f>SUM(I46:I51)</f>
        <v>3466.6764150945291</v>
      </c>
      <c r="J52" s="379"/>
      <c r="K52" s="373">
        <f>SUM(K46:K51)</f>
        <v>3466.6764150945291</v>
      </c>
      <c r="L52" s="361">
        <f>K52/D46*10</f>
        <v>7.5868187129325362</v>
      </c>
      <c r="M52" s="401"/>
      <c r="N52" s="1623"/>
      <c r="O52" s="401"/>
    </row>
    <row r="53" spans="2:18" x14ac:dyDescent="0.25">
      <c r="B53" s="224"/>
      <c r="C53" s="43"/>
      <c r="D53" s="1567">
        <f>'F1'!$O$103-D52</f>
        <v>0</v>
      </c>
      <c r="E53" s="43"/>
      <c r="F53" s="43"/>
      <c r="G53" s="43"/>
      <c r="H53" s="43"/>
      <c r="I53" s="633"/>
      <c r="J53" s="43"/>
      <c r="K53" s="424"/>
      <c r="L53" s="197"/>
      <c r="M53" s="43"/>
      <c r="N53" s="197"/>
      <c r="O53" s="43"/>
    </row>
    <row r="54" spans="2:18" x14ac:dyDescent="0.3">
      <c r="B54" s="173" t="s">
        <v>365</v>
      </c>
      <c r="C54" s="174"/>
      <c r="D54" s="174"/>
      <c r="E54" s="174"/>
      <c r="F54" s="174"/>
      <c r="G54" s="174"/>
      <c r="H54" s="174"/>
      <c r="I54" s="174"/>
      <c r="J54" s="174"/>
      <c r="K54" s="1092"/>
    </row>
    <row r="55" spans="2:18" x14ac:dyDescent="0.25">
      <c r="B55" s="175" t="s">
        <v>592</v>
      </c>
      <c r="C55" s="176"/>
      <c r="D55" s="176"/>
      <c r="E55" s="176"/>
      <c r="F55" s="176"/>
      <c r="G55" s="176"/>
      <c r="H55" s="176"/>
      <c r="I55" s="176"/>
      <c r="J55" s="176"/>
      <c r="K55" s="176"/>
    </row>
    <row r="56" spans="2:18" x14ac:dyDescent="0.25">
      <c r="B56" s="15" t="s">
        <v>770</v>
      </c>
    </row>
    <row r="57" spans="2:18" x14ac:dyDescent="0.25">
      <c r="B57" s="15" t="s">
        <v>463</v>
      </c>
    </row>
    <row r="58" spans="2:18" x14ac:dyDescent="0.25">
      <c r="B58" s="15" t="s">
        <v>591</v>
      </c>
    </row>
    <row r="60" spans="2:18" x14ac:dyDescent="0.3">
      <c r="B60" s="46" t="s">
        <v>186</v>
      </c>
      <c r="C60" s="118"/>
      <c r="D60" s="118"/>
      <c r="E60" s="118"/>
      <c r="F60" s="118"/>
      <c r="G60" s="118"/>
      <c r="H60" s="118"/>
      <c r="I60" s="118"/>
      <c r="J60" s="118"/>
      <c r="K60" s="118"/>
    </row>
    <row r="61" spans="2:18" x14ac:dyDescent="0.25">
      <c r="B61" s="172"/>
      <c r="D61" s="34"/>
      <c r="E61" s="34"/>
      <c r="F61" s="34"/>
      <c r="G61" s="34"/>
      <c r="H61" s="34"/>
    </row>
    <row r="62" spans="2:18" s="68" customFormat="1" ht="56" x14ac:dyDescent="0.25">
      <c r="B62" s="2278" t="s">
        <v>279</v>
      </c>
      <c r="C62" s="249" t="s">
        <v>358</v>
      </c>
      <c r="D62" s="249" t="s">
        <v>1731</v>
      </c>
      <c r="E62" s="249" t="s">
        <v>360</v>
      </c>
      <c r="F62" s="249" t="s">
        <v>361</v>
      </c>
      <c r="G62" s="249" t="s">
        <v>990</v>
      </c>
      <c r="H62" s="249" t="s">
        <v>584</v>
      </c>
      <c r="I62" s="249" t="s">
        <v>362</v>
      </c>
      <c r="J62" s="249" t="s">
        <v>363</v>
      </c>
      <c r="K62" s="249" t="s">
        <v>364</v>
      </c>
      <c r="L62" s="249" t="s">
        <v>578</v>
      </c>
      <c r="M62" s="249" t="s">
        <v>579</v>
      </c>
      <c r="N62" s="249" t="s">
        <v>590</v>
      </c>
      <c r="O62" s="249" t="s">
        <v>39</v>
      </c>
      <c r="Q62" s="15" t="s">
        <v>1569</v>
      </c>
      <c r="R62" s="15" t="s">
        <v>1568</v>
      </c>
    </row>
    <row r="63" spans="2:18" s="68" customFormat="1" x14ac:dyDescent="0.25">
      <c r="B63" s="2402"/>
      <c r="C63" s="249" t="s">
        <v>73</v>
      </c>
      <c r="D63" s="249" t="s">
        <v>74</v>
      </c>
      <c r="E63" s="249" t="s">
        <v>580</v>
      </c>
      <c r="F63" s="249" t="s">
        <v>411</v>
      </c>
      <c r="G63" s="249" t="s">
        <v>412</v>
      </c>
      <c r="H63" s="249" t="s">
        <v>581</v>
      </c>
      <c r="I63" s="249" t="s">
        <v>586</v>
      </c>
      <c r="J63" s="249" t="s">
        <v>582</v>
      </c>
      <c r="K63" s="249" t="s">
        <v>587</v>
      </c>
      <c r="L63" s="249" t="s">
        <v>588</v>
      </c>
      <c r="M63" s="249" t="s">
        <v>583</v>
      </c>
      <c r="N63" s="249" t="s">
        <v>589</v>
      </c>
      <c r="O63" s="249" t="s">
        <v>585</v>
      </c>
    </row>
    <row r="64" spans="2:18" x14ac:dyDescent="0.25">
      <c r="B64" s="161"/>
      <c r="C64" s="335"/>
      <c r="D64" s="380"/>
      <c r="E64" s="380"/>
      <c r="F64" s="380"/>
      <c r="G64" s="380"/>
      <c r="H64" s="380"/>
      <c r="I64" s="380"/>
      <c r="J64" s="380"/>
      <c r="K64" s="335"/>
      <c r="L64" s="335"/>
      <c r="M64" s="335"/>
      <c r="N64" s="335">
        <f>M64-L64</f>
        <v>0</v>
      </c>
      <c r="O64" s="335"/>
    </row>
    <row r="65" spans="1:18" x14ac:dyDescent="0.25">
      <c r="B65" s="177" t="s">
        <v>293</v>
      </c>
      <c r="C65" s="25"/>
      <c r="D65" s="25"/>
      <c r="E65" s="25"/>
      <c r="F65" s="25"/>
      <c r="G65" s="25"/>
      <c r="H65" s="25"/>
      <c r="I65" s="380"/>
      <c r="J65" s="25"/>
      <c r="K65" s="335"/>
      <c r="L65" s="335"/>
      <c r="M65" s="25"/>
      <c r="N65" s="335">
        <f t="shared" ref="N65:N91" si="11">M65-L65</f>
        <v>0</v>
      </c>
      <c r="O65" s="25"/>
    </row>
    <row r="66" spans="1:18" ht="15.5" x14ac:dyDescent="0.35">
      <c r="A66" s="375">
        <v>144.91576800000001</v>
      </c>
      <c r="B66" s="367" t="s">
        <v>953</v>
      </c>
      <c r="C66" s="402">
        <f>'F16'!E60</f>
        <v>39</v>
      </c>
      <c r="D66" s="353">
        <f>'F1'!P116</f>
        <v>144.91576799999999</v>
      </c>
      <c r="E66" s="353">
        <v>12.870963709000002</v>
      </c>
      <c r="F66" s="353">
        <v>82.979427459999997</v>
      </c>
      <c r="G66" s="353">
        <v>6.7568797959999998</v>
      </c>
      <c r="H66" s="353">
        <v>1.1538561639999998</v>
      </c>
      <c r="I66" s="378">
        <f t="shared" ref="I66:I87" si="12">E66+F66+G66+H66</f>
        <v>103.761127129</v>
      </c>
      <c r="J66" s="353">
        <v>0</v>
      </c>
      <c r="K66" s="359">
        <f t="shared" ref="K66:K97" si="13">I66+J66</f>
        <v>103.761127129</v>
      </c>
      <c r="L66" s="359">
        <f t="shared" ref="L66:L91" si="14">K66*10/D66</f>
        <v>7.1600991776823086</v>
      </c>
      <c r="M66" s="353">
        <v>7.09</v>
      </c>
      <c r="N66" s="359">
        <f t="shared" si="11"/>
        <v>-7.0099177682308778E-2</v>
      </c>
      <c r="O66" s="353"/>
      <c r="Q66" s="375">
        <f>F66/$D66*10</f>
        <v>5.726045454211719</v>
      </c>
      <c r="R66" s="375">
        <f>G66/$D66*10</f>
        <v>0.46626256681743572</v>
      </c>
    </row>
    <row r="67" spans="1:18" ht="15.5" x14ac:dyDescent="0.35">
      <c r="A67" s="375">
        <v>160.23829000000001</v>
      </c>
      <c r="B67" s="367" t="s">
        <v>954</v>
      </c>
      <c r="C67" s="402">
        <f>'F16'!E61</f>
        <v>95</v>
      </c>
      <c r="D67" s="353">
        <f>'F1'!P117</f>
        <v>162.09427200000002</v>
      </c>
      <c r="E67" s="353">
        <v>31.072263181</v>
      </c>
      <c r="F67" s="353">
        <v>98.209985719999992</v>
      </c>
      <c r="G67" s="353">
        <v>7.5598164269999995</v>
      </c>
      <c r="H67" s="353">
        <v>1.3840764249999999</v>
      </c>
      <c r="I67" s="378">
        <f t="shared" si="12"/>
        <v>138.22614175299998</v>
      </c>
      <c r="J67" s="353">
        <v>0</v>
      </c>
      <c r="K67" s="359">
        <f t="shared" si="13"/>
        <v>138.22614175299998</v>
      </c>
      <c r="L67" s="359">
        <f t="shared" si="14"/>
        <v>8.5275155036323529</v>
      </c>
      <c r="M67" s="374">
        <v>7.96</v>
      </c>
      <c r="N67" s="359">
        <f t="shared" si="11"/>
        <v>-0.56751550363235292</v>
      </c>
      <c r="O67" s="374"/>
      <c r="Q67" s="375">
        <f t="shared" ref="Q67:Q72" si="15">F67/$D67*10</f>
        <v>6.0588190136663176</v>
      </c>
      <c r="R67" s="375">
        <f t="shared" ref="R67:R72" si="16">G67/$D67*10</f>
        <v>0.46638393409731338</v>
      </c>
    </row>
    <row r="68" spans="1:18" ht="15.5" x14ac:dyDescent="0.35">
      <c r="A68" s="375">
        <v>29.008609999999997</v>
      </c>
      <c r="B68" s="367" t="s">
        <v>955</v>
      </c>
      <c r="C68" s="402">
        <f>'F16'!E62</f>
        <v>12</v>
      </c>
      <c r="D68" s="353">
        <f>'F1'!P118</f>
        <v>29.008610000000001</v>
      </c>
      <c r="E68" s="353">
        <v>2.0988728499999998</v>
      </c>
      <c r="F68" s="353">
        <v>16.315605483999999</v>
      </c>
      <c r="G68" s="353">
        <v>1.3506380059999996</v>
      </c>
      <c r="H68" s="353">
        <v>0.18098168399999998</v>
      </c>
      <c r="I68" s="378">
        <f t="shared" si="12"/>
        <v>19.946098023999998</v>
      </c>
      <c r="J68" s="353">
        <v>0</v>
      </c>
      <c r="K68" s="359">
        <f t="shared" si="13"/>
        <v>19.946098023999998</v>
      </c>
      <c r="L68" s="359">
        <f t="shared" si="14"/>
        <v>6.8759233979153072</v>
      </c>
      <c r="M68" s="374">
        <v>7.02</v>
      </c>
      <c r="N68" s="359">
        <f t="shared" si="11"/>
        <v>0.14407660208469242</v>
      </c>
      <c r="O68" s="374"/>
      <c r="Q68" s="375">
        <f t="shared" si="15"/>
        <v>5.6244009912918962</v>
      </c>
      <c r="R68" s="375">
        <f t="shared" si="16"/>
        <v>0.46559900870810411</v>
      </c>
    </row>
    <row r="69" spans="1:18" ht="15.5" x14ac:dyDescent="0.35">
      <c r="A69" s="375">
        <v>1.8214939999999999</v>
      </c>
      <c r="B69" s="367" t="s">
        <v>956</v>
      </c>
      <c r="C69" s="402">
        <f>'F16'!E63</f>
        <v>3</v>
      </c>
      <c r="D69" s="353">
        <f>'F1'!P119</f>
        <v>1.8214940000000002</v>
      </c>
      <c r="E69" s="353">
        <v>1.688621452</v>
      </c>
      <c r="F69" s="353">
        <v>0.97450130600000007</v>
      </c>
      <c r="G69" s="353">
        <v>8.4948497999999997E-2</v>
      </c>
      <c r="H69" s="353">
        <v>1.3585923999999999E-2</v>
      </c>
      <c r="I69" s="378">
        <f t="shared" si="12"/>
        <v>2.7616571800000003</v>
      </c>
      <c r="J69" s="353">
        <v>0</v>
      </c>
      <c r="K69" s="359">
        <f t="shared" si="13"/>
        <v>2.7616571800000003</v>
      </c>
      <c r="L69" s="359">
        <f>K69*10/D69</f>
        <v>15.161494794932072</v>
      </c>
      <c r="M69" s="374">
        <v>7.25</v>
      </c>
      <c r="N69" s="359">
        <f t="shared" si="11"/>
        <v>-7.9114947949320715</v>
      </c>
      <c r="O69" s="374"/>
      <c r="Q69" s="375">
        <f t="shared" si="15"/>
        <v>5.3500110678377197</v>
      </c>
      <c r="R69" s="375">
        <f t="shared" si="16"/>
        <v>0.46636715794836536</v>
      </c>
    </row>
    <row r="70" spans="1:18" ht="15.5" x14ac:dyDescent="0.35">
      <c r="A70" s="375">
        <v>21.803225999999999</v>
      </c>
      <c r="B70" s="367" t="s">
        <v>957</v>
      </c>
      <c r="C70" s="402">
        <f>'F16'!E64</f>
        <v>4</v>
      </c>
      <c r="D70" s="353">
        <f>'F1'!P120</f>
        <v>21.803226000000002</v>
      </c>
      <c r="E70" s="353">
        <v>1.5258445</v>
      </c>
      <c r="F70" s="353">
        <v>12.006876408000002</v>
      </c>
      <c r="G70" s="353">
        <v>0.92596622400000006</v>
      </c>
      <c r="H70" s="353">
        <v>0.16386895000000001</v>
      </c>
      <c r="I70" s="378">
        <f t="shared" si="12"/>
        <v>14.622556082000001</v>
      </c>
      <c r="J70" s="353">
        <v>0</v>
      </c>
      <c r="K70" s="359">
        <f t="shared" si="13"/>
        <v>14.622556082000001</v>
      </c>
      <c r="L70" s="359">
        <f t="shared" si="14"/>
        <v>6.7066020789767524</v>
      </c>
      <c r="M70" s="374">
        <v>7.14</v>
      </c>
      <c r="N70" s="359">
        <f t="shared" si="11"/>
        <v>0.43339792102324726</v>
      </c>
      <c r="O70" s="374"/>
      <c r="Q70" s="375">
        <f t="shared" si="15"/>
        <v>5.5069265474751301</v>
      </c>
      <c r="R70" s="375">
        <f t="shared" si="16"/>
        <v>0.42469230195568308</v>
      </c>
    </row>
    <row r="71" spans="1:18" ht="15.5" x14ac:dyDescent="0.35">
      <c r="A71" s="375">
        <v>182.862537</v>
      </c>
      <c r="B71" s="367" t="s">
        <v>958</v>
      </c>
      <c r="C71" s="402">
        <f>'F16'!E65</f>
        <v>44</v>
      </c>
      <c r="D71" s="353">
        <f>'F1'!P121</f>
        <v>184.75111199999998</v>
      </c>
      <c r="E71" s="353">
        <v>17.988986379999997</v>
      </c>
      <c r="F71" s="353">
        <v>108.35975480899999</v>
      </c>
      <c r="G71" s="353">
        <v>8.6907548149999982</v>
      </c>
      <c r="H71" s="353">
        <v>1.3051698490000001</v>
      </c>
      <c r="I71" s="378">
        <f t="shared" si="12"/>
        <v>136.34466585300001</v>
      </c>
      <c r="J71" s="353">
        <v>0</v>
      </c>
      <c r="K71" s="359">
        <f t="shared" si="13"/>
        <v>136.34466585300001</v>
      </c>
      <c r="L71" s="359">
        <f t="shared" si="14"/>
        <v>7.3799104306879642</v>
      </c>
      <c r="M71" s="374">
        <v>7.68</v>
      </c>
      <c r="N71" s="359">
        <f t="shared" si="11"/>
        <v>0.30008956931203556</v>
      </c>
      <c r="O71" s="374"/>
      <c r="Q71" s="375">
        <f t="shared" si="15"/>
        <v>5.865174701032382</v>
      </c>
      <c r="R71" s="375">
        <f t="shared" si="16"/>
        <v>0.47040338328247783</v>
      </c>
    </row>
    <row r="72" spans="1:18" ht="15.5" x14ac:dyDescent="0.35">
      <c r="B72" s="367" t="s">
        <v>959</v>
      </c>
      <c r="C72" s="402">
        <f>'F16'!E66</f>
        <v>0</v>
      </c>
      <c r="D72" s="353">
        <f>'F1'!P122</f>
        <v>0</v>
      </c>
      <c r="E72" s="353">
        <v>0</v>
      </c>
      <c r="F72" s="353">
        <v>0</v>
      </c>
      <c r="G72" s="353">
        <v>0</v>
      </c>
      <c r="H72" s="353">
        <v>0</v>
      </c>
      <c r="I72" s="378">
        <f t="shared" si="12"/>
        <v>0</v>
      </c>
      <c r="J72" s="353">
        <v>0</v>
      </c>
      <c r="K72" s="359">
        <f t="shared" si="13"/>
        <v>0</v>
      </c>
      <c r="L72" s="359">
        <v>0</v>
      </c>
      <c r="M72" s="374"/>
      <c r="N72" s="359">
        <v>0</v>
      </c>
      <c r="O72" s="374"/>
      <c r="Q72" s="375" t="e">
        <f t="shared" si="15"/>
        <v>#DIV/0!</v>
      </c>
      <c r="R72" s="375" t="e">
        <f t="shared" si="16"/>
        <v>#DIV/0!</v>
      </c>
    </row>
    <row r="73" spans="1:18" x14ac:dyDescent="0.25">
      <c r="B73" s="366"/>
      <c r="C73" s="405"/>
      <c r="D73" s="374"/>
      <c r="E73" s="374"/>
      <c r="F73" s="374"/>
      <c r="G73" s="374"/>
      <c r="H73" s="374"/>
      <c r="I73" s="378"/>
      <c r="J73" s="374"/>
      <c r="K73" s="359"/>
      <c r="L73" s="359"/>
      <c r="M73" s="374"/>
      <c r="N73" s="359"/>
      <c r="O73" s="374"/>
    </row>
    <row r="74" spans="1:18" s="22" customFormat="1" x14ac:dyDescent="0.25">
      <c r="A74" s="379">
        <f t="shared" ref="A74:H74" si="17">SUM(A66:A72)</f>
        <v>540.64992499999994</v>
      </c>
      <c r="B74" s="177" t="s">
        <v>972</v>
      </c>
      <c r="C74" s="401">
        <f t="shared" si="17"/>
        <v>197</v>
      </c>
      <c r="D74" s="379">
        <f t="shared" si="17"/>
        <v>544.39448199999993</v>
      </c>
      <c r="E74" s="379">
        <f t="shared" si="17"/>
        <v>67.245552071999995</v>
      </c>
      <c r="F74" s="379">
        <f t="shared" si="17"/>
        <v>318.84615118699998</v>
      </c>
      <c r="G74" s="379">
        <f t="shared" si="17"/>
        <v>25.369003765999995</v>
      </c>
      <c r="H74" s="379">
        <f t="shared" si="17"/>
        <v>4.2015389959999991</v>
      </c>
      <c r="I74" s="373">
        <f t="shared" si="12"/>
        <v>415.66224602099999</v>
      </c>
      <c r="J74" s="379"/>
      <c r="K74" s="361">
        <f t="shared" si="13"/>
        <v>415.66224602099999</v>
      </c>
      <c r="L74" s="361">
        <f t="shared" si="14"/>
        <v>7.6353133575846943</v>
      </c>
      <c r="M74" s="379">
        <v>7.61</v>
      </c>
      <c r="N74" s="361">
        <f t="shared" si="11"/>
        <v>-2.5313357584693996E-2</v>
      </c>
      <c r="O74" s="379"/>
    </row>
    <row r="75" spans="1:18" x14ac:dyDescent="0.25">
      <c r="B75" s="76"/>
      <c r="C75" s="405"/>
      <c r="D75" s="374"/>
      <c r="E75" s="374"/>
      <c r="F75" s="374"/>
      <c r="G75" s="374"/>
      <c r="H75" s="374"/>
      <c r="I75" s="378"/>
      <c r="J75" s="374"/>
      <c r="K75" s="359"/>
      <c r="L75" s="359"/>
      <c r="M75" s="374"/>
      <c r="N75" s="359"/>
      <c r="O75" s="374"/>
    </row>
    <row r="76" spans="1:18" x14ac:dyDescent="0.25">
      <c r="B76" s="177" t="s">
        <v>294</v>
      </c>
      <c r="C76" s="405"/>
      <c r="D76" s="374"/>
      <c r="E76" s="374"/>
      <c r="F76" s="374"/>
      <c r="G76" s="374"/>
      <c r="H76" s="374"/>
      <c r="I76" s="378"/>
      <c r="J76" s="374"/>
      <c r="K76" s="359"/>
      <c r="L76" s="359"/>
      <c r="M76" s="374"/>
      <c r="N76" s="359"/>
      <c r="O76" s="374"/>
    </row>
    <row r="77" spans="1:18" x14ac:dyDescent="0.25">
      <c r="B77" s="76"/>
      <c r="C77" s="405"/>
      <c r="D77" s="374"/>
      <c r="E77" s="374"/>
      <c r="F77" s="374"/>
      <c r="G77" s="374"/>
      <c r="H77" s="374"/>
      <c r="I77" s="378"/>
      <c r="J77" s="374"/>
      <c r="K77" s="359"/>
      <c r="L77" s="359"/>
      <c r="M77" s="374"/>
      <c r="N77" s="359"/>
      <c r="O77" s="374"/>
    </row>
    <row r="78" spans="1:18" ht="15.5" x14ac:dyDescent="0.25">
      <c r="B78" s="368" t="s">
        <v>960</v>
      </c>
      <c r="C78" s="405">
        <f>'F16'!C72</f>
        <v>53</v>
      </c>
      <c r="D78" s="353">
        <f>'F1'!$P$127</f>
        <v>2.0171999999999999E-2</v>
      </c>
      <c r="E78" s="353">
        <v>7.3899999999999997E-4</v>
      </c>
      <c r="F78" s="353">
        <v>2.6315610000000001E-3</v>
      </c>
      <c r="G78" s="353">
        <v>2.7434349999999998E-3</v>
      </c>
      <c r="H78" s="353">
        <v>1.556E-5</v>
      </c>
      <c r="I78" s="378">
        <f t="shared" si="12"/>
        <v>6.1295560000000004E-3</v>
      </c>
      <c r="J78" s="374">
        <v>0</v>
      </c>
      <c r="K78" s="359">
        <f t="shared" si="13"/>
        <v>6.1295560000000004E-3</v>
      </c>
      <c r="L78" s="359">
        <f t="shared" si="14"/>
        <v>3.0386456474320847</v>
      </c>
      <c r="M78" s="374">
        <v>2.77</v>
      </c>
      <c r="N78" s="359">
        <f t="shared" si="11"/>
        <v>-0.26864564743208463</v>
      </c>
      <c r="O78" s="374"/>
      <c r="Q78" s="375">
        <f>F78/$D78*10</f>
        <v>1.3045612730517551</v>
      </c>
      <c r="R78" s="375">
        <f>G78/$D78*10</f>
        <v>1.3600213166765815</v>
      </c>
    </row>
    <row r="79" spans="1:18" ht="15.5" x14ac:dyDescent="0.35">
      <c r="B79" s="367" t="s">
        <v>961</v>
      </c>
      <c r="C79" s="403">
        <f>'F16'!C73</f>
        <v>764271</v>
      </c>
      <c r="D79" s="353">
        <f>SUM('F1'!P129:P132)</f>
        <v>1903.4283230000003</v>
      </c>
      <c r="E79" s="353">
        <v>107.70130349999999</v>
      </c>
      <c r="F79" s="353">
        <v>843.39435973699995</v>
      </c>
      <c r="G79" s="353">
        <v>260.250137838</v>
      </c>
      <c r="H79" s="353">
        <v>9.8808723829999998</v>
      </c>
      <c r="I79" s="378">
        <f t="shared" si="12"/>
        <v>1221.2266734580001</v>
      </c>
      <c r="J79" s="374">
        <v>0</v>
      </c>
      <c r="K79" s="359">
        <f t="shared" si="13"/>
        <v>1221.2266734580001</v>
      </c>
      <c r="L79" s="359">
        <f t="shared" si="14"/>
        <v>6.4159320248698419</v>
      </c>
      <c r="M79" s="374">
        <v>3.54</v>
      </c>
      <c r="N79" s="359">
        <f t="shared" si="11"/>
        <v>-2.8759320248698419</v>
      </c>
      <c r="O79" s="374"/>
      <c r="Q79" s="375">
        <f t="shared" ref="Q79:Q87" si="18">F79/$D79*10</f>
        <v>4.4309226123509768</v>
      </c>
      <c r="R79" s="375">
        <f t="shared" ref="R79:R87" si="19">G79/$D79*10</f>
        <v>1.3672704913196774</v>
      </c>
    </row>
    <row r="80" spans="1:18" ht="15.5" x14ac:dyDescent="0.35">
      <c r="B80" s="367" t="s">
        <v>973</v>
      </c>
      <c r="C80" s="405">
        <f>'F16'!C74</f>
        <v>253654</v>
      </c>
      <c r="D80" s="353">
        <f>'F1'!P133</f>
        <v>533.84718399999997</v>
      </c>
      <c r="E80" s="353">
        <v>116.5136835</v>
      </c>
      <c r="F80" s="353">
        <v>283.59612230400006</v>
      </c>
      <c r="G80" s="353">
        <v>74.445675434999984</v>
      </c>
      <c r="H80" s="353">
        <v>6.3894341379999995</v>
      </c>
      <c r="I80" s="378">
        <f t="shared" si="12"/>
        <v>480.94491537700009</v>
      </c>
      <c r="J80" s="374">
        <v>0</v>
      </c>
      <c r="K80" s="359">
        <f t="shared" si="13"/>
        <v>480.94491537700009</v>
      </c>
      <c r="L80" s="359">
        <f t="shared" si="14"/>
        <v>9.0090372262224037</v>
      </c>
      <c r="M80" s="374">
        <v>7.89</v>
      </c>
      <c r="N80" s="359">
        <f t="shared" si="11"/>
        <v>-1.119037226222404</v>
      </c>
      <c r="O80" s="374"/>
      <c r="Q80" s="375">
        <f t="shared" si="18"/>
        <v>5.3123090428065289</v>
      </c>
      <c r="R80" s="375">
        <f t="shared" si="19"/>
        <v>1.3945128431172915</v>
      </c>
    </row>
    <row r="81" spans="2:18" ht="15.5" x14ac:dyDescent="0.35">
      <c r="B81" s="367" t="s">
        <v>974</v>
      </c>
      <c r="C81" s="405">
        <f>'F16'!C75</f>
        <v>5955</v>
      </c>
      <c r="D81" s="353">
        <f>'F1'!P134</f>
        <v>151.07274899999999</v>
      </c>
      <c r="E81" s="353">
        <v>40.841018127000005</v>
      </c>
      <c r="F81" s="353">
        <v>86.695376547999984</v>
      </c>
      <c r="G81" s="353">
        <v>20.383328500999998</v>
      </c>
      <c r="H81" s="353">
        <v>0.87271420999999993</v>
      </c>
      <c r="I81" s="378">
        <f t="shared" si="12"/>
        <v>148.79243738599999</v>
      </c>
      <c r="J81" s="374">
        <v>0</v>
      </c>
      <c r="K81" s="359">
        <f t="shared" si="13"/>
        <v>148.79243738599999</v>
      </c>
      <c r="L81" s="359">
        <f t="shared" si="14"/>
        <v>9.8490587065440902</v>
      </c>
      <c r="M81" s="374">
        <v>8.67</v>
      </c>
      <c r="N81" s="359">
        <f t="shared" si="11"/>
        <v>-1.1790587065440903</v>
      </c>
      <c r="O81" s="374"/>
      <c r="Q81" s="375">
        <f t="shared" si="18"/>
        <v>5.7386508898438056</v>
      </c>
      <c r="R81" s="375">
        <f t="shared" si="19"/>
        <v>1.3492392662425172</v>
      </c>
    </row>
    <row r="82" spans="2:18" ht="15.5" x14ac:dyDescent="0.35">
      <c r="B82" s="367" t="s">
        <v>975</v>
      </c>
      <c r="C82" s="405">
        <f>'F16'!C76</f>
        <v>3087</v>
      </c>
      <c r="D82" s="353">
        <f>'F1'!P135</f>
        <v>283.889613</v>
      </c>
      <c r="E82" s="353">
        <v>78.835672776999999</v>
      </c>
      <c r="F82" s="353">
        <v>172.02045867999999</v>
      </c>
      <c r="G82" s="353">
        <v>42.098855643999997</v>
      </c>
      <c r="H82" s="353">
        <v>4.069445505</v>
      </c>
      <c r="I82" s="378">
        <f t="shared" si="12"/>
        <v>297.024432606</v>
      </c>
      <c r="J82" s="374">
        <v>0</v>
      </c>
      <c r="K82" s="359">
        <f t="shared" si="13"/>
        <v>297.024432606</v>
      </c>
      <c r="L82" s="359">
        <f t="shared" si="14"/>
        <v>10.462673483090768</v>
      </c>
      <c r="M82" s="374">
        <v>8.73</v>
      </c>
      <c r="N82" s="359">
        <f t="shared" si="11"/>
        <v>-1.7326734830907675</v>
      </c>
      <c r="O82" s="374"/>
      <c r="Q82" s="375">
        <f t="shared" si="18"/>
        <v>6.059413617221705</v>
      </c>
      <c r="R82" s="375">
        <f t="shared" si="19"/>
        <v>1.4829304672024053</v>
      </c>
    </row>
    <row r="83" spans="2:18" ht="15.5" x14ac:dyDescent="0.35">
      <c r="B83" s="367" t="s">
        <v>965</v>
      </c>
      <c r="C83" s="405">
        <f>'F16'!C77</f>
        <v>7921</v>
      </c>
      <c r="D83" s="353">
        <f>'F1'!P136</f>
        <v>72.889521999999999</v>
      </c>
      <c r="E83" s="353">
        <v>6.4173713220000002</v>
      </c>
      <c r="F83" s="353">
        <v>35.449573323999999</v>
      </c>
      <c r="G83" s="353">
        <v>12.019565692999999</v>
      </c>
      <c r="H83" s="353">
        <v>1.7718004410000003</v>
      </c>
      <c r="I83" s="378">
        <f t="shared" si="12"/>
        <v>55.658310780000001</v>
      </c>
      <c r="J83" s="374">
        <v>0</v>
      </c>
      <c r="K83" s="359">
        <f t="shared" si="13"/>
        <v>55.658310780000001</v>
      </c>
      <c r="L83" s="359">
        <f t="shared" si="14"/>
        <v>7.6359824091040132</v>
      </c>
      <c r="M83" s="374">
        <v>7.09</v>
      </c>
      <c r="N83" s="359">
        <f t="shared" si="11"/>
        <v>-0.5459824091040133</v>
      </c>
      <c r="O83" s="374"/>
      <c r="Q83" s="375">
        <f t="shared" si="18"/>
        <v>4.8634662913552926</v>
      </c>
      <c r="R83" s="375">
        <f t="shared" si="19"/>
        <v>1.6490114577785266</v>
      </c>
    </row>
    <row r="84" spans="2:18" ht="15.5" x14ac:dyDescent="0.35">
      <c r="B84" s="367" t="s">
        <v>976</v>
      </c>
      <c r="C84" s="405">
        <f>'F16'!C78</f>
        <v>1102</v>
      </c>
      <c r="D84" s="353">
        <f>'F1'!P137</f>
        <v>71.777468999999996</v>
      </c>
      <c r="E84" s="353">
        <v>13.252731583999999</v>
      </c>
      <c r="F84" s="353">
        <v>39.407233175999998</v>
      </c>
      <c r="G84" s="353">
        <v>10.585762601000001</v>
      </c>
      <c r="H84" s="353">
        <v>0.83473225299999998</v>
      </c>
      <c r="I84" s="378">
        <f t="shared" si="12"/>
        <v>64.080459613999992</v>
      </c>
      <c r="J84" s="374">
        <v>0</v>
      </c>
      <c r="K84" s="359">
        <f t="shared" si="13"/>
        <v>64.080459613999992</v>
      </c>
      <c r="L84" s="359">
        <f t="shared" si="14"/>
        <v>8.9276566179841197</v>
      </c>
      <c r="M84" s="374">
        <v>8.1</v>
      </c>
      <c r="N84" s="359">
        <f t="shared" si="11"/>
        <v>-0.82765661798412005</v>
      </c>
      <c r="O84" s="374"/>
      <c r="Q84" s="375">
        <f t="shared" si="18"/>
        <v>5.4901954227447058</v>
      </c>
      <c r="R84" s="375">
        <f t="shared" si="19"/>
        <v>1.4748029915905785</v>
      </c>
    </row>
    <row r="85" spans="2:18" ht="15.5" x14ac:dyDescent="0.35">
      <c r="B85" s="367" t="s">
        <v>967</v>
      </c>
      <c r="C85" s="405">
        <f>'F16'!C79</f>
        <v>648</v>
      </c>
      <c r="D85" s="353">
        <f>'F1'!P138</f>
        <v>59.247951000000008</v>
      </c>
      <c r="E85" s="353">
        <v>0.32515050000000001</v>
      </c>
      <c r="F85" s="353">
        <v>36.707341096</v>
      </c>
      <c r="G85" s="353">
        <v>8.6601401520000003</v>
      </c>
      <c r="H85" s="353">
        <v>0.65226463000000001</v>
      </c>
      <c r="I85" s="378">
        <f t="shared" si="12"/>
        <v>46.344896377999994</v>
      </c>
      <c r="J85" s="374">
        <v>0</v>
      </c>
      <c r="K85" s="359">
        <f t="shared" si="13"/>
        <v>46.344896377999994</v>
      </c>
      <c r="L85" s="359">
        <f t="shared" si="14"/>
        <v>7.8221939486143555</v>
      </c>
      <c r="M85" s="374">
        <v>6.82</v>
      </c>
      <c r="N85" s="359">
        <f t="shared" si="11"/>
        <v>-1.0021939486143552</v>
      </c>
      <c r="O85" s="374"/>
      <c r="Q85" s="375">
        <f t="shared" si="18"/>
        <v>6.1955460866486334</v>
      </c>
      <c r="R85" s="375">
        <f t="shared" si="19"/>
        <v>1.46167757801447</v>
      </c>
    </row>
    <row r="86" spans="2:18" ht="15.5" x14ac:dyDescent="0.35">
      <c r="B86" s="367" t="s">
        <v>968</v>
      </c>
      <c r="C86" s="405">
        <f>'F16'!C80</f>
        <v>6974</v>
      </c>
      <c r="D86" s="353">
        <f>'F1'!P139</f>
        <v>162.4595415</v>
      </c>
      <c r="E86" s="353">
        <v>3.986558204</v>
      </c>
      <c r="F86" s="353">
        <v>94.214452517499993</v>
      </c>
      <c r="G86" s="353">
        <v>23.728956825000004</v>
      </c>
      <c r="H86" s="353">
        <v>1.8734678629999999</v>
      </c>
      <c r="I86" s="378">
        <f t="shared" si="12"/>
        <v>123.8034354095</v>
      </c>
      <c r="J86" s="374">
        <v>0</v>
      </c>
      <c r="K86" s="359">
        <f t="shared" si="13"/>
        <v>123.8034354095</v>
      </c>
      <c r="L86" s="359">
        <f t="shared" si="14"/>
        <v>7.6205702826940458</v>
      </c>
      <c r="M86" s="374">
        <v>6.95</v>
      </c>
      <c r="N86" s="359">
        <f t="shared" si="11"/>
        <v>-0.67057028269404562</v>
      </c>
      <c r="O86" s="374"/>
      <c r="Q86" s="375">
        <f t="shared" si="18"/>
        <v>5.7992563346917967</v>
      </c>
      <c r="R86" s="375">
        <f t="shared" si="19"/>
        <v>1.4606071521505559</v>
      </c>
    </row>
    <row r="87" spans="2:18" ht="15.5" x14ac:dyDescent="0.35">
      <c r="B87" s="367" t="s">
        <v>977</v>
      </c>
      <c r="C87" s="405">
        <f>'F16'!E81</f>
        <v>9</v>
      </c>
      <c r="D87" s="353">
        <f>'F1'!$P$142</f>
        <v>2.417109</v>
      </c>
      <c r="E87" s="353">
        <v>0.16330003200000001</v>
      </c>
      <c r="F87" s="353">
        <v>1.162820714</v>
      </c>
      <c r="G87" s="353">
        <v>0.37864138600000002</v>
      </c>
      <c r="H87" s="353">
        <v>2.0156899999999998E-2</v>
      </c>
      <c r="I87" s="378">
        <f t="shared" si="12"/>
        <v>1.7249190319999999</v>
      </c>
      <c r="J87" s="374">
        <v>0</v>
      </c>
      <c r="K87" s="359">
        <f t="shared" si="13"/>
        <v>1.7249190319999999</v>
      </c>
      <c r="L87" s="359">
        <f t="shared" si="14"/>
        <v>7.1362898073690504</v>
      </c>
      <c r="M87" s="374">
        <v>5.5</v>
      </c>
      <c r="N87" s="359">
        <f t="shared" si="11"/>
        <v>-1.6362898073690504</v>
      </c>
      <c r="O87" s="374"/>
      <c r="Q87" s="375">
        <f t="shared" si="18"/>
        <v>4.810791379288232</v>
      </c>
      <c r="R87" s="375">
        <f t="shared" si="19"/>
        <v>1.5665052175967242</v>
      </c>
    </row>
    <row r="88" spans="2:18" x14ac:dyDescent="0.25">
      <c r="B88" s="371"/>
      <c r="C88" s="403"/>
      <c r="D88" s="376"/>
      <c r="E88" s="376"/>
      <c r="F88" s="376"/>
      <c r="G88" s="381"/>
      <c r="H88" s="376"/>
      <c r="I88" s="382"/>
      <c r="J88" s="382"/>
      <c r="K88" s="359">
        <f t="shared" si="13"/>
        <v>0</v>
      </c>
      <c r="L88" s="382"/>
      <c r="M88" s="376"/>
      <c r="N88" s="375"/>
      <c r="O88" s="375"/>
    </row>
    <row r="89" spans="2:18" s="22" customFormat="1" x14ac:dyDescent="0.25">
      <c r="B89" s="177" t="s">
        <v>972</v>
      </c>
      <c r="C89" s="401">
        <f t="shared" ref="C89:I89" si="20">SUM(C78:C87)</f>
        <v>1043674</v>
      </c>
      <c r="D89" s="379">
        <f t="shared" si="20"/>
        <v>3241.0496334999998</v>
      </c>
      <c r="E89" s="379">
        <f t="shared" si="20"/>
        <v>368.03752854600003</v>
      </c>
      <c r="F89" s="379">
        <f t="shared" si="20"/>
        <v>1592.6503696575001</v>
      </c>
      <c r="G89" s="379">
        <f t="shared" si="20"/>
        <v>452.55380751000001</v>
      </c>
      <c r="H89" s="379">
        <f t="shared" si="20"/>
        <v>26.364903883</v>
      </c>
      <c r="I89" s="379">
        <f t="shared" si="20"/>
        <v>2439.6066095965002</v>
      </c>
      <c r="J89" s="379">
        <v>0</v>
      </c>
      <c r="K89" s="361">
        <f t="shared" si="13"/>
        <v>2439.6066095965002</v>
      </c>
      <c r="L89" s="361">
        <f t="shared" si="14"/>
        <v>7.527211506977066</v>
      </c>
      <c r="M89" s="379">
        <v>7.17</v>
      </c>
      <c r="N89" s="361">
        <f t="shared" si="11"/>
        <v>-0.35721150697706605</v>
      </c>
      <c r="O89" s="379"/>
    </row>
    <row r="90" spans="2:18" x14ac:dyDescent="0.25">
      <c r="B90" s="76" t="s">
        <v>978</v>
      </c>
      <c r="C90" s="405">
        <v>0</v>
      </c>
      <c r="D90" s="374">
        <v>0</v>
      </c>
      <c r="E90" s="353">
        <v>-43.430710475000005</v>
      </c>
      <c r="F90" s="353">
        <v>-28.56294775100001</v>
      </c>
      <c r="G90" s="353">
        <v>-16.426881325</v>
      </c>
      <c r="H90" s="353">
        <v>-1.8416523060000003</v>
      </c>
      <c r="I90" s="353">
        <v>-90.262191857000019</v>
      </c>
      <c r="J90" s="374">
        <v>0</v>
      </c>
      <c r="K90" s="359">
        <f t="shared" si="13"/>
        <v>-90.262191857000019</v>
      </c>
      <c r="L90" s="359"/>
      <c r="M90" s="374"/>
      <c r="N90" s="359"/>
      <c r="O90" s="374"/>
    </row>
    <row r="91" spans="2:18" s="22" customFormat="1" x14ac:dyDescent="0.25">
      <c r="B91" s="177" t="s">
        <v>145</v>
      </c>
      <c r="C91" s="401">
        <f t="shared" ref="C91:I91" si="21">SUM(C74,C89,C90)</f>
        <v>1043871</v>
      </c>
      <c r="D91" s="379">
        <f t="shared" si="21"/>
        <v>3785.4441154999995</v>
      </c>
      <c r="E91" s="379">
        <f t="shared" si="21"/>
        <v>391.85237014300003</v>
      </c>
      <c r="F91" s="379">
        <f t="shared" si="21"/>
        <v>1882.9335730935002</v>
      </c>
      <c r="G91" s="379">
        <f t="shared" si="21"/>
        <v>461.49592995099999</v>
      </c>
      <c r="H91" s="379">
        <f t="shared" si="21"/>
        <v>28.724790573</v>
      </c>
      <c r="I91" s="379">
        <f t="shared" si="21"/>
        <v>2765.0066637605005</v>
      </c>
      <c r="J91" s="379">
        <v>0</v>
      </c>
      <c r="K91" s="361">
        <f t="shared" si="13"/>
        <v>2765.0066637605005</v>
      </c>
      <c r="L91" s="361">
        <f t="shared" si="14"/>
        <v>7.3043124647879933</v>
      </c>
      <c r="M91" s="379">
        <v>7.24</v>
      </c>
      <c r="N91" s="361">
        <f t="shared" si="11"/>
        <v>-6.4312464787993129E-2</v>
      </c>
      <c r="O91" s="379"/>
    </row>
    <row r="92" spans="2:18" x14ac:dyDescent="0.25">
      <c r="B92" s="76" t="s">
        <v>980</v>
      </c>
      <c r="C92" s="76"/>
      <c r="D92" s="374"/>
      <c r="E92" s="374"/>
      <c r="F92" s="374"/>
      <c r="G92" s="374"/>
      <c r="H92" s="374"/>
      <c r="I92" s="353">
        <v>16.764543418999999</v>
      </c>
      <c r="J92" s="374"/>
      <c r="K92" s="359">
        <f t="shared" si="13"/>
        <v>16.764543418999999</v>
      </c>
      <c r="L92" s="359"/>
      <c r="M92" s="374"/>
      <c r="N92" s="359"/>
      <c r="O92" s="374"/>
    </row>
    <row r="93" spans="2:18" x14ac:dyDescent="0.25">
      <c r="B93" s="76" t="s">
        <v>981</v>
      </c>
      <c r="C93" s="76"/>
      <c r="D93" s="374"/>
      <c r="E93" s="374"/>
      <c r="F93" s="374"/>
      <c r="G93" s="374"/>
      <c r="H93" s="374"/>
      <c r="I93" s="353">
        <v>-0.109500387</v>
      </c>
      <c r="J93" s="374"/>
      <c r="K93" s="359">
        <f t="shared" si="13"/>
        <v>-0.109500387</v>
      </c>
      <c r="L93" s="359"/>
      <c r="M93" s="374"/>
      <c r="N93" s="359"/>
      <c r="O93" s="374"/>
    </row>
    <row r="94" spans="2:18" x14ac:dyDescent="0.25">
      <c r="B94" s="76" t="s">
        <v>982</v>
      </c>
      <c r="C94" s="76"/>
      <c r="D94" s="374"/>
      <c r="E94" s="374"/>
      <c r="F94" s="374"/>
      <c r="G94" s="374"/>
      <c r="H94" s="374"/>
      <c r="I94" s="353">
        <v>2.4685793360000008</v>
      </c>
      <c r="J94" s="374"/>
      <c r="K94" s="359">
        <f t="shared" si="13"/>
        <v>2.4685793360000008</v>
      </c>
      <c r="L94" s="359"/>
      <c r="M94" s="374"/>
      <c r="N94" s="359"/>
      <c r="O94" s="374"/>
    </row>
    <row r="95" spans="2:18" x14ac:dyDescent="0.25">
      <c r="B95" s="76" t="s">
        <v>983</v>
      </c>
      <c r="C95" s="76"/>
      <c r="D95" s="374"/>
      <c r="E95" s="374"/>
      <c r="F95" s="374"/>
      <c r="G95" s="374"/>
      <c r="H95" s="374"/>
      <c r="I95" s="353">
        <v>7.1110358479999993</v>
      </c>
      <c r="J95" s="374"/>
      <c r="K95" s="359">
        <f t="shared" si="13"/>
        <v>7.1110358479999993</v>
      </c>
      <c r="L95" s="359"/>
      <c r="M95" s="374"/>
      <c r="N95" s="359"/>
      <c r="O95" s="374"/>
    </row>
    <row r="96" spans="2:18" x14ac:dyDescent="0.25">
      <c r="B96" s="76" t="s">
        <v>984</v>
      </c>
      <c r="C96" s="25"/>
      <c r="D96" s="353"/>
      <c r="E96" s="353"/>
      <c r="F96" s="353"/>
      <c r="G96" s="353"/>
      <c r="H96" s="353"/>
      <c r="I96" s="353">
        <v>1.5036646829999998</v>
      </c>
      <c r="J96" s="353"/>
      <c r="K96" s="359">
        <f t="shared" si="13"/>
        <v>1.5036646829999998</v>
      </c>
      <c r="L96" s="353"/>
      <c r="M96" s="353"/>
      <c r="N96" s="353"/>
      <c r="O96" s="353"/>
    </row>
    <row r="97" spans="1:18" s="22" customFormat="1" x14ac:dyDescent="0.25">
      <c r="B97" s="177" t="s">
        <v>985</v>
      </c>
      <c r="C97" s="373">
        <f t="shared" ref="C97:H97" si="22">SUM(C91:C96)</f>
        <v>1043871</v>
      </c>
      <c r="D97" s="373">
        <f t="shared" si="22"/>
        <v>3785.4441154999995</v>
      </c>
      <c r="E97" s="373">
        <f t="shared" si="22"/>
        <v>391.85237014300003</v>
      </c>
      <c r="F97" s="373">
        <f t="shared" si="22"/>
        <v>1882.9335730935002</v>
      </c>
      <c r="G97" s="373">
        <f t="shared" si="22"/>
        <v>461.49592995099999</v>
      </c>
      <c r="H97" s="373">
        <f t="shared" si="22"/>
        <v>28.724790573</v>
      </c>
      <c r="I97" s="373">
        <f>SUM(I91:I96)</f>
        <v>2792.7449866595002</v>
      </c>
      <c r="J97" s="354"/>
      <c r="K97" s="361">
        <f t="shared" si="13"/>
        <v>2792.7449866595002</v>
      </c>
      <c r="L97" s="354">
        <f>K97/D91*10</f>
        <v>7.3775887358216119</v>
      </c>
      <c r="M97" s="354"/>
      <c r="N97" s="354"/>
      <c r="O97" s="354"/>
    </row>
    <row r="98" spans="1:18" x14ac:dyDescent="0.25">
      <c r="B98" s="369"/>
      <c r="D98" s="409">
        <f>'F1'!$P$146-D97</f>
        <v>0</v>
      </c>
      <c r="I98" s="634"/>
    </row>
    <row r="99" spans="1:18" x14ac:dyDescent="0.3">
      <c r="B99" s="173" t="s">
        <v>365</v>
      </c>
      <c r="C99" s="174"/>
      <c r="D99" s="174"/>
      <c r="E99" s="174"/>
      <c r="F99" s="174"/>
      <c r="G99" s="174"/>
      <c r="H99" s="174"/>
      <c r="I99" s="174"/>
      <c r="J99" s="174"/>
      <c r="K99" s="174"/>
    </row>
    <row r="100" spans="1:18" x14ac:dyDescent="0.25">
      <c r="B100" s="175" t="s">
        <v>592</v>
      </c>
      <c r="C100" s="176"/>
      <c r="D100" s="176"/>
      <c r="E100" s="176"/>
      <c r="F100" s="176"/>
      <c r="G100" s="176"/>
      <c r="H100" s="176"/>
      <c r="I100" s="176"/>
      <c r="J100" s="176"/>
      <c r="K100" s="176"/>
    </row>
    <row r="101" spans="1:18" x14ac:dyDescent="0.25">
      <c r="B101" s="15" t="s">
        <v>771</v>
      </c>
    </row>
    <row r="102" spans="1:18" x14ac:dyDescent="0.25">
      <c r="B102" s="15" t="s">
        <v>463</v>
      </c>
    </row>
    <row r="103" spans="1:18" x14ac:dyDescent="0.25">
      <c r="B103" s="15" t="s">
        <v>591</v>
      </c>
    </row>
    <row r="106" spans="1:18" x14ac:dyDescent="0.25">
      <c r="B106" s="22" t="s">
        <v>426</v>
      </c>
    </row>
    <row r="107" spans="1:18" x14ac:dyDescent="0.25">
      <c r="B107" s="22"/>
    </row>
    <row r="108" spans="1:18" s="68" customFormat="1" ht="56" x14ac:dyDescent="0.25">
      <c r="B108" s="2278" t="s">
        <v>279</v>
      </c>
      <c r="C108" s="249" t="s">
        <v>358</v>
      </c>
      <c r="D108" s="249" t="s">
        <v>1731</v>
      </c>
      <c r="E108" s="249" t="s">
        <v>360</v>
      </c>
      <c r="F108" s="249" t="s">
        <v>361</v>
      </c>
      <c r="G108" s="249" t="s">
        <v>990</v>
      </c>
      <c r="H108" s="249" t="s">
        <v>584</v>
      </c>
      <c r="I108" s="249" t="s">
        <v>362</v>
      </c>
      <c r="J108" s="249" t="s">
        <v>363</v>
      </c>
      <c r="K108" s="249" t="s">
        <v>364</v>
      </c>
      <c r="L108" s="249" t="s">
        <v>578</v>
      </c>
      <c r="M108" s="249" t="s">
        <v>579</v>
      </c>
      <c r="N108" s="249" t="s">
        <v>590</v>
      </c>
      <c r="O108" s="249" t="s">
        <v>39</v>
      </c>
      <c r="Q108" s="15" t="s">
        <v>1569</v>
      </c>
      <c r="R108" s="15" t="s">
        <v>1568</v>
      </c>
    </row>
    <row r="109" spans="1:18" x14ac:dyDescent="0.25">
      <c r="B109" s="2402"/>
      <c r="C109" s="249" t="s">
        <v>73</v>
      </c>
      <c r="D109" s="249" t="s">
        <v>74</v>
      </c>
      <c r="E109" s="249" t="s">
        <v>580</v>
      </c>
      <c r="F109" s="249" t="s">
        <v>411</v>
      </c>
      <c r="G109" s="249" t="s">
        <v>412</v>
      </c>
      <c r="H109" s="249" t="s">
        <v>581</v>
      </c>
      <c r="I109" s="249" t="s">
        <v>586</v>
      </c>
      <c r="J109" s="249" t="s">
        <v>582</v>
      </c>
      <c r="K109" s="249" t="s">
        <v>587</v>
      </c>
      <c r="L109" s="249" t="s">
        <v>588</v>
      </c>
      <c r="M109" s="249" t="s">
        <v>583</v>
      </c>
      <c r="N109" s="249" t="s">
        <v>589</v>
      </c>
      <c r="O109" s="249" t="s">
        <v>585</v>
      </c>
    </row>
    <row r="110" spans="1:18" x14ac:dyDescent="0.25">
      <c r="B110" s="161"/>
      <c r="C110" s="335"/>
      <c r="D110" s="378"/>
      <c r="E110" s="378"/>
      <c r="F110" s="378"/>
      <c r="G110" s="378"/>
      <c r="H110" s="378"/>
      <c r="I110" s="378"/>
      <c r="J110" s="378"/>
      <c r="K110" s="359"/>
      <c r="L110" s="359"/>
      <c r="M110" s="359"/>
      <c r="N110" s="359"/>
      <c r="O110" s="359"/>
    </row>
    <row r="111" spans="1:18" x14ac:dyDescent="0.25">
      <c r="B111" s="177" t="s">
        <v>293</v>
      </c>
      <c r="C111" s="25"/>
      <c r="D111" s="353"/>
      <c r="E111" s="353"/>
      <c r="F111" s="353"/>
      <c r="G111" s="353"/>
      <c r="H111" s="353"/>
      <c r="I111" s="378"/>
      <c r="J111" s="353"/>
      <c r="K111" s="359"/>
      <c r="L111" s="359"/>
      <c r="M111" s="353"/>
      <c r="N111" s="359"/>
      <c r="O111" s="353"/>
    </row>
    <row r="112" spans="1:18" ht="15.5" x14ac:dyDescent="0.35">
      <c r="A112" s="375"/>
      <c r="B112" s="367" t="s">
        <v>953</v>
      </c>
      <c r="C112" s="402">
        <f>'F16'!E101</f>
        <v>38</v>
      </c>
      <c r="D112" s="353">
        <v>147.67402899999999</v>
      </c>
      <c r="E112" s="353">
        <v>13.643038813999999</v>
      </c>
      <c r="F112" s="353">
        <v>82.088357644999988</v>
      </c>
      <c r="G112" s="353">
        <v>7.3319928299999999</v>
      </c>
      <c r="H112" s="353">
        <v>0</v>
      </c>
      <c r="I112" s="378">
        <f t="shared" ref="I112:I134" si="23">E112+F112+G112+H112</f>
        <v>103.06338928899999</v>
      </c>
      <c r="J112" s="353">
        <v>0</v>
      </c>
      <c r="K112" s="359">
        <f t="shared" ref="K112:K145" si="24">I112+J112</f>
        <v>103.06338928899999</v>
      </c>
      <c r="L112" s="359">
        <f t="shared" ref="L112:L117" si="25">K112/D112*10</f>
        <v>6.979114065412273</v>
      </c>
      <c r="M112" s="353">
        <v>7.08</v>
      </c>
      <c r="N112" s="359">
        <f t="shared" ref="N112:N138" si="26">M112-L112</f>
        <v>0.1008859345877271</v>
      </c>
      <c r="O112" s="353"/>
      <c r="Q112" s="375">
        <f>F112/$D112*10</f>
        <v>5.558753844591048</v>
      </c>
      <c r="R112" s="375">
        <f>G112/$D112*10</f>
        <v>0.49649846216358062</v>
      </c>
    </row>
    <row r="113" spans="1:18" ht="15.5" x14ac:dyDescent="0.35">
      <c r="A113" s="375"/>
      <c r="B113" s="367" t="s">
        <v>954</v>
      </c>
      <c r="C113" s="402">
        <f>'F16'!E102</f>
        <v>95</v>
      </c>
      <c r="D113" s="353">
        <v>193.68196</v>
      </c>
      <c r="E113" s="353">
        <v>30.976437564999998</v>
      </c>
      <c r="F113" s="353">
        <v>114.83625990800002</v>
      </c>
      <c r="G113" s="353">
        <v>9.6154455120000009</v>
      </c>
      <c r="H113" s="353">
        <v>0</v>
      </c>
      <c r="I113" s="378">
        <f t="shared" si="23"/>
        <v>155.42814298500002</v>
      </c>
      <c r="J113" s="353">
        <v>0</v>
      </c>
      <c r="K113" s="359">
        <f t="shared" si="24"/>
        <v>155.42814298500002</v>
      </c>
      <c r="L113" s="359">
        <f t="shared" si="25"/>
        <v>8.0249158458020577</v>
      </c>
      <c r="M113" s="374">
        <v>7.96</v>
      </c>
      <c r="N113" s="359">
        <f t="shared" si="26"/>
        <v>-6.4915845802057781E-2</v>
      </c>
      <c r="O113" s="374"/>
      <c r="Q113" s="375">
        <f t="shared" ref="Q113:Q118" si="27">F113/$D113*10</f>
        <v>5.9291149215962093</v>
      </c>
      <c r="R113" s="375">
        <f t="shared" ref="R113:R118" si="28">G113/$D113*10</f>
        <v>0.49645540100895308</v>
      </c>
    </row>
    <row r="114" spans="1:18" ht="15.5" x14ac:dyDescent="0.35">
      <c r="A114" s="375"/>
      <c r="B114" s="367" t="s">
        <v>955</v>
      </c>
      <c r="C114" s="402">
        <f>'F16'!E103</f>
        <v>12</v>
      </c>
      <c r="D114" s="353">
        <v>26.534105</v>
      </c>
      <c r="E114" s="353">
        <v>2.0637730800000003</v>
      </c>
      <c r="F114" s="353">
        <v>14.556284202999997</v>
      </c>
      <c r="G114" s="353">
        <v>1.316173058</v>
      </c>
      <c r="H114" s="353">
        <v>0</v>
      </c>
      <c r="I114" s="378">
        <f t="shared" si="23"/>
        <v>17.936230340999998</v>
      </c>
      <c r="J114" s="353">
        <v>0</v>
      </c>
      <c r="K114" s="359">
        <f t="shared" si="24"/>
        <v>17.936230340999998</v>
      </c>
      <c r="L114" s="359">
        <f t="shared" si="25"/>
        <v>6.7596892154455546</v>
      </c>
      <c r="M114" s="374">
        <v>6.96</v>
      </c>
      <c r="N114" s="359">
        <f t="shared" si="26"/>
        <v>0.2003107845544454</v>
      </c>
      <c r="O114" s="374"/>
      <c r="Q114" s="375">
        <f t="shared" si="27"/>
        <v>5.4858772146262318</v>
      </c>
      <c r="R114" s="375">
        <f t="shared" si="28"/>
        <v>0.49603069634344177</v>
      </c>
    </row>
    <row r="115" spans="1:18" ht="15.5" x14ac:dyDescent="0.35">
      <c r="A115" s="375"/>
      <c r="B115" s="367" t="s">
        <v>956</v>
      </c>
      <c r="C115" s="402">
        <f>'F16'!E104</f>
        <v>3</v>
      </c>
      <c r="D115" s="353">
        <v>2.5235099999999999</v>
      </c>
      <c r="E115" s="353">
        <v>0.74632889999999996</v>
      </c>
      <c r="F115" s="353">
        <v>1.3612766820000002</v>
      </c>
      <c r="G115" s="353">
        <v>0.125364804</v>
      </c>
      <c r="H115" s="353">
        <v>0</v>
      </c>
      <c r="I115" s="378">
        <f t="shared" si="23"/>
        <v>2.2329703860000003</v>
      </c>
      <c r="J115" s="353">
        <v>0</v>
      </c>
      <c r="K115" s="359">
        <f t="shared" si="24"/>
        <v>2.2329703860000003</v>
      </c>
      <c r="L115" s="359">
        <f t="shared" si="25"/>
        <v>8.8486686638848298</v>
      </c>
      <c r="M115" s="374">
        <v>7.43</v>
      </c>
      <c r="N115" s="359">
        <f t="shared" si="26"/>
        <v>-1.41866866388483</v>
      </c>
      <c r="O115" s="374"/>
      <c r="Q115" s="375">
        <f t="shared" si="27"/>
        <v>5.3943779973132671</v>
      </c>
      <c r="R115" s="375">
        <f t="shared" si="28"/>
        <v>0.49678742703615208</v>
      </c>
    </row>
    <row r="116" spans="1:18" ht="15.5" x14ac:dyDescent="0.35">
      <c r="A116" s="375"/>
      <c r="B116" s="367" t="s">
        <v>957</v>
      </c>
      <c r="C116" s="402">
        <f>'F16'!E105</f>
        <v>4</v>
      </c>
      <c r="D116" s="353">
        <v>26.260580000000001</v>
      </c>
      <c r="E116" s="353">
        <v>2.2596319999999999</v>
      </c>
      <c r="F116" s="353">
        <v>13.662065590000001</v>
      </c>
      <c r="G116" s="353">
        <v>1.303575376</v>
      </c>
      <c r="H116" s="353">
        <v>0</v>
      </c>
      <c r="I116" s="378">
        <f t="shared" si="23"/>
        <v>17.225272966000002</v>
      </c>
      <c r="J116" s="353">
        <v>0</v>
      </c>
      <c r="K116" s="359">
        <f t="shared" si="24"/>
        <v>17.225272966000002</v>
      </c>
      <c r="L116" s="359">
        <f t="shared" si="25"/>
        <v>6.5593650125016287</v>
      </c>
      <c r="M116" s="374">
        <v>6.96</v>
      </c>
      <c r="N116" s="359">
        <f t="shared" si="26"/>
        <v>0.40063498749837123</v>
      </c>
      <c r="O116" s="374"/>
      <c r="Q116" s="375">
        <f t="shared" si="27"/>
        <v>5.2024995601772694</v>
      </c>
      <c r="R116" s="375">
        <f t="shared" si="28"/>
        <v>0.4964000703716368</v>
      </c>
    </row>
    <row r="117" spans="1:18" ht="15.5" x14ac:dyDescent="0.35">
      <c r="A117" s="375"/>
      <c r="B117" s="367" t="s">
        <v>958</v>
      </c>
      <c r="C117" s="402">
        <f>'F16'!E106</f>
        <v>45</v>
      </c>
      <c r="D117" s="353">
        <v>184.86754999999999</v>
      </c>
      <c r="E117" s="353">
        <v>18.321670723</v>
      </c>
      <c r="F117" s="353">
        <v>104.31356130399999</v>
      </c>
      <c r="G117" s="353">
        <v>9.179070084000001</v>
      </c>
      <c r="H117" s="353">
        <v>0</v>
      </c>
      <c r="I117" s="378">
        <f t="shared" si="23"/>
        <v>131.81430211099999</v>
      </c>
      <c r="J117" s="353">
        <v>0</v>
      </c>
      <c r="K117" s="359">
        <f t="shared" si="24"/>
        <v>131.81430211099999</v>
      </c>
      <c r="L117" s="359">
        <f t="shared" si="25"/>
        <v>7.1302022508006404</v>
      </c>
      <c r="M117" s="374">
        <v>7.53</v>
      </c>
      <c r="N117" s="359">
        <f t="shared" si="26"/>
        <v>0.39979774919935984</v>
      </c>
      <c r="O117" s="374"/>
      <c r="Q117" s="375">
        <f t="shared" si="27"/>
        <v>5.6426106855421621</v>
      </c>
      <c r="R117" s="375">
        <f t="shared" si="28"/>
        <v>0.49652143299351353</v>
      </c>
    </row>
    <row r="118" spans="1:18" ht="15.5" x14ac:dyDescent="0.35">
      <c r="B118" s="367" t="s">
        <v>959</v>
      </c>
      <c r="C118" s="402">
        <f>'F16'!E107</f>
        <v>0</v>
      </c>
      <c r="D118" s="353">
        <v>0</v>
      </c>
      <c r="E118" s="353">
        <v>0</v>
      </c>
      <c r="F118" s="353">
        <v>0</v>
      </c>
      <c r="G118" s="353">
        <v>0</v>
      </c>
      <c r="H118" s="353">
        <v>0</v>
      </c>
      <c r="I118" s="378">
        <f t="shared" si="23"/>
        <v>0</v>
      </c>
      <c r="J118" s="353">
        <v>0</v>
      </c>
      <c r="K118" s="359">
        <f t="shared" si="24"/>
        <v>0</v>
      </c>
      <c r="L118" s="359">
        <v>0</v>
      </c>
      <c r="M118" s="374"/>
      <c r="N118" s="359">
        <v>0</v>
      </c>
      <c r="O118" s="374"/>
      <c r="Q118" s="375" t="e">
        <f t="shared" si="27"/>
        <v>#DIV/0!</v>
      </c>
      <c r="R118" s="375" t="e">
        <f t="shared" si="28"/>
        <v>#DIV/0!</v>
      </c>
    </row>
    <row r="119" spans="1:18" x14ac:dyDescent="0.25">
      <c r="B119" s="366"/>
      <c r="C119" s="405"/>
      <c r="D119" s="374"/>
      <c r="E119" s="374"/>
      <c r="F119" s="374"/>
      <c r="G119" s="374"/>
      <c r="H119" s="374"/>
      <c r="I119" s="378"/>
      <c r="J119" s="374"/>
      <c r="K119" s="359"/>
      <c r="L119" s="359"/>
      <c r="M119" s="374"/>
      <c r="N119" s="359"/>
      <c r="O119" s="374"/>
    </row>
    <row r="120" spans="1:18" s="22" customFormat="1" x14ac:dyDescent="0.25">
      <c r="B120" s="177" t="s">
        <v>972</v>
      </c>
      <c r="C120" s="401">
        <f t="shared" ref="C120:H120" si="29">SUM(C112:C118)</f>
        <v>197</v>
      </c>
      <c r="D120" s="379">
        <f t="shared" si="29"/>
        <v>581.54173400000002</v>
      </c>
      <c r="E120" s="379">
        <f t="shared" si="29"/>
        <v>68.010881081999997</v>
      </c>
      <c r="F120" s="379">
        <f t="shared" si="29"/>
        <v>330.81780533200003</v>
      </c>
      <c r="G120" s="379">
        <f t="shared" si="29"/>
        <v>28.871621664000003</v>
      </c>
      <c r="H120" s="379">
        <f t="shared" si="29"/>
        <v>0</v>
      </c>
      <c r="I120" s="373">
        <f t="shared" si="23"/>
        <v>427.70030807800003</v>
      </c>
      <c r="J120" s="379">
        <v>0</v>
      </c>
      <c r="K120" s="361">
        <f t="shared" si="24"/>
        <v>427.70030807800003</v>
      </c>
      <c r="L120" s="361">
        <f>K120*10/D120</f>
        <v>7.35459354114042</v>
      </c>
      <c r="M120" s="379">
        <v>7.56</v>
      </c>
      <c r="N120" s="361">
        <f t="shared" si="26"/>
        <v>0.20540645885957964</v>
      </c>
      <c r="O120" s="379"/>
    </row>
    <row r="121" spans="1:18" x14ac:dyDescent="0.25">
      <c r="B121" s="76"/>
      <c r="C121" s="405"/>
      <c r="D121" s="374"/>
      <c r="E121" s="374"/>
      <c r="F121" s="374"/>
      <c r="G121" s="374"/>
      <c r="H121" s="374"/>
      <c r="I121" s="378"/>
      <c r="J121" s="374"/>
      <c r="K121" s="359"/>
      <c r="L121" s="359"/>
      <c r="M121" s="374"/>
      <c r="N121" s="359"/>
      <c r="O121" s="374"/>
    </row>
    <row r="122" spans="1:18" x14ac:dyDescent="0.25">
      <c r="B122" s="177" t="s">
        <v>294</v>
      </c>
      <c r="C122" s="405"/>
      <c r="D122" s="374"/>
      <c r="E122" s="374"/>
      <c r="F122" s="374"/>
      <c r="G122" s="374"/>
      <c r="H122" s="374"/>
      <c r="I122" s="378"/>
      <c r="J122" s="374"/>
      <c r="K122" s="359"/>
      <c r="L122" s="359"/>
      <c r="M122" s="374"/>
      <c r="N122" s="359"/>
      <c r="O122" s="374"/>
    </row>
    <row r="123" spans="1:18" x14ac:dyDescent="0.25">
      <c r="B123" s="76"/>
      <c r="C123" s="405"/>
      <c r="D123" s="374"/>
      <c r="E123" s="374"/>
      <c r="F123" s="374"/>
      <c r="G123" s="374"/>
      <c r="H123" s="374"/>
      <c r="I123" s="378"/>
      <c r="J123" s="374"/>
      <c r="K123" s="359"/>
      <c r="L123" s="359"/>
      <c r="M123" s="374"/>
      <c r="N123" s="359"/>
      <c r="O123" s="374"/>
    </row>
    <row r="124" spans="1:18" ht="15.5" x14ac:dyDescent="0.25">
      <c r="B124" s="368" t="s">
        <v>960</v>
      </c>
      <c r="C124" s="405">
        <f>'F16'!E113</f>
        <v>52</v>
      </c>
      <c r="D124" s="353">
        <v>8.3580000000000008E-3</v>
      </c>
      <c r="E124" s="353">
        <v>6.2600000000000004E-4</v>
      </c>
      <c r="F124" s="353">
        <v>1.0403069999999999E-3</v>
      </c>
      <c r="G124" s="353">
        <v>1.1996369999999999E-3</v>
      </c>
      <c r="H124" s="353">
        <v>0</v>
      </c>
      <c r="I124" s="1175">
        <f t="shared" si="23"/>
        <v>2.8659439999999996E-3</v>
      </c>
      <c r="J124" s="374">
        <v>0</v>
      </c>
      <c r="K124" s="359">
        <f t="shared" si="24"/>
        <v>2.8659439999999996E-3</v>
      </c>
      <c r="L124" s="359">
        <f t="shared" ref="L124:L134" si="30">K124/D124*10</f>
        <v>3.4289830102895418</v>
      </c>
      <c r="M124" s="374">
        <v>2.77</v>
      </c>
      <c r="N124" s="359">
        <f t="shared" si="26"/>
        <v>-0.65898301028954176</v>
      </c>
      <c r="O124" s="374"/>
      <c r="Q124" s="375">
        <f>F124/$D124*10</f>
        <v>1.2446841349605167</v>
      </c>
      <c r="R124" s="375">
        <f>G124/$D124*10</f>
        <v>1.4353158650394828</v>
      </c>
    </row>
    <row r="125" spans="1:18" ht="15.5" x14ac:dyDescent="0.35">
      <c r="B125" s="367" t="s">
        <v>961</v>
      </c>
      <c r="C125" s="403">
        <f>'F16'!E114</f>
        <v>767460</v>
      </c>
      <c r="D125" s="353">
        <v>1987.7270169999999</v>
      </c>
      <c r="E125" s="353">
        <v>114.55934600000001</v>
      </c>
      <c r="F125" s="353">
        <v>898.32955072899995</v>
      </c>
      <c r="G125" s="353">
        <v>284.97666043800001</v>
      </c>
      <c r="H125" s="353">
        <v>0</v>
      </c>
      <c r="I125" s="378">
        <f t="shared" si="23"/>
        <v>1297.8655571669999</v>
      </c>
      <c r="J125" s="374">
        <v>0</v>
      </c>
      <c r="K125" s="359">
        <f t="shared" si="24"/>
        <v>1297.8655571669999</v>
      </c>
      <c r="L125" s="359">
        <f t="shared" si="30"/>
        <v>6.529395364992415</v>
      </c>
      <c r="M125" s="374">
        <v>3.57</v>
      </c>
      <c r="N125" s="359">
        <f t="shared" si="26"/>
        <v>-2.9593953649924152</v>
      </c>
      <c r="O125" s="374"/>
      <c r="Q125" s="375">
        <f t="shared" ref="Q125:Q134" si="31">F125/$D125*10</f>
        <v>4.5193808960991753</v>
      </c>
      <c r="R125" s="375">
        <f t="shared" ref="R125:R134" si="32">G125/$D125*10</f>
        <v>1.4336810739137829</v>
      </c>
    </row>
    <row r="126" spans="1:18" ht="15.5" x14ac:dyDescent="0.35">
      <c r="B126" s="367" t="s">
        <v>973</v>
      </c>
      <c r="C126" s="405">
        <f>'F16'!E115</f>
        <v>252847</v>
      </c>
      <c r="D126" s="353">
        <v>676.08485700000006</v>
      </c>
      <c r="E126" s="353">
        <v>122.8549225</v>
      </c>
      <c r="F126" s="353">
        <v>347.71327141900008</v>
      </c>
      <c r="G126" s="353">
        <v>96.904136133000009</v>
      </c>
      <c r="H126" s="353">
        <v>0</v>
      </c>
      <c r="I126" s="378">
        <f t="shared" si="23"/>
        <v>567.47233005200007</v>
      </c>
      <c r="J126" s="374">
        <v>0</v>
      </c>
      <c r="K126" s="359">
        <f t="shared" si="24"/>
        <v>567.47233005200007</v>
      </c>
      <c r="L126" s="359">
        <f t="shared" si="30"/>
        <v>8.3935074743435649</v>
      </c>
      <c r="M126" s="374">
        <v>7.92</v>
      </c>
      <c r="N126" s="359">
        <f t="shared" si="26"/>
        <v>-0.47350747434356499</v>
      </c>
      <c r="O126" s="374"/>
      <c r="Q126" s="375">
        <f t="shared" si="31"/>
        <v>5.1430418507214117</v>
      </c>
      <c r="R126" s="375">
        <f t="shared" si="32"/>
        <v>1.4333132169679699</v>
      </c>
    </row>
    <row r="127" spans="1:18" ht="15.5" x14ac:dyDescent="0.35">
      <c r="B127" s="367" t="s">
        <v>974</v>
      </c>
      <c r="C127" s="405">
        <f>'F16'!E116</f>
        <v>5846</v>
      </c>
      <c r="D127" s="353">
        <v>144.39366999999999</v>
      </c>
      <c r="E127" s="353">
        <v>37.356797113999995</v>
      </c>
      <c r="F127" s="353">
        <v>75.021349137999991</v>
      </c>
      <c r="G127" s="353">
        <v>20.670013998000002</v>
      </c>
      <c r="H127" s="353">
        <v>0</v>
      </c>
      <c r="I127" s="378">
        <f t="shared" si="23"/>
        <v>133.04816025</v>
      </c>
      <c r="J127" s="374">
        <v>0</v>
      </c>
      <c r="K127" s="359">
        <f t="shared" si="24"/>
        <v>133.04816025</v>
      </c>
      <c r="L127" s="359">
        <f t="shared" si="30"/>
        <v>9.214265434904453</v>
      </c>
      <c r="M127" s="374">
        <v>8.7799999999999994</v>
      </c>
      <c r="N127" s="359">
        <f t="shared" si="26"/>
        <v>-0.43426543490445368</v>
      </c>
      <c r="O127" s="374"/>
      <c r="Q127" s="375">
        <f t="shared" si="31"/>
        <v>5.1956120471209024</v>
      </c>
      <c r="R127" s="375">
        <f t="shared" si="32"/>
        <v>1.4315041648293865</v>
      </c>
    </row>
    <row r="128" spans="1:18" ht="15.5" x14ac:dyDescent="0.35">
      <c r="B128" s="367" t="s">
        <v>975</v>
      </c>
      <c r="C128" s="405">
        <f>'F16'!E117</f>
        <v>3051</v>
      </c>
      <c r="D128" s="353">
        <v>290.95920999999998</v>
      </c>
      <c r="E128" s="353">
        <v>68.611498071</v>
      </c>
      <c r="F128" s="353">
        <v>162.00714592300002</v>
      </c>
      <c r="G128" s="353">
        <v>41.663289204000002</v>
      </c>
      <c r="H128" s="353">
        <v>0</v>
      </c>
      <c r="I128" s="378">
        <f t="shared" si="23"/>
        <v>272.28193319800005</v>
      </c>
      <c r="J128" s="374">
        <v>0</v>
      </c>
      <c r="K128" s="359">
        <f t="shared" si="24"/>
        <v>272.28193319800005</v>
      </c>
      <c r="L128" s="359">
        <f t="shared" si="30"/>
        <v>9.3580792028545883</v>
      </c>
      <c r="M128" s="374">
        <v>8.84</v>
      </c>
      <c r="N128" s="359">
        <f t="shared" si="26"/>
        <v>-0.51807920285458842</v>
      </c>
      <c r="O128" s="374"/>
      <c r="Q128" s="375">
        <f t="shared" si="31"/>
        <v>5.5680363554396521</v>
      </c>
      <c r="R128" s="375">
        <f t="shared" si="32"/>
        <v>1.4319288674175326</v>
      </c>
    </row>
    <row r="129" spans="2:18" ht="15.5" x14ac:dyDescent="0.35">
      <c r="B129" s="367" t="s">
        <v>965</v>
      </c>
      <c r="C129" s="405">
        <f>'F16'!E118</f>
        <v>8109</v>
      </c>
      <c r="D129" s="353">
        <v>93.717032000000003</v>
      </c>
      <c r="E129" s="353">
        <v>3.8878879999999998</v>
      </c>
      <c r="F129" s="353">
        <v>44.657906534000006</v>
      </c>
      <c r="G129" s="353">
        <v>13.442327406</v>
      </c>
      <c r="H129" s="353">
        <v>0</v>
      </c>
      <c r="I129" s="378">
        <f t="shared" si="23"/>
        <v>61.988121939999999</v>
      </c>
      <c r="J129" s="374">
        <v>0</v>
      </c>
      <c r="K129" s="359">
        <f t="shared" si="24"/>
        <v>61.988121939999999</v>
      </c>
      <c r="L129" s="359">
        <f t="shared" si="30"/>
        <v>6.6143923486608074</v>
      </c>
      <c r="M129" s="374">
        <v>6.98</v>
      </c>
      <c r="N129" s="359">
        <f t="shared" si="26"/>
        <v>0.36560765133919304</v>
      </c>
      <c r="O129" s="374"/>
      <c r="Q129" s="375">
        <f t="shared" si="31"/>
        <v>4.7651857491603025</v>
      </c>
      <c r="R129" s="375">
        <f t="shared" si="32"/>
        <v>1.4343526591836584</v>
      </c>
    </row>
    <row r="130" spans="2:18" ht="15.5" x14ac:dyDescent="0.35">
      <c r="B130" s="367" t="s">
        <v>976</v>
      </c>
      <c r="C130" s="405">
        <f>'F16'!E119</f>
        <v>1042</v>
      </c>
      <c r="D130" s="353">
        <v>77.183488999999994</v>
      </c>
      <c r="E130" s="353">
        <v>11.656281799</v>
      </c>
      <c r="F130" s="353">
        <v>38.892399465999993</v>
      </c>
      <c r="G130" s="353">
        <v>11.054577330000001</v>
      </c>
      <c r="H130" s="353">
        <v>0</v>
      </c>
      <c r="I130" s="378">
        <f t="shared" si="23"/>
        <v>61.603258594999993</v>
      </c>
      <c r="J130" s="374">
        <v>0</v>
      </c>
      <c r="K130" s="359">
        <f t="shared" si="24"/>
        <v>61.603258594999993</v>
      </c>
      <c r="L130" s="359">
        <f t="shared" si="30"/>
        <v>7.9814037164088294</v>
      </c>
      <c r="M130" s="374">
        <v>8.08</v>
      </c>
      <c r="N130" s="359">
        <f t="shared" si="26"/>
        <v>9.8596283591170675E-2</v>
      </c>
      <c r="O130" s="374"/>
      <c r="Q130" s="375">
        <f t="shared" si="31"/>
        <v>5.0389532748383523</v>
      </c>
      <c r="R130" s="375">
        <f t="shared" si="32"/>
        <v>1.4322463875661284</v>
      </c>
    </row>
    <row r="131" spans="2:18" ht="15.5" x14ac:dyDescent="0.35">
      <c r="B131" s="367" t="s">
        <v>967</v>
      </c>
      <c r="C131" s="405">
        <f>'F16'!E120</f>
        <v>658</v>
      </c>
      <c r="D131" s="353">
        <v>54.389054999999999</v>
      </c>
      <c r="E131" s="353">
        <v>0.31499899999999997</v>
      </c>
      <c r="F131" s="353">
        <v>28.328003676999998</v>
      </c>
      <c r="G131" s="353">
        <v>7.7928605639999997</v>
      </c>
      <c r="H131" s="353">
        <v>0</v>
      </c>
      <c r="I131" s="378">
        <f t="shared" si="23"/>
        <v>36.435863241</v>
      </c>
      <c r="J131" s="374">
        <v>0</v>
      </c>
      <c r="K131" s="359">
        <f t="shared" si="24"/>
        <v>36.435863241</v>
      </c>
      <c r="L131" s="359">
        <f t="shared" si="30"/>
        <v>6.699116805945609</v>
      </c>
      <c r="M131" s="374">
        <v>6.68</v>
      </c>
      <c r="N131" s="359">
        <f t="shared" si="26"/>
        <v>-1.9116805945609272E-2</v>
      </c>
      <c r="O131" s="374"/>
      <c r="Q131" s="375">
        <f t="shared" si="31"/>
        <v>5.2084015206735987</v>
      </c>
      <c r="R131" s="375">
        <f t="shared" si="32"/>
        <v>1.4327994049538093</v>
      </c>
    </row>
    <row r="132" spans="2:18" ht="15.5" x14ac:dyDescent="0.35">
      <c r="B132" s="367" t="s">
        <v>968</v>
      </c>
      <c r="C132" s="405">
        <f>'F16'!E121</f>
        <v>6936</v>
      </c>
      <c r="D132" s="353">
        <v>161.15069005999999</v>
      </c>
      <c r="E132" s="353">
        <v>3.6018119999999998</v>
      </c>
      <c r="F132" s="353">
        <v>83.216802928379991</v>
      </c>
      <c r="G132" s="353">
        <v>23.086108536000001</v>
      </c>
      <c r="H132" s="353">
        <v>0</v>
      </c>
      <c r="I132" s="378">
        <f t="shared" si="23"/>
        <v>109.90472346437998</v>
      </c>
      <c r="J132" s="374">
        <v>0</v>
      </c>
      <c r="K132" s="359">
        <f t="shared" si="24"/>
        <v>109.90472346437998</v>
      </c>
      <c r="L132" s="359">
        <f t="shared" si="30"/>
        <v>6.8199970737612112</v>
      </c>
      <c r="M132" s="374">
        <v>6.77</v>
      </c>
      <c r="N132" s="359">
        <f t="shared" si="26"/>
        <v>-4.9997073761211652E-2</v>
      </c>
      <c r="O132" s="374"/>
      <c r="Q132" s="375">
        <f t="shared" si="31"/>
        <v>5.1639122921159402</v>
      </c>
      <c r="R132" s="375">
        <f t="shared" si="32"/>
        <v>1.4325789438074719</v>
      </c>
    </row>
    <row r="133" spans="2:18" ht="15.5" x14ac:dyDescent="0.35">
      <c r="B133" s="367" t="s">
        <v>991</v>
      </c>
      <c r="C133" s="405">
        <f>'F16'!C122</f>
        <v>1</v>
      </c>
      <c r="D133" s="353">
        <v>2.2003999999999999E-2</v>
      </c>
      <c r="E133" s="353">
        <v>1.1249999999999999E-3</v>
      </c>
      <c r="F133" s="353">
        <v>8.2735039999999992E-3</v>
      </c>
      <c r="G133" s="353">
        <v>3.1685759999999993E-3</v>
      </c>
      <c r="H133" s="353">
        <v>0</v>
      </c>
      <c r="I133" s="378">
        <f t="shared" si="23"/>
        <v>1.2567079999999998E-2</v>
      </c>
      <c r="J133" s="374">
        <v>0</v>
      </c>
      <c r="K133" s="359">
        <f t="shared" si="24"/>
        <v>1.2567079999999998E-2</v>
      </c>
      <c r="L133" s="359">
        <f t="shared" si="30"/>
        <v>5.7112706780585345</v>
      </c>
      <c r="M133" s="374">
        <v>0</v>
      </c>
      <c r="N133" s="359">
        <f t="shared" si="26"/>
        <v>-5.7112706780585345</v>
      </c>
      <c r="O133" s="374"/>
      <c r="Q133" s="375">
        <f t="shared" si="31"/>
        <v>3.76</v>
      </c>
      <c r="R133" s="375">
        <f t="shared" si="32"/>
        <v>1.4399999999999995</v>
      </c>
    </row>
    <row r="134" spans="2:18" ht="15.5" x14ac:dyDescent="0.35">
      <c r="B134" s="370" t="s">
        <v>977</v>
      </c>
      <c r="C134" s="405">
        <f>'F16'!C123</f>
        <v>17</v>
      </c>
      <c r="D134" s="353">
        <v>11.254759999999999</v>
      </c>
      <c r="E134" s="353">
        <v>0.35725619999999997</v>
      </c>
      <c r="F134" s="353">
        <v>4.5748118689999995</v>
      </c>
      <c r="G134" s="353">
        <v>1.6153061310000001</v>
      </c>
      <c r="H134" s="353">
        <v>0</v>
      </c>
      <c r="I134" s="378">
        <f t="shared" si="23"/>
        <v>6.5473742000000001</v>
      </c>
      <c r="J134" s="374">
        <v>0</v>
      </c>
      <c r="K134" s="359">
        <f t="shared" si="24"/>
        <v>6.5473742000000001</v>
      </c>
      <c r="L134" s="359">
        <f t="shared" si="30"/>
        <v>5.8174267598775984</v>
      </c>
      <c r="M134" s="374">
        <v>5.5</v>
      </c>
      <c r="N134" s="359">
        <f t="shared" si="26"/>
        <v>-0.31742675987759839</v>
      </c>
      <c r="O134" s="374"/>
      <c r="Q134" s="375">
        <f t="shared" si="31"/>
        <v>4.0647795857041817</v>
      </c>
      <c r="R134" s="375">
        <f t="shared" si="32"/>
        <v>1.435220414295818</v>
      </c>
    </row>
    <row r="135" spans="2:18" ht="15.5" x14ac:dyDescent="0.35">
      <c r="B135" s="367"/>
      <c r="C135" s="406"/>
      <c r="D135" s="377"/>
      <c r="E135" s="377"/>
      <c r="F135" s="377"/>
      <c r="G135" s="377"/>
      <c r="H135" s="377"/>
      <c r="I135" s="377"/>
      <c r="J135" s="377"/>
      <c r="K135" s="359"/>
      <c r="L135" s="359"/>
      <c r="M135" s="353"/>
      <c r="N135" s="359"/>
      <c r="O135" s="353"/>
    </row>
    <row r="136" spans="2:18" s="22" customFormat="1" x14ac:dyDescent="0.25">
      <c r="B136" s="177" t="s">
        <v>972</v>
      </c>
      <c r="C136" s="407">
        <f t="shared" ref="C136:I136" si="33">SUM(C124:C134)</f>
        <v>1046019</v>
      </c>
      <c r="D136" s="383">
        <f t="shared" si="33"/>
        <v>3496.89014206</v>
      </c>
      <c r="E136" s="383">
        <f t="shared" si="33"/>
        <v>363.20255168400001</v>
      </c>
      <c r="F136" s="383">
        <f t="shared" si="33"/>
        <v>1682.7505554943803</v>
      </c>
      <c r="G136" s="383">
        <f t="shared" si="33"/>
        <v>501.20964795300011</v>
      </c>
      <c r="H136" s="383">
        <f t="shared" si="33"/>
        <v>0</v>
      </c>
      <c r="I136" s="383">
        <f t="shared" si="33"/>
        <v>2547.1627551313795</v>
      </c>
      <c r="J136" s="384">
        <v>0</v>
      </c>
      <c r="K136" s="361">
        <f t="shared" si="24"/>
        <v>2547.1627551313795</v>
      </c>
      <c r="L136" s="361">
        <f>K136*10/D136</f>
        <v>7.2840800015263252</v>
      </c>
      <c r="M136" s="354">
        <v>7.18</v>
      </c>
      <c r="N136" s="361">
        <f t="shared" si="26"/>
        <v>-0.10408000152632546</v>
      </c>
      <c r="O136" s="354"/>
    </row>
    <row r="137" spans="2:18" x14ac:dyDescent="0.25">
      <c r="B137" s="76" t="s">
        <v>978</v>
      </c>
      <c r="C137" s="402"/>
      <c r="D137" s="353">
        <v>0</v>
      </c>
      <c r="E137" s="353">
        <v>-1.7264634369999998</v>
      </c>
      <c r="F137" s="353">
        <v>-2.7619207069999994</v>
      </c>
      <c r="G137" s="353">
        <v>-0.73486789899999971</v>
      </c>
      <c r="H137" s="353">
        <v>6.1295783999999971E-2</v>
      </c>
      <c r="I137" s="353">
        <v>-5.1619562589999992</v>
      </c>
      <c r="J137" s="353">
        <v>0</v>
      </c>
      <c r="K137" s="359">
        <f t="shared" si="24"/>
        <v>-5.1619562589999992</v>
      </c>
      <c r="L137" s="359"/>
      <c r="M137" s="353"/>
      <c r="N137" s="359"/>
      <c r="O137" s="353"/>
    </row>
    <row r="138" spans="2:18" s="22" customFormat="1" x14ac:dyDescent="0.25">
      <c r="B138" s="177" t="s">
        <v>145</v>
      </c>
      <c r="C138" s="401">
        <f t="shared" ref="C138:I138" si="34">SUM(C120,C136,C137)</f>
        <v>1046216</v>
      </c>
      <c r="D138" s="379">
        <f t="shared" si="34"/>
        <v>4078.4318760599999</v>
      </c>
      <c r="E138" s="379">
        <f t="shared" si="34"/>
        <v>429.48696932899998</v>
      </c>
      <c r="F138" s="379">
        <f t="shared" si="34"/>
        <v>2010.8064401193803</v>
      </c>
      <c r="G138" s="379">
        <f t="shared" si="34"/>
        <v>529.34640171800004</v>
      </c>
      <c r="H138" s="379">
        <f t="shared" si="34"/>
        <v>6.1295783999999971E-2</v>
      </c>
      <c r="I138" s="379">
        <f t="shared" si="34"/>
        <v>2969.7011069503797</v>
      </c>
      <c r="J138" s="354">
        <v>0</v>
      </c>
      <c r="K138" s="361">
        <f t="shared" si="24"/>
        <v>2969.7011069503797</v>
      </c>
      <c r="L138" s="361">
        <f>K138*10/D138</f>
        <v>7.2814777767461001</v>
      </c>
      <c r="M138" s="354">
        <v>7.24</v>
      </c>
      <c r="N138" s="361">
        <f t="shared" si="26"/>
        <v>-4.147777674609987E-2</v>
      </c>
      <c r="O138" s="354"/>
    </row>
    <row r="139" spans="2:18" x14ac:dyDescent="0.25">
      <c r="B139" s="76" t="s">
        <v>980</v>
      </c>
      <c r="C139" s="25"/>
      <c r="D139" s="353"/>
      <c r="E139" s="353"/>
      <c r="F139" s="353"/>
      <c r="G139" s="353"/>
      <c r="H139" s="353"/>
      <c r="I139" s="353">
        <v>13.903037119</v>
      </c>
      <c r="J139" s="353"/>
      <c r="K139" s="359">
        <f t="shared" si="24"/>
        <v>13.903037119</v>
      </c>
      <c r="L139" s="359"/>
      <c r="M139" s="353"/>
      <c r="N139" s="359"/>
      <c r="O139" s="353"/>
    </row>
    <row r="140" spans="2:18" x14ac:dyDescent="0.25">
      <c r="B140" s="76" t="s">
        <v>981</v>
      </c>
      <c r="C140" s="25"/>
      <c r="D140" s="353"/>
      <c r="E140" s="353"/>
      <c r="F140" s="353"/>
      <c r="G140" s="353"/>
      <c r="H140" s="353"/>
      <c r="I140" s="353">
        <v>0.14623209500000003</v>
      </c>
      <c r="J140" s="353"/>
      <c r="K140" s="359">
        <f t="shared" si="24"/>
        <v>0.14623209500000003</v>
      </c>
      <c r="L140" s="359"/>
      <c r="M140" s="353"/>
      <c r="N140" s="359"/>
      <c r="O140" s="353"/>
    </row>
    <row r="141" spans="2:18" x14ac:dyDescent="0.25">
      <c r="B141" s="76" t="s">
        <v>982</v>
      </c>
      <c r="C141" s="25"/>
      <c r="D141" s="353"/>
      <c r="E141" s="353"/>
      <c r="F141" s="353"/>
      <c r="G141" s="353"/>
      <c r="H141" s="353"/>
      <c r="I141" s="353">
        <v>-0.16106322100000001</v>
      </c>
      <c r="J141" s="353"/>
      <c r="K141" s="359">
        <f t="shared" si="24"/>
        <v>-0.16106322100000001</v>
      </c>
      <c r="L141" s="359"/>
      <c r="M141" s="353"/>
      <c r="N141" s="359"/>
      <c r="O141" s="353"/>
    </row>
    <row r="142" spans="2:18" x14ac:dyDescent="0.25">
      <c r="B142" s="76" t="s">
        <v>983</v>
      </c>
      <c r="C142" s="25"/>
      <c r="D142" s="353"/>
      <c r="E142" s="353"/>
      <c r="F142" s="353"/>
      <c r="G142" s="353"/>
      <c r="H142" s="353"/>
      <c r="I142" s="353">
        <v>9.4196275140000001</v>
      </c>
      <c r="J142" s="353"/>
      <c r="K142" s="359">
        <f t="shared" si="24"/>
        <v>9.4196275140000001</v>
      </c>
      <c r="L142" s="359"/>
      <c r="M142" s="353"/>
      <c r="N142" s="359"/>
      <c r="O142" s="353"/>
    </row>
    <row r="143" spans="2:18" x14ac:dyDescent="0.25">
      <c r="B143" s="76" t="s">
        <v>984</v>
      </c>
      <c r="C143" s="25"/>
      <c r="D143" s="353"/>
      <c r="E143" s="353"/>
      <c r="F143" s="353"/>
      <c r="G143" s="353"/>
      <c r="H143" s="353"/>
      <c r="I143" s="353">
        <v>1.9804412410000001</v>
      </c>
      <c r="J143" s="353"/>
      <c r="K143" s="359">
        <f t="shared" si="24"/>
        <v>1.9804412410000001</v>
      </c>
      <c r="L143" s="359"/>
      <c r="M143" s="353"/>
      <c r="N143" s="359"/>
      <c r="O143" s="353"/>
    </row>
    <row r="144" spans="2:18" ht="15.5" x14ac:dyDescent="0.35">
      <c r="B144" s="372" t="s">
        <v>992</v>
      </c>
      <c r="C144" s="25"/>
      <c r="D144" s="353"/>
      <c r="E144" s="353"/>
      <c r="F144" s="353"/>
      <c r="G144" s="353"/>
      <c r="H144" s="353"/>
      <c r="I144" s="353">
        <v>0.20259960600000002</v>
      </c>
      <c r="J144" s="353"/>
      <c r="K144" s="359">
        <f t="shared" si="24"/>
        <v>0.20259960600000002</v>
      </c>
      <c r="L144" s="359"/>
      <c r="M144" s="353"/>
      <c r="N144" s="359"/>
      <c r="O144" s="353"/>
    </row>
    <row r="145" spans="2:18" s="22" customFormat="1" x14ac:dyDescent="0.25">
      <c r="B145" s="177" t="s">
        <v>985</v>
      </c>
      <c r="C145" s="373">
        <f>SUM(C138:C144)</f>
        <v>1046216</v>
      </c>
      <c r="D145" s="373">
        <f>SUM(D138:D144)</f>
        <v>4078.4318760599999</v>
      </c>
      <c r="E145" s="373">
        <f t="shared" ref="E145:H145" si="35">SUM(E138:E144)</f>
        <v>429.48696932899998</v>
      </c>
      <c r="F145" s="373">
        <f t="shared" si="35"/>
        <v>2010.8064401193803</v>
      </c>
      <c r="G145" s="373">
        <f t="shared" si="35"/>
        <v>529.34640171800004</v>
      </c>
      <c r="H145" s="373">
        <f t="shared" si="35"/>
        <v>6.1295783999999971E-2</v>
      </c>
      <c r="I145" s="373">
        <f>SUM(I138:I144)</f>
        <v>2995.1919813043796</v>
      </c>
      <c r="J145" s="354"/>
      <c r="K145" s="361">
        <f t="shared" si="24"/>
        <v>2995.1919813043796</v>
      </c>
      <c r="L145" s="361">
        <f>K145/D145*10</f>
        <v>7.3439794321093519</v>
      </c>
      <c r="M145" s="354"/>
      <c r="N145" s="361"/>
      <c r="O145" s="354"/>
    </row>
    <row r="146" spans="2:18" x14ac:dyDescent="0.25">
      <c r="B146" s="369"/>
      <c r="D146" s="634">
        <f>'F1'!$O$189-D145</f>
        <v>0</v>
      </c>
      <c r="I146" s="15">
        <f>2998.04-3.22</f>
        <v>2994.82</v>
      </c>
    </row>
    <row r="147" spans="2:18" x14ac:dyDescent="0.3">
      <c r="B147" s="173" t="s">
        <v>365</v>
      </c>
    </row>
    <row r="148" spans="2:18" x14ac:dyDescent="0.25">
      <c r="B148" s="175" t="s">
        <v>592</v>
      </c>
    </row>
    <row r="149" spans="2:18" x14ac:dyDescent="0.25">
      <c r="B149" s="15" t="s">
        <v>771</v>
      </c>
    </row>
    <row r="150" spans="2:18" x14ac:dyDescent="0.25">
      <c r="B150" s="15" t="s">
        <v>463</v>
      </c>
    </row>
    <row r="151" spans="2:18" x14ac:dyDescent="0.25">
      <c r="B151" s="15" t="s">
        <v>591</v>
      </c>
    </row>
    <row r="152" spans="2:18" x14ac:dyDescent="0.25">
      <c r="B152" s="22"/>
    </row>
    <row r="154" spans="2:18" x14ac:dyDescent="0.25">
      <c r="B154" s="22" t="s">
        <v>1732</v>
      </c>
    </row>
    <row r="155" spans="2:18" x14ac:dyDescent="0.25">
      <c r="B155" s="22"/>
    </row>
    <row r="156" spans="2:18" ht="56" x14ac:dyDescent="0.25">
      <c r="B156" s="2278" t="s">
        <v>279</v>
      </c>
      <c r="C156" s="249" t="s">
        <v>358</v>
      </c>
      <c r="D156" s="249" t="s">
        <v>1731</v>
      </c>
      <c r="E156" s="249" t="s">
        <v>360</v>
      </c>
      <c r="F156" s="249" t="s">
        <v>361</v>
      </c>
      <c r="G156" s="249" t="s">
        <v>990</v>
      </c>
      <c r="H156" s="249" t="s">
        <v>584</v>
      </c>
      <c r="I156" s="249" t="s">
        <v>362</v>
      </c>
      <c r="J156" s="249" t="s">
        <v>1532</v>
      </c>
      <c r="K156" s="249" t="s">
        <v>364</v>
      </c>
      <c r="L156" s="249" t="s">
        <v>578</v>
      </c>
      <c r="M156" s="249" t="s">
        <v>579</v>
      </c>
      <c r="N156" s="249" t="s">
        <v>590</v>
      </c>
      <c r="O156" s="249" t="s">
        <v>39</v>
      </c>
      <c r="Q156" s="15" t="s">
        <v>1569</v>
      </c>
      <c r="R156" s="15" t="s">
        <v>1568</v>
      </c>
    </row>
    <row r="157" spans="2:18" x14ac:dyDescent="0.25">
      <c r="B157" s="2402"/>
      <c r="C157" s="249" t="s">
        <v>73</v>
      </c>
      <c r="D157" s="249" t="s">
        <v>74</v>
      </c>
      <c r="E157" s="249" t="s">
        <v>580</v>
      </c>
      <c r="F157" s="249" t="s">
        <v>411</v>
      </c>
      <c r="G157" s="249" t="s">
        <v>412</v>
      </c>
      <c r="H157" s="249" t="s">
        <v>581</v>
      </c>
      <c r="I157" s="249" t="s">
        <v>586</v>
      </c>
      <c r="J157" s="249" t="s">
        <v>582</v>
      </c>
      <c r="K157" s="249" t="s">
        <v>587</v>
      </c>
      <c r="L157" s="249" t="s">
        <v>588</v>
      </c>
      <c r="M157" s="249" t="s">
        <v>583</v>
      </c>
      <c r="N157" s="249" t="s">
        <v>589</v>
      </c>
      <c r="O157" s="249" t="s">
        <v>585</v>
      </c>
    </row>
    <row r="158" spans="2:18" x14ac:dyDescent="0.25">
      <c r="B158" s="161"/>
      <c r="C158" s="335"/>
      <c r="D158" s="378"/>
      <c r="E158" s="378"/>
      <c r="F158" s="378"/>
      <c r="G158" s="378"/>
      <c r="H158" s="378"/>
      <c r="I158" s="378"/>
      <c r="J158" s="378"/>
      <c r="K158" s="359"/>
      <c r="L158" s="359"/>
      <c r="M158" s="359"/>
      <c r="N158" s="359"/>
      <c r="O158" s="359"/>
    </row>
    <row r="159" spans="2:18" x14ac:dyDescent="0.25">
      <c r="B159" s="177" t="s">
        <v>293</v>
      </c>
      <c r="C159" s="25"/>
      <c r="D159" s="353"/>
      <c r="E159" s="353"/>
      <c r="F159" s="353"/>
      <c r="G159" s="353"/>
      <c r="H159" s="353"/>
      <c r="I159" s="378"/>
      <c r="J159" s="353"/>
      <c r="K159" s="359"/>
      <c r="L159" s="359"/>
      <c r="M159" s="353"/>
      <c r="N159" s="359"/>
      <c r="O159" s="353"/>
    </row>
    <row r="160" spans="2:18" ht="15.5" x14ac:dyDescent="0.35">
      <c r="B160" s="367" t="s">
        <v>953</v>
      </c>
      <c r="C160" s="402">
        <f>'F16'!E142</f>
        <v>37</v>
      </c>
      <c r="D160" s="353">
        <v>86.384212000000005</v>
      </c>
      <c r="E160" s="353">
        <v>8.5611502220000002</v>
      </c>
      <c r="F160" s="353">
        <v>47.064322116</v>
      </c>
      <c r="G160" s="353">
        <v>4.3192105999999999</v>
      </c>
      <c r="H160" s="353">
        <v>2.7466086500000002</v>
      </c>
      <c r="I160" s="353">
        <f>SUM(E160:H160)</f>
        <v>62.691291587999999</v>
      </c>
      <c r="J160" s="353">
        <v>1.42296E-3</v>
      </c>
      <c r="K160" s="353">
        <f>I160+J160</f>
        <v>62.692714547999998</v>
      </c>
      <c r="L160" s="359">
        <f>K160/D160*10</f>
        <v>7.2574273812904604</v>
      </c>
      <c r="M160" s="353">
        <v>7.03</v>
      </c>
      <c r="N160" s="359">
        <f>M160-L160</f>
        <v>-0.22742738129046014</v>
      </c>
      <c r="O160" s="353"/>
      <c r="Q160" s="375">
        <f>F160/$D160*10</f>
        <v>5.4482550718874414</v>
      </c>
      <c r="R160" s="375">
        <f>G160/$D160*10</f>
        <v>0.49999999999999994</v>
      </c>
    </row>
    <row r="161" spans="2:18" ht="15.5" x14ac:dyDescent="0.35">
      <c r="B161" s="367" t="s">
        <v>954</v>
      </c>
      <c r="C161" s="402">
        <f>'F16'!E143</f>
        <v>94</v>
      </c>
      <c r="D161" s="353">
        <v>117.47139799999999</v>
      </c>
      <c r="E161" s="353">
        <v>17.260917146000001</v>
      </c>
      <c r="F161" s="353">
        <v>67.814190510000003</v>
      </c>
      <c r="G161" s="353">
        <v>5.8735698999999997</v>
      </c>
      <c r="H161" s="353">
        <v>4.1901206599999998</v>
      </c>
      <c r="I161" s="353">
        <f t="shared" ref="I161:I166" si="36">SUM(E161:H161)</f>
        <v>95.138798216000012</v>
      </c>
      <c r="J161" s="353">
        <v>0.57814006800000006</v>
      </c>
      <c r="K161" s="353">
        <f t="shared" ref="K161:K166" si="37">I161+J161</f>
        <v>95.716938284000008</v>
      </c>
      <c r="L161" s="359">
        <f t="shared" ref="L161:L165" si="38">K161*10/D161</f>
        <v>8.1481058294717847</v>
      </c>
      <c r="M161" s="374">
        <v>7.85</v>
      </c>
      <c r="N161" s="359">
        <f t="shared" ref="N161:N168" si="39">M161-L161</f>
        <v>-0.2981058294717851</v>
      </c>
      <c r="O161" s="374"/>
      <c r="Q161" s="375">
        <f t="shared" ref="Q161:Q166" si="40">F161/$D161*10</f>
        <v>5.77282569753703</v>
      </c>
      <c r="R161" s="375">
        <f t="shared" ref="R161:R166" si="41">G161/$D161*10</f>
        <v>0.5</v>
      </c>
    </row>
    <row r="162" spans="2:18" ht="15.5" x14ac:dyDescent="0.35">
      <c r="B162" s="367" t="s">
        <v>955</v>
      </c>
      <c r="C162" s="402">
        <f>'F16'!E144</f>
        <v>12</v>
      </c>
      <c r="D162" s="353">
        <v>17.184446000000001</v>
      </c>
      <c r="E162" s="353">
        <v>1.3666924500000002</v>
      </c>
      <c r="F162" s="353">
        <v>9.369917976</v>
      </c>
      <c r="G162" s="353">
        <v>0.85922229999999999</v>
      </c>
      <c r="H162" s="353">
        <v>0.54868789000000007</v>
      </c>
      <c r="I162" s="353">
        <f t="shared" si="36"/>
        <v>12.144520616000001</v>
      </c>
      <c r="J162" s="353">
        <v>1.8605664000000001E-2</v>
      </c>
      <c r="K162" s="353">
        <f t="shared" si="37"/>
        <v>12.163126280000002</v>
      </c>
      <c r="L162" s="359">
        <f t="shared" si="38"/>
        <v>7.0779856854273921</v>
      </c>
      <c r="M162" s="374">
        <v>7.03</v>
      </c>
      <c r="N162" s="359">
        <f t="shared" si="39"/>
        <v>-4.79856854273919E-2</v>
      </c>
      <c r="O162" s="374"/>
      <c r="Q162" s="375">
        <f t="shared" si="40"/>
        <v>5.4525574906517207</v>
      </c>
      <c r="R162" s="375">
        <f t="shared" si="41"/>
        <v>0.49999999999999994</v>
      </c>
    </row>
    <row r="163" spans="2:18" ht="15.5" x14ac:dyDescent="0.35">
      <c r="B163" s="367" t="s">
        <v>956</v>
      </c>
      <c r="C163" s="402">
        <f>'F16'!E145</f>
        <v>3</v>
      </c>
      <c r="D163" s="353">
        <v>1.321215</v>
      </c>
      <c r="E163" s="353">
        <v>0.39153157500000002</v>
      </c>
      <c r="F163" s="353">
        <v>0.72002909999999998</v>
      </c>
      <c r="G163" s="353">
        <v>6.6060750000000001E-2</v>
      </c>
      <c r="H163" s="353">
        <v>4.2841575E-2</v>
      </c>
      <c r="I163" s="353">
        <f t="shared" si="36"/>
        <v>1.2204629999999999</v>
      </c>
      <c r="J163" s="353">
        <v>0</v>
      </c>
      <c r="K163" s="353">
        <f t="shared" si="37"/>
        <v>1.2204629999999999</v>
      </c>
      <c r="L163" s="359">
        <f t="shared" si="38"/>
        <v>9.2374291845006287</v>
      </c>
      <c r="M163" s="374">
        <v>7.56</v>
      </c>
      <c r="N163" s="359">
        <f t="shared" si="39"/>
        <v>-1.6774291845006291</v>
      </c>
      <c r="O163" s="374"/>
      <c r="Q163" s="375">
        <f t="shared" si="40"/>
        <v>5.4497496622427075</v>
      </c>
      <c r="R163" s="375">
        <f t="shared" si="41"/>
        <v>0.5</v>
      </c>
    </row>
    <row r="164" spans="2:18" ht="15.5" x14ac:dyDescent="0.35">
      <c r="B164" s="367" t="s">
        <v>957</v>
      </c>
      <c r="C164" s="402">
        <f>'F16'!E146</f>
        <v>4</v>
      </c>
      <c r="D164" s="353">
        <v>15.167463</v>
      </c>
      <c r="E164" s="353">
        <v>1.3329190710000001</v>
      </c>
      <c r="F164" s="353">
        <v>7.8312107039999992</v>
      </c>
      <c r="G164" s="353">
        <v>0.75837315000000005</v>
      </c>
      <c r="H164" s="353">
        <v>0.47814459999999998</v>
      </c>
      <c r="I164" s="353">
        <f t="shared" si="36"/>
        <v>10.400647525</v>
      </c>
      <c r="J164" s="353">
        <v>0</v>
      </c>
      <c r="K164" s="353">
        <f t="shared" si="37"/>
        <v>10.400647525</v>
      </c>
      <c r="L164" s="359">
        <f t="shared" si="38"/>
        <v>6.8572097555141553</v>
      </c>
      <c r="M164" s="374">
        <v>7</v>
      </c>
      <c r="N164" s="359">
        <f t="shared" si="39"/>
        <v>0.14279024448584465</v>
      </c>
      <c r="O164" s="374"/>
      <c r="Q164" s="375">
        <f t="shared" si="40"/>
        <v>5.163164534503891</v>
      </c>
      <c r="R164" s="375">
        <f t="shared" si="41"/>
        <v>0.5</v>
      </c>
    </row>
    <row r="165" spans="2:18" ht="15.5" x14ac:dyDescent="0.35">
      <c r="B165" s="367" t="s">
        <v>958</v>
      </c>
      <c r="C165" s="402">
        <f>'F16'!E147</f>
        <v>46</v>
      </c>
      <c r="D165" s="353">
        <v>101.350844</v>
      </c>
      <c r="E165" s="353">
        <v>10.465478993</v>
      </c>
      <c r="F165" s="353">
        <v>56.701392364999997</v>
      </c>
      <c r="G165" s="353">
        <v>5.0675422000000001</v>
      </c>
      <c r="H165" s="353">
        <v>3.7451299200000001</v>
      </c>
      <c r="I165" s="353">
        <f t="shared" si="36"/>
        <v>75.979543477999997</v>
      </c>
      <c r="J165" s="353">
        <v>0</v>
      </c>
      <c r="K165" s="353">
        <f t="shared" si="37"/>
        <v>75.979543477999997</v>
      </c>
      <c r="L165" s="359">
        <f t="shared" si="38"/>
        <v>7.4966858172389763</v>
      </c>
      <c r="M165" s="374">
        <v>7.6</v>
      </c>
      <c r="N165" s="359">
        <f t="shared" si="39"/>
        <v>0.10331418276102333</v>
      </c>
      <c r="O165" s="374"/>
      <c r="Q165" s="375">
        <f t="shared" si="40"/>
        <v>5.5945653856617117</v>
      </c>
      <c r="R165" s="375">
        <f t="shared" si="41"/>
        <v>0.5</v>
      </c>
    </row>
    <row r="166" spans="2:18" ht="15.5" x14ac:dyDescent="0.35">
      <c r="B166" s="367" t="s">
        <v>959</v>
      </c>
      <c r="C166" s="402"/>
      <c r="D166" s="353">
        <v>0</v>
      </c>
      <c r="E166" s="353">
        <v>0</v>
      </c>
      <c r="F166" s="353">
        <v>0</v>
      </c>
      <c r="G166" s="353">
        <v>0</v>
      </c>
      <c r="H166" s="353">
        <v>0</v>
      </c>
      <c r="I166" s="353">
        <f t="shared" si="36"/>
        <v>0</v>
      </c>
      <c r="J166" s="353">
        <v>0</v>
      </c>
      <c r="K166" s="353">
        <f t="shared" si="37"/>
        <v>0</v>
      </c>
      <c r="L166" s="359"/>
      <c r="M166" s="374"/>
      <c r="N166" s="359">
        <f t="shared" si="39"/>
        <v>0</v>
      </c>
      <c r="O166" s="374"/>
      <c r="Q166" s="375" t="e">
        <f t="shared" si="40"/>
        <v>#DIV/0!</v>
      </c>
      <c r="R166" s="375" t="e">
        <f t="shared" si="41"/>
        <v>#DIV/0!</v>
      </c>
    </row>
    <row r="167" spans="2:18" x14ac:dyDescent="0.25">
      <c r="B167" s="366"/>
      <c r="C167" s="405"/>
      <c r="D167" s="374"/>
      <c r="E167" s="374"/>
      <c r="F167" s="374"/>
      <c r="G167" s="374"/>
      <c r="H167" s="374"/>
      <c r="I167" s="378"/>
      <c r="J167" s="374"/>
      <c r="K167" s="359"/>
      <c r="L167" s="359"/>
      <c r="M167" s="374"/>
      <c r="N167" s="359"/>
      <c r="O167" s="374"/>
      <c r="Q167" s="375"/>
      <c r="R167" s="375"/>
    </row>
    <row r="168" spans="2:18" x14ac:dyDescent="0.25">
      <c r="B168" s="177" t="s">
        <v>972</v>
      </c>
      <c r="C168" s="379">
        <f>SUM(C160:C166)</f>
        <v>196</v>
      </c>
      <c r="D168" s="379">
        <f t="shared" ref="D168:K168" si="42">SUM(D160:D166)</f>
        <v>338.87957800000004</v>
      </c>
      <c r="E168" s="379">
        <f t="shared" si="42"/>
        <v>39.378689456999993</v>
      </c>
      <c r="F168" s="379">
        <f t="shared" si="42"/>
        <v>189.50106277099999</v>
      </c>
      <c r="G168" s="379">
        <f t="shared" si="42"/>
        <v>16.943978900000001</v>
      </c>
      <c r="H168" s="379">
        <f t="shared" si="42"/>
        <v>11.751533295</v>
      </c>
      <c r="I168" s="379">
        <f t="shared" si="42"/>
        <v>257.57526442300002</v>
      </c>
      <c r="J168" s="379">
        <f t="shared" si="42"/>
        <v>0.598168692</v>
      </c>
      <c r="K168" s="379">
        <f t="shared" si="42"/>
        <v>258.17343311500002</v>
      </c>
      <c r="L168" s="361">
        <f>K168*10/D168</f>
        <v>7.6184417673879423</v>
      </c>
      <c r="M168" s="379">
        <v>7.53</v>
      </c>
      <c r="N168" s="361">
        <f t="shared" si="39"/>
        <v>-8.8441767387942072E-2</v>
      </c>
      <c r="O168" s="379"/>
      <c r="Q168" s="375"/>
      <c r="R168" s="375"/>
    </row>
    <row r="169" spans="2:18" x14ac:dyDescent="0.25">
      <c r="B169" s="76"/>
      <c r="C169" s="405"/>
      <c r="D169" s="374"/>
      <c r="E169" s="374"/>
      <c r="F169" s="374"/>
      <c r="G169" s="374"/>
      <c r="H169" s="374"/>
      <c r="I169" s="378"/>
      <c r="J169" s="374"/>
      <c r="K169" s="359"/>
      <c r="L169" s="359"/>
      <c r="M169" s="374"/>
      <c r="N169" s="359"/>
      <c r="O169" s="374"/>
      <c r="Q169" s="375"/>
      <c r="R169" s="375"/>
    </row>
    <row r="170" spans="2:18" x14ac:dyDescent="0.25">
      <c r="B170" s="177" t="s">
        <v>294</v>
      </c>
      <c r="C170" s="405"/>
      <c r="D170" s="374"/>
      <c r="E170" s="374"/>
      <c r="F170" s="374"/>
      <c r="G170" s="374"/>
      <c r="H170" s="374"/>
      <c r="I170" s="378"/>
      <c r="J170" s="374"/>
      <c r="K170" s="359"/>
      <c r="L170" s="359"/>
      <c r="M170" s="374"/>
      <c r="N170" s="359"/>
      <c r="O170" s="374"/>
      <c r="Q170" s="375"/>
      <c r="R170" s="375"/>
    </row>
    <row r="171" spans="2:18" x14ac:dyDescent="0.25">
      <c r="B171" s="76"/>
      <c r="C171" s="405"/>
      <c r="D171" s="374"/>
      <c r="E171" s="374"/>
      <c r="F171" s="374"/>
      <c r="G171" s="374"/>
      <c r="H171" s="374"/>
      <c r="I171" s="378"/>
      <c r="J171" s="374"/>
      <c r="K171" s="359"/>
      <c r="L171" s="359"/>
      <c r="M171" s="374"/>
      <c r="N171" s="359"/>
      <c r="O171" s="374"/>
      <c r="Q171" s="375"/>
      <c r="R171" s="375"/>
    </row>
    <row r="172" spans="2:18" ht="15.5" x14ac:dyDescent="0.25">
      <c r="B172" s="368" t="s">
        <v>960</v>
      </c>
      <c r="C172" s="405">
        <f>'F16'!E154</f>
        <v>59</v>
      </c>
      <c r="D172" s="353">
        <v>9.1260000000000004E-3</v>
      </c>
      <c r="E172" s="353">
        <v>3.2499999999999999E-4</v>
      </c>
      <c r="F172" s="353">
        <v>1.1149979999999999E-3</v>
      </c>
      <c r="G172" s="353">
        <v>1.3062899999999999E-3</v>
      </c>
      <c r="H172" s="353">
        <v>8.3424999999999995E-5</v>
      </c>
      <c r="I172" s="378">
        <f>SUM(E172:H172)</f>
        <v>2.8297129999999993E-3</v>
      </c>
      <c r="J172" s="374">
        <v>6.1710000000000004E-5</v>
      </c>
      <c r="K172" s="359">
        <f>I172+J172</f>
        <v>2.8914229999999993E-3</v>
      </c>
      <c r="L172" s="359">
        <f t="shared" ref="L172:L186" si="43">K172*10/D172</f>
        <v>3.1683355248739855</v>
      </c>
      <c r="M172" s="374">
        <v>2.77</v>
      </c>
      <c r="N172" s="359">
        <f>M172-L172</f>
        <v>-0.39833552487398549</v>
      </c>
      <c r="O172" s="374"/>
      <c r="Q172" s="375">
        <f>F172/$D172*10</f>
        <v>1.2217817225509531</v>
      </c>
      <c r="R172" s="375">
        <f>G172/$D172*10</f>
        <v>1.431393819855358</v>
      </c>
    </row>
    <row r="173" spans="2:18" ht="15.5" x14ac:dyDescent="0.35">
      <c r="B173" s="367" t="s">
        <v>961</v>
      </c>
      <c r="C173" s="405">
        <f>'F16'!E155</f>
        <v>769553</v>
      </c>
      <c r="D173" s="353">
        <v>1120.2711879999999</v>
      </c>
      <c r="E173" s="353">
        <v>61.343491999999998</v>
      </c>
      <c r="F173" s="353">
        <v>522.97397774799992</v>
      </c>
      <c r="G173" s="353">
        <v>163.289939344</v>
      </c>
      <c r="H173" s="353">
        <v>28.314612489999998</v>
      </c>
      <c r="I173" s="378">
        <f t="shared" ref="I173:I185" si="44">SUM(E173:H173)</f>
        <v>775.92202158199984</v>
      </c>
      <c r="J173" s="374">
        <v>0</v>
      </c>
      <c r="K173" s="359">
        <f t="shared" ref="K173:K192" si="45">I173+J173</f>
        <v>775.92202158199984</v>
      </c>
      <c r="L173" s="359">
        <f t="shared" si="43"/>
        <v>6.9261981374995409</v>
      </c>
      <c r="M173" s="374">
        <v>3.59</v>
      </c>
      <c r="N173" s="359">
        <f t="shared" ref="N173:N186" si="46">M173-L173</f>
        <v>-3.3361981374995411</v>
      </c>
      <c r="O173" s="374"/>
      <c r="Q173" s="375">
        <f t="shared" ref="Q173:Q182" si="47">F173/$D173*10</f>
        <v>4.6682801749249307</v>
      </c>
      <c r="R173" s="375">
        <f t="shared" ref="R173:R182" si="48">G173/$D173*10</f>
        <v>1.4575929568939339</v>
      </c>
    </row>
    <row r="174" spans="2:18" ht="15.5" x14ac:dyDescent="0.35">
      <c r="B174" s="367" t="s">
        <v>973</v>
      </c>
      <c r="C174" s="405">
        <f>'F16'!E156</f>
        <v>252537</v>
      </c>
      <c r="D174" s="353">
        <v>430.41689500000001</v>
      </c>
      <c r="E174" s="353">
        <v>64.050369000000003</v>
      </c>
      <c r="F174" s="353">
        <v>213.04679922</v>
      </c>
      <c r="G174" s="353">
        <v>62.735160504000007</v>
      </c>
      <c r="H174" s="353">
        <v>13.7983563</v>
      </c>
      <c r="I174" s="378">
        <f t="shared" si="44"/>
        <v>353.63068502400006</v>
      </c>
      <c r="J174" s="374">
        <v>5.8792799999999993E-4</v>
      </c>
      <c r="K174" s="359">
        <f t="shared" si="45"/>
        <v>353.63127295200007</v>
      </c>
      <c r="L174" s="359">
        <f t="shared" si="43"/>
        <v>8.2160174718977999</v>
      </c>
      <c r="M174" s="374">
        <v>7.8</v>
      </c>
      <c r="N174" s="359">
        <f t="shared" si="46"/>
        <v>-0.41601747189780003</v>
      </c>
      <c r="O174" s="374"/>
      <c r="Q174" s="375">
        <f t="shared" si="47"/>
        <v>4.9497778013569844</v>
      </c>
      <c r="R174" s="375">
        <f t="shared" si="48"/>
        <v>1.4575440981237506</v>
      </c>
    </row>
    <row r="175" spans="2:18" ht="15.5" x14ac:dyDescent="0.35">
      <c r="B175" s="367" t="s">
        <v>974</v>
      </c>
      <c r="C175" s="405">
        <f>'F16'!E157</f>
        <v>5794</v>
      </c>
      <c r="D175" s="353">
        <v>90.975233000000003</v>
      </c>
      <c r="E175" s="353">
        <v>20.302789451999999</v>
      </c>
      <c r="F175" s="353">
        <v>45.533404558000001</v>
      </c>
      <c r="G175" s="353">
        <v>13.252758728</v>
      </c>
      <c r="H175" s="353">
        <v>2.8084617000000001</v>
      </c>
      <c r="I175" s="378">
        <f t="shared" si="44"/>
        <v>81.897414437999998</v>
      </c>
      <c r="J175" s="374">
        <v>6.7795200000000016E-3</v>
      </c>
      <c r="K175" s="359">
        <f t="shared" si="45"/>
        <v>81.904193957999993</v>
      </c>
      <c r="L175" s="359">
        <f t="shared" si="43"/>
        <v>9.0029111503347288</v>
      </c>
      <c r="M175" s="374">
        <v>8.7899999999999991</v>
      </c>
      <c r="N175" s="359">
        <f t="shared" si="46"/>
        <v>-0.21291115033472963</v>
      </c>
      <c r="O175" s="374"/>
      <c r="Q175" s="375">
        <f t="shared" si="47"/>
        <v>5.0050330245375685</v>
      </c>
      <c r="R175" s="375">
        <f t="shared" si="48"/>
        <v>1.4567435873453602</v>
      </c>
    </row>
    <row r="176" spans="2:18" ht="15.5" x14ac:dyDescent="0.35">
      <c r="B176" s="367" t="s">
        <v>975</v>
      </c>
      <c r="C176" s="405">
        <f>'F16'!E158</f>
        <v>3063</v>
      </c>
      <c r="D176" s="353">
        <v>191.79499100000001</v>
      </c>
      <c r="E176" s="353">
        <v>37.929427697999998</v>
      </c>
      <c r="F176" s="353">
        <v>103.017346503</v>
      </c>
      <c r="G176" s="353">
        <v>27.942163888</v>
      </c>
      <c r="H176" s="353">
        <v>6.3651428399999999</v>
      </c>
      <c r="I176" s="378">
        <f t="shared" si="44"/>
        <v>175.254080929</v>
      </c>
      <c r="J176" s="374">
        <v>0.16492984199999999</v>
      </c>
      <c r="K176" s="359">
        <f t="shared" si="45"/>
        <v>175.41901077099999</v>
      </c>
      <c r="L176" s="359">
        <f t="shared" si="43"/>
        <v>9.1461726845097839</v>
      </c>
      <c r="M176" s="374">
        <v>8.81</v>
      </c>
      <c r="N176" s="359">
        <f t="shared" si="46"/>
        <v>-0.33617268450978344</v>
      </c>
      <c r="O176" s="374"/>
      <c r="Q176" s="375">
        <f t="shared" si="47"/>
        <v>5.3712219472405298</v>
      </c>
      <c r="R176" s="375">
        <f t="shared" si="48"/>
        <v>1.4568766234359058</v>
      </c>
    </row>
    <row r="177" spans="2:18" ht="15.5" x14ac:dyDescent="0.35">
      <c r="B177" s="367" t="s">
        <v>965</v>
      </c>
      <c r="C177" s="405">
        <f>'F16'!E159</f>
        <v>8104</v>
      </c>
      <c r="D177" s="353">
        <v>51.222513999999997</v>
      </c>
      <c r="E177" s="353">
        <v>2.0555664999999999</v>
      </c>
      <c r="F177" s="353">
        <v>23.694711992000002</v>
      </c>
      <c r="G177" s="353">
        <v>7.4670152659999998</v>
      </c>
      <c r="H177" s="353">
        <v>1.6003877399999999</v>
      </c>
      <c r="I177" s="378">
        <f t="shared" si="44"/>
        <v>34.817681498000006</v>
      </c>
      <c r="J177" s="374">
        <v>1.48434E-4</v>
      </c>
      <c r="K177" s="359">
        <f t="shared" si="45"/>
        <v>34.817829932000009</v>
      </c>
      <c r="L177" s="359">
        <f t="shared" si="43"/>
        <v>6.7973684251421176</v>
      </c>
      <c r="M177" s="374">
        <v>6.9</v>
      </c>
      <c r="N177" s="359">
        <f t="shared" si="46"/>
        <v>0.10263157485788277</v>
      </c>
      <c r="O177" s="374"/>
      <c r="Q177" s="375">
        <f t="shared" si="47"/>
        <v>4.6258393315095789</v>
      </c>
      <c r="R177" s="375">
        <f t="shared" si="48"/>
        <v>1.4577604031695905</v>
      </c>
    </row>
    <row r="178" spans="2:18" ht="15.5" x14ac:dyDescent="0.35">
      <c r="B178" s="367" t="s">
        <v>976</v>
      </c>
      <c r="C178" s="405">
        <f>'F16'!E160</f>
        <v>997</v>
      </c>
      <c r="D178" s="353">
        <v>41.071795999999999</v>
      </c>
      <c r="E178" s="353">
        <v>5.9291603010000005</v>
      </c>
      <c r="F178" s="353">
        <v>20.140305129999998</v>
      </c>
      <c r="G178" s="353">
        <v>5.9825866900000007</v>
      </c>
      <c r="H178" s="353">
        <v>1.3290360999999999</v>
      </c>
      <c r="I178" s="378">
        <f t="shared" si="44"/>
        <v>33.381088220999999</v>
      </c>
      <c r="J178" s="374">
        <v>0</v>
      </c>
      <c r="K178" s="359">
        <f t="shared" si="45"/>
        <v>33.381088220999999</v>
      </c>
      <c r="L178" s="359">
        <f t="shared" si="43"/>
        <v>8.1274965966913157</v>
      </c>
      <c r="M178" s="374">
        <v>8.11</v>
      </c>
      <c r="N178" s="359">
        <f t="shared" si="46"/>
        <v>-1.7496596691316313E-2</v>
      </c>
      <c r="O178" s="374"/>
      <c r="Q178" s="375">
        <f t="shared" si="47"/>
        <v>4.9036825976638561</v>
      </c>
      <c r="R178" s="375">
        <f t="shared" si="48"/>
        <v>1.4566167717623064</v>
      </c>
    </row>
    <row r="179" spans="2:18" ht="15.5" x14ac:dyDescent="0.35">
      <c r="B179" s="367" t="s">
        <v>967</v>
      </c>
      <c r="C179" s="405">
        <f>'F16'!E161</f>
        <v>665</v>
      </c>
      <c r="D179" s="353">
        <v>32.684533000000002</v>
      </c>
      <c r="E179" s="353">
        <v>0.1680005</v>
      </c>
      <c r="F179" s="353">
        <v>16.629517407000002</v>
      </c>
      <c r="G179" s="353">
        <v>4.7621983339999998</v>
      </c>
      <c r="H179" s="353">
        <v>0.90889871</v>
      </c>
      <c r="I179" s="378">
        <f t="shared" si="44"/>
        <v>22.468614951000003</v>
      </c>
      <c r="J179" s="374">
        <v>0</v>
      </c>
      <c r="K179" s="359">
        <f t="shared" si="45"/>
        <v>22.468614951000003</v>
      </c>
      <c r="L179" s="359">
        <f t="shared" si="43"/>
        <v>6.8743876349709518</v>
      </c>
      <c r="M179" s="374">
        <v>6.58</v>
      </c>
      <c r="N179" s="359">
        <f t="shared" si="46"/>
        <v>-0.29438763497095177</v>
      </c>
      <c r="O179" s="374"/>
      <c r="Q179" s="375">
        <f t="shared" si="47"/>
        <v>5.0878858838215626</v>
      </c>
      <c r="R179" s="375">
        <f t="shared" si="48"/>
        <v>1.4570189312480002</v>
      </c>
    </row>
    <row r="180" spans="2:18" ht="15.5" x14ac:dyDescent="0.35">
      <c r="B180" s="367" t="s">
        <v>968</v>
      </c>
      <c r="C180" s="405">
        <f>'F16'!E162</f>
        <v>6943</v>
      </c>
      <c r="D180" s="353">
        <v>96.191815199999994</v>
      </c>
      <c r="E180" s="353">
        <v>1.8859035</v>
      </c>
      <c r="F180" s="353">
        <v>48.545983587000002</v>
      </c>
      <c r="G180" s="353">
        <v>14.014673107999998</v>
      </c>
      <c r="H180" s="353">
        <v>2.8128773429999998</v>
      </c>
      <c r="I180" s="378">
        <f t="shared" si="44"/>
        <v>67.259437538</v>
      </c>
      <c r="J180" s="374">
        <v>0</v>
      </c>
      <c r="K180" s="359">
        <f t="shared" si="45"/>
        <v>67.259437538</v>
      </c>
      <c r="L180" s="359">
        <f t="shared" si="43"/>
        <v>6.9922204293739121</v>
      </c>
      <c r="M180" s="374">
        <v>6.69</v>
      </c>
      <c r="N180" s="359">
        <f t="shared" si="46"/>
        <v>-0.30222042937391169</v>
      </c>
      <c r="O180" s="374"/>
      <c r="Q180" s="375">
        <f t="shared" si="47"/>
        <v>5.046789426529088</v>
      </c>
      <c r="R180" s="375">
        <f t="shared" si="48"/>
        <v>1.4569506853427172</v>
      </c>
    </row>
    <row r="181" spans="2:18" ht="15.5" x14ac:dyDescent="0.35">
      <c r="B181" s="367" t="s">
        <v>991</v>
      </c>
      <c r="C181" s="405">
        <f>'F16'!E163</f>
        <v>1</v>
      </c>
      <c r="D181" s="353">
        <v>2.9486999999999999E-2</v>
      </c>
      <c r="E181" s="353">
        <v>1.609E-3</v>
      </c>
      <c r="F181" s="353">
        <v>1.0795164000000001E-2</v>
      </c>
      <c r="G181" s="353">
        <v>4.2947859999999992E-3</v>
      </c>
      <c r="H181" s="353">
        <v>5.3295000000000003E-4</v>
      </c>
      <c r="I181" s="378">
        <f t="shared" si="44"/>
        <v>1.7231900000000001E-2</v>
      </c>
      <c r="J181" s="374">
        <v>0</v>
      </c>
      <c r="K181" s="359">
        <f t="shared" si="45"/>
        <v>1.7231900000000001E-2</v>
      </c>
      <c r="L181" s="359">
        <f t="shared" si="43"/>
        <v>5.8438973106792824</v>
      </c>
      <c r="M181" s="374">
        <v>0</v>
      </c>
      <c r="N181" s="359">
        <f t="shared" si="46"/>
        <v>-5.8438973106792824</v>
      </c>
      <c r="O181" s="374"/>
      <c r="Q181" s="375">
        <f t="shared" si="47"/>
        <v>3.6609909451622751</v>
      </c>
      <c r="R181" s="375">
        <f t="shared" si="48"/>
        <v>1.4565015091396205</v>
      </c>
    </row>
    <row r="182" spans="2:18" ht="15.5" x14ac:dyDescent="0.35">
      <c r="B182" s="370" t="s">
        <v>977</v>
      </c>
      <c r="C182" s="405">
        <f>'F16'!E164</f>
        <v>22</v>
      </c>
      <c r="D182" s="353">
        <v>9.0800940000000008</v>
      </c>
      <c r="E182" s="353">
        <v>0.21631562400000001</v>
      </c>
      <c r="F182" s="353">
        <v>3.6713277999999998</v>
      </c>
      <c r="G182" s="353">
        <v>1.3227239</v>
      </c>
      <c r="H182" s="353">
        <v>0.21912247500000001</v>
      </c>
      <c r="I182" s="378">
        <f t="shared" si="44"/>
        <v>5.4294897989999997</v>
      </c>
      <c r="J182" s="374">
        <v>0</v>
      </c>
      <c r="K182" s="359">
        <f t="shared" si="45"/>
        <v>5.4294897989999997</v>
      </c>
      <c r="L182" s="359">
        <f t="shared" si="43"/>
        <v>5.9795524132239146</v>
      </c>
      <c r="M182" s="374">
        <v>5.5</v>
      </c>
      <c r="N182" s="359">
        <f t="shared" si="46"/>
        <v>-0.47955241322391462</v>
      </c>
      <c r="O182" s="374"/>
      <c r="Q182" s="375">
        <f t="shared" si="47"/>
        <v>4.0432706974178894</v>
      </c>
      <c r="R182" s="375">
        <f t="shared" si="48"/>
        <v>1.4567293025821095</v>
      </c>
    </row>
    <row r="183" spans="2:18" ht="15.5" x14ac:dyDescent="0.35">
      <c r="B183" s="367"/>
      <c r="C183" s="406"/>
      <c r="D183" s="377"/>
      <c r="E183" s="377"/>
      <c r="F183" s="377"/>
      <c r="G183" s="377"/>
      <c r="H183" s="377"/>
      <c r="I183" s="378"/>
      <c r="J183" s="377"/>
      <c r="K183" s="359"/>
      <c r="L183" s="359"/>
      <c r="M183" s="353"/>
      <c r="N183" s="359">
        <f t="shared" si="46"/>
        <v>0</v>
      </c>
      <c r="O183" s="353"/>
    </row>
    <row r="184" spans="2:18" x14ac:dyDescent="0.25">
      <c r="B184" s="177" t="s">
        <v>972</v>
      </c>
      <c r="C184" s="383">
        <f t="shared" ref="C184:J184" si="49">SUM(C172:C182)</f>
        <v>1047738</v>
      </c>
      <c r="D184" s="383">
        <f t="shared" si="49"/>
        <v>2063.7476721999997</v>
      </c>
      <c r="E184" s="383">
        <f t="shared" si="49"/>
        <v>193.882958575</v>
      </c>
      <c r="F184" s="383">
        <f t="shared" si="49"/>
        <v>997.26528410699996</v>
      </c>
      <c r="G184" s="383">
        <f t="shared" si="49"/>
        <v>300.77482083800004</v>
      </c>
      <c r="H184" s="383">
        <f t="shared" si="49"/>
        <v>58.157512072999999</v>
      </c>
      <c r="I184" s="383">
        <f t="shared" si="49"/>
        <v>1550.080575593</v>
      </c>
      <c r="J184" s="383">
        <f t="shared" si="49"/>
        <v>0.17250743399999999</v>
      </c>
      <c r="K184" s="361">
        <f t="shared" si="45"/>
        <v>1550.253083027</v>
      </c>
      <c r="L184" s="361">
        <f t="shared" si="43"/>
        <v>7.5118344355266871</v>
      </c>
      <c r="M184" s="379">
        <f>7.15</f>
        <v>7.15</v>
      </c>
      <c r="N184" s="361">
        <f t="shared" si="46"/>
        <v>-0.3618344355266867</v>
      </c>
      <c r="O184" s="354"/>
    </row>
    <row r="185" spans="2:18" x14ac:dyDescent="0.25">
      <c r="B185" s="76" t="s">
        <v>978</v>
      </c>
      <c r="C185" s="402"/>
      <c r="D185" s="353"/>
      <c r="E185" s="353">
        <v>-0.36948087499998811</v>
      </c>
      <c r="F185" s="353">
        <v>-2.4953033169999999</v>
      </c>
      <c r="G185" s="353">
        <v>-0.49808563400000005</v>
      </c>
      <c r="H185" s="353">
        <v>-1.5901441999999995E-2</v>
      </c>
      <c r="I185" s="378">
        <f t="shared" si="44"/>
        <v>-3.3787712679999884</v>
      </c>
      <c r="J185" s="353"/>
      <c r="K185" s="359">
        <f t="shared" si="45"/>
        <v>-3.3787712679999884</v>
      </c>
      <c r="L185" s="359"/>
      <c r="M185" s="353"/>
      <c r="N185" s="359">
        <f t="shared" si="46"/>
        <v>0</v>
      </c>
      <c r="O185" s="353"/>
    </row>
    <row r="186" spans="2:18" x14ac:dyDescent="0.25">
      <c r="B186" s="177" t="s">
        <v>145</v>
      </c>
      <c r="C186" s="379">
        <f>C184+C168</f>
        <v>1047934</v>
      </c>
      <c r="D186" s="379">
        <f>D184+D168</f>
        <v>2402.6272501999997</v>
      </c>
      <c r="E186" s="379">
        <f t="shared" ref="E186:K186" si="50">E184+E168+E185</f>
        <v>232.89216715699999</v>
      </c>
      <c r="F186" s="379">
        <f t="shared" si="50"/>
        <v>1184.2710435609999</v>
      </c>
      <c r="G186" s="379">
        <f t="shared" si="50"/>
        <v>317.22071410400002</v>
      </c>
      <c r="H186" s="379">
        <f t="shared" si="50"/>
        <v>69.893143925999993</v>
      </c>
      <c r="I186" s="379">
        <f t="shared" si="50"/>
        <v>1804.2770687480001</v>
      </c>
      <c r="J186" s="379">
        <f t="shared" si="50"/>
        <v>0.77067612600000002</v>
      </c>
      <c r="K186" s="379">
        <f t="shared" si="50"/>
        <v>1805.047744874</v>
      </c>
      <c r="L186" s="361">
        <f t="shared" si="43"/>
        <v>7.5128080925734277</v>
      </c>
      <c r="M186" s="379">
        <v>7.21</v>
      </c>
      <c r="N186" s="361">
        <f t="shared" si="46"/>
        <v>-0.30280809257342778</v>
      </c>
      <c r="O186" s="354"/>
    </row>
    <row r="187" spans="2:18" x14ac:dyDescent="0.25">
      <c r="B187" s="76" t="s">
        <v>980</v>
      </c>
      <c r="C187" s="25"/>
      <c r="D187" s="353"/>
      <c r="E187" s="353"/>
      <c r="F187" s="353"/>
      <c r="G187" s="353"/>
      <c r="H187" s="353"/>
      <c r="I187" s="353">
        <v>6.2353909339999989</v>
      </c>
      <c r="J187" s="353"/>
      <c r="K187" s="359">
        <f t="shared" si="45"/>
        <v>6.2353909339999989</v>
      </c>
      <c r="L187" s="359"/>
      <c r="M187" s="353"/>
      <c r="N187" s="359"/>
      <c r="O187" s="353"/>
    </row>
    <row r="188" spans="2:18" x14ac:dyDescent="0.25">
      <c r="B188" s="76" t="s">
        <v>981</v>
      </c>
      <c r="C188" s="25"/>
      <c r="D188" s="353"/>
      <c r="E188" s="353"/>
      <c r="F188" s="353"/>
      <c r="G188" s="353"/>
      <c r="H188" s="353"/>
      <c r="I188" s="353">
        <v>-2.2911089999999999E-2</v>
      </c>
      <c r="J188" s="353"/>
      <c r="K188" s="359">
        <f t="shared" si="45"/>
        <v>-2.2911089999999999E-2</v>
      </c>
      <c r="L188" s="359"/>
      <c r="M188" s="353"/>
      <c r="N188" s="359"/>
      <c r="O188" s="353"/>
    </row>
    <row r="189" spans="2:18" x14ac:dyDescent="0.25">
      <c r="B189" s="76" t="s">
        <v>982</v>
      </c>
      <c r="C189" s="25"/>
      <c r="D189" s="353"/>
      <c r="E189" s="353"/>
      <c r="F189" s="353"/>
      <c r="G189" s="353"/>
      <c r="H189" s="353"/>
      <c r="I189" s="353">
        <v>-0.12036121399999999</v>
      </c>
      <c r="J189" s="353"/>
      <c r="K189" s="359">
        <f t="shared" si="45"/>
        <v>-0.12036121399999999</v>
      </c>
      <c r="L189" s="359"/>
      <c r="M189" s="353"/>
      <c r="N189" s="359"/>
      <c r="O189" s="353"/>
    </row>
    <row r="190" spans="2:18" x14ac:dyDescent="0.25">
      <c r="B190" s="76" t="s">
        <v>983</v>
      </c>
      <c r="C190" s="25"/>
      <c r="D190" s="353"/>
      <c r="E190" s="353"/>
      <c r="F190" s="353"/>
      <c r="G190" s="353"/>
      <c r="H190" s="353"/>
      <c r="I190" s="353">
        <v>6.8928710959999995</v>
      </c>
      <c r="J190" s="353"/>
      <c r="K190" s="359">
        <f t="shared" si="45"/>
        <v>6.8928710959999995</v>
      </c>
      <c r="L190" s="359"/>
      <c r="M190" s="353"/>
      <c r="N190" s="359"/>
      <c r="O190" s="353"/>
    </row>
    <row r="191" spans="2:18" x14ac:dyDescent="0.25">
      <c r="B191" s="76" t="s">
        <v>984</v>
      </c>
      <c r="C191" s="25"/>
      <c r="D191" s="353"/>
      <c r="E191" s="353"/>
      <c r="F191" s="353"/>
      <c r="G191" s="353"/>
      <c r="H191" s="353"/>
      <c r="I191" s="353">
        <v>1.5953820080000003</v>
      </c>
      <c r="J191" s="353"/>
      <c r="K191" s="359">
        <f t="shared" si="45"/>
        <v>1.5953820080000003</v>
      </c>
      <c r="L191" s="359"/>
      <c r="M191" s="353"/>
      <c r="N191" s="359"/>
      <c r="O191" s="353"/>
    </row>
    <row r="192" spans="2:18" ht="15.5" x14ac:dyDescent="0.35">
      <c r="B192" s="372" t="s">
        <v>992</v>
      </c>
      <c r="C192" s="25"/>
      <c r="D192" s="353"/>
      <c r="E192" s="353"/>
      <c r="F192" s="353"/>
      <c r="G192" s="353"/>
      <c r="H192" s="353"/>
      <c r="I192" s="353">
        <v>0.77274364200000012</v>
      </c>
      <c r="J192" s="353"/>
      <c r="K192" s="359">
        <f t="shared" si="45"/>
        <v>0.77274364200000012</v>
      </c>
      <c r="L192" s="359"/>
      <c r="M192" s="353"/>
      <c r="N192" s="359"/>
      <c r="O192" s="353"/>
    </row>
    <row r="193" spans="2:15" x14ac:dyDescent="0.25">
      <c r="B193" s="177" t="s">
        <v>985</v>
      </c>
      <c r="C193" s="373">
        <f t="shared" ref="C193:H193" si="51">SUM(C186:C192)</f>
        <v>1047934</v>
      </c>
      <c r="D193" s="373">
        <f t="shared" si="51"/>
        <v>2402.6272501999997</v>
      </c>
      <c r="E193" s="373">
        <f t="shared" si="51"/>
        <v>232.89216715699999</v>
      </c>
      <c r="F193" s="373">
        <f t="shared" si="51"/>
        <v>1184.2710435609999</v>
      </c>
      <c r="G193" s="373">
        <f t="shared" si="51"/>
        <v>317.22071410400002</v>
      </c>
      <c r="H193" s="373">
        <f t="shared" si="51"/>
        <v>69.893143925999993</v>
      </c>
      <c r="I193" s="373">
        <f>SUM(I186:I192)</f>
        <v>1819.6301841239999</v>
      </c>
      <c r="J193" s="373">
        <f>SUM(J186:J192)</f>
        <v>0.77067612600000002</v>
      </c>
      <c r="K193" s="373">
        <f>SUM(K186:K192)</f>
        <v>1820.4008602499998</v>
      </c>
      <c r="L193" s="373"/>
      <c r="M193" s="354"/>
      <c r="N193" s="361"/>
      <c r="O193" s="354"/>
    </row>
    <row r="194" spans="2:15" x14ac:dyDescent="0.25">
      <c r="B194" s="369"/>
      <c r="D194" s="409">
        <f>SUM('F1'!C232:H232)-D193</f>
        <v>0</v>
      </c>
    </row>
    <row r="195" spans="2:15" x14ac:dyDescent="0.3">
      <c r="B195" s="173" t="s">
        <v>365</v>
      </c>
    </row>
    <row r="196" spans="2:15" x14ac:dyDescent="0.25">
      <c r="B196" s="175" t="s">
        <v>592</v>
      </c>
    </row>
    <row r="197" spans="2:15" x14ac:dyDescent="0.25">
      <c r="B197" s="15" t="s">
        <v>771</v>
      </c>
    </row>
    <row r="198" spans="2:15" x14ac:dyDescent="0.25">
      <c r="B198" s="15" t="s">
        <v>463</v>
      </c>
    </row>
    <row r="199" spans="2:15" x14ac:dyDescent="0.25">
      <c r="B199" s="15" t="s">
        <v>591</v>
      </c>
    </row>
  </sheetData>
  <mergeCells count="4">
    <mergeCell ref="B156:B157"/>
    <mergeCell ref="B108:B109"/>
    <mergeCell ref="B62:B63"/>
    <mergeCell ref="B8:B9"/>
  </mergeCells>
  <pageMargins left="0.39370078740157483" right="0.47244094488188981" top="0.70866141732283472" bottom="1.8897637795275593" header="0.51181102362204722" footer="0.51181102362204722"/>
  <pageSetup paperSize="9" scale="45" fitToHeight="2" orientation="landscape" r:id="rId1"/>
  <headerFooter alignWithMargins="0"/>
  <rowBreaks count="3" manualBreakCount="3">
    <brk id="58" max="16383" man="1"/>
    <brk id="104" min="1" max="14" man="1"/>
    <brk id="152" min="1"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101"/>
  <sheetViews>
    <sheetView showGridLines="0" view="pageBreakPreview" topLeftCell="I47" zoomScale="70" zoomScaleNormal="80" zoomScaleSheetLayoutView="70" workbookViewId="0">
      <selection activeCell="U100" sqref="U100:V100"/>
    </sheetView>
  </sheetViews>
  <sheetFormatPr defaultColWidth="8.81640625" defaultRowHeight="14" x14ac:dyDescent="0.3"/>
  <cols>
    <col min="1" max="1" width="8.81640625" style="1"/>
    <col min="2" max="2" width="32.08984375" style="1" bestFit="1" customWidth="1"/>
    <col min="3" max="3" width="18" style="1" customWidth="1"/>
    <col min="4" max="9" width="11.54296875" style="1" customWidth="1"/>
    <col min="10" max="10" width="15.453125" style="1" customWidth="1"/>
    <col min="11" max="11" width="15.1796875" style="1" customWidth="1"/>
    <col min="12" max="18" width="11.54296875" style="1" customWidth="1"/>
    <col min="19" max="19" width="13.26953125" style="1" customWidth="1"/>
    <col min="20" max="20" width="11.54296875" style="1" customWidth="1"/>
    <col min="21" max="21" width="12.1796875" style="1" customWidth="1"/>
    <col min="22" max="22" width="13.7265625" style="1" customWidth="1"/>
    <col min="23" max="23" width="9.36328125" style="1" bestFit="1" customWidth="1"/>
    <col min="24" max="24" width="11.81640625" style="1" customWidth="1"/>
    <col min="25" max="25" width="12.453125" style="1" customWidth="1"/>
    <col min="26" max="26" width="10.1796875" style="1" bestFit="1" customWidth="1"/>
    <col min="27" max="27" width="11.36328125" style="1" bestFit="1" customWidth="1"/>
    <col min="28" max="16384" width="8.81640625" style="1"/>
  </cols>
  <sheetData>
    <row r="2" spans="2:27" x14ac:dyDescent="0.3">
      <c r="C2" s="132"/>
      <c r="D2" s="132"/>
      <c r="E2" s="132"/>
      <c r="F2" s="132"/>
      <c r="G2" s="238"/>
      <c r="H2" s="132"/>
      <c r="J2" s="132" t="s">
        <v>1027</v>
      </c>
      <c r="K2" s="132"/>
      <c r="L2" s="132"/>
      <c r="M2" s="132"/>
      <c r="N2" s="132"/>
      <c r="O2" s="238"/>
      <c r="P2" s="132"/>
      <c r="Q2" s="1645"/>
    </row>
    <row r="3" spans="2:27" x14ac:dyDescent="0.3">
      <c r="C3" s="138"/>
      <c r="D3" s="138"/>
      <c r="E3" s="138"/>
      <c r="F3" s="138"/>
      <c r="G3" s="138"/>
      <c r="H3" s="138"/>
      <c r="J3" s="134" t="s">
        <v>826</v>
      </c>
      <c r="K3" s="138"/>
      <c r="L3" s="138"/>
      <c r="M3" s="138"/>
      <c r="N3" s="138"/>
      <c r="O3" s="138"/>
      <c r="P3" s="138"/>
      <c r="Q3" s="138"/>
    </row>
    <row r="4" spans="2:27" x14ac:dyDescent="0.3">
      <c r="C4" s="138"/>
      <c r="D4" s="138"/>
      <c r="E4" s="138"/>
      <c r="F4" s="138"/>
      <c r="G4" s="138"/>
      <c r="H4" s="138"/>
      <c r="J4" s="138" t="s">
        <v>798</v>
      </c>
      <c r="K4" s="138"/>
      <c r="L4" s="138"/>
      <c r="M4" s="138"/>
      <c r="N4" s="138"/>
      <c r="O4" s="138"/>
      <c r="P4" s="138"/>
      <c r="Q4" s="138"/>
    </row>
    <row r="5" spans="2:27" x14ac:dyDescent="0.3">
      <c r="B5" s="138"/>
      <c r="C5" s="138"/>
      <c r="D5" s="138"/>
      <c r="E5" s="138"/>
      <c r="F5" s="138"/>
      <c r="G5" s="138"/>
      <c r="H5" s="138"/>
      <c r="I5" s="138"/>
      <c r="J5" s="138"/>
      <c r="K5" s="138"/>
      <c r="L5" s="138"/>
      <c r="M5" s="138"/>
      <c r="N5" s="138"/>
      <c r="O5" s="138"/>
      <c r="P5" s="138"/>
      <c r="Q5" s="138"/>
    </row>
    <row r="6" spans="2:27" x14ac:dyDescent="0.3">
      <c r="B6" s="138"/>
      <c r="C6" s="138"/>
      <c r="D6" s="138"/>
      <c r="E6" s="138"/>
      <c r="F6" s="138"/>
      <c r="G6" s="138"/>
      <c r="H6" s="138"/>
      <c r="I6" s="138"/>
      <c r="J6" s="138"/>
      <c r="K6" s="138"/>
      <c r="L6" s="138"/>
      <c r="M6" s="138"/>
      <c r="N6" s="138"/>
      <c r="O6" s="138"/>
      <c r="P6" s="138"/>
      <c r="Q6" s="138"/>
    </row>
    <row r="7" spans="2:27" x14ac:dyDescent="0.3">
      <c r="B7" s="178" t="s">
        <v>1733</v>
      </c>
      <c r="C7" s="179"/>
      <c r="D7" s="179"/>
      <c r="E7" s="179"/>
      <c r="F7" s="179"/>
      <c r="G7" s="179"/>
      <c r="H7" s="179"/>
      <c r="I7" s="179"/>
      <c r="J7" s="179"/>
      <c r="K7" s="179"/>
      <c r="L7" s="179"/>
      <c r="M7" s="179"/>
      <c r="N7" s="179"/>
      <c r="O7" s="179"/>
      <c r="P7" s="179"/>
      <c r="Q7" s="179"/>
      <c r="R7" s="179"/>
      <c r="S7" s="179"/>
      <c r="T7" s="179"/>
      <c r="U7" s="179"/>
      <c r="V7" s="179"/>
    </row>
    <row r="8" spans="2:27" x14ac:dyDescent="0.3">
      <c r="B8" s="178" t="s">
        <v>366</v>
      </c>
      <c r="C8" s="179"/>
      <c r="D8" s="179"/>
      <c r="E8" s="179"/>
      <c r="F8" s="179"/>
      <c r="G8" s="179"/>
      <c r="H8" s="179"/>
      <c r="I8" s="179"/>
      <c r="J8" s="179"/>
      <c r="K8" s="179"/>
      <c r="L8" s="179"/>
      <c r="M8" s="179"/>
      <c r="N8" s="179"/>
      <c r="O8" s="179"/>
      <c r="P8" s="179"/>
      <c r="Q8" s="179"/>
      <c r="R8" s="179"/>
      <c r="S8" s="179"/>
      <c r="T8" s="179"/>
      <c r="U8" s="179"/>
      <c r="V8" s="179"/>
    </row>
    <row r="9" spans="2:27" x14ac:dyDescent="0.3">
      <c r="B9" s="179"/>
      <c r="C9" s="179"/>
      <c r="D9" s="179"/>
      <c r="E9" s="179"/>
      <c r="F9" s="179"/>
      <c r="G9" s="179"/>
      <c r="H9" s="179"/>
      <c r="I9" s="179"/>
      <c r="J9" s="179"/>
      <c r="K9" s="179"/>
      <c r="L9" s="179"/>
      <c r="M9" s="179"/>
      <c r="N9" s="179"/>
      <c r="O9" s="179"/>
      <c r="P9" s="179"/>
      <c r="Q9" s="179"/>
      <c r="R9" s="179"/>
      <c r="S9" s="179"/>
      <c r="T9" s="179"/>
      <c r="U9" s="179"/>
      <c r="V9" s="179"/>
    </row>
    <row r="10" spans="2:27" x14ac:dyDescent="0.3">
      <c r="B10" s="2429"/>
      <c r="C10" s="2430" t="s">
        <v>358</v>
      </c>
      <c r="D10" s="2431" t="s">
        <v>367</v>
      </c>
      <c r="E10" s="2431"/>
      <c r="F10" s="2431"/>
      <c r="G10" s="2431"/>
      <c r="H10" s="2431"/>
      <c r="I10" s="2430" t="s">
        <v>368</v>
      </c>
      <c r="J10" s="2430"/>
      <c r="K10" s="2430"/>
      <c r="L10" s="2432" t="s">
        <v>369</v>
      </c>
      <c r="M10" s="2432"/>
      <c r="N10" s="2432"/>
      <c r="O10" s="2432"/>
      <c r="P10" s="2432"/>
      <c r="Q10" s="2432"/>
      <c r="R10" s="2432"/>
      <c r="S10" s="2430" t="s">
        <v>363</v>
      </c>
      <c r="T10" s="2430" t="s">
        <v>370</v>
      </c>
      <c r="U10" s="2430" t="s">
        <v>371</v>
      </c>
      <c r="V10" s="2430" t="s">
        <v>465</v>
      </c>
    </row>
    <row r="11" spans="2:27" ht="70" x14ac:dyDescent="0.3">
      <c r="B11" s="2429"/>
      <c r="C11" s="2430"/>
      <c r="D11" s="1185" t="s">
        <v>1538</v>
      </c>
      <c r="E11" s="1185" t="s">
        <v>1539</v>
      </c>
      <c r="F11" s="1185" t="s">
        <v>1540</v>
      </c>
      <c r="G11" s="1185" t="s">
        <v>1541</v>
      </c>
      <c r="H11" s="137" t="s">
        <v>372</v>
      </c>
      <c r="I11" s="203" t="s">
        <v>464</v>
      </c>
      <c r="J11" s="137" t="s">
        <v>373</v>
      </c>
      <c r="K11" s="249" t="s">
        <v>1731</v>
      </c>
      <c r="L11" s="137" t="s">
        <v>374</v>
      </c>
      <c r="M11" s="137" t="s">
        <v>375</v>
      </c>
      <c r="N11" s="137" t="s">
        <v>376</v>
      </c>
      <c r="O11" s="237" t="s">
        <v>1607</v>
      </c>
      <c r="P11" s="137" t="s">
        <v>377</v>
      </c>
      <c r="Q11" s="1646" t="s">
        <v>1838</v>
      </c>
      <c r="R11" s="136" t="s">
        <v>145</v>
      </c>
      <c r="S11" s="2430"/>
      <c r="T11" s="2430"/>
      <c r="U11" s="2430"/>
      <c r="V11" s="2430"/>
    </row>
    <row r="12" spans="2:27" x14ac:dyDescent="0.3">
      <c r="B12" s="140"/>
      <c r="C12" s="180"/>
      <c r="D12" s="102"/>
      <c r="E12" s="102"/>
      <c r="F12" s="102"/>
      <c r="G12" s="102"/>
      <c r="H12" s="102"/>
      <c r="I12" s="102"/>
      <c r="J12" s="102"/>
      <c r="K12" s="102"/>
      <c r="L12" s="102"/>
      <c r="M12" s="102"/>
      <c r="N12" s="102"/>
      <c r="O12" s="102"/>
      <c r="P12" s="102"/>
      <c r="Q12" s="102"/>
      <c r="R12" s="103"/>
      <c r="S12" s="180"/>
      <c r="T12" s="180"/>
      <c r="U12" s="180"/>
      <c r="V12" s="180"/>
    </row>
    <row r="13" spans="2:27" x14ac:dyDescent="0.3">
      <c r="B13" s="177" t="s">
        <v>293</v>
      </c>
      <c r="C13" s="100"/>
      <c r="D13" s="100"/>
      <c r="E13" s="100"/>
      <c r="F13" s="100"/>
      <c r="G13" s="100"/>
      <c r="H13" s="100"/>
      <c r="I13" s="100"/>
      <c r="J13" s="100"/>
      <c r="K13" s="100"/>
      <c r="L13" s="100"/>
      <c r="M13" s="100"/>
      <c r="N13" s="100"/>
      <c r="O13" s="100"/>
      <c r="P13" s="100"/>
      <c r="Q13" s="100"/>
      <c r="R13" s="100"/>
      <c r="S13" s="100"/>
      <c r="T13" s="100"/>
      <c r="U13" s="100"/>
      <c r="V13" s="100"/>
    </row>
    <row r="14" spans="2:27" ht="15.5" x14ac:dyDescent="0.35">
      <c r="B14" s="367" t="s">
        <v>953</v>
      </c>
      <c r="C14" s="481">
        <f>'F13'!C160</f>
        <v>37</v>
      </c>
      <c r="D14" s="481">
        <f ca="1">F13.1!D14</f>
        <v>0</v>
      </c>
      <c r="E14" s="481">
        <v>355</v>
      </c>
      <c r="F14" s="481">
        <v>5.43</v>
      </c>
      <c r="G14" s="481">
        <v>0.5</v>
      </c>
      <c r="H14" s="481">
        <v>0.95</v>
      </c>
      <c r="I14" s="481">
        <f ca="1">F13.1!I14</f>
        <v>0</v>
      </c>
      <c r="J14" s="481">
        <v>57742.178</v>
      </c>
      <c r="K14" s="481">
        <f>'F1'!L13</f>
        <v>104.00449535736344</v>
      </c>
      <c r="L14" s="481">
        <f ca="1">J14*D14*6/10^7</f>
        <v>0</v>
      </c>
      <c r="M14" s="481">
        <f>J14*E14*6/10^7</f>
        <v>12.299083914000002</v>
      </c>
      <c r="N14" s="481">
        <f>F14*$K14/10</f>
        <v>56.474440979048346</v>
      </c>
      <c r="O14" s="481">
        <f>G14*$K14/10</f>
        <v>5.2002247678681721</v>
      </c>
      <c r="P14" s="481">
        <f>H14*$K14/10</f>
        <v>9.8804270589495253</v>
      </c>
      <c r="Q14" s="481"/>
      <c r="R14" s="481">
        <f ca="1">SUM(L14:P14)</f>
        <v>83.854176719866047</v>
      </c>
      <c r="S14" s="481"/>
      <c r="T14" s="481">
        <f ca="1">R14+S14</f>
        <v>83.854176719866047</v>
      </c>
      <c r="U14" s="481">
        <f ca="1">T14/K14*10</f>
        <v>8.0625531071267513</v>
      </c>
      <c r="V14" s="810">
        <f t="shared" ref="V14:V19" ca="1" si="0">U14/$V$53</f>
        <v>0.73775339369953297</v>
      </c>
      <c r="W14" s="425"/>
      <c r="AA14" s="677"/>
    </row>
    <row r="15" spans="2:27" ht="15.5" x14ac:dyDescent="0.35">
      <c r="B15" s="367" t="s">
        <v>954</v>
      </c>
      <c r="C15" s="481">
        <f>'F13'!C161</f>
        <v>94</v>
      </c>
      <c r="D15" s="481">
        <f ca="1">F13.1!D15</f>
        <v>0</v>
      </c>
      <c r="E15" s="481">
        <v>355</v>
      </c>
      <c r="F15" s="481">
        <v>5.74</v>
      </c>
      <c r="G15" s="481">
        <v>0.5</v>
      </c>
      <c r="H15" s="481">
        <v>1.1000000000000001</v>
      </c>
      <c r="I15" s="481">
        <f ca="1">F13.1!I15</f>
        <v>0</v>
      </c>
      <c r="J15" s="481">
        <v>115718.576</v>
      </c>
      <c r="K15" s="481">
        <f>'F1'!L14</f>
        <v>90.979663364329937</v>
      </c>
      <c r="L15" s="481">
        <f t="shared" ref="L15:L20" ca="1" si="1">J15*D15*6/10^7</f>
        <v>0</v>
      </c>
      <c r="M15" s="481">
        <f t="shared" ref="M15:M20" si="2">J15*E15*6/10^7</f>
        <v>24.648056688</v>
      </c>
      <c r="N15" s="481">
        <f t="shared" ref="N15:N40" si="3">F15*$K15/10</f>
        <v>52.222326771125381</v>
      </c>
      <c r="O15" s="481">
        <f t="shared" ref="O15:O40" si="4">G15*$K15/10</f>
        <v>4.5489831682164965</v>
      </c>
      <c r="P15" s="481">
        <f t="shared" ref="P15:P40" si="5">H15*$K15/10</f>
        <v>10.007762970076294</v>
      </c>
      <c r="Q15" s="481"/>
      <c r="R15" s="481">
        <f t="shared" ref="R15:R20" ca="1" si="6">SUM(L15:P15)</f>
        <v>91.427129597418173</v>
      </c>
      <c r="S15" s="481"/>
      <c r="T15" s="481">
        <f t="shared" ref="T15:T20" ca="1" si="7">R15+S15</f>
        <v>91.427129597418173</v>
      </c>
      <c r="U15" s="481">
        <f t="shared" ref="U15:U44" ca="1" si="8">T15/K15*10</f>
        <v>10.049183104942514</v>
      </c>
      <c r="V15" s="810">
        <f t="shared" ca="1" si="0"/>
        <v>0.91953737743767983</v>
      </c>
      <c r="W15" s="425"/>
      <c r="AA15" s="677"/>
    </row>
    <row r="16" spans="2:27" ht="15.5" x14ac:dyDescent="0.35">
      <c r="B16" s="367" t="s">
        <v>955</v>
      </c>
      <c r="C16" s="481">
        <f>'F13'!C162</f>
        <v>12</v>
      </c>
      <c r="D16" s="481">
        <f ca="1">F13.1!D16</f>
        <v>0</v>
      </c>
      <c r="E16" s="481">
        <v>355</v>
      </c>
      <c r="F16" s="481">
        <v>5.45</v>
      </c>
      <c r="G16" s="481">
        <v>0.5</v>
      </c>
      <c r="H16" s="481">
        <v>0.95</v>
      </c>
      <c r="I16" s="481">
        <f ca="1">F13.1!I16</f>
        <v>0</v>
      </c>
      <c r="J16" s="481">
        <v>8700</v>
      </c>
      <c r="K16" s="481">
        <f>'F1'!L15</f>
        <v>14.936878728631736</v>
      </c>
      <c r="L16" s="481">
        <f t="shared" ca="1" si="1"/>
        <v>0</v>
      </c>
      <c r="M16" s="481">
        <f t="shared" si="2"/>
        <v>1.8531</v>
      </c>
      <c r="N16" s="481">
        <f t="shared" si="3"/>
        <v>8.1405989071042963</v>
      </c>
      <c r="O16" s="481">
        <f t="shared" si="4"/>
        <v>0.74684393643158686</v>
      </c>
      <c r="P16" s="481">
        <f t="shared" si="5"/>
        <v>1.419003479220015</v>
      </c>
      <c r="Q16" s="481"/>
      <c r="R16" s="481">
        <f t="shared" ca="1" si="6"/>
        <v>12.159546322755897</v>
      </c>
      <c r="S16" s="481"/>
      <c r="T16" s="481">
        <f t="shared" ca="1" si="7"/>
        <v>12.159546322755897</v>
      </c>
      <c r="U16" s="481">
        <f t="shared" ca="1" si="8"/>
        <v>8.1406206367920007</v>
      </c>
      <c r="V16" s="810">
        <f t="shared" ca="1" si="0"/>
        <v>0.74489686105819963</v>
      </c>
      <c r="W16" s="425"/>
      <c r="AA16" s="677"/>
    </row>
    <row r="17" spans="1:30" ht="15.5" x14ac:dyDescent="0.35">
      <c r="B17" s="367" t="s">
        <v>956</v>
      </c>
      <c r="C17" s="481">
        <f>'F13'!C163</f>
        <v>3</v>
      </c>
      <c r="D17" s="481">
        <f ca="1">F13.1!D17</f>
        <v>0</v>
      </c>
      <c r="E17" s="481">
        <v>355</v>
      </c>
      <c r="F17" s="481">
        <v>5.46</v>
      </c>
      <c r="G17" s="481">
        <v>0.5</v>
      </c>
      <c r="H17" s="481">
        <v>1.05</v>
      </c>
      <c r="I17" s="481">
        <f ca="1">F13.1!I17</f>
        <v>0</v>
      </c>
      <c r="J17" s="481">
        <v>2875</v>
      </c>
      <c r="K17" s="481">
        <f>'F1'!L16</f>
        <v>1.2505067190733439</v>
      </c>
      <c r="L17" s="481">
        <f t="shared" ca="1" si="1"/>
        <v>0</v>
      </c>
      <c r="M17" s="481">
        <f t="shared" si="2"/>
        <v>0.612375</v>
      </c>
      <c r="N17" s="481">
        <f t="shared" si="3"/>
        <v>0.68277666861404573</v>
      </c>
      <c r="O17" s="481">
        <f t="shared" si="4"/>
        <v>6.2525335953667188E-2</v>
      </c>
      <c r="P17" s="481">
        <f t="shared" si="5"/>
        <v>0.13130320550270111</v>
      </c>
      <c r="Q17" s="481"/>
      <c r="R17" s="481">
        <f t="shared" ca="1" si="6"/>
        <v>1.4889802100704139</v>
      </c>
      <c r="S17" s="481"/>
      <c r="T17" s="481">
        <f t="shared" ca="1" si="7"/>
        <v>1.4889802100704139</v>
      </c>
      <c r="U17" s="481">
        <f t="shared" ca="1" si="8"/>
        <v>11.907014871329798</v>
      </c>
      <c r="V17" s="810">
        <f t="shared" ca="1" si="0"/>
        <v>1.0895358471982672</v>
      </c>
      <c r="W17" s="425"/>
      <c r="AA17" s="677"/>
    </row>
    <row r="18" spans="1:30" ht="15.5" x14ac:dyDescent="0.35">
      <c r="B18" s="367" t="s">
        <v>957</v>
      </c>
      <c r="C18" s="481">
        <f>'F13'!C164</f>
        <v>4</v>
      </c>
      <c r="D18" s="481">
        <f ca="1">F13.1!D18</f>
        <v>0</v>
      </c>
      <c r="E18" s="481">
        <v>355</v>
      </c>
      <c r="F18" s="481">
        <v>5.16</v>
      </c>
      <c r="G18" s="481">
        <v>0.5</v>
      </c>
      <c r="H18" s="481">
        <v>1</v>
      </c>
      <c r="I18" s="481">
        <f ca="1">F13.1!I18</f>
        <v>0</v>
      </c>
      <c r="J18" s="481">
        <v>8960</v>
      </c>
      <c r="K18" s="481">
        <f>'F1'!L17</f>
        <v>12.616353124755697</v>
      </c>
      <c r="L18" s="481">
        <f t="shared" ca="1" si="1"/>
        <v>0</v>
      </c>
      <c r="M18" s="481">
        <f t="shared" si="2"/>
        <v>1.90848</v>
      </c>
      <c r="N18" s="481">
        <f t="shared" si="3"/>
        <v>6.5100382123739404</v>
      </c>
      <c r="O18" s="481">
        <f t="shared" si="4"/>
        <v>0.63081765623778485</v>
      </c>
      <c r="P18" s="481">
        <f t="shared" si="5"/>
        <v>1.2616353124755697</v>
      </c>
      <c r="Q18" s="481"/>
      <c r="R18" s="481">
        <f t="shared" ca="1" si="6"/>
        <v>10.310971181087293</v>
      </c>
      <c r="S18" s="481"/>
      <c r="T18" s="481">
        <f t="shared" ca="1" si="7"/>
        <v>10.310971181087293</v>
      </c>
      <c r="U18" s="481">
        <f t="shared" ca="1" si="8"/>
        <v>8.1727033788038135</v>
      </c>
      <c r="V18" s="810">
        <f t="shared" ca="1" si="0"/>
        <v>0.747832550471207</v>
      </c>
      <c r="W18" s="425"/>
      <c r="AA18" s="677"/>
    </row>
    <row r="19" spans="1:30" ht="15.5" x14ac:dyDescent="0.35">
      <c r="B19" s="367" t="s">
        <v>958</v>
      </c>
      <c r="C19" s="481">
        <f>'F13'!C165</f>
        <v>46</v>
      </c>
      <c r="D19" s="481">
        <f ca="1">F13.1!D19</f>
        <v>0</v>
      </c>
      <c r="E19" s="481">
        <v>355</v>
      </c>
      <c r="F19" s="481">
        <v>5.59</v>
      </c>
      <c r="G19" s="481">
        <v>0.5</v>
      </c>
      <c r="H19" s="481">
        <v>1.05</v>
      </c>
      <c r="I19" s="481">
        <f ca="1">F13.1!I19</f>
        <v>0</v>
      </c>
      <c r="J19" s="481">
        <v>71108.375</v>
      </c>
      <c r="K19" s="481">
        <f>'F1'!L18</f>
        <v>84.660047346317228</v>
      </c>
      <c r="L19" s="481">
        <f t="shared" ca="1" si="1"/>
        <v>0</v>
      </c>
      <c r="M19" s="481">
        <f t="shared" si="2"/>
        <v>15.146083875</v>
      </c>
      <c r="N19" s="481">
        <f t="shared" si="3"/>
        <v>47.324966466591334</v>
      </c>
      <c r="O19" s="481">
        <f t="shared" si="4"/>
        <v>4.2330023673158612</v>
      </c>
      <c r="P19" s="481">
        <f t="shared" si="5"/>
        <v>8.889304971363309</v>
      </c>
      <c r="Q19" s="481"/>
      <c r="R19" s="481">
        <f t="shared" ca="1" si="6"/>
        <v>75.593357680270515</v>
      </c>
      <c r="S19" s="481"/>
      <c r="T19" s="481">
        <f t="shared" ca="1" si="7"/>
        <v>75.593357680270515</v>
      </c>
      <c r="U19" s="481">
        <f t="shared" ca="1" si="8"/>
        <v>8.929047413715967</v>
      </c>
      <c r="V19" s="810">
        <f t="shared" ca="1" si="0"/>
        <v>0.81704082372494957</v>
      </c>
      <c r="W19" s="425"/>
      <c r="AA19" s="677"/>
    </row>
    <row r="20" spans="1:30" ht="15.5" x14ac:dyDescent="0.35">
      <c r="B20" s="367" t="s">
        <v>959</v>
      </c>
      <c r="C20" s="481">
        <f>'F13'!C166</f>
        <v>0</v>
      </c>
      <c r="D20" s="481">
        <f ca="1">F13.1!D20</f>
        <v>0</v>
      </c>
      <c r="E20" s="481">
        <v>70</v>
      </c>
      <c r="F20" s="481">
        <v>5</v>
      </c>
      <c r="G20" s="481">
        <v>0.5</v>
      </c>
      <c r="H20" s="481">
        <f ca="1">F13.1!H20</f>
        <v>0</v>
      </c>
      <c r="I20" s="481">
        <f ca="1">F13.1!I20</f>
        <v>0</v>
      </c>
      <c r="J20" s="481">
        <v>0</v>
      </c>
      <c r="K20" s="481">
        <f>'F1'!L19</f>
        <v>0</v>
      </c>
      <c r="L20" s="481">
        <f t="shared" ca="1" si="1"/>
        <v>0</v>
      </c>
      <c r="M20" s="481">
        <f t="shared" si="2"/>
        <v>0</v>
      </c>
      <c r="N20" s="481">
        <f t="shared" si="3"/>
        <v>0</v>
      </c>
      <c r="O20" s="481">
        <f t="shared" si="4"/>
        <v>0</v>
      </c>
      <c r="P20" s="481">
        <f t="shared" ca="1" si="5"/>
        <v>0</v>
      </c>
      <c r="Q20" s="481"/>
      <c r="R20" s="481">
        <f t="shared" ca="1" si="6"/>
        <v>0</v>
      </c>
      <c r="S20" s="481"/>
      <c r="T20" s="481">
        <f t="shared" ca="1" si="7"/>
        <v>0</v>
      </c>
      <c r="U20" s="481"/>
      <c r="V20" s="810"/>
      <c r="W20" s="425"/>
      <c r="AA20" s="677"/>
    </row>
    <row r="21" spans="1:30" s="152" customFormat="1" x14ac:dyDescent="0.3">
      <c r="A21" s="512">
        <f ca="1">P21/K21*10</f>
        <v>1.0241415949264385</v>
      </c>
      <c r="B21" s="177" t="s">
        <v>972</v>
      </c>
      <c r="C21" s="482">
        <f>SUM(C14:C20)</f>
        <v>196</v>
      </c>
      <c r="D21" s="481">
        <f ca="1">F13.1!D21</f>
        <v>0</v>
      </c>
      <c r="E21" s="481">
        <f ca="1">F13.1!E21</f>
        <v>0</v>
      </c>
      <c r="F21" s="481">
        <f ca="1">F13.1!F21</f>
        <v>0</v>
      </c>
      <c r="G21" s="481">
        <f ca="1">F13.1!G21</f>
        <v>0</v>
      </c>
      <c r="H21" s="481">
        <f ca="1">F13.1!H21</f>
        <v>0</v>
      </c>
      <c r="I21" s="481">
        <f ca="1">F13.1!I21</f>
        <v>0</v>
      </c>
      <c r="J21" s="482">
        <f>SUM(J14:J20)</f>
        <v>265104.12900000002</v>
      </c>
      <c r="K21" s="482">
        <f>SUM(K14:K20)</f>
        <v>308.44794464047141</v>
      </c>
      <c r="L21" s="482">
        <f t="shared" ref="L21:T21" ca="1" si="9">SUM(L14:L20)</f>
        <v>0</v>
      </c>
      <c r="M21" s="482">
        <f t="shared" si="9"/>
        <v>56.467179477000002</v>
      </c>
      <c r="N21" s="482">
        <f t="shared" si="9"/>
        <v>171.35514800485734</v>
      </c>
      <c r="O21" s="482">
        <f t="shared" si="9"/>
        <v>15.42239723202357</v>
      </c>
      <c r="P21" s="482">
        <f t="shared" ca="1" si="9"/>
        <v>31.589436997587416</v>
      </c>
      <c r="Q21" s="482"/>
      <c r="R21" s="482">
        <f t="shared" ca="1" si="9"/>
        <v>274.83416171146837</v>
      </c>
      <c r="S21" s="482">
        <f t="shared" si="9"/>
        <v>0</v>
      </c>
      <c r="T21" s="482">
        <f t="shared" ca="1" si="9"/>
        <v>274.83416171146837</v>
      </c>
      <c r="U21" s="481">
        <f t="shared" ca="1" si="8"/>
        <v>8.9102283379393743</v>
      </c>
      <c r="V21" s="810">
        <f ca="1">U21/$V$53</f>
        <v>0.81531880877062979</v>
      </c>
      <c r="AA21" s="482"/>
    </row>
    <row r="22" spans="1:30" x14ac:dyDescent="0.3">
      <c r="B22" s="76"/>
      <c r="C22" s="481"/>
      <c r="D22" s="481"/>
      <c r="E22" s="481"/>
      <c r="F22" s="481"/>
      <c r="G22" s="481"/>
      <c r="H22" s="481"/>
      <c r="I22" s="481"/>
      <c r="J22" s="481"/>
      <c r="K22" s="481"/>
      <c r="L22" s="481"/>
      <c r="M22" s="481"/>
      <c r="N22" s="481"/>
      <c r="O22" s="481"/>
      <c r="P22" s="481"/>
      <c r="Q22" s="481"/>
      <c r="R22" s="481"/>
      <c r="S22" s="481"/>
      <c r="T22" s="481"/>
      <c r="U22" s="481"/>
      <c r="V22" s="810"/>
      <c r="AA22" s="677"/>
    </row>
    <row r="23" spans="1:30" x14ac:dyDescent="0.3">
      <c r="B23" s="177" t="s">
        <v>294</v>
      </c>
      <c r="C23" s="481"/>
      <c r="D23" s="481"/>
      <c r="E23" s="481"/>
      <c r="F23" s="481"/>
      <c r="G23" s="481"/>
      <c r="H23" s="481"/>
      <c r="I23" s="481"/>
      <c r="J23" s="481"/>
      <c r="K23" s="481"/>
      <c r="L23" s="481"/>
      <c r="M23" s="481"/>
      <c r="N23" s="481"/>
      <c r="O23" s="481"/>
      <c r="P23" s="481"/>
      <c r="Q23" s="481"/>
      <c r="R23" s="481"/>
      <c r="S23" s="481"/>
      <c r="T23" s="481"/>
      <c r="U23" s="481"/>
      <c r="V23" s="810"/>
      <c r="AA23" s="677"/>
    </row>
    <row r="24" spans="1:30" x14ac:dyDescent="0.3">
      <c r="B24" s="76"/>
      <c r="C24" s="481"/>
      <c r="D24" s="481"/>
      <c r="E24" s="481"/>
      <c r="F24" s="481"/>
      <c r="G24" s="481"/>
      <c r="H24" s="481"/>
      <c r="I24" s="481"/>
      <c r="J24" s="481"/>
      <c r="K24" s="481"/>
      <c r="L24" s="481"/>
      <c r="M24" s="481"/>
      <c r="N24" s="481"/>
      <c r="O24" s="481"/>
      <c r="P24" s="481"/>
      <c r="Q24" s="481"/>
      <c r="R24" s="481"/>
      <c r="S24" s="481"/>
      <c r="T24" s="481"/>
      <c r="U24" s="481"/>
      <c r="V24" s="810"/>
      <c r="AA24" s="677"/>
    </row>
    <row r="25" spans="1:30" ht="15.5" x14ac:dyDescent="0.3">
      <c r="A25" s="425"/>
      <c r="B25" s="368" t="s">
        <v>960</v>
      </c>
      <c r="C25" s="481">
        <f>'F13'!$C$172</f>
        <v>59</v>
      </c>
      <c r="D25" s="481">
        <v>10</v>
      </c>
      <c r="E25" s="481">
        <f ca="1">F13.1!E25</f>
        <v>0</v>
      </c>
      <c r="F25" s="481">
        <v>1.22</v>
      </c>
      <c r="G25" s="481">
        <v>1.46</v>
      </c>
      <c r="H25" s="481">
        <v>0.25</v>
      </c>
      <c r="I25" s="481">
        <f ca="1">F13.1!I25</f>
        <v>0</v>
      </c>
      <c r="J25" s="481"/>
      <c r="K25" s="481">
        <f>'F1'!L25</f>
        <v>2.6872039046489046E-2</v>
      </c>
      <c r="L25" s="481">
        <f>C25*D25*6/10^7</f>
        <v>3.5399999999999999E-4</v>
      </c>
      <c r="M25" s="481">
        <f ca="1">J25*E25*12/10^7</f>
        <v>0</v>
      </c>
      <c r="N25" s="481">
        <f t="shared" si="3"/>
        <v>3.2783887636716634E-3</v>
      </c>
      <c r="O25" s="481">
        <f t="shared" si="4"/>
        <v>3.9233177007874011E-3</v>
      </c>
      <c r="P25" s="481">
        <f t="shared" si="5"/>
        <v>6.718009761622261E-4</v>
      </c>
      <c r="Q25" s="481"/>
      <c r="R25" s="481">
        <f t="shared" ref="R25:R40" ca="1" si="10">SUM(L25:P25)</f>
        <v>8.2275074406212914E-3</v>
      </c>
      <c r="S25" s="481"/>
      <c r="T25" s="481">
        <f t="shared" ref="T25:T40" ca="1" si="11">R25+S25</f>
        <v>8.2275074406212914E-3</v>
      </c>
      <c r="U25" s="481">
        <f t="shared" ca="1" si="8"/>
        <v>3.0617354441870139</v>
      </c>
      <c r="V25" s="810">
        <f ca="1">U25/$V$53</f>
        <v>0.28016010369748573</v>
      </c>
      <c r="X25" s="2433" t="s">
        <v>1256</v>
      </c>
      <c r="Y25" s="2433"/>
      <c r="AA25" s="677"/>
    </row>
    <row r="26" spans="1:30" ht="15.5" x14ac:dyDescent="0.35">
      <c r="A26" s="425"/>
      <c r="B26" s="367" t="s">
        <v>961</v>
      </c>
      <c r="D26" s="481"/>
      <c r="E26" s="481"/>
      <c r="F26" s="481"/>
      <c r="G26" s="481"/>
      <c r="H26" s="481"/>
      <c r="I26" s="481"/>
      <c r="J26" s="481"/>
      <c r="K26" s="481"/>
      <c r="L26" s="481"/>
      <c r="M26" s="481"/>
      <c r="N26" s="481"/>
      <c r="O26" s="481"/>
      <c r="P26" s="481"/>
      <c r="Q26" s="481"/>
      <c r="R26" s="481"/>
      <c r="S26" s="481"/>
      <c r="T26" s="481"/>
      <c r="U26" s="481"/>
      <c r="V26" s="810"/>
      <c r="X26" s="11"/>
      <c r="Y26" s="481">
        <v>769553</v>
      </c>
      <c r="Z26"/>
      <c r="AA26" s="677"/>
      <c r="AB26"/>
      <c r="AC26"/>
      <c r="AD26"/>
    </row>
    <row r="27" spans="1:30" ht="15.5" x14ac:dyDescent="0.35">
      <c r="A27" s="425"/>
      <c r="B27" s="367" t="s">
        <v>1542</v>
      </c>
      <c r="C27" s="481">
        <f>Y27</f>
        <v>324901.28700799606</v>
      </c>
      <c r="D27" s="481">
        <v>80</v>
      </c>
      <c r="E27" s="481">
        <f ca="1">F13.1!E27</f>
        <v>0</v>
      </c>
      <c r="F27" s="481">
        <v>1.72</v>
      </c>
      <c r="G27" s="481">
        <v>1.46</v>
      </c>
      <c r="H27" s="481">
        <v>0.35</v>
      </c>
      <c r="I27" s="481">
        <f ca="1">F13.1!I27</f>
        <v>0</v>
      </c>
      <c r="J27" s="481"/>
      <c r="K27" s="481">
        <f>'F1'!L27</f>
        <v>370.7642108282156</v>
      </c>
      <c r="L27" s="2212">
        <f>'F13'!E173</f>
        <v>61.343491999999998</v>
      </c>
      <c r="M27" s="481">
        <f ca="1">J27*E27*12/10^7</f>
        <v>0</v>
      </c>
      <c r="N27" s="481">
        <f t="shared" si="3"/>
        <v>63.771444262453073</v>
      </c>
      <c r="O27" s="481">
        <f t="shared" si="4"/>
        <v>54.131574780919472</v>
      </c>
      <c r="P27" s="481">
        <f t="shared" si="5"/>
        <v>12.976747378987545</v>
      </c>
      <c r="Q27" s="481"/>
      <c r="R27" s="481">
        <f t="shared" ca="1" si="10"/>
        <v>192.22325842236009</v>
      </c>
      <c r="S27" s="481"/>
      <c r="T27" s="481">
        <f t="shared" ca="1" si="11"/>
        <v>192.22325842236009</v>
      </c>
      <c r="U27" s="481">
        <f t="shared" ca="1" si="8"/>
        <v>5.184514923729302</v>
      </c>
      <c r="V27" s="810">
        <f t="shared" ref="V27:V37" ca="1" si="12">U27/$V$53</f>
        <v>0.47440226797219121</v>
      </c>
      <c r="X27" s="1462">
        <v>0.42219481570209727</v>
      </c>
      <c r="Y27" s="350">
        <f>X27*$Y$26</f>
        <v>324901.28700799606</v>
      </c>
      <c r="Z27"/>
      <c r="AA27" s="677"/>
      <c r="AB27"/>
      <c r="AC27"/>
      <c r="AD27"/>
    </row>
    <row r="28" spans="1:30" ht="15.5" x14ac:dyDescent="0.35">
      <c r="B28" s="367" t="s">
        <v>1543</v>
      </c>
      <c r="C28" s="481">
        <f>Y28</f>
        <v>361752.8588726201</v>
      </c>
      <c r="D28" s="481">
        <v>120</v>
      </c>
      <c r="E28" s="481">
        <f ca="1">F13.1!E28</f>
        <v>0</v>
      </c>
      <c r="F28" s="481">
        <v>4.3499999999999996</v>
      </c>
      <c r="G28" s="481">
        <v>1.46</v>
      </c>
      <c r="H28" s="481">
        <v>0.85</v>
      </c>
      <c r="I28" s="481">
        <f ca="1">F13.1!I28</f>
        <v>0</v>
      </c>
      <c r="J28" s="481"/>
      <c r="K28" s="481">
        <f>'F1'!L28</f>
        <v>334.25926999975695</v>
      </c>
      <c r="L28" s="2213"/>
      <c r="M28" s="481">
        <f ca="1">J28*E28*12/10^7</f>
        <v>0</v>
      </c>
      <c r="N28" s="481">
        <f t="shared" si="3"/>
        <v>145.40278244989426</v>
      </c>
      <c r="O28" s="481">
        <f t="shared" si="4"/>
        <v>48.801853419964516</v>
      </c>
      <c r="P28" s="481">
        <f t="shared" si="5"/>
        <v>28.412037949979339</v>
      </c>
      <c r="Q28" s="481"/>
      <c r="R28" s="481">
        <f t="shared" ca="1" si="10"/>
        <v>222.61667381983813</v>
      </c>
      <c r="S28" s="481"/>
      <c r="T28" s="481">
        <f t="shared" ca="1" si="11"/>
        <v>222.61667381983813</v>
      </c>
      <c r="U28" s="481">
        <f t="shared" ca="1" si="8"/>
        <v>6.66</v>
      </c>
      <c r="V28" s="810">
        <f t="shared" ca="1" si="12"/>
        <v>0.60941460313554319</v>
      </c>
      <c r="X28" s="1462">
        <v>0.47008179926869248</v>
      </c>
      <c r="Y28" s="350">
        <f>X28*$Y$26</f>
        <v>361752.8588726201</v>
      </c>
      <c r="Z28"/>
      <c r="AA28" s="677"/>
      <c r="AB28"/>
      <c r="AC28"/>
      <c r="AD28"/>
    </row>
    <row r="29" spans="1:30" ht="15.5" x14ac:dyDescent="0.35">
      <c r="A29" s="425"/>
      <c r="B29" s="367" t="s">
        <v>1544</v>
      </c>
      <c r="C29" s="481">
        <f>Y29</f>
        <v>52470.533467038629</v>
      </c>
      <c r="D29" s="481">
        <v>120</v>
      </c>
      <c r="E29" s="481">
        <f ca="1">F13.1!E29</f>
        <v>0</v>
      </c>
      <c r="F29" s="481">
        <v>7.19</v>
      </c>
      <c r="G29" s="481">
        <v>1.46</v>
      </c>
      <c r="H29" s="481">
        <v>1.2</v>
      </c>
      <c r="I29" s="481">
        <f ca="1">F13.1!I29</f>
        <v>0</v>
      </c>
      <c r="J29" s="481"/>
      <c r="K29" s="481">
        <f>'F1'!L29</f>
        <v>103.50375329011649</v>
      </c>
      <c r="L29" s="2213"/>
      <c r="M29" s="481">
        <f ca="1">J29*E29*12/10^7</f>
        <v>0</v>
      </c>
      <c r="N29" s="481">
        <f t="shared" si="3"/>
        <v>74.419198615593757</v>
      </c>
      <c r="O29" s="481">
        <f t="shared" si="4"/>
        <v>15.111547980357008</v>
      </c>
      <c r="P29" s="481">
        <f t="shared" si="5"/>
        <v>12.420450394813979</v>
      </c>
      <c r="Q29" s="481"/>
      <c r="R29" s="481">
        <f t="shared" ca="1" si="10"/>
        <v>101.95119699076474</v>
      </c>
      <c r="S29" s="481"/>
      <c r="T29" s="481">
        <f t="shared" ca="1" si="11"/>
        <v>101.95119699076474</v>
      </c>
      <c r="U29" s="481">
        <f t="shared" ca="1" si="8"/>
        <v>9.85</v>
      </c>
      <c r="V29" s="810">
        <f t="shared" ca="1" si="12"/>
        <v>0.90131138752028528</v>
      </c>
      <c r="X29" s="1462">
        <v>6.8183131593325771E-2</v>
      </c>
      <c r="Y29" s="350">
        <f>X29*$Y$26</f>
        <v>52470.533467038629</v>
      </c>
      <c r="Z29"/>
      <c r="AA29" s="677"/>
      <c r="AB29"/>
      <c r="AC29"/>
      <c r="AD29"/>
    </row>
    <row r="30" spans="1:30" ht="15.5" x14ac:dyDescent="0.35">
      <c r="A30" s="425"/>
      <c r="B30" s="367" t="s">
        <v>1545</v>
      </c>
      <c r="C30" s="481">
        <f>Y30</f>
        <v>30428.320652345228</v>
      </c>
      <c r="D30" s="481">
        <v>145</v>
      </c>
      <c r="E30" s="481">
        <f ca="1">F13.1!E30</f>
        <v>0</v>
      </c>
      <c r="F30" s="481">
        <v>8.75</v>
      </c>
      <c r="G30" s="481">
        <v>1.46</v>
      </c>
      <c r="H30" s="481">
        <v>1.4</v>
      </c>
      <c r="I30" s="481">
        <f ca="1">F13.1!I30</f>
        <v>0</v>
      </c>
      <c r="J30" s="481"/>
      <c r="K30" s="481">
        <f>'F1'!L30</f>
        <v>174.96208926070707</v>
      </c>
      <c r="L30" s="2214"/>
      <c r="M30" s="481">
        <f ca="1">J30*E30*12/10^7</f>
        <v>0</v>
      </c>
      <c r="N30" s="481">
        <f t="shared" si="3"/>
        <v>153.0918281031187</v>
      </c>
      <c r="O30" s="481">
        <f t="shared" si="4"/>
        <v>25.544465032063233</v>
      </c>
      <c r="P30" s="481">
        <f t="shared" si="5"/>
        <v>24.494692496498988</v>
      </c>
      <c r="Q30" s="481"/>
      <c r="R30" s="481">
        <f t="shared" ca="1" si="10"/>
        <v>203.13098563168094</v>
      </c>
      <c r="S30" s="481"/>
      <c r="T30" s="481">
        <f t="shared" ca="1" si="11"/>
        <v>203.13098563168094</v>
      </c>
      <c r="U30" s="481">
        <f t="shared" ca="1" si="8"/>
        <v>11.610000000000003</v>
      </c>
      <c r="V30" s="810">
        <f t="shared" ca="1" si="12"/>
        <v>1.0623578892497985</v>
      </c>
      <c r="X30" s="1462">
        <v>3.9540253435884506E-2</v>
      </c>
      <c r="Y30" s="350">
        <f>X30*$Y$26</f>
        <v>30428.320652345228</v>
      </c>
      <c r="Z30"/>
      <c r="AA30" s="677"/>
      <c r="AB30"/>
      <c r="AC30"/>
      <c r="AD30"/>
    </row>
    <row r="31" spans="1:30" ht="15.5" x14ac:dyDescent="0.35">
      <c r="A31" s="425"/>
      <c r="B31" s="367" t="s">
        <v>973</v>
      </c>
      <c r="C31" s="481">
        <f>'F13'!C174</f>
        <v>252537</v>
      </c>
      <c r="D31" s="481">
        <v>425</v>
      </c>
      <c r="E31" s="481">
        <f ca="1">F13.1!E31</f>
        <v>0</v>
      </c>
      <c r="F31" s="481">
        <v>4.92</v>
      </c>
      <c r="G31" s="481">
        <v>1.46</v>
      </c>
      <c r="H31" s="481">
        <v>1</v>
      </c>
      <c r="I31" s="481">
        <f ca="1">F13.1!I31</f>
        <v>0</v>
      </c>
      <c r="J31" s="481"/>
      <c r="K31" s="481">
        <f>'F1'!L31</f>
        <v>396.07438476317083</v>
      </c>
      <c r="L31" s="481">
        <f t="shared" ref="L31:L40" si="13">C31*D31*6/10^7</f>
        <v>64.396934999999999</v>
      </c>
      <c r="M31" s="481">
        <f ca="1">J31*E31*12/10^7</f>
        <v>0</v>
      </c>
      <c r="N31" s="481">
        <f t="shared" si="3"/>
        <v>194.86859730348004</v>
      </c>
      <c r="O31" s="481">
        <f t="shared" si="4"/>
        <v>57.826860175422937</v>
      </c>
      <c r="P31" s="481">
        <f t="shared" si="5"/>
        <v>39.607438476317085</v>
      </c>
      <c r="Q31" s="481"/>
      <c r="R31" s="481">
        <f t="shared" ca="1" si="10"/>
        <v>356.69983095522008</v>
      </c>
      <c r="S31" s="481"/>
      <c r="T31" s="481">
        <f t="shared" ca="1" si="11"/>
        <v>356.69983095522008</v>
      </c>
      <c r="U31" s="481">
        <f t="shared" ca="1" si="8"/>
        <v>9.0058798215013471</v>
      </c>
      <c r="V31" s="810">
        <f t="shared" ca="1" si="12"/>
        <v>0.82407127286886483</v>
      </c>
      <c r="Z31"/>
      <c r="AA31" s="677"/>
      <c r="AB31"/>
      <c r="AC31"/>
      <c r="AD31"/>
    </row>
    <row r="32" spans="1:30" ht="15.5" x14ac:dyDescent="0.35">
      <c r="A32" s="425"/>
      <c r="B32" s="367" t="s">
        <v>974</v>
      </c>
      <c r="C32" s="481">
        <f>'F13'!C175</f>
        <v>5794</v>
      </c>
      <c r="D32" s="481">
        <f ca="1">F13.1!D32</f>
        <v>0</v>
      </c>
      <c r="E32" s="481">
        <v>355</v>
      </c>
      <c r="F32" s="481">
        <v>4.96</v>
      </c>
      <c r="G32" s="481">
        <v>1.46</v>
      </c>
      <c r="H32" s="481">
        <v>1</v>
      </c>
      <c r="I32" s="481">
        <f ca="1">F13.1!I32</f>
        <v>0</v>
      </c>
      <c r="J32" s="481">
        <v>209752.82750000051</v>
      </c>
      <c r="K32" s="481">
        <f>'F1'!L32</f>
        <v>79.782220664851593</v>
      </c>
      <c r="L32" s="481">
        <f t="shared" ca="1" si="13"/>
        <v>0</v>
      </c>
      <c r="M32" s="481">
        <f>J32*E32*6/10^7</f>
        <v>44.677352257500111</v>
      </c>
      <c r="N32" s="481">
        <f t="shared" si="3"/>
        <v>39.57198144976639</v>
      </c>
      <c r="O32" s="481">
        <f t="shared" si="4"/>
        <v>11.648204217068333</v>
      </c>
      <c r="P32" s="481">
        <f t="shared" si="5"/>
        <v>7.9782220664851593</v>
      </c>
      <c r="Q32" s="481"/>
      <c r="R32" s="481">
        <f t="shared" ca="1" si="10"/>
        <v>103.87575999082</v>
      </c>
      <c r="S32" s="481"/>
      <c r="T32" s="481">
        <f t="shared" ca="1" si="11"/>
        <v>103.87575999082</v>
      </c>
      <c r="U32" s="481">
        <f t="shared" ca="1" si="8"/>
        <v>13.019913349765023</v>
      </c>
      <c r="V32" s="810">
        <f t="shared" ca="1" si="12"/>
        <v>1.1913701692051368</v>
      </c>
      <c r="AA32" s="677"/>
    </row>
    <row r="33" spans="1:40" ht="15.5" x14ac:dyDescent="0.35">
      <c r="A33" s="425"/>
      <c r="B33" s="367" t="s">
        <v>975</v>
      </c>
      <c r="C33" s="481">
        <f>'F13'!C176</f>
        <v>3063</v>
      </c>
      <c r="D33" s="481">
        <f ca="1">F13.1!D33</f>
        <v>0</v>
      </c>
      <c r="E33" s="481">
        <v>355</v>
      </c>
      <c r="F33" s="481">
        <v>5.31</v>
      </c>
      <c r="G33" s="481">
        <v>1.46</v>
      </c>
      <c r="H33" s="481">
        <v>1.05</v>
      </c>
      <c r="I33" s="481">
        <f ca="1">F13.1!I33</f>
        <v>0</v>
      </c>
      <c r="J33" s="481">
        <v>425027.03600000107</v>
      </c>
      <c r="K33" s="481">
        <f>'F1'!L33</f>
        <v>166.43939816453369</v>
      </c>
      <c r="L33" s="481">
        <f t="shared" ca="1" si="13"/>
        <v>0</v>
      </c>
      <c r="M33" s="481">
        <f t="shared" ref="M33:M37" si="14">J33*E33*6/10^7</f>
        <v>90.530758668000232</v>
      </c>
      <c r="N33" s="481">
        <f t="shared" si="3"/>
        <v>88.379320425367382</v>
      </c>
      <c r="O33" s="481">
        <f t="shared" si="4"/>
        <v>24.300152132021918</v>
      </c>
      <c r="P33" s="481">
        <f t="shared" si="5"/>
        <v>17.476136807276038</v>
      </c>
      <c r="Q33" s="481"/>
      <c r="R33" s="481">
        <f t="shared" ca="1" si="10"/>
        <v>220.68636803266557</v>
      </c>
      <c r="S33" s="481"/>
      <c r="T33" s="481">
        <f t="shared" ca="1" si="11"/>
        <v>220.68636803266557</v>
      </c>
      <c r="U33" s="481">
        <f t="shared" ca="1" si="8"/>
        <v>13.259262558406155</v>
      </c>
      <c r="V33" s="810">
        <f t="shared" ca="1" si="12"/>
        <v>1.2132715059911492</v>
      </c>
      <c r="AA33" s="677"/>
    </row>
    <row r="34" spans="1:40" ht="15.5" x14ac:dyDescent="0.35">
      <c r="A34" s="425"/>
      <c r="B34" s="367" t="s">
        <v>965</v>
      </c>
      <c r="C34" s="481">
        <f>'F13'!C177</f>
        <v>8104</v>
      </c>
      <c r="D34" s="481">
        <v>425</v>
      </c>
      <c r="E34" s="481">
        <f ca="1">F13.1!E34</f>
        <v>0</v>
      </c>
      <c r="F34" s="481">
        <v>4.6100000000000003</v>
      </c>
      <c r="G34" s="481">
        <v>1.46</v>
      </c>
      <c r="H34" s="481">
        <v>0.9</v>
      </c>
      <c r="I34" s="481">
        <f ca="1">F13.1!I34</f>
        <v>0</v>
      </c>
      <c r="J34" s="481"/>
      <c r="K34" s="481">
        <f>'F1'!L34</f>
        <v>54.516742903889607</v>
      </c>
      <c r="L34" s="481">
        <f t="shared" si="13"/>
        <v>2.0665200000000001</v>
      </c>
      <c r="M34" s="481">
        <f t="shared" ca="1" si="14"/>
        <v>0</v>
      </c>
      <c r="N34" s="481">
        <f t="shared" si="3"/>
        <v>25.132218478693112</v>
      </c>
      <c r="O34" s="481">
        <f t="shared" si="4"/>
        <v>7.9594444639678823</v>
      </c>
      <c r="P34" s="481">
        <f t="shared" si="5"/>
        <v>4.9065068613500653</v>
      </c>
      <c r="Q34" s="481"/>
      <c r="R34" s="481">
        <f t="shared" ca="1" si="10"/>
        <v>40.06468980401106</v>
      </c>
      <c r="S34" s="481"/>
      <c r="T34" s="481">
        <f t="shared" ca="1" si="11"/>
        <v>40.06468980401106</v>
      </c>
      <c r="U34" s="481">
        <f t="shared" ca="1" si="8"/>
        <v>7.3490615304445424</v>
      </c>
      <c r="V34" s="810">
        <f t="shared" ca="1" si="12"/>
        <v>0.67246627867786013</v>
      </c>
      <c r="AA34" s="677"/>
    </row>
    <row r="35" spans="1:40" ht="15.5" x14ac:dyDescent="0.35">
      <c r="A35" s="425"/>
      <c r="B35" s="367" t="s">
        <v>976</v>
      </c>
      <c r="C35" s="481">
        <f>'F13'!C178</f>
        <v>997</v>
      </c>
      <c r="D35" s="481">
        <f ca="1">F13.1!D35</f>
        <v>0</v>
      </c>
      <c r="E35" s="481">
        <v>355</v>
      </c>
      <c r="F35" s="481">
        <v>4.88</v>
      </c>
      <c r="G35" s="481">
        <v>1.46</v>
      </c>
      <c r="H35" s="481">
        <v>1</v>
      </c>
      <c r="I35" s="481">
        <f ca="1">F13.1!I35</f>
        <v>0</v>
      </c>
      <c r="J35" s="481">
        <v>61832.443499999979</v>
      </c>
      <c r="K35" s="481">
        <f>'F1'!L35</f>
        <v>38.735288116296047</v>
      </c>
      <c r="L35" s="481">
        <f t="shared" ca="1" si="13"/>
        <v>0</v>
      </c>
      <c r="M35" s="481">
        <f t="shared" si="14"/>
        <v>13.170310465499995</v>
      </c>
      <c r="N35" s="481">
        <f t="shared" si="3"/>
        <v>18.90282060075247</v>
      </c>
      <c r="O35" s="481">
        <f t="shared" si="4"/>
        <v>5.6553520649792226</v>
      </c>
      <c r="P35" s="481">
        <f t="shared" si="5"/>
        <v>3.8735288116296047</v>
      </c>
      <c r="Q35" s="481"/>
      <c r="R35" s="481">
        <f t="shared" ca="1" si="10"/>
        <v>41.602011942861289</v>
      </c>
      <c r="S35" s="481"/>
      <c r="T35" s="481">
        <f t="shared" ca="1" si="11"/>
        <v>41.602011942861289</v>
      </c>
      <c r="U35" s="481">
        <f t="shared" ca="1" si="8"/>
        <v>10.74008067732926</v>
      </c>
      <c r="V35" s="810">
        <f t="shared" ca="1" si="12"/>
        <v>0.98275705760034937</v>
      </c>
      <c r="AA35" s="677"/>
    </row>
    <row r="36" spans="1:40" ht="15.5" x14ac:dyDescent="0.35">
      <c r="A36" s="425"/>
      <c r="B36" s="367" t="s">
        <v>967</v>
      </c>
      <c r="C36" s="481">
        <f>'F13'!C179</f>
        <v>665</v>
      </c>
      <c r="D36" s="481">
        <v>425</v>
      </c>
      <c r="E36" s="481">
        <f ca="1">F13.1!E36</f>
        <v>0</v>
      </c>
      <c r="F36" s="481">
        <v>5.07</v>
      </c>
      <c r="G36" s="481">
        <v>1.46</v>
      </c>
      <c r="H36" s="481">
        <v>0.85</v>
      </c>
      <c r="I36" s="481">
        <f ca="1">F13.1!I36</f>
        <v>0</v>
      </c>
      <c r="J36" s="481"/>
      <c r="K36" s="481">
        <f>'F1'!L36</f>
        <v>28.712749548059037</v>
      </c>
      <c r="L36" s="481">
        <f t="shared" si="13"/>
        <v>0.169575</v>
      </c>
      <c r="M36" s="481">
        <f t="shared" ca="1" si="14"/>
        <v>0</v>
      </c>
      <c r="N36" s="481">
        <f t="shared" si="3"/>
        <v>14.557364020865933</v>
      </c>
      <c r="O36" s="481">
        <f t="shared" si="4"/>
        <v>4.1920614340166198</v>
      </c>
      <c r="P36" s="481">
        <f t="shared" si="5"/>
        <v>2.4405837115850177</v>
      </c>
      <c r="Q36" s="481"/>
      <c r="R36" s="481">
        <f t="shared" ca="1" si="10"/>
        <v>21.35958416646757</v>
      </c>
      <c r="S36" s="481"/>
      <c r="T36" s="481">
        <f t="shared" ca="1" si="11"/>
        <v>21.35958416646757</v>
      </c>
      <c r="U36" s="481">
        <f t="shared" ca="1" si="8"/>
        <v>7.4390591297138462</v>
      </c>
      <c r="V36" s="810">
        <f t="shared" ca="1" si="12"/>
        <v>0.68070139147693731</v>
      </c>
      <c r="AA36" s="677"/>
      <c r="AL36" s="1605"/>
      <c r="AM36" s="1605"/>
      <c r="AN36" s="1456"/>
    </row>
    <row r="37" spans="1:40" ht="15.5" x14ac:dyDescent="0.35">
      <c r="A37" s="425"/>
      <c r="B37" s="367" t="s">
        <v>968</v>
      </c>
      <c r="C37" s="481">
        <f>'F13'!C180</f>
        <v>6943</v>
      </c>
      <c r="D37" s="481">
        <v>425</v>
      </c>
      <c r="E37" s="481">
        <f ca="1">F13.1!E37</f>
        <v>0</v>
      </c>
      <c r="F37" s="481">
        <v>5.03</v>
      </c>
      <c r="G37" s="481">
        <v>1.46</v>
      </c>
      <c r="H37" s="481">
        <v>0.9</v>
      </c>
      <c r="I37" s="481">
        <f ca="1">F13.1!I37</f>
        <v>0</v>
      </c>
      <c r="J37" s="481"/>
      <c r="K37" s="481">
        <f>'F1'!L37</f>
        <v>82.628052780612975</v>
      </c>
      <c r="L37" s="481">
        <f t="shared" si="13"/>
        <v>1.770465</v>
      </c>
      <c r="M37" s="481">
        <f t="shared" ca="1" si="14"/>
        <v>0</v>
      </c>
      <c r="N37" s="481">
        <f t="shared" si="3"/>
        <v>41.561910548648328</v>
      </c>
      <c r="O37" s="481">
        <f t="shared" si="4"/>
        <v>12.063695705969494</v>
      </c>
      <c r="P37" s="481">
        <f t="shared" si="5"/>
        <v>7.4365247502551686</v>
      </c>
      <c r="Q37" s="481"/>
      <c r="R37" s="481">
        <f t="shared" ca="1" si="10"/>
        <v>62.83259600487299</v>
      </c>
      <c r="S37" s="481"/>
      <c r="T37" s="481">
        <f t="shared" ca="1" si="11"/>
        <v>62.83259600487299</v>
      </c>
      <c r="U37" s="481">
        <f t="shared" ca="1" si="8"/>
        <v>7.604269239128846</v>
      </c>
      <c r="V37" s="810">
        <f t="shared" ca="1" si="12"/>
        <v>0.6958187268017304</v>
      </c>
      <c r="AA37" s="677"/>
      <c r="AL37" s="1605"/>
      <c r="AM37" s="1605"/>
      <c r="AN37" s="1456"/>
    </row>
    <row r="38" spans="1:40" ht="15.5" x14ac:dyDescent="0.35">
      <c r="A38" s="425"/>
      <c r="B38" s="800" t="s">
        <v>1546</v>
      </c>
      <c r="C38" s="481"/>
      <c r="D38" s="481">
        <v>40</v>
      </c>
      <c r="E38" s="481">
        <f ca="1">F13.1!E38</f>
        <v>0</v>
      </c>
      <c r="F38" s="481">
        <v>2.21</v>
      </c>
      <c r="G38" s="481">
        <v>1.46</v>
      </c>
      <c r="H38" s="481">
        <v>0</v>
      </c>
      <c r="I38" s="481">
        <f ca="1">F13.1!I38</f>
        <v>0</v>
      </c>
      <c r="J38" s="481"/>
      <c r="K38" s="481">
        <f>'F1'!L38</f>
        <v>0</v>
      </c>
      <c r="L38" s="481">
        <f t="shared" si="13"/>
        <v>0</v>
      </c>
      <c r="M38" s="481"/>
      <c r="N38" s="481"/>
      <c r="O38" s="481"/>
      <c r="P38" s="481"/>
      <c r="Q38" s="481"/>
      <c r="R38" s="481"/>
      <c r="S38" s="481"/>
      <c r="T38" s="481"/>
      <c r="U38" s="481"/>
      <c r="V38" s="810"/>
      <c r="AA38" s="677"/>
      <c r="AL38" s="1605"/>
      <c r="AM38" s="1605"/>
      <c r="AN38" s="1456"/>
    </row>
    <row r="39" spans="1:40" ht="15.5" x14ac:dyDescent="0.35">
      <c r="A39" s="425"/>
      <c r="B39" s="367" t="s">
        <v>991</v>
      </c>
      <c r="C39" s="481">
        <f>'F13'!C181</f>
        <v>1</v>
      </c>
      <c r="D39" s="481">
        <f ca="1">F13.1!D39</f>
        <v>0</v>
      </c>
      <c r="E39" s="481">
        <v>90</v>
      </c>
      <c r="F39" s="481">
        <v>3.64</v>
      </c>
      <c r="G39" s="481">
        <v>1.46</v>
      </c>
      <c r="H39" s="481">
        <v>0.75</v>
      </c>
      <c r="I39" s="481">
        <f ca="1">F13.1!I39</f>
        <v>0</v>
      </c>
      <c r="J39" s="481"/>
      <c r="K39" s="481">
        <f>'F1'!L39</f>
        <v>2.1966000000000003E-2</v>
      </c>
      <c r="L39" s="481">
        <f t="shared" ca="1" si="13"/>
        <v>0</v>
      </c>
      <c r="M39" s="481">
        <f>J39*E39*12/10^7</f>
        <v>0</v>
      </c>
      <c r="N39" s="481">
        <f t="shared" si="3"/>
        <v>7.9956240000000015E-3</v>
      </c>
      <c r="O39" s="481">
        <f t="shared" si="4"/>
        <v>3.2070360000000008E-3</v>
      </c>
      <c r="P39" s="481">
        <f t="shared" si="5"/>
        <v>1.6474500000000004E-3</v>
      </c>
      <c r="Q39" s="481"/>
      <c r="R39" s="481">
        <f t="shared" ca="1" si="10"/>
        <v>1.2850110000000003E-2</v>
      </c>
      <c r="S39" s="481"/>
      <c r="T39" s="481">
        <f t="shared" ca="1" si="11"/>
        <v>1.2850110000000003E-2</v>
      </c>
      <c r="U39" s="481"/>
      <c r="V39" s="810"/>
      <c r="AA39" s="677"/>
      <c r="AN39" s="1456"/>
    </row>
    <row r="40" spans="1:40" ht="15.5" x14ac:dyDescent="0.35">
      <c r="A40" s="425"/>
      <c r="B40" s="370" t="s">
        <v>977</v>
      </c>
      <c r="C40" s="481">
        <f>'F13'!C182</f>
        <v>22</v>
      </c>
      <c r="D40" s="481">
        <f ca="1">F13.1!D40</f>
        <v>0</v>
      </c>
      <c r="E40" s="481">
        <v>70</v>
      </c>
      <c r="F40" s="481">
        <v>4.04</v>
      </c>
      <c r="G40" s="481">
        <v>1.46</v>
      </c>
      <c r="H40" s="481">
        <v>0.75</v>
      </c>
      <c r="I40" s="481">
        <f ca="1">F13.1!I40</f>
        <v>0</v>
      </c>
      <c r="J40" s="481"/>
      <c r="K40" s="481">
        <f>'F1'!L40</f>
        <v>9.0935640000000006</v>
      </c>
      <c r="L40" s="481">
        <f t="shared" ca="1" si="13"/>
        <v>0</v>
      </c>
      <c r="M40" s="481">
        <f>J40*E40*12/10^7</f>
        <v>0</v>
      </c>
      <c r="N40" s="481">
        <f t="shared" si="3"/>
        <v>3.673799856</v>
      </c>
      <c r="O40" s="481">
        <f t="shared" si="4"/>
        <v>1.3276603440000001</v>
      </c>
      <c r="P40" s="481">
        <f t="shared" si="5"/>
        <v>0.68201730000000005</v>
      </c>
      <c r="Q40" s="481"/>
      <c r="R40" s="481">
        <f t="shared" ca="1" si="10"/>
        <v>5.6834775000000004</v>
      </c>
      <c r="S40" s="481"/>
      <c r="T40" s="481">
        <f t="shared" ca="1" si="11"/>
        <v>5.6834775000000004</v>
      </c>
      <c r="U40" s="481">
        <f t="shared" ca="1" si="8"/>
        <v>6.25</v>
      </c>
      <c r="V40" s="810">
        <f ca="1">U40/$V$53</f>
        <v>0.57189808852809987</v>
      </c>
      <c r="AA40" s="677"/>
      <c r="AN40" s="1456"/>
    </row>
    <row r="41" spans="1:40" ht="15.5" x14ac:dyDescent="0.35">
      <c r="A41" s="425"/>
      <c r="B41" s="367"/>
      <c r="C41" s="481"/>
      <c r="D41" s="481"/>
      <c r="E41" s="481"/>
      <c r="F41" s="481"/>
      <c r="G41" s="481"/>
      <c r="H41" s="481"/>
      <c r="I41" s="481"/>
      <c r="J41" s="481"/>
      <c r="K41" s="481"/>
      <c r="L41" s="481"/>
      <c r="M41" s="481"/>
      <c r="N41" s="481"/>
      <c r="O41" s="481"/>
      <c r="P41" s="481"/>
      <c r="Q41" s="481"/>
      <c r="R41" s="481"/>
      <c r="S41" s="481"/>
      <c r="T41" s="481"/>
      <c r="U41" s="481"/>
      <c r="V41" s="810"/>
      <c r="AA41" s="677"/>
      <c r="AL41" s="1605"/>
      <c r="AM41" s="1605"/>
      <c r="AN41" s="1456"/>
    </row>
    <row r="42" spans="1:40" s="152" customFormat="1" x14ac:dyDescent="0.3">
      <c r="A42" s="512">
        <f>P42/K42*10</f>
        <v>0.88450876595516759</v>
      </c>
      <c r="B42" s="177" t="s">
        <v>972</v>
      </c>
      <c r="C42" s="482">
        <f>SUM(C25:C40)</f>
        <v>1047738</v>
      </c>
      <c r="D42" s="481">
        <f ca="1">F13.1!D42</f>
        <v>0</v>
      </c>
      <c r="E42" s="481">
        <f ca="1">F13.1!E42</f>
        <v>0</v>
      </c>
      <c r="F42" s="481">
        <f ca="1">F13.1!F42</f>
        <v>0</v>
      </c>
      <c r="G42" s="481">
        <f ca="1">F13.1!G42</f>
        <v>0</v>
      </c>
      <c r="H42" s="481">
        <f ca="1">F13.1!H42</f>
        <v>0</v>
      </c>
      <c r="I42" s="481">
        <f ca="1">F13.1!I42</f>
        <v>0</v>
      </c>
      <c r="J42" s="482"/>
      <c r="K42" s="482">
        <f t="shared" ref="K42:T42" si="15">SUM(K25:K41)</f>
        <v>1839.5205623592562</v>
      </c>
      <c r="L42" s="482">
        <f t="shared" ca="1" si="15"/>
        <v>129.74734099999998</v>
      </c>
      <c r="M42" s="482">
        <f t="shared" ca="1" si="15"/>
        <v>148.37842139100033</v>
      </c>
      <c r="N42" s="482">
        <f t="shared" si="15"/>
        <v>863.34454012739707</v>
      </c>
      <c r="O42" s="482">
        <f t="shared" si="15"/>
        <v>268.57000210445136</v>
      </c>
      <c r="P42" s="482">
        <f t="shared" si="15"/>
        <v>162.70720625615417</v>
      </c>
      <c r="Q42" s="482"/>
      <c r="R42" s="482">
        <f t="shared" ca="1" si="15"/>
        <v>1572.7475108790031</v>
      </c>
      <c r="S42" s="482">
        <f t="shared" si="15"/>
        <v>0</v>
      </c>
      <c r="T42" s="482">
        <f t="shared" ca="1" si="15"/>
        <v>1572.7475108790031</v>
      </c>
      <c r="U42" s="481">
        <f t="shared" ca="1" si="8"/>
        <v>8.5497685813410733</v>
      </c>
      <c r="V42" s="810">
        <f ca="1">U42/$V$53</f>
        <v>0.78233540944425017</v>
      </c>
      <c r="AA42" s="677"/>
      <c r="AL42" s="1606"/>
      <c r="AM42" s="1606"/>
      <c r="AN42" s="1456"/>
    </row>
    <row r="43" spans="1:40" x14ac:dyDescent="0.3">
      <c r="A43" s="425"/>
      <c r="B43" s="76" t="s">
        <v>978</v>
      </c>
      <c r="C43" s="481"/>
      <c r="D43" s="481">
        <f ca="1">F13.1!D43</f>
        <v>0</v>
      </c>
      <c r="E43" s="481">
        <f ca="1">F13.1!E43</f>
        <v>0</v>
      </c>
      <c r="F43" s="481">
        <f ca="1">F13.1!F43</f>
        <v>0</v>
      </c>
      <c r="G43" s="481">
        <f ca="1">F13.1!G43</f>
        <v>0</v>
      </c>
      <c r="H43" s="481">
        <f ca="1">F13.1!H43</f>
        <v>0</v>
      </c>
      <c r="I43" s="481">
        <f ca="1">F13.1!I43</f>
        <v>0</v>
      </c>
      <c r="J43" s="481"/>
      <c r="K43" s="481"/>
      <c r="L43" s="481"/>
      <c r="M43" s="481"/>
      <c r="N43" s="481"/>
      <c r="O43" s="481"/>
      <c r="P43" s="481"/>
      <c r="Q43" s="481"/>
      <c r="R43" s="481"/>
      <c r="S43" s="481"/>
      <c r="T43" s="481"/>
      <c r="U43" s="481"/>
      <c r="V43" s="810"/>
      <c r="AA43" s="677"/>
    </row>
    <row r="44" spans="1:40" s="152" customFormat="1" x14ac:dyDescent="0.3">
      <c r="A44" s="512">
        <f ca="1">P44/K44*10</f>
        <v>0.90456001855043122</v>
      </c>
      <c r="B44" s="177" t="s">
        <v>145</v>
      </c>
      <c r="C44" s="482">
        <f>SUM(C42+C21)</f>
        <v>1047934</v>
      </c>
      <c r="D44" s="481">
        <f ca="1">F13.1!D44</f>
        <v>0</v>
      </c>
      <c r="E44" s="481">
        <f ca="1">F13.1!E44</f>
        <v>0</v>
      </c>
      <c r="F44" s="481">
        <f ca="1">F13.1!F44</f>
        <v>0</v>
      </c>
      <c r="G44" s="481">
        <f ca="1">F13.1!G44</f>
        <v>0</v>
      </c>
      <c r="H44" s="481">
        <f ca="1">F13.1!H44</f>
        <v>0</v>
      </c>
      <c r="I44" s="481">
        <f ca="1">F13.1!I44</f>
        <v>0</v>
      </c>
      <c r="J44" s="482"/>
      <c r="K44" s="482">
        <f t="shared" ref="K44:T44" si="16">SUM(K42,K21)</f>
        <v>2147.9685069997277</v>
      </c>
      <c r="L44" s="482">
        <f t="shared" ca="1" si="16"/>
        <v>129.74734099999998</v>
      </c>
      <c r="M44" s="482">
        <f t="shared" ca="1" si="16"/>
        <v>204.84560086800033</v>
      </c>
      <c r="N44" s="482">
        <f t="shared" si="16"/>
        <v>1034.6996881322543</v>
      </c>
      <c r="O44" s="482">
        <f t="shared" si="16"/>
        <v>283.99239933647493</v>
      </c>
      <c r="P44" s="482">
        <f t="shared" ca="1" si="16"/>
        <v>194.29664325374159</v>
      </c>
      <c r="Q44" s="482"/>
      <c r="R44" s="482">
        <f t="shared" ca="1" si="16"/>
        <v>1847.5816725904715</v>
      </c>
      <c r="S44" s="482">
        <f t="shared" si="16"/>
        <v>0</v>
      </c>
      <c r="T44" s="482">
        <f t="shared" ca="1" si="16"/>
        <v>1847.5816725904715</v>
      </c>
      <c r="U44" s="481">
        <f t="shared" ca="1" si="8"/>
        <v>8.6015305465123646</v>
      </c>
      <c r="V44" s="810">
        <f ca="1">U44/$V$53</f>
        <v>0.78707182047463731</v>
      </c>
      <c r="AA44" s="677"/>
    </row>
    <row r="45" spans="1:40" x14ac:dyDescent="0.3">
      <c r="B45" s="76" t="s">
        <v>980</v>
      </c>
      <c r="C45" s="481"/>
      <c r="D45" s="481"/>
      <c r="E45" s="481"/>
      <c r="F45" s="481"/>
      <c r="G45" s="481"/>
      <c r="H45" s="481"/>
      <c r="I45" s="481"/>
      <c r="J45" s="481"/>
      <c r="K45" s="1262"/>
      <c r="L45" s="481"/>
      <c r="M45" s="481"/>
      <c r="N45" s="481"/>
      <c r="O45" s="481"/>
      <c r="P45" s="481"/>
      <c r="Q45" s="481"/>
      <c r="R45" s="481"/>
      <c r="S45" s="481"/>
      <c r="T45" s="481"/>
      <c r="U45" s="481"/>
      <c r="V45" s="810"/>
      <c r="AA45" s="677"/>
    </row>
    <row r="46" spans="1:40" x14ac:dyDescent="0.3">
      <c r="B46" s="76" t="s">
        <v>981</v>
      </c>
      <c r="C46" s="1262"/>
      <c r="D46" s="1262"/>
      <c r="E46" s="1262"/>
      <c r="F46" s="1262"/>
      <c r="G46" s="1262"/>
      <c r="H46" s="1262"/>
      <c r="I46" s="1262"/>
      <c r="J46" s="1262"/>
      <c r="K46" s="1262"/>
      <c r="L46" s="1262"/>
      <c r="M46" s="1262"/>
      <c r="N46" s="1262"/>
      <c r="O46" s="1262"/>
      <c r="P46" s="1262"/>
      <c r="Q46" s="1262"/>
      <c r="R46" s="1262"/>
      <c r="S46" s="1262"/>
      <c r="T46" s="1262"/>
      <c r="U46" s="1262"/>
      <c r="V46" s="810"/>
    </row>
    <row r="47" spans="1:40" x14ac:dyDescent="0.3">
      <c r="B47" s="76" t="s">
        <v>982</v>
      </c>
      <c r="C47" s="1262"/>
      <c r="D47" s="1262"/>
      <c r="E47" s="1262"/>
      <c r="F47" s="1262"/>
      <c r="G47" s="1262"/>
      <c r="H47" s="1262"/>
      <c r="I47" s="1262"/>
      <c r="J47" s="1262"/>
      <c r="K47" s="343"/>
      <c r="L47" s="1262"/>
      <c r="M47" s="1262"/>
      <c r="N47" s="1262"/>
      <c r="O47" s="1262"/>
      <c r="P47" s="1262"/>
      <c r="Q47" s="1262"/>
      <c r="R47" s="1262"/>
      <c r="S47" s="1262"/>
      <c r="T47" s="1262"/>
      <c r="U47" s="1262"/>
      <c r="V47" s="810"/>
    </row>
    <row r="48" spans="1:40" x14ac:dyDescent="0.3">
      <c r="B48" s="76" t="s">
        <v>983</v>
      </c>
      <c r="C48" s="1262"/>
      <c r="D48" s="1262"/>
      <c r="E48" s="1262"/>
      <c r="F48" s="1262"/>
      <c r="G48" s="1262"/>
      <c r="H48" s="1262"/>
      <c r="I48" s="1262"/>
      <c r="J48" s="1262"/>
      <c r="K48" s="343"/>
      <c r="L48" s="1262"/>
      <c r="M48" s="1262"/>
      <c r="N48" s="1262"/>
      <c r="O48" s="1262"/>
      <c r="P48" s="1262"/>
      <c r="Q48" s="1262"/>
      <c r="R48" s="1262"/>
      <c r="S48" s="1262"/>
      <c r="T48" s="1262"/>
      <c r="U48" s="1262"/>
      <c r="V48" s="810"/>
    </row>
    <row r="49" spans="2:26" x14ac:dyDescent="0.3">
      <c r="B49" s="76" t="s">
        <v>984</v>
      </c>
      <c r="C49" s="343"/>
      <c r="D49" s="343"/>
      <c r="E49" s="343"/>
      <c r="F49" s="343"/>
      <c r="G49" s="343"/>
      <c r="H49" s="343"/>
      <c r="I49" s="343"/>
      <c r="J49" s="343"/>
      <c r="K49" s="343"/>
      <c r="L49" s="343"/>
      <c r="M49" s="343"/>
      <c r="N49" s="343"/>
      <c r="O49" s="343"/>
      <c r="P49" s="343"/>
      <c r="Q49" s="343"/>
      <c r="R49" s="343"/>
      <c r="S49" s="343"/>
      <c r="T49" s="343"/>
      <c r="U49" s="343"/>
      <c r="V49" s="810"/>
    </row>
    <row r="50" spans="2:26" ht="15.5" x14ac:dyDescent="0.35">
      <c r="B50" s="372" t="s">
        <v>992</v>
      </c>
      <c r="C50" s="343"/>
      <c r="D50" s="343"/>
      <c r="E50" s="343"/>
      <c r="F50" s="343"/>
      <c r="G50" s="343"/>
      <c r="H50" s="343"/>
      <c r="I50" s="343"/>
      <c r="J50" s="343"/>
      <c r="K50" s="343"/>
      <c r="L50" s="343"/>
      <c r="M50" s="343"/>
      <c r="N50" s="343"/>
      <c r="O50" s="343"/>
      <c r="P50" s="343"/>
      <c r="Q50" s="343"/>
      <c r="R50" s="343"/>
      <c r="S50" s="343"/>
      <c r="T50" s="343"/>
      <c r="U50" s="343"/>
      <c r="V50" s="810"/>
    </row>
    <row r="51" spans="2:26" x14ac:dyDescent="0.3">
      <c r="B51" s="177" t="s">
        <v>985</v>
      </c>
      <c r="C51" s="349">
        <f t="shared" ref="C51:H51" si="17">SUM(C44:C50)</f>
        <v>1047934</v>
      </c>
      <c r="D51" s="349">
        <f t="shared" ca="1" si="17"/>
        <v>0</v>
      </c>
      <c r="E51" s="349">
        <f t="shared" ca="1" si="17"/>
        <v>0</v>
      </c>
      <c r="F51" s="349">
        <f t="shared" ca="1" si="17"/>
        <v>0</v>
      </c>
      <c r="G51" s="349">
        <f t="shared" ca="1" si="17"/>
        <v>0</v>
      </c>
      <c r="H51" s="349">
        <f t="shared" ca="1" si="17"/>
        <v>0</v>
      </c>
      <c r="I51" s="343">
        <f ca="1">SUM(I14:I50)</f>
        <v>0</v>
      </c>
      <c r="J51" s="349">
        <f t="shared" ref="J51:T51" si="18">SUM(J44:J50)</f>
        <v>0</v>
      </c>
      <c r="K51" s="349">
        <f t="shared" si="18"/>
        <v>2147.9685069997277</v>
      </c>
      <c r="L51" s="349">
        <f t="shared" ca="1" si="18"/>
        <v>129.74734099999998</v>
      </c>
      <c r="M51" s="349">
        <f t="shared" ca="1" si="18"/>
        <v>204.84560086800033</v>
      </c>
      <c r="N51" s="349">
        <f t="shared" si="18"/>
        <v>1034.6996881322543</v>
      </c>
      <c r="O51" s="349">
        <f t="shared" si="18"/>
        <v>283.99239933647493</v>
      </c>
      <c r="P51" s="349">
        <f t="shared" ca="1" si="18"/>
        <v>194.29664325374159</v>
      </c>
      <c r="Q51" s="349"/>
      <c r="R51" s="349">
        <f t="shared" ca="1" si="18"/>
        <v>1847.5816725904715</v>
      </c>
      <c r="S51" s="349">
        <f t="shared" si="18"/>
        <v>0</v>
      </c>
      <c r="T51" s="349">
        <f t="shared" ca="1" si="18"/>
        <v>1847.5816725904715</v>
      </c>
      <c r="U51" s="482">
        <f ca="1">T51/K51*10</f>
        <v>8.6015305465123646</v>
      </c>
      <c r="V51" s="811">
        <f ca="1">U51/$V$53</f>
        <v>0.78707182047463731</v>
      </c>
    </row>
    <row r="52" spans="2:26" x14ac:dyDescent="0.3">
      <c r="C52" s="11"/>
      <c r="D52" s="11"/>
      <c r="E52" s="11"/>
      <c r="F52" s="11"/>
      <c r="G52" s="11"/>
      <c r="H52" s="11"/>
      <c r="I52" s="11"/>
      <c r="J52" s="11"/>
      <c r="K52" s="1165">
        <f>SUM('F1'!I232:N232)-K51</f>
        <v>0</v>
      </c>
      <c r="L52" s="11"/>
      <c r="M52" s="11"/>
      <c r="N52" s="11"/>
      <c r="O52" s="11"/>
      <c r="P52" s="11"/>
      <c r="Q52" s="11"/>
      <c r="R52" s="11"/>
      <c r="S52" s="11"/>
      <c r="T52" s="11"/>
      <c r="U52" s="11"/>
      <c r="V52" s="11"/>
    </row>
    <row r="53" spans="2:26" x14ac:dyDescent="0.3">
      <c r="P53" s="728"/>
      <c r="Q53" s="728"/>
      <c r="T53" s="350"/>
      <c r="U53" s="38" t="s">
        <v>1286</v>
      </c>
      <c r="V53" s="2130">
        <f ca="1">'ARR-Summary'!P97/F13.1!K51*10</f>
        <v>10.928520527294804</v>
      </c>
    </row>
    <row r="54" spans="2:26" x14ac:dyDescent="0.3">
      <c r="K54" s="1320"/>
    </row>
    <row r="56" spans="2:26" x14ac:dyDescent="0.3">
      <c r="B56" s="152" t="s">
        <v>1637</v>
      </c>
    </row>
    <row r="57" spans="2:26" x14ac:dyDescent="0.3">
      <c r="B57" s="2429"/>
      <c r="C57" s="2430" t="s">
        <v>358</v>
      </c>
      <c r="D57" s="2431" t="s">
        <v>367</v>
      </c>
      <c r="E57" s="2431"/>
      <c r="F57" s="2431"/>
      <c r="G57" s="2431"/>
      <c r="H57" s="2431"/>
      <c r="I57" s="2430" t="s">
        <v>368</v>
      </c>
      <c r="J57" s="2430"/>
      <c r="K57" s="2430"/>
      <c r="L57" s="2432" t="s">
        <v>369</v>
      </c>
      <c r="M57" s="2432"/>
      <c r="N57" s="2432"/>
      <c r="O57" s="2432"/>
      <c r="P57" s="2432"/>
      <c r="Q57" s="2432"/>
      <c r="R57" s="2432"/>
      <c r="S57" s="2430" t="s">
        <v>363</v>
      </c>
      <c r="T57" s="2430" t="s">
        <v>370</v>
      </c>
      <c r="U57" s="2430" t="s">
        <v>371</v>
      </c>
      <c r="V57" s="2430" t="s">
        <v>465</v>
      </c>
    </row>
    <row r="58" spans="2:26" ht="70" x14ac:dyDescent="0.3">
      <c r="B58" s="2429"/>
      <c r="C58" s="2430"/>
      <c r="D58" s="1430" t="s">
        <v>1538</v>
      </c>
      <c r="E58" s="1430" t="s">
        <v>1539</v>
      </c>
      <c r="F58" s="1430" t="s">
        <v>1540</v>
      </c>
      <c r="G58" s="1430" t="s">
        <v>1541</v>
      </c>
      <c r="H58" s="1430" t="s">
        <v>1638</v>
      </c>
      <c r="I58" s="1430" t="s">
        <v>464</v>
      </c>
      <c r="J58" s="1430" t="s">
        <v>373</v>
      </c>
      <c r="K58" s="249" t="s">
        <v>1731</v>
      </c>
      <c r="L58" s="1430" t="s">
        <v>374</v>
      </c>
      <c r="M58" s="1430" t="s">
        <v>375</v>
      </c>
      <c r="N58" s="1430" t="s">
        <v>376</v>
      </c>
      <c r="O58" s="1430" t="s">
        <v>1607</v>
      </c>
      <c r="P58" s="1430" t="s">
        <v>377</v>
      </c>
      <c r="Q58" s="1646" t="s">
        <v>1838</v>
      </c>
      <c r="R58" s="1431" t="s">
        <v>145</v>
      </c>
      <c r="S58" s="2430"/>
      <c r="T58" s="2430"/>
      <c r="U58" s="2430"/>
      <c r="V58" s="2430"/>
    </row>
    <row r="59" spans="2:26" x14ac:dyDescent="0.3">
      <c r="B59" s="140"/>
      <c r="C59" s="180"/>
      <c r="D59" s="102"/>
      <c r="E59" s="102"/>
      <c r="F59" s="102"/>
      <c r="G59" s="102"/>
      <c r="H59" s="102"/>
      <c r="I59" s="102"/>
      <c r="J59" s="102"/>
      <c r="K59" s="102"/>
      <c r="L59" s="102"/>
      <c r="M59" s="102"/>
      <c r="N59" s="102"/>
      <c r="O59" s="102"/>
      <c r="P59" s="102"/>
      <c r="Q59" s="102"/>
      <c r="R59" s="103"/>
      <c r="S59" s="180"/>
      <c r="T59" s="180"/>
      <c r="U59" s="180"/>
      <c r="V59" s="180"/>
    </row>
    <row r="60" spans="2:26" x14ac:dyDescent="0.3">
      <c r="B60" s="177" t="s">
        <v>293</v>
      </c>
      <c r="C60" s="100"/>
      <c r="D60" s="100"/>
      <c r="E60" s="100"/>
      <c r="F60" s="100"/>
      <c r="G60" s="100"/>
      <c r="H60" s="100"/>
      <c r="I60" s="100"/>
      <c r="J60" s="100"/>
      <c r="K60" s="100"/>
      <c r="L60" s="100"/>
      <c r="M60" s="100"/>
      <c r="N60" s="100"/>
      <c r="O60" s="100"/>
      <c r="P60" s="100"/>
      <c r="Q60" s="100"/>
      <c r="R60" s="100"/>
      <c r="S60" s="100"/>
      <c r="T60" s="100"/>
      <c r="U60" s="100"/>
      <c r="V60" s="100"/>
    </row>
    <row r="61" spans="2:26" ht="15.5" x14ac:dyDescent="0.35">
      <c r="B61" s="367" t="s">
        <v>953</v>
      </c>
      <c r="C61" s="1455">
        <f t="shared" ref="C61:G67" si="19">C14</f>
        <v>37</v>
      </c>
      <c r="D61" s="481">
        <f t="shared" ca="1" si="19"/>
        <v>0</v>
      </c>
      <c r="E61" s="481">
        <f t="shared" si="19"/>
        <v>355</v>
      </c>
      <c r="F61" s="481">
        <f t="shared" si="19"/>
        <v>5.43</v>
      </c>
      <c r="G61" s="481">
        <f t="shared" si="19"/>
        <v>0.5</v>
      </c>
      <c r="H61" s="481">
        <v>0.95</v>
      </c>
      <c r="I61" s="481">
        <f ca="1">F13.1!I61</f>
        <v>0</v>
      </c>
      <c r="J61" s="481">
        <f>J14</f>
        <v>57742.178</v>
      </c>
      <c r="K61" s="481">
        <f>'F1'!M13</f>
        <v>190.38870735736344</v>
      </c>
      <c r="L61" s="481"/>
      <c r="M61" s="481">
        <f>M14+'F13'!E160</f>
        <v>20.860234136000003</v>
      </c>
      <c r="N61" s="481">
        <f>N14+'F13'!F160</f>
        <v>103.53876309504835</v>
      </c>
      <c r="O61" s="481">
        <f>O14+'F13'!G160</f>
        <v>9.5194353678681729</v>
      </c>
      <c r="P61" s="481">
        <f>P14+'F13'!H160</f>
        <v>12.627035708949526</v>
      </c>
      <c r="Q61" s="481">
        <f>'F13'!J160</f>
        <v>1.42296E-3</v>
      </c>
      <c r="R61" s="481">
        <f>SUM(L61:Q61)</f>
        <v>146.54689126786607</v>
      </c>
      <c r="S61" s="481"/>
      <c r="T61" s="481">
        <f>R61+S61</f>
        <v>146.54689126786607</v>
      </c>
      <c r="U61" s="481">
        <f>T61/K61*10</f>
        <v>7.6972470322409725</v>
      </c>
      <c r="V61" s="810">
        <f t="shared" ref="V61:V66" ca="1" si="20">U61/$V$53</f>
        <v>0.70432653834675218</v>
      </c>
      <c r="W61" s="728"/>
      <c r="X61" s="677"/>
      <c r="Z61" s="677"/>
    </row>
    <row r="62" spans="2:26" ht="15.5" x14ac:dyDescent="0.35">
      <c r="B62" s="367" t="s">
        <v>954</v>
      </c>
      <c r="C62" s="1455">
        <f t="shared" si="19"/>
        <v>94</v>
      </c>
      <c r="D62" s="481">
        <f t="shared" ca="1" si="19"/>
        <v>0</v>
      </c>
      <c r="E62" s="481">
        <f t="shared" si="19"/>
        <v>355</v>
      </c>
      <c r="F62" s="481">
        <f t="shared" si="19"/>
        <v>5.74</v>
      </c>
      <c r="G62" s="481">
        <f t="shared" si="19"/>
        <v>0.5</v>
      </c>
      <c r="H62" s="481">
        <v>1.1000000000000001</v>
      </c>
      <c r="I62" s="481">
        <f ca="1">F13.1!I62</f>
        <v>0</v>
      </c>
      <c r="J62" s="481">
        <f t="shared" ref="J62:J67" si="21">J15</f>
        <v>115718.576</v>
      </c>
      <c r="K62" s="481">
        <f>'F1'!M14</f>
        <v>208.45106136432992</v>
      </c>
      <c r="L62" s="481"/>
      <c r="M62" s="481">
        <f>M15+'F13'!E161</f>
        <v>41.908973834000001</v>
      </c>
      <c r="N62" s="481">
        <f>N15+'F13'!F161</f>
        <v>120.03651728112538</v>
      </c>
      <c r="O62" s="481">
        <f>O15+'F13'!G161</f>
        <v>10.422553068216496</v>
      </c>
      <c r="P62" s="481">
        <f>P15+'F13'!H161</f>
        <v>14.197883630076294</v>
      </c>
      <c r="Q62" s="481">
        <f>'F13'!J161</f>
        <v>0.57814006800000006</v>
      </c>
      <c r="R62" s="481">
        <f t="shared" ref="R62:R67" si="22">SUM(L62:Q62)</f>
        <v>187.14406788141818</v>
      </c>
      <c r="S62" s="481"/>
      <c r="T62" s="481">
        <f t="shared" ref="T62:T67" si="23">R62+S62</f>
        <v>187.14406788141818</v>
      </c>
      <c r="U62" s="481">
        <f t="shared" ref="U62:U66" si="24">T62/K62*10</f>
        <v>8.9778419287742821</v>
      </c>
      <c r="V62" s="810">
        <f t="shared" ca="1" si="20"/>
        <v>0.82150570210775054</v>
      </c>
      <c r="W62" s="728"/>
      <c r="X62" s="677"/>
    </row>
    <row r="63" spans="2:26" ht="15.5" x14ac:dyDescent="0.35">
      <c r="B63" s="367" t="s">
        <v>955</v>
      </c>
      <c r="C63" s="1455">
        <f t="shared" si="19"/>
        <v>12</v>
      </c>
      <c r="D63" s="481">
        <f t="shared" ca="1" si="19"/>
        <v>0</v>
      </c>
      <c r="E63" s="481">
        <f t="shared" si="19"/>
        <v>355</v>
      </c>
      <c r="F63" s="481">
        <f t="shared" si="19"/>
        <v>5.45</v>
      </c>
      <c r="G63" s="481">
        <f t="shared" si="19"/>
        <v>0.5</v>
      </c>
      <c r="H63" s="481">
        <v>0.95</v>
      </c>
      <c r="I63" s="481">
        <f ca="1">F13.1!I63</f>
        <v>0</v>
      </c>
      <c r="J63" s="481">
        <f t="shared" si="21"/>
        <v>8700</v>
      </c>
      <c r="K63" s="481">
        <f>'F1'!M15</f>
        <v>32.121324728631734</v>
      </c>
      <c r="L63" s="481"/>
      <c r="M63" s="481">
        <f>M16+'F13'!E162</f>
        <v>3.2197924499999999</v>
      </c>
      <c r="N63" s="481">
        <f>N16+'F13'!F162</f>
        <v>17.510516883104295</v>
      </c>
      <c r="O63" s="481">
        <f>O16+'F13'!G162</f>
        <v>1.606066236431587</v>
      </c>
      <c r="P63" s="481">
        <f>P16+'F13'!H162</f>
        <v>1.9676913692200151</v>
      </c>
      <c r="Q63" s="481">
        <f>'F13'!J162</f>
        <v>1.8605664000000001E-2</v>
      </c>
      <c r="R63" s="481">
        <f t="shared" si="22"/>
        <v>24.322672602755897</v>
      </c>
      <c r="S63" s="481"/>
      <c r="T63" s="481">
        <f t="shared" si="23"/>
        <v>24.322672602755897</v>
      </c>
      <c r="U63" s="481">
        <f t="shared" si="24"/>
        <v>7.5721262458006864</v>
      </c>
      <c r="V63" s="810">
        <f t="shared" ca="1" si="20"/>
        <v>0.69287752417069903</v>
      </c>
      <c r="W63" s="728"/>
      <c r="X63" s="677"/>
    </row>
    <row r="64" spans="2:26" ht="15.5" x14ac:dyDescent="0.35">
      <c r="B64" s="367" t="s">
        <v>956</v>
      </c>
      <c r="C64" s="1455">
        <f t="shared" si="19"/>
        <v>3</v>
      </c>
      <c r="D64" s="481">
        <f t="shared" ca="1" si="19"/>
        <v>0</v>
      </c>
      <c r="E64" s="481">
        <f t="shared" si="19"/>
        <v>355</v>
      </c>
      <c r="F64" s="481">
        <f t="shared" si="19"/>
        <v>5.46</v>
      </c>
      <c r="G64" s="481">
        <f t="shared" si="19"/>
        <v>0.5</v>
      </c>
      <c r="H64" s="481">
        <v>1.05</v>
      </c>
      <c r="I64" s="481">
        <f ca="1">F13.1!I64</f>
        <v>0</v>
      </c>
      <c r="J64" s="481">
        <f t="shared" si="21"/>
        <v>2875</v>
      </c>
      <c r="K64" s="481">
        <f>'F1'!M16</f>
        <v>2.5717217190733441</v>
      </c>
      <c r="L64" s="481"/>
      <c r="M64" s="481">
        <f>M17+'F13'!E163</f>
        <v>1.003906575</v>
      </c>
      <c r="N64" s="481">
        <f>N17+'F13'!F163</f>
        <v>1.4028057686140456</v>
      </c>
      <c r="O64" s="481">
        <f>O17+'F13'!G163</f>
        <v>0.12858608595366719</v>
      </c>
      <c r="P64" s="481">
        <f>P17+'F13'!H163</f>
        <v>0.1741447805027011</v>
      </c>
      <c r="Q64" s="481">
        <f>'F13'!J163</f>
        <v>0</v>
      </c>
      <c r="R64" s="481">
        <f t="shared" si="22"/>
        <v>2.7094432100704138</v>
      </c>
      <c r="S64" s="481"/>
      <c r="T64" s="481">
        <f t="shared" si="23"/>
        <v>2.7094432100704138</v>
      </c>
      <c r="U64" s="481">
        <f t="shared" si="24"/>
        <v>10.53552252553474</v>
      </c>
      <c r="V64" s="810">
        <f t="shared" ca="1" si="20"/>
        <v>0.96403923103968903</v>
      </c>
      <c r="W64" s="728"/>
      <c r="X64" s="677"/>
    </row>
    <row r="65" spans="1:24" ht="15.5" x14ac:dyDescent="0.35">
      <c r="B65" s="367" t="s">
        <v>957</v>
      </c>
      <c r="C65" s="1455">
        <f t="shared" si="19"/>
        <v>4</v>
      </c>
      <c r="D65" s="481">
        <f t="shared" ca="1" si="19"/>
        <v>0</v>
      </c>
      <c r="E65" s="481">
        <f t="shared" si="19"/>
        <v>355</v>
      </c>
      <c r="F65" s="481">
        <f t="shared" si="19"/>
        <v>5.16</v>
      </c>
      <c r="G65" s="481">
        <f t="shared" si="19"/>
        <v>0.5</v>
      </c>
      <c r="H65" s="481">
        <v>1</v>
      </c>
      <c r="I65" s="481">
        <f ca="1">F13.1!I65</f>
        <v>0</v>
      </c>
      <c r="J65" s="481">
        <f t="shared" si="21"/>
        <v>8960</v>
      </c>
      <c r="K65" s="481">
        <f>'F1'!M17</f>
        <v>27.783816124755695</v>
      </c>
      <c r="L65" s="481"/>
      <c r="M65" s="481">
        <f>M18+'F13'!E164</f>
        <v>3.241399071</v>
      </c>
      <c r="N65" s="481">
        <f>N18+'F13'!F164</f>
        <v>14.341248916373939</v>
      </c>
      <c r="O65" s="481">
        <f>O18+'F13'!G164</f>
        <v>1.3891908062377849</v>
      </c>
      <c r="P65" s="481">
        <f>P18+'F13'!H164</f>
        <v>1.7397799124755697</v>
      </c>
      <c r="Q65" s="481">
        <f>'F13'!J164</f>
        <v>0</v>
      </c>
      <c r="R65" s="481">
        <f t="shared" si="22"/>
        <v>20.711618706087293</v>
      </c>
      <c r="S65" s="481"/>
      <c r="T65" s="481">
        <f t="shared" si="23"/>
        <v>20.711618706087293</v>
      </c>
      <c r="U65" s="481">
        <f t="shared" si="24"/>
        <v>7.454562257786109</v>
      </c>
      <c r="V65" s="810">
        <f t="shared" ca="1" si="20"/>
        <v>0.68211998496665471</v>
      </c>
      <c r="W65" s="728"/>
      <c r="X65" s="677"/>
    </row>
    <row r="66" spans="1:24" ht="15.5" x14ac:dyDescent="0.35">
      <c r="B66" s="367" t="s">
        <v>958</v>
      </c>
      <c r="C66" s="1455">
        <f t="shared" si="19"/>
        <v>46</v>
      </c>
      <c r="D66" s="481">
        <f t="shared" ca="1" si="19"/>
        <v>0</v>
      </c>
      <c r="E66" s="481">
        <f t="shared" si="19"/>
        <v>355</v>
      </c>
      <c r="F66" s="481">
        <f t="shared" si="19"/>
        <v>5.59</v>
      </c>
      <c r="G66" s="481">
        <f t="shared" si="19"/>
        <v>0.5</v>
      </c>
      <c r="H66" s="481">
        <v>1.05</v>
      </c>
      <c r="I66" s="481">
        <f ca="1">F13.1!I66</f>
        <v>0</v>
      </c>
      <c r="J66" s="481">
        <f t="shared" si="21"/>
        <v>71108.375</v>
      </c>
      <c r="K66" s="481">
        <f>'F1'!M18</f>
        <v>186.01089134631724</v>
      </c>
      <c r="L66" s="481"/>
      <c r="M66" s="481">
        <f>M19+'F13'!E165</f>
        <v>25.611562868</v>
      </c>
      <c r="N66" s="481">
        <f>N19+'F13'!F165</f>
        <v>104.02635883159132</v>
      </c>
      <c r="O66" s="481">
        <f>O19+'F13'!G165</f>
        <v>9.3005445673158604</v>
      </c>
      <c r="P66" s="481">
        <f>P19+'F13'!H165</f>
        <v>12.634434891363309</v>
      </c>
      <c r="Q66" s="481">
        <f>'F13'!J165</f>
        <v>0</v>
      </c>
      <c r="R66" s="481">
        <f t="shared" si="22"/>
        <v>151.57290115827047</v>
      </c>
      <c r="S66" s="481"/>
      <c r="T66" s="481">
        <f t="shared" si="23"/>
        <v>151.57290115827047</v>
      </c>
      <c r="U66" s="481">
        <f t="shared" si="24"/>
        <v>8.1486035608565679</v>
      </c>
      <c r="V66" s="810">
        <f t="shared" ca="1" si="20"/>
        <v>0.74562732810034227</v>
      </c>
      <c r="W66" s="728"/>
      <c r="X66" s="677"/>
    </row>
    <row r="67" spans="1:24" ht="15.5" x14ac:dyDescent="0.35">
      <c r="B67" s="367" t="s">
        <v>959</v>
      </c>
      <c r="C67" s="1455">
        <f t="shared" si="19"/>
        <v>0</v>
      </c>
      <c r="D67" s="481">
        <f t="shared" ca="1" si="19"/>
        <v>0</v>
      </c>
      <c r="E67" s="481">
        <f t="shared" si="19"/>
        <v>70</v>
      </c>
      <c r="F67" s="481">
        <f t="shared" si="19"/>
        <v>5</v>
      </c>
      <c r="G67" s="481">
        <f t="shared" si="19"/>
        <v>0.5</v>
      </c>
      <c r="H67" s="481">
        <f ca="1">F13.1!H67</f>
        <v>0</v>
      </c>
      <c r="I67" s="481">
        <f ca="1">F13.1!I67</f>
        <v>0</v>
      </c>
      <c r="J67" s="481">
        <f t="shared" si="21"/>
        <v>0</v>
      </c>
      <c r="K67" s="481">
        <f>'F1'!M19</f>
        <v>0</v>
      </c>
      <c r="L67" s="481"/>
      <c r="M67" s="481">
        <f>M20+'F13'!E166</f>
        <v>0</v>
      </c>
      <c r="N67" s="481">
        <f>N20+'F13'!F166</f>
        <v>0</v>
      </c>
      <c r="O67" s="481">
        <f>O20+'F13'!G166</f>
        <v>0</v>
      </c>
      <c r="P67" s="481">
        <f ca="1">P20+'F13'!H166</f>
        <v>0</v>
      </c>
      <c r="Q67" s="481">
        <f>'F13'!J166</f>
        <v>0</v>
      </c>
      <c r="R67" s="481">
        <f t="shared" ca="1" si="22"/>
        <v>0</v>
      </c>
      <c r="S67" s="481"/>
      <c r="T67" s="481">
        <f t="shared" ca="1" si="23"/>
        <v>0</v>
      </c>
      <c r="U67" s="481"/>
      <c r="V67" s="810"/>
    </row>
    <row r="68" spans="1:24" x14ac:dyDescent="0.3">
      <c r="B68" s="177" t="s">
        <v>972</v>
      </c>
      <c r="C68" s="1459">
        <f>SUM(C61:C67)</f>
        <v>196</v>
      </c>
      <c r="D68" s="481">
        <f ca="1">D21</f>
        <v>0</v>
      </c>
      <c r="E68" s="481">
        <f ca="1">E21</f>
        <v>0</v>
      </c>
      <c r="F68" s="481">
        <f ca="1">F21</f>
        <v>0</v>
      </c>
      <c r="G68" s="481">
        <f ca="1">G21</f>
        <v>0</v>
      </c>
      <c r="H68" s="481">
        <f ca="1">F13.1!H68</f>
        <v>0</v>
      </c>
      <c r="I68" s="481">
        <f ca="1">F13.1!I68</f>
        <v>0</v>
      </c>
      <c r="J68" s="482">
        <f>SUM(J61:J67)</f>
        <v>265104.12900000002</v>
      </c>
      <c r="K68" s="482">
        <f>SUM(K61:K67)</f>
        <v>647.32752264047144</v>
      </c>
      <c r="L68" s="482">
        <f t="shared" ref="L68:T68" si="25">SUM(L61:L67)</f>
        <v>0</v>
      </c>
      <c r="M68" s="482">
        <f t="shared" si="25"/>
        <v>95.845868934000009</v>
      </c>
      <c r="N68" s="482">
        <f t="shared" si="25"/>
        <v>360.85621077585733</v>
      </c>
      <c r="O68" s="482">
        <f t="shared" si="25"/>
        <v>32.366376132023575</v>
      </c>
      <c r="P68" s="482">
        <f t="shared" ca="1" si="25"/>
        <v>43.340970292587414</v>
      </c>
      <c r="Q68" s="482">
        <f t="shared" si="25"/>
        <v>0.598168692</v>
      </c>
      <c r="R68" s="482">
        <f t="shared" ca="1" si="25"/>
        <v>533.00759482646833</v>
      </c>
      <c r="S68" s="482">
        <f t="shared" si="25"/>
        <v>0</v>
      </c>
      <c r="T68" s="482">
        <f t="shared" ca="1" si="25"/>
        <v>533.00759482646833</v>
      </c>
      <c r="U68" s="481">
        <f ca="1">T68/K68*10</f>
        <v>8.2339708445009698</v>
      </c>
      <c r="V68" s="810">
        <f ca="1">U68/$V$53</f>
        <v>0.75343874991459336</v>
      </c>
      <c r="W68" s="728"/>
      <c r="X68" s="677"/>
    </row>
    <row r="69" spans="1:24" x14ac:dyDescent="0.3">
      <c r="B69" s="76"/>
      <c r="C69" s="481"/>
      <c r="D69" s="481"/>
      <c r="E69" s="481"/>
      <c r="F69" s="481"/>
      <c r="G69" s="481"/>
      <c r="H69" s="481"/>
      <c r="I69" s="481"/>
      <c r="J69" s="481"/>
      <c r="K69" s="481"/>
      <c r="L69" s="481"/>
      <c r="M69" s="481"/>
      <c r="N69" s="481"/>
      <c r="O69" s="481"/>
      <c r="P69" s="481"/>
      <c r="Q69" s="481"/>
      <c r="R69" s="481"/>
      <c r="S69" s="481"/>
      <c r="T69" s="481"/>
      <c r="U69" s="481"/>
      <c r="V69" s="810"/>
    </row>
    <row r="70" spans="1:24" x14ac:dyDescent="0.3">
      <c r="B70" s="177" t="s">
        <v>294</v>
      </c>
      <c r="C70" s="481"/>
      <c r="D70" s="481"/>
      <c r="E70" s="481"/>
      <c r="F70" s="481"/>
      <c r="G70" s="481"/>
      <c r="H70" s="481"/>
      <c r="I70" s="481"/>
      <c r="J70" s="481"/>
      <c r="K70" s="481"/>
      <c r="L70" s="481"/>
      <c r="M70" s="481"/>
      <c r="N70" s="481"/>
      <c r="O70" s="481"/>
      <c r="P70" s="481"/>
      <c r="Q70" s="481"/>
      <c r="R70" s="481"/>
      <c r="S70" s="481"/>
      <c r="T70" s="481"/>
      <c r="U70" s="481"/>
      <c r="V70" s="810"/>
    </row>
    <row r="71" spans="1:24" x14ac:dyDescent="0.3">
      <c r="B71" s="76"/>
      <c r="C71" s="481"/>
      <c r="D71" s="481"/>
      <c r="E71" s="481"/>
      <c r="F71" s="481"/>
      <c r="G71" s="481"/>
      <c r="H71" s="481"/>
      <c r="I71" s="481"/>
      <c r="J71" s="481"/>
      <c r="K71" s="481"/>
      <c r="L71" s="481"/>
      <c r="M71" s="481"/>
      <c r="N71" s="481"/>
      <c r="O71" s="481"/>
      <c r="P71" s="481"/>
      <c r="Q71" s="481"/>
      <c r="R71" s="481"/>
      <c r="S71" s="481"/>
      <c r="T71" s="481"/>
      <c r="U71" s="481"/>
      <c r="V71" s="810"/>
    </row>
    <row r="72" spans="1:24" ht="15.5" x14ac:dyDescent="0.3">
      <c r="A72" s="425"/>
      <c r="B72" s="368" t="s">
        <v>960</v>
      </c>
      <c r="C72" s="1455">
        <f t="shared" ref="C72:G84" si="26">C25</f>
        <v>59</v>
      </c>
      <c r="D72" s="481">
        <f t="shared" si="26"/>
        <v>10</v>
      </c>
      <c r="E72" s="481">
        <f t="shared" ca="1" si="26"/>
        <v>0</v>
      </c>
      <c r="F72" s="481">
        <f t="shared" si="26"/>
        <v>1.22</v>
      </c>
      <c r="G72" s="481">
        <f t="shared" si="26"/>
        <v>1.46</v>
      </c>
      <c r="H72" s="481">
        <v>0.25</v>
      </c>
      <c r="I72" s="481">
        <f ca="1">F13.1!I72</f>
        <v>0</v>
      </c>
      <c r="J72" s="481">
        <f t="shared" ref="J72:J87" si="27">J25</f>
        <v>0</v>
      </c>
      <c r="K72" s="481">
        <f>K25+'F13'!D172</f>
        <v>3.5998039046489044E-2</v>
      </c>
      <c r="L72" s="481">
        <f>L25+'F13'!E172</f>
        <v>6.7899999999999992E-4</v>
      </c>
      <c r="M72" s="481">
        <f ca="1">M25</f>
        <v>0</v>
      </c>
      <c r="N72" s="481">
        <f>N25+'F13'!G172</f>
        <v>4.5846787636716632E-3</v>
      </c>
      <c r="O72" s="481">
        <f>O25+'F13'!H172</f>
        <v>4.006742700787401E-3</v>
      </c>
      <c r="P72" s="481">
        <f>P25+'F13'!I172</f>
        <v>3.5015139761622252E-3</v>
      </c>
      <c r="Q72" s="481">
        <f>'F13'!$J$172</f>
        <v>6.1710000000000004E-5</v>
      </c>
      <c r="R72" s="481">
        <f t="shared" ref="R72" ca="1" si="28">SUM(L72:Q72)</f>
        <v>1.2833645440621289E-2</v>
      </c>
      <c r="S72" s="481"/>
      <c r="T72" s="481">
        <f ca="1">R72+S72</f>
        <v>1.2833645440621289E-2</v>
      </c>
      <c r="U72" s="481">
        <f ca="1">T72/K72*10</f>
        <v>3.5650957053653669</v>
      </c>
      <c r="V72" s="810">
        <f ca="1">U72/$V$53</f>
        <v>0.32621942709091056</v>
      </c>
      <c r="W72" s="728"/>
      <c r="X72" s="677"/>
    </row>
    <row r="73" spans="1:24" ht="15.5" x14ac:dyDescent="0.35">
      <c r="A73" s="634"/>
      <c r="B73" s="367" t="s">
        <v>961</v>
      </c>
      <c r="C73" s="1455">
        <f t="shared" si="26"/>
        <v>0</v>
      </c>
      <c r="D73" s="481">
        <f t="shared" si="26"/>
        <v>0</v>
      </c>
      <c r="E73" s="481">
        <f t="shared" si="26"/>
        <v>0</v>
      </c>
      <c r="F73" s="481">
        <f t="shared" si="26"/>
        <v>0</v>
      </c>
      <c r="G73" s="481">
        <f t="shared" si="26"/>
        <v>0</v>
      </c>
      <c r="H73" s="481"/>
      <c r="I73" s="481"/>
      <c r="J73" s="481">
        <f t="shared" si="27"/>
        <v>0</v>
      </c>
      <c r="K73" s="481"/>
      <c r="L73" s="481"/>
      <c r="M73" s="481"/>
      <c r="N73" s="481"/>
      <c r="O73" s="481"/>
      <c r="P73" s="481"/>
      <c r="Q73" s="481"/>
      <c r="R73" s="481"/>
      <c r="S73" s="481"/>
      <c r="T73" s="481"/>
      <c r="U73" s="481"/>
      <c r="V73" s="810"/>
    </row>
    <row r="74" spans="1:24" ht="15.5" x14ac:dyDescent="0.35">
      <c r="A74" s="425"/>
      <c r="B74" s="367" t="s">
        <v>1542</v>
      </c>
      <c r="C74" s="1455">
        <f t="shared" si="26"/>
        <v>324901.28700799606</v>
      </c>
      <c r="D74" s="481">
        <f t="shared" si="26"/>
        <v>80</v>
      </c>
      <c r="E74" s="481">
        <f t="shared" ca="1" si="26"/>
        <v>0</v>
      </c>
      <c r="F74" s="481">
        <f t="shared" si="26"/>
        <v>1.72</v>
      </c>
      <c r="G74" s="481">
        <f t="shared" si="26"/>
        <v>1.46</v>
      </c>
      <c r="H74" s="481">
        <v>0.35</v>
      </c>
      <c r="I74" s="481">
        <f ca="1">F13.1!I74</f>
        <v>0</v>
      </c>
      <c r="J74" s="481">
        <f t="shared" si="27"/>
        <v>0</v>
      </c>
      <c r="K74" s="481">
        <f>'F1'!M27</f>
        <v>749.71451082821568</v>
      </c>
      <c r="L74" s="2426">
        <f>L27+'F13'!E173</f>
        <v>122.686984</v>
      </c>
      <c r="M74" s="2426">
        <f ca="1">SUM(M27:M30)</f>
        <v>0</v>
      </c>
      <c r="N74" s="2426">
        <f>SUM(N27:N30)+'F13'!F173</f>
        <v>959.6592311790597</v>
      </c>
      <c r="O74" s="2426">
        <f>SUM(O27:O30)+'F13'!G173</f>
        <v>306.87938055730422</v>
      </c>
      <c r="P74" s="2426">
        <f>SUM(P27:P30)+'F13'!H173</f>
        <v>106.61854071027985</v>
      </c>
      <c r="Q74" s="1647">
        <f>'F13'!J173</f>
        <v>0</v>
      </c>
      <c r="R74" s="2426">
        <f ca="1">SUM(L74:Q77)</f>
        <v>1495.8441364466439</v>
      </c>
      <c r="S74" s="481"/>
      <c r="T74" s="2426">
        <f ca="1">R74+SUM(S74:S77)</f>
        <v>1495.8441364466439</v>
      </c>
      <c r="U74" s="2426">
        <f ca="1">T74/SUM(K74:K77)*10</f>
        <v>7.1103346999619905</v>
      </c>
      <c r="V74" s="810">
        <f t="shared" ref="V74:V86" ca="1" si="29">U74/$V$53</f>
        <v>0.65062189179252516</v>
      </c>
      <c r="W74" s="1756"/>
      <c r="X74" s="1757"/>
    </row>
    <row r="75" spans="1:24" ht="15.5" x14ac:dyDescent="0.35">
      <c r="A75" s="425"/>
      <c r="B75" s="367" t="s">
        <v>1543</v>
      </c>
      <c r="C75" s="1455">
        <f t="shared" si="26"/>
        <v>361752.8588726201</v>
      </c>
      <c r="D75" s="481">
        <f t="shared" si="26"/>
        <v>120</v>
      </c>
      <c r="E75" s="481">
        <f t="shared" ca="1" si="26"/>
        <v>0</v>
      </c>
      <c r="F75" s="481">
        <f t="shared" si="26"/>
        <v>4.3499999999999996</v>
      </c>
      <c r="G75" s="481">
        <f t="shared" si="26"/>
        <v>1.46</v>
      </c>
      <c r="H75" s="481">
        <v>0.85</v>
      </c>
      <c r="I75" s="481">
        <f ca="1">F13.1!I75</f>
        <v>0</v>
      </c>
      <c r="J75" s="481">
        <f t="shared" si="27"/>
        <v>0</v>
      </c>
      <c r="K75" s="481">
        <f>'F1'!M28</f>
        <v>721.09580599975698</v>
      </c>
      <c r="L75" s="2427"/>
      <c r="M75" s="2427"/>
      <c r="N75" s="2427"/>
      <c r="O75" s="2427"/>
      <c r="P75" s="2427"/>
      <c r="Q75" s="1648"/>
      <c r="R75" s="2427"/>
      <c r="S75" s="481"/>
      <c r="T75" s="2427"/>
      <c r="U75" s="2427"/>
      <c r="V75" s="810">
        <f t="shared" ca="1" si="29"/>
        <v>0</v>
      </c>
    </row>
    <row r="76" spans="1:24" ht="15.5" x14ac:dyDescent="0.35">
      <c r="A76" s="425"/>
      <c r="B76" s="367" t="s">
        <v>1544</v>
      </c>
      <c r="C76" s="1455">
        <f t="shared" si="26"/>
        <v>52470.533467038629</v>
      </c>
      <c r="D76" s="481">
        <f t="shared" si="26"/>
        <v>120</v>
      </c>
      <c r="E76" s="481">
        <f t="shared" ca="1" si="26"/>
        <v>0</v>
      </c>
      <c r="F76" s="481">
        <f t="shared" si="26"/>
        <v>7.19</v>
      </c>
      <c r="G76" s="481">
        <f t="shared" si="26"/>
        <v>1.46</v>
      </c>
      <c r="H76" s="481">
        <v>1.2</v>
      </c>
      <c r="I76" s="481">
        <f ca="1">F13.1!I76</f>
        <v>0</v>
      </c>
      <c r="J76" s="481">
        <f t="shared" si="27"/>
        <v>0</v>
      </c>
      <c r="K76" s="481">
        <f>'F1'!M29</f>
        <v>237.6228502901165</v>
      </c>
      <c r="L76" s="2427"/>
      <c r="M76" s="2427"/>
      <c r="N76" s="2427"/>
      <c r="O76" s="2427"/>
      <c r="P76" s="2427"/>
      <c r="Q76" s="1648"/>
      <c r="R76" s="2427"/>
      <c r="S76" s="481"/>
      <c r="T76" s="2427"/>
      <c r="U76" s="2427"/>
      <c r="V76" s="810">
        <f t="shared" ca="1" si="29"/>
        <v>0</v>
      </c>
    </row>
    <row r="77" spans="1:24" ht="15.5" x14ac:dyDescent="0.35">
      <c r="A77" s="425"/>
      <c r="B77" s="367" t="s">
        <v>1545</v>
      </c>
      <c r="C77" s="1455">
        <f t="shared" si="26"/>
        <v>30428.320652345228</v>
      </c>
      <c r="D77" s="481">
        <f t="shared" si="26"/>
        <v>145</v>
      </c>
      <c r="E77" s="481">
        <f t="shared" ca="1" si="26"/>
        <v>0</v>
      </c>
      <c r="F77" s="481">
        <f t="shared" si="26"/>
        <v>8.75</v>
      </c>
      <c r="G77" s="481">
        <f t="shared" si="26"/>
        <v>1.46</v>
      </c>
      <c r="H77" s="481">
        <v>1.4</v>
      </c>
      <c r="I77" s="481">
        <f ca="1">F13.1!I77</f>
        <v>0</v>
      </c>
      <c r="J77" s="481">
        <f t="shared" si="27"/>
        <v>0</v>
      </c>
      <c r="K77" s="481">
        <f>'F1'!M30</f>
        <v>395.32734426070704</v>
      </c>
      <c r="L77" s="2428"/>
      <c r="M77" s="2428"/>
      <c r="N77" s="2428"/>
      <c r="O77" s="2428"/>
      <c r="P77" s="2428"/>
      <c r="Q77" s="1649"/>
      <c r="R77" s="2428"/>
      <c r="S77" s="481"/>
      <c r="T77" s="2428"/>
      <c r="U77" s="2428"/>
      <c r="V77" s="810">
        <f t="shared" ca="1" si="29"/>
        <v>0</v>
      </c>
    </row>
    <row r="78" spans="1:24" ht="15.5" x14ac:dyDescent="0.35">
      <c r="A78" s="425"/>
      <c r="B78" s="367" t="s">
        <v>973</v>
      </c>
      <c r="C78" s="1455">
        <f t="shared" si="26"/>
        <v>252537</v>
      </c>
      <c r="D78" s="481">
        <f t="shared" si="26"/>
        <v>425</v>
      </c>
      <c r="E78" s="481">
        <f t="shared" ca="1" si="26"/>
        <v>0</v>
      </c>
      <c r="F78" s="481">
        <f t="shared" si="26"/>
        <v>4.92</v>
      </c>
      <c r="G78" s="481">
        <f t="shared" si="26"/>
        <v>1.46</v>
      </c>
      <c r="H78" s="481">
        <v>1</v>
      </c>
      <c r="I78" s="481">
        <f ca="1">F13.1!I78</f>
        <v>0</v>
      </c>
      <c r="J78" s="481"/>
      <c r="K78" s="481">
        <f>'F1'!M31</f>
        <v>826.49127976317072</v>
      </c>
      <c r="L78" s="481">
        <f>L31+'F13'!E174</f>
        <v>128.447304</v>
      </c>
      <c r="M78" s="481">
        <v>0</v>
      </c>
      <c r="N78" s="481">
        <f>N31+'F13'!F174</f>
        <v>407.91539652348001</v>
      </c>
      <c r="O78" s="481">
        <f>O31+'F13'!G174</f>
        <v>120.56202067942294</v>
      </c>
      <c r="P78" s="481">
        <f>P31+'F13'!H174</f>
        <v>53.405794776317087</v>
      </c>
      <c r="Q78" s="481">
        <f>'F13'!J174</f>
        <v>5.8792799999999993E-4</v>
      </c>
      <c r="R78" s="481">
        <f t="shared" ref="R78:R87" si="30">SUM(L78:Q78)</f>
        <v>710.33110390722004</v>
      </c>
      <c r="S78" s="481"/>
      <c r="T78" s="481">
        <f t="shared" ref="T78:T87" si="31">R78+S78</f>
        <v>710.33110390722004</v>
      </c>
      <c r="U78" s="481">
        <f t="shared" ref="U78:U86" si="32">T78/K78*10</f>
        <v>8.5945383974379492</v>
      </c>
      <c r="V78" s="810">
        <f t="shared" ca="1" si="29"/>
        <v>0.78643201300417942</v>
      </c>
      <c r="W78" s="728"/>
      <c r="X78" s="677"/>
    </row>
    <row r="79" spans="1:24" ht="15.5" x14ac:dyDescent="0.35">
      <c r="A79" s="425"/>
      <c r="B79" s="367" t="s">
        <v>974</v>
      </c>
      <c r="C79" s="1455">
        <f t="shared" si="26"/>
        <v>5794</v>
      </c>
      <c r="D79" s="481">
        <f t="shared" ca="1" si="26"/>
        <v>0</v>
      </c>
      <c r="E79" s="481">
        <f t="shared" si="26"/>
        <v>355</v>
      </c>
      <c r="F79" s="481">
        <f t="shared" si="26"/>
        <v>4.96</v>
      </c>
      <c r="G79" s="481">
        <f t="shared" si="26"/>
        <v>1.46</v>
      </c>
      <c r="H79" s="481">
        <v>1</v>
      </c>
      <c r="I79" s="481">
        <f ca="1">F13.1!I79</f>
        <v>0</v>
      </c>
      <c r="J79" s="481">
        <f t="shared" si="27"/>
        <v>209752.82750000051</v>
      </c>
      <c r="K79" s="481">
        <f>'F1'!M32</f>
        <v>170.7574536648516</v>
      </c>
      <c r="L79" s="481">
        <f ca="1">L32+'F13'!E175</f>
        <v>20.302789451999999</v>
      </c>
      <c r="M79" s="481">
        <f t="shared" ref="M79:M87" si="33">M32</f>
        <v>44.677352257500111</v>
      </c>
      <c r="N79" s="481">
        <f>N32+'F13'!F175</f>
        <v>85.105386007766384</v>
      </c>
      <c r="O79" s="481">
        <f>O32+'F13'!G175</f>
        <v>24.900962945068333</v>
      </c>
      <c r="P79" s="481">
        <f>P32+'F13'!H175</f>
        <v>10.78668376648516</v>
      </c>
      <c r="Q79" s="481">
        <f>'F13'!J175</f>
        <v>6.7795200000000016E-3</v>
      </c>
      <c r="R79" s="481">
        <f t="shared" ca="1" si="30"/>
        <v>185.77995394882001</v>
      </c>
      <c r="S79" s="481"/>
      <c r="T79" s="481">
        <f t="shared" ca="1" si="31"/>
        <v>185.77995394882001</v>
      </c>
      <c r="U79" s="481">
        <f t="shared" ca="1" si="32"/>
        <v>10.879756635013621</v>
      </c>
      <c r="V79" s="810">
        <f t="shared" ca="1" si="29"/>
        <v>0.99553792371443217</v>
      </c>
      <c r="W79" s="728"/>
      <c r="X79" s="677"/>
    </row>
    <row r="80" spans="1:24" ht="15.5" x14ac:dyDescent="0.35">
      <c r="A80" s="425"/>
      <c r="B80" s="367" t="s">
        <v>975</v>
      </c>
      <c r="C80" s="1455">
        <f t="shared" si="26"/>
        <v>3063</v>
      </c>
      <c r="D80" s="481">
        <f t="shared" ca="1" si="26"/>
        <v>0</v>
      </c>
      <c r="E80" s="481">
        <f t="shared" si="26"/>
        <v>355</v>
      </c>
      <c r="F80" s="481">
        <f t="shared" si="26"/>
        <v>5.31</v>
      </c>
      <c r="G80" s="481">
        <f t="shared" si="26"/>
        <v>1.46</v>
      </c>
      <c r="H80" s="481">
        <v>1.05</v>
      </c>
      <c r="I80" s="481">
        <f ca="1">F13.1!I80</f>
        <v>0</v>
      </c>
      <c r="J80" s="481">
        <f t="shared" si="27"/>
        <v>425027.03600000107</v>
      </c>
      <c r="K80" s="481">
        <f>'F1'!M33</f>
        <v>358.2343891645337</v>
      </c>
      <c r="L80" s="481">
        <f ca="1">L33+'F13'!E176</f>
        <v>37.929427697999998</v>
      </c>
      <c r="M80" s="481">
        <f t="shared" si="33"/>
        <v>90.530758668000232</v>
      </c>
      <c r="N80" s="481">
        <f>N33+'F13'!F176</f>
        <v>191.39666692836738</v>
      </c>
      <c r="O80" s="481">
        <f>O33+'F13'!G176</f>
        <v>52.242316020021917</v>
      </c>
      <c r="P80" s="481">
        <f>P33+'F13'!H176</f>
        <v>23.841279647276039</v>
      </c>
      <c r="Q80" s="481">
        <f>'F13'!J176</f>
        <v>0.16492984199999999</v>
      </c>
      <c r="R80" s="481">
        <f t="shared" ca="1" si="30"/>
        <v>396.10537880366559</v>
      </c>
      <c r="S80" s="481"/>
      <c r="T80" s="481">
        <f t="shared" ca="1" si="31"/>
        <v>396.10537880366559</v>
      </c>
      <c r="U80" s="481">
        <f t="shared" ca="1" si="32"/>
        <v>11.057156732703797</v>
      </c>
      <c r="V80" s="810">
        <f t="shared" ca="1" si="29"/>
        <v>1.0117706879982258</v>
      </c>
      <c r="W80" s="728"/>
      <c r="X80" s="677"/>
    </row>
    <row r="81" spans="1:24" ht="15.5" x14ac:dyDescent="0.35">
      <c r="A81" s="425"/>
      <c r="B81" s="367" t="s">
        <v>965</v>
      </c>
      <c r="C81" s="1455">
        <f t="shared" si="26"/>
        <v>8104</v>
      </c>
      <c r="D81" s="481">
        <f t="shared" si="26"/>
        <v>425</v>
      </c>
      <c r="E81" s="481">
        <f t="shared" ca="1" si="26"/>
        <v>0</v>
      </c>
      <c r="F81" s="481">
        <f t="shared" si="26"/>
        <v>4.6100000000000003</v>
      </c>
      <c r="G81" s="481">
        <f t="shared" si="26"/>
        <v>1.46</v>
      </c>
      <c r="H81" s="481">
        <v>0.9</v>
      </c>
      <c r="I81" s="481">
        <f ca="1">F13.1!I81</f>
        <v>0</v>
      </c>
      <c r="J81" s="481">
        <f t="shared" si="27"/>
        <v>0</v>
      </c>
      <c r="K81" s="481">
        <f>'F1'!M34</f>
        <v>105.7392569038896</v>
      </c>
      <c r="L81" s="481">
        <f>L34+'F13'!E177</f>
        <v>4.1220865</v>
      </c>
      <c r="M81" s="481">
        <f t="shared" ca="1" si="33"/>
        <v>0</v>
      </c>
      <c r="N81" s="481">
        <f>N34+'F13'!F177</f>
        <v>48.826930470693114</v>
      </c>
      <c r="O81" s="481">
        <f>O34+'F13'!G177</f>
        <v>15.426459729967881</v>
      </c>
      <c r="P81" s="481">
        <f>P34+'F13'!H177</f>
        <v>6.5068946013500657</v>
      </c>
      <c r="Q81" s="481">
        <f>'F13'!J177</f>
        <v>1.48434E-4</v>
      </c>
      <c r="R81" s="481">
        <f t="shared" ca="1" si="30"/>
        <v>74.882519736011062</v>
      </c>
      <c r="S81" s="481"/>
      <c r="T81" s="481">
        <f t="shared" ca="1" si="31"/>
        <v>74.882519736011062</v>
      </c>
      <c r="U81" s="481">
        <f t="shared" ca="1" si="32"/>
        <v>7.0818087745854523</v>
      </c>
      <c r="V81" s="810">
        <f t="shared" ca="1" si="29"/>
        <v>0.64801166424111123</v>
      </c>
      <c r="W81" s="728"/>
      <c r="X81" s="677"/>
    </row>
    <row r="82" spans="1:24" ht="15.5" x14ac:dyDescent="0.35">
      <c r="A82" s="425"/>
      <c r="B82" s="367" t="s">
        <v>976</v>
      </c>
      <c r="C82" s="1455">
        <f t="shared" si="26"/>
        <v>997</v>
      </c>
      <c r="D82" s="481">
        <f t="shared" ca="1" si="26"/>
        <v>0</v>
      </c>
      <c r="E82" s="481">
        <f t="shared" si="26"/>
        <v>355</v>
      </c>
      <c r="F82" s="481">
        <f t="shared" si="26"/>
        <v>4.88</v>
      </c>
      <c r="G82" s="481">
        <f t="shared" si="26"/>
        <v>1.46</v>
      </c>
      <c r="H82" s="481">
        <v>1</v>
      </c>
      <c r="I82" s="481">
        <f ca="1">F13.1!I82</f>
        <v>0</v>
      </c>
      <c r="J82" s="481">
        <f t="shared" si="27"/>
        <v>61832.443499999979</v>
      </c>
      <c r="K82" s="481">
        <f>'F1'!M35</f>
        <v>79.807084116296053</v>
      </c>
      <c r="L82" s="481">
        <f ca="1">L35+'F13'!E178</f>
        <v>5.9291603010000005</v>
      </c>
      <c r="M82" s="481">
        <f t="shared" si="33"/>
        <v>13.170310465499995</v>
      </c>
      <c r="N82" s="481">
        <f>N35+'F13'!F178</f>
        <v>39.043125730752465</v>
      </c>
      <c r="O82" s="481">
        <f>O35+'F13'!G178</f>
        <v>11.637938754979224</v>
      </c>
      <c r="P82" s="481">
        <f>P35+'F13'!H178</f>
        <v>5.2025649116296044</v>
      </c>
      <c r="Q82" s="481">
        <f>'F13'!J178</f>
        <v>0</v>
      </c>
      <c r="R82" s="481">
        <f t="shared" ca="1" si="30"/>
        <v>74.983100163861295</v>
      </c>
      <c r="S82" s="481"/>
      <c r="T82" s="481">
        <f t="shared" ca="1" si="31"/>
        <v>74.983100163861295</v>
      </c>
      <c r="U82" s="481">
        <f t="shared" ca="1" si="32"/>
        <v>9.395544392349283</v>
      </c>
      <c r="V82" s="810">
        <f t="shared" ca="1" si="29"/>
        <v>0.85972702058647388</v>
      </c>
      <c r="W82" s="728"/>
      <c r="X82" s="677"/>
    </row>
    <row r="83" spans="1:24" ht="15.5" x14ac:dyDescent="0.35">
      <c r="A83" s="425"/>
      <c r="B83" s="367" t="s">
        <v>967</v>
      </c>
      <c r="C83" s="1455">
        <f t="shared" si="26"/>
        <v>665</v>
      </c>
      <c r="D83" s="481">
        <f t="shared" si="26"/>
        <v>425</v>
      </c>
      <c r="E83" s="481">
        <f t="shared" ca="1" si="26"/>
        <v>0</v>
      </c>
      <c r="F83" s="481">
        <f t="shared" si="26"/>
        <v>5.07</v>
      </c>
      <c r="G83" s="481">
        <f t="shared" si="26"/>
        <v>1.46</v>
      </c>
      <c r="H83" s="481">
        <v>0.85</v>
      </c>
      <c r="I83" s="481">
        <f ca="1">F13.1!I83</f>
        <v>0</v>
      </c>
      <c r="J83" s="481">
        <f t="shared" si="27"/>
        <v>0</v>
      </c>
      <c r="K83" s="481">
        <f>'F1'!M36</f>
        <v>61.397282548059039</v>
      </c>
      <c r="L83" s="481">
        <f>L36+'F13'!E179</f>
        <v>0.33757550000000003</v>
      </c>
      <c r="M83" s="481">
        <f t="shared" ca="1" si="33"/>
        <v>0</v>
      </c>
      <c r="N83" s="481">
        <f>N36+'F13'!F179</f>
        <v>31.186881427865934</v>
      </c>
      <c r="O83" s="481">
        <f>O36+'F13'!G179</f>
        <v>8.9542597680166196</v>
      </c>
      <c r="P83" s="481">
        <f>P36+'F13'!H179</f>
        <v>3.3494824215850176</v>
      </c>
      <c r="Q83" s="481">
        <f>'F13'!J179</f>
        <v>0</v>
      </c>
      <c r="R83" s="481">
        <f t="shared" ca="1" si="30"/>
        <v>43.82819911746757</v>
      </c>
      <c r="S83" s="481"/>
      <c r="T83" s="481">
        <f t="shared" ca="1" si="31"/>
        <v>43.82819911746757</v>
      </c>
      <c r="U83" s="481">
        <f t="shared" ca="1" si="32"/>
        <v>7.1384591139128704</v>
      </c>
      <c r="V83" s="810">
        <f t="shared" ca="1" si="29"/>
        <v>0.65319537956524221</v>
      </c>
      <c r="W83" s="728"/>
      <c r="X83" s="677"/>
    </row>
    <row r="84" spans="1:24" ht="15.5" x14ac:dyDescent="0.35">
      <c r="A84" s="425"/>
      <c r="B84" s="367" t="s">
        <v>968</v>
      </c>
      <c r="C84" s="1455">
        <f t="shared" si="26"/>
        <v>6943</v>
      </c>
      <c r="D84" s="481">
        <f t="shared" si="26"/>
        <v>425</v>
      </c>
      <c r="E84" s="481">
        <f t="shared" ca="1" si="26"/>
        <v>0</v>
      </c>
      <c r="F84" s="481">
        <f t="shared" si="26"/>
        <v>5.03</v>
      </c>
      <c r="G84" s="481">
        <f t="shared" si="26"/>
        <v>1.46</v>
      </c>
      <c r="H84" s="481">
        <v>0.9</v>
      </c>
      <c r="I84" s="481">
        <f ca="1">F13.1!I84</f>
        <v>0</v>
      </c>
      <c r="J84" s="481">
        <f t="shared" si="27"/>
        <v>0</v>
      </c>
      <c r="K84" s="481">
        <f>'F1'!M37</f>
        <v>178.81986798061297</v>
      </c>
      <c r="L84" s="481">
        <f>'F13'!E180+F13.1!L37</f>
        <v>3.6563685000000001</v>
      </c>
      <c r="M84" s="481">
        <f t="shared" ca="1" si="33"/>
        <v>0</v>
      </c>
      <c r="N84" s="481">
        <f>'F13'!F180+N37</f>
        <v>90.107894135648337</v>
      </c>
      <c r="O84" s="481">
        <f>'F13'!G180+O37</f>
        <v>26.07836881396949</v>
      </c>
      <c r="P84" s="481">
        <f>'F13'!H180+P37</f>
        <v>10.249402093255169</v>
      </c>
      <c r="Q84" s="481">
        <f>'F13'!J180</f>
        <v>0</v>
      </c>
      <c r="R84" s="481">
        <f t="shared" ca="1" si="30"/>
        <v>130.092033542873</v>
      </c>
      <c r="S84" s="481"/>
      <c r="T84" s="481">
        <f t="shared" ca="1" si="31"/>
        <v>130.092033542873</v>
      </c>
      <c r="U84" s="481">
        <f t="shared" ca="1" si="32"/>
        <v>7.2750324117774836</v>
      </c>
      <c r="V84" s="810">
        <f t="shared" ca="1" si="29"/>
        <v>0.66569234084408235</v>
      </c>
      <c r="W84" s="728"/>
      <c r="X84" s="677"/>
    </row>
    <row r="85" spans="1:24" ht="15.5" x14ac:dyDescent="0.35">
      <c r="A85" s="425"/>
      <c r="B85" s="800" t="s">
        <v>1546</v>
      </c>
      <c r="C85" s="1455">
        <f t="shared" ref="C85:G87" si="34">C38</f>
        <v>0</v>
      </c>
      <c r="D85" s="481">
        <f t="shared" si="34"/>
        <v>40</v>
      </c>
      <c r="E85" s="481">
        <f t="shared" ca="1" si="34"/>
        <v>0</v>
      </c>
      <c r="F85" s="481">
        <f t="shared" si="34"/>
        <v>2.21</v>
      </c>
      <c r="G85" s="481">
        <f t="shared" si="34"/>
        <v>1.46</v>
      </c>
      <c r="H85" s="481">
        <v>0</v>
      </c>
      <c r="I85" s="481">
        <f ca="1">F13.1!I85</f>
        <v>0</v>
      </c>
      <c r="J85" s="481">
        <f t="shared" si="27"/>
        <v>0</v>
      </c>
      <c r="K85" s="481">
        <f>'F1'!M38</f>
        <v>0</v>
      </c>
      <c r="L85" s="481">
        <f>+F13.1!L38</f>
        <v>0</v>
      </c>
      <c r="M85" s="481">
        <f t="shared" si="33"/>
        <v>0</v>
      </c>
      <c r="N85" s="481">
        <f>+N38</f>
        <v>0</v>
      </c>
      <c r="O85" s="481">
        <f>+O38</f>
        <v>0</v>
      </c>
      <c r="P85" s="481">
        <f>+P38</f>
        <v>0</v>
      </c>
      <c r="Q85" s="481"/>
      <c r="R85" s="481">
        <f t="shared" si="30"/>
        <v>0</v>
      </c>
      <c r="S85" s="481"/>
      <c r="T85" s="481">
        <f t="shared" si="31"/>
        <v>0</v>
      </c>
      <c r="U85" s="481"/>
      <c r="V85" s="810"/>
      <c r="W85" s="728"/>
      <c r="X85" s="677"/>
    </row>
    <row r="86" spans="1:24" ht="15.5" x14ac:dyDescent="0.35">
      <c r="A86" s="425"/>
      <c r="B86" s="367" t="s">
        <v>991</v>
      </c>
      <c r="C86" s="1455">
        <f t="shared" si="34"/>
        <v>1</v>
      </c>
      <c r="D86" s="481">
        <f t="shared" ca="1" si="34"/>
        <v>0</v>
      </c>
      <c r="E86" s="481">
        <f t="shared" si="34"/>
        <v>90</v>
      </c>
      <c r="F86" s="481">
        <f t="shared" si="34"/>
        <v>3.64</v>
      </c>
      <c r="G86" s="481">
        <f t="shared" si="34"/>
        <v>1.46</v>
      </c>
      <c r="H86" s="481">
        <v>0.75</v>
      </c>
      <c r="I86" s="481">
        <f ca="1">F13.1!I86</f>
        <v>0</v>
      </c>
      <c r="J86" s="481">
        <f t="shared" si="27"/>
        <v>0</v>
      </c>
      <c r="K86" s="481">
        <f>'F1'!M39</f>
        <v>5.1453000000000013E-2</v>
      </c>
      <c r="L86" s="481">
        <f ca="1">'F13'!E181+F13.1!L39</f>
        <v>1.609E-3</v>
      </c>
      <c r="M86" s="481">
        <f t="shared" si="33"/>
        <v>0</v>
      </c>
      <c r="N86" s="481">
        <f>'F13'!F181+N39</f>
        <v>1.8790788000000003E-2</v>
      </c>
      <c r="O86" s="481">
        <f>'F13'!G181+O39</f>
        <v>7.501822E-3</v>
      </c>
      <c r="P86" s="481">
        <f>'F13'!H181+P39</f>
        <v>2.1804000000000003E-3</v>
      </c>
      <c r="Q86" s="481">
        <f>'F13'!J181</f>
        <v>0</v>
      </c>
      <c r="R86" s="481">
        <f t="shared" ca="1" si="30"/>
        <v>3.0082009999999999E-2</v>
      </c>
      <c r="S86" s="481"/>
      <c r="T86" s="481">
        <f t="shared" ca="1" si="31"/>
        <v>3.0082009999999999E-2</v>
      </c>
      <c r="U86" s="481">
        <f t="shared" ca="1" si="32"/>
        <v>5.8465026334713226</v>
      </c>
      <c r="V86" s="810">
        <f t="shared" ca="1" si="29"/>
        <v>0.53497658890508015</v>
      </c>
    </row>
    <row r="87" spans="1:24" ht="15.5" x14ac:dyDescent="0.35">
      <c r="B87" s="370" t="s">
        <v>977</v>
      </c>
      <c r="C87" s="1455">
        <f t="shared" si="34"/>
        <v>22</v>
      </c>
      <c r="D87" s="481">
        <f t="shared" ca="1" si="34"/>
        <v>0</v>
      </c>
      <c r="E87" s="481">
        <f t="shared" si="34"/>
        <v>70</v>
      </c>
      <c r="F87" s="481">
        <f t="shared" si="34"/>
        <v>4.04</v>
      </c>
      <c r="G87" s="481">
        <f t="shared" si="34"/>
        <v>1.46</v>
      </c>
      <c r="H87" s="481">
        <v>0.75</v>
      </c>
      <c r="I87" s="481">
        <f ca="1">F13.1!I87</f>
        <v>0</v>
      </c>
      <c r="J87" s="481">
        <f t="shared" si="27"/>
        <v>0</v>
      </c>
      <c r="K87" s="481">
        <f>'F1'!M40</f>
        <v>18.173658000000003</v>
      </c>
      <c r="L87" s="481">
        <f ca="1">'F13'!E182+F13.1!L40</f>
        <v>0.21631562400000001</v>
      </c>
      <c r="M87" s="481">
        <f t="shared" si="33"/>
        <v>0</v>
      </c>
      <c r="N87" s="481">
        <f>'F13'!F182+N40</f>
        <v>7.3451276559999998</v>
      </c>
      <c r="O87" s="481">
        <f>'F13'!G182+O40</f>
        <v>2.6503842440000001</v>
      </c>
      <c r="P87" s="481">
        <f>'F13'!H182+P40</f>
        <v>0.90113977500000009</v>
      </c>
      <c r="Q87" s="481">
        <f>'F13'!J182</f>
        <v>0</v>
      </c>
      <c r="R87" s="481">
        <f t="shared" ca="1" si="30"/>
        <v>11.112967299000001</v>
      </c>
      <c r="S87" s="481"/>
      <c r="T87" s="481">
        <f t="shared" ca="1" si="31"/>
        <v>11.112967299000001</v>
      </c>
      <c r="U87" s="481">
        <f ca="1">T87/K87*10</f>
        <v>6.114876432141509</v>
      </c>
      <c r="V87" s="810">
        <f ca="1">U87/$V$53</f>
        <v>0.55953378290036093</v>
      </c>
      <c r="W87" s="728"/>
      <c r="X87" s="677"/>
    </row>
    <row r="88" spans="1:24" ht="15.5" x14ac:dyDescent="0.35">
      <c r="B88" s="367"/>
      <c r="C88" s="481"/>
      <c r="D88" s="481"/>
      <c r="E88" s="481"/>
      <c r="F88" s="481"/>
      <c r="G88" s="481"/>
      <c r="H88" s="481"/>
      <c r="I88" s="481"/>
      <c r="J88" s="481"/>
      <c r="K88" s="481"/>
      <c r="L88" s="481"/>
      <c r="M88" s="481"/>
      <c r="N88" s="481"/>
      <c r="O88" s="481"/>
      <c r="P88" s="481"/>
      <c r="Q88" s="481"/>
      <c r="R88" s="481"/>
      <c r="S88" s="481"/>
      <c r="T88" s="481"/>
      <c r="U88" s="481"/>
      <c r="V88" s="810"/>
    </row>
    <row r="89" spans="1:24" x14ac:dyDescent="0.3">
      <c r="B89" s="177" t="s">
        <v>972</v>
      </c>
      <c r="C89" s="482">
        <f>SUM(C72:C87)</f>
        <v>1047738</v>
      </c>
      <c r="D89" s="481">
        <f ca="1">F13.1!D89</f>
        <v>0</v>
      </c>
      <c r="E89" s="481">
        <f ca="1">F13.1!E89</f>
        <v>0</v>
      </c>
      <c r="F89" s="481">
        <f ca="1">F13.1!F89</f>
        <v>0</v>
      </c>
      <c r="G89" s="481">
        <f ca="1">F13.1!G89</f>
        <v>0</v>
      </c>
      <c r="H89" s="481">
        <f ca="1">F13.1!H89</f>
        <v>0</v>
      </c>
      <c r="I89" s="481">
        <f ca="1">F13.1!I89</f>
        <v>0</v>
      </c>
      <c r="J89" s="482"/>
      <c r="K89" s="482">
        <f t="shared" ref="K89:T89" si="35">SUM(K72:K88)</f>
        <v>3903.2682345592566</v>
      </c>
      <c r="L89" s="482">
        <f t="shared" ca="1" si="35"/>
        <v>323.63029957500004</v>
      </c>
      <c r="M89" s="482">
        <f t="shared" ca="1" si="35"/>
        <v>148.37842139100033</v>
      </c>
      <c r="N89" s="482">
        <f t="shared" si="35"/>
        <v>1860.6100155263969</v>
      </c>
      <c r="O89" s="482">
        <f t="shared" si="35"/>
        <v>569.34360007745147</v>
      </c>
      <c r="P89" s="482">
        <f t="shared" si="35"/>
        <v>220.8674646171541</v>
      </c>
      <c r="Q89" s="482">
        <f t="shared" si="35"/>
        <v>0.17250743399999999</v>
      </c>
      <c r="R89" s="482">
        <f t="shared" ca="1" si="35"/>
        <v>3123.002308621004</v>
      </c>
      <c r="S89" s="482">
        <f t="shared" si="35"/>
        <v>0</v>
      </c>
      <c r="T89" s="482">
        <f t="shared" ca="1" si="35"/>
        <v>3123.002308621004</v>
      </c>
      <c r="U89" s="481">
        <f ca="1">T89/K89*10</f>
        <v>8.0009933239283075</v>
      </c>
      <c r="V89" s="810">
        <f ca="1">U89/$V$53</f>
        <v>0.7321204461249099</v>
      </c>
    </row>
    <row r="90" spans="1:24" x14ac:dyDescent="0.3">
      <c r="B90" s="76" t="s">
        <v>978</v>
      </c>
      <c r="C90" s="481"/>
      <c r="D90" s="481"/>
      <c r="E90" s="481"/>
      <c r="F90" s="481"/>
      <c r="G90" s="481"/>
      <c r="H90" s="481"/>
      <c r="I90" s="481"/>
      <c r="J90" s="481"/>
      <c r="K90" s="481"/>
      <c r="L90" s="481">
        <f>'F13'!E185</f>
        <v>-0.36948087499998811</v>
      </c>
      <c r="M90" s="481"/>
      <c r="N90" s="481">
        <f>'F13'!F185</f>
        <v>-2.4953033169999999</v>
      </c>
      <c r="O90" s="481">
        <f>'F13'!G185</f>
        <v>-0.49808563400000005</v>
      </c>
      <c r="P90" s="481">
        <f>'F13'!H185</f>
        <v>-1.5901441999999995E-2</v>
      </c>
      <c r="Q90" s="481"/>
      <c r="R90" s="481">
        <f>SUM(L90:Q90)</f>
        <v>-3.3787712679999884</v>
      </c>
      <c r="S90" s="481"/>
      <c r="T90" s="481">
        <f>R90+S90</f>
        <v>-3.3787712679999884</v>
      </c>
      <c r="U90" s="481"/>
      <c r="V90" s="810"/>
    </row>
    <row r="91" spans="1:24" x14ac:dyDescent="0.3">
      <c r="B91" s="177" t="s">
        <v>145</v>
      </c>
      <c r="C91" s="482">
        <f>SUM(C89+C68)</f>
        <v>1047934</v>
      </c>
      <c r="D91" s="481">
        <f ca="1">F13.1!D91</f>
        <v>0</v>
      </c>
      <c r="E91" s="481">
        <f ca="1">F13.1!E91</f>
        <v>0</v>
      </c>
      <c r="F91" s="481">
        <f ca="1">F13.1!F91</f>
        <v>0</v>
      </c>
      <c r="G91" s="481">
        <f ca="1">F13.1!G91</f>
        <v>0</v>
      </c>
      <c r="H91" s="481">
        <f ca="1">F13.1!H91</f>
        <v>0</v>
      </c>
      <c r="I91" s="481">
        <f ca="1">F13.1!I91</f>
        <v>0</v>
      </c>
      <c r="J91" s="482"/>
      <c r="K91" s="482">
        <f>SUM(K89,K68,K90)</f>
        <v>4550.5957571997278</v>
      </c>
      <c r="L91" s="482">
        <f t="shared" ref="L91:T91" ca="1" si="36">SUM(L89,L68,L90)</f>
        <v>323.26081870000007</v>
      </c>
      <c r="M91" s="482">
        <f t="shared" ca="1" si="36"/>
        <v>244.22429032500034</v>
      </c>
      <c r="N91" s="482">
        <f t="shared" si="36"/>
        <v>2218.9709229852542</v>
      </c>
      <c r="O91" s="482">
        <f t="shared" si="36"/>
        <v>601.21189057547508</v>
      </c>
      <c r="P91" s="482">
        <f t="shared" ca="1" si="36"/>
        <v>264.19253346774155</v>
      </c>
      <c r="Q91" s="482">
        <f t="shared" si="36"/>
        <v>0.77067612600000002</v>
      </c>
      <c r="R91" s="482">
        <f t="shared" ca="1" si="36"/>
        <v>3652.6311321794724</v>
      </c>
      <c r="S91" s="482">
        <f t="shared" si="36"/>
        <v>0</v>
      </c>
      <c r="T91" s="482">
        <f t="shared" ca="1" si="36"/>
        <v>3652.6311321794724</v>
      </c>
      <c r="U91" s="481">
        <f ca="1">T91/K91*10</f>
        <v>8.0267097476203197</v>
      </c>
      <c r="V91" s="810">
        <f ca="1">U91/$V$53</f>
        <v>0.73447359389342837</v>
      </c>
    </row>
    <row r="92" spans="1:24" x14ac:dyDescent="0.3">
      <c r="B92" s="76" t="s">
        <v>980</v>
      </c>
      <c r="C92" s="481"/>
      <c r="D92" s="481"/>
      <c r="E92" s="481"/>
      <c r="F92" s="481"/>
      <c r="G92" s="481"/>
      <c r="H92" s="481"/>
      <c r="I92" s="481"/>
      <c r="J92" s="481"/>
      <c r="K92" s="1262"/>
      <c r="L92" s="481"/>
      <c r="M92" s="481"/>
      <c r="N92" s="481"/>
      <c r="O92" s="481"/>
      <c r="P92" s="481"/>
      <c r="Q92" s="481"/>
      <c r="R92" s="481"/>
      <c r="S92" s="481"/>
      <c r="T92" s="1512">
        <f>'F13'!K187</f>
        <v>6.2353909339999989</v>
      </c>
      <c r="U92" s="481"/>
      <c r="V92" s="810"/>
      <c r="W92" s="728"/>
      <c r="X92" s="677"/>
    </row>
    <row r="93" spans="1:24" x14ac:dyDescent="0.3">
      <c r="B93" s="76" t="s">
        <v>981</v>
      </c>
      <c r="C93" s="1262"/>
      <c r="D93" s="1262"/>
      <c r="E93" s="1262"/>
      <c r="F93" s="1262"/>
      <c r="G93" s="1262"/>
      <c r="H93" s="1262"/>
      <c r="I93" s="1262"/>
      <c r="J93" s="1262"/>
      <c r="K93" s="1262"/>
      <c r="L93" s="1262"/>
      <c r="M93" s="1262"/>
      <c r="N93" s="1262"/>
      <c r="O93" s="1262"/>
      <c r="P93" s="1262"/>
      <c r="Q93" s="1262"/>
      <c r="R93" s="1262"/>
      <c r="S93" s="1262"/>
      <c r="T93" s="1512">
        <f>'F13'!K188</f>
        <v>-2.2911089999999999E-2</v>
      </c>
      <c r="U93" s="1262"/>
      <c r="V93" s="810"/>
      <c r="W93" s="728"/>
      <c r="X93" s="677"/>
    </row>
    <row r="94" spans="1:24" x14ac:dyDescent="0.3">
      <c r="B94" s="76" t="s">
        <v>982</v>
      </c>
      <c r="C94" s="1262"/>
      <c r="D94" s="1262"/>
      <c r="E94" s="1262"/>
      <c r="F94" s="1262"/>
      <c r="G94" s="1262"/>
      <c r="H94" s="1262"/>
      <c r="I94" s="1262"/>
      <c r="J94" s="1262"/>
      <c r="K94" s="343"/>
      <c r="L94" s="1262"/>
      <c r="M94" s="1262"/>
      <c r="N94" s="1262"/>
      <c r="O94" s="1262"/>
      <c r="P94" s="1262"/>
      <c r="Q94" s="1262"/>
      <c r="R94" s="1262"/>
      <c r="S94" s="1262"/>
      <c r="T94" s="1512">
        <f>'F13'!K189</f>
        <v>-0.12036121399999999</v>
      </c>
      <c r="U94" s="1262"/>
      <c r="V94" s="810"/>
      <c r="W94" s="728"/>
      <c r="X94" s="677"/>
    </row>
    <row r="95" spans="1:24" x14ac:dyDescent="0.3">
      <c r="B95" s="76" t="s">
        <v>983</v>
      </c>
      <c r="C95" s="1262"/>
      <c r="D95" s="1262"/>
      <c r="E95" s="1262"/>
      <c r="F95" s="1262"/>
      <c r="G95" s="1262"/>
      <c r="H95" s="1262"/>
      <c r="I95" s="1262"/>
      <c r="J95" s="1262"/>
      <c r="K95" s="343"/>
      <c r="L95" s="1262"/>
      <c r="M95" s="1262"/>
      <c r="N95" s="1262"/>
      <c r="O95" s="1262"/>
      <c r="P95" s="1262"/>
      <c r="Q95" s="1262"/>
      <c r="R95" s="1262"/>
      <c r="S95" s="1262"/>
      <c r="T95" s="1512">
        <f>'F13'!K190</f>
        <v>6.8928710959999995</v>
      </c>
      <c r="U95" s="1262"/>
      <c r="V95" s="810"/>
      <c r="W95" s="728"/>
      <c r="X95" s="677"/>
    </row>
    <row r="96" spans="1:24" x14ac:dyDescent="0.3">
      <c r="B96" s="76" t="s">
        <v>984</v>
      </c>
      <c r="C96" s="343"/>
      <c r="D96" s="343"/>
      <c r="E96" s="343"/>
      <c r="F96" s="343"/>
      <c r="G96" s="343"/>
      <c r="H96" s="343"/>
      <c r="I96" s="343"/>
      <c r="J96" s="343"/>
      <c r="K96" s="343"/>
      <c r="L96" s="343"/>
      <c r="M96" s="343"/>
      <c r="N96" s="343"/>
      <c r="O96" s="343"/>
      <c r="P96" s="343"/>
      <c r="Q96" s="343"/>
      <c r="R96" s="343"/>
      <c r="S96" s="343"/>
      <c r="T96" s="1512">
        <f>'F13'!K191</f>
        <v>1.5953820080000003</v>
      </c>
      <c r="U96" s="343"/>
      <c r="V96" s="810"/>
      <c r="W96" s="728"/>
      <c r="X96" s="677"/>
    </row>
    <row r="97" spans="2:24" ht="15.5" x14ac:dyDescent="0.35">
      <c r="B97" s="372" t="s">
        <v>992</v>
      </c>
      <c r="C97" s="343"/>
      <c r="D97" s="343"/>
      <c r="E97" s="343"/>
      <c r="F97" s="343"/>
      <c r="G97" s="343"/>
      <c r="H97" s="343"/>
      <c r="I97" s="343"/>
      <c r="J97" s="343"/>
      <c r="K97" s="343"/>
      <c r="L97" s="343"/>
      <c r="M97" s="343"/>
      <c r="N97" s="343"/>
      <c r="O97" s="343"/>
      <c r="P97" s="343"/>
      <c r="Q97" s="343"/>
      <c r="R97" s="343"/>
      <c r="S97" s="343"/>
      <c r="T97" s="1512">
        <f>'F13'!K192</f>
        <v>0.77274364200000012</v>
      </c>
      <c r="U97" s="343"/>
      <c r="V97" s="810"/>
      <c r="W97" s="728"/>
      <c r="X97" s="677"/>
    </row>
    <row r="98" spans="2:24" x14ac:dyDescent="0.3">
      <c r="B98" s="177" t="s">
        <v>985</v>
      </c>
      <c r="C98" s="349">
        <f t="shared" ref="C98:H98" si="37">SUM(C91:C97)</f>
        <v>1047934</v>
      </c>
      <c r="D98" s="349">
        <f t="shared" ca="1" si="37"/>
        <v>0</v>
      </c>
      <c r="E98" s="349">
        <f t="shared" ca="1" si="37"/>
        <v>0</v>
      </c>
      <c r="F98" s="349">
        <f t="shared" ca="1" si="37"/>
        <v>0</v>
      </c>
      <c r="G98" s="349">
        <f t="shared" ca="1" si="37"/>
        <v>0</v>
      </c>
      <c r="H98" s="349">
        <f t="shared" ca="1" si="37"/>
        <v>0</v>
      </c>
      <c r="I98" s="343">
        <f ca="1">SUM(I61:I97)</f>
        <v>0</v>
      </c>
      <c r="J98" s="349"/>
      <c r="K98" s="349">
        <f t="shared" ref="K98:S98" si="38">SUM(K91:K97)</f>
        <v>4550.5957571997278</v>
      </c>
      <c r="L98" s="349">
        <f t="shared" ca="1" si="38"/>
        <v>323.26081870000007</v>
      </c>
      <c r="M98" s="349">
        <f t="shared" ca="1" si="38"/>
        <v>244.22429032500034</v>
      </c>
      <c r="N98" s="349">
        <f t="shared" si="38"/>
        <v>2218.9709229852542</v>
      </c>
      <c r="O98" s="349">
        <f t="shared" si="38"/>
        <v>601.21189057547508</v>
      </c>
      <c r="P98" s="349">
        <f t="shared" ca="1" si="38"/>
        <v>264.19253346774155</v>
      </c>
      <c r="Q98" s="349">
        <f t="shared" si="38"/>
        <v>0.77067612600000002</v>
      </c>
      <c r="R98" s="349">
        <f t="shared" ca="1" si="38"/>
        <v>3652.6311321794724</v>
      </c>
      <c r="S98" s="349">
        <f t="shared" si="38"/>
        <v>0</v>
      </c>
      <c r="T98" s="349">
        <f ca="1">SUM(T91:T97)</f>
        <v>3667.9842475554724</v>
      </c>
      <c r="U98" s="482">
        <f ca="1">T98/K98*10</f>
        <v>8.0604484407391475</v>
      </c>
      <c r="V98" s="811">
        <f ca="1">U98/$V$53</f>
        <v>0.73756080895008336</v>
      </c>
    </row>
    <row r="99" spans="2:24" x14ac:dyDescent="0.3">
      <c r="C99" s="1165">
        <f>C98-C51</f>
        <v>0</v>
      </c>
      <c r="D99" s="11"/>
      <c r="E99" s="11"/>
      <c r="F99" s="11"/>
      <c r="G99" s="11"/>
      <c r="H99" s="11"/>
      <c r="I99" s="11"/>
      <c r="J99" s="1165"/>
      <c r="K99" s="1165"/>
      <c r="L99" s="1165"/>
      <c r="M99" s="1165"/>
      <c r="N99" s="1165"/>
      <c r="O99" s="1165"/>
      <c r="P99" s="1165"/>
      <c r="Q99" s="1165"/>
      <c r="R99" s="1165"/>
      <c r="S99" s="1165"/>
      <c r="T99" s="350"/>
      <c r="U99" s="11"/>
      <c r="V99" s="11"/>
    </row>
    <row r="100" spans="2:24" x14ac:dyDescent="0.3">
      <c r="K100" s="425"/>
      <c r="P100" s="425"/>
      <c r="Q100" s="425"/>
      <c r="T100" s="728"/>
      <c r="U100" s="38" t="s">
        <v>1286</v>
      </c>
      <c r="V100" s="2130">
        <f ca="1">'ARR-Summary'!Q97/F13.1!K98*10</f>
        <v>10.235448147406011</v>
      </c>
    </row>
    <row r="101" spans="2:24" x14ac:dyDescent="0.3">
      <c r="B101" s="1" t="s">
        <v>1639</v>
      </c>
      <c r="T101" s="677"/>
    </row>
  </sheetData>
  <mergeCells count="28">
    <mergeCell ref="X25:Y25"/>
    <mergeCell ref="L27:L30"/>
    <mergeCell ref="M74:M77"/>
    <mergeCell ref="L74:L77"/>
    <mergeCell ref="S10:S11"/>
    <mergeCell ref="T10:T11"/>
    <mergeCell ref="S57:S58"/>
    <mergeCell ref="T57:T58"/>
    <mergeCell ref="U10:U11"/>
    <mergeCell ref="V10:V11"/>
    <mergeCell ref="U57:U58"/>
    <mergeCell ref="V57:V58"/>
    <mergeCell ref="N74:N77"/>
    <mergeCell ref="O74:O77"/>
    <mergeCell ref="P74:P77"/>
    <mergeCell ref="R74:R77"/>
    <mergeCell ref="B10:B11"/>
    <mergeCell ref="C10:C11"/>
    <mergeCell ref="D10:H10"/>
    <mergeCell ref="I10:K10"/>
    <mergeCell ref="L10:R10"/>
    <mergeCell ref="T74:T77"/>
    <mergeCell ref="U74:U77"/>
    <mergeCell ref="B57:B58"/>
    <mergeCell ref="C57:C58"/>
    <mergeCell ref="D57:H57"/>
    <mergeCell ref="I57:K57"/>
    <mergeCell ref="L57:R57"/>
  </mergeCells>
  <pageMargins left="0.70866141732283472" right="0.70866141732283472" top="0.74803149606299213" bottom="0.74803149606299213" header="0.31496062992125984" footer="0.31496062992125984"/>
  <pageSetup scale="42" orientation="landscape" r:id="rId1"/>
  <rowBreaks count="1" manualBreakCount="1">
    <brk id="5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7"/>
  <sheetViews>
    <sheetView showGridLines="0" view="pageBreakPreview" zoomScale="83" zoomScaleNormal="80" zoomScaleSheetLayoutView="70" workbookViewId="0">
      <pane xSplit="2" ySplit="11" topLeftCell="M12" activePane="bottomRight" state="frozen"/>
      <selection pane="topRight" activeCell="C1" sqref="C1"/>
      <selection pane="bottomLeft" activeCell="A12" sqref="A12"/>
      <selection pane="bottomRight" activeCell="A14" sqref="A14"/>
    </sheetView>
  </sheetViews>
  <sheetFormatPr defaultColWidth="8.81640625" defaultRowHeight="14" x14ac:dyDescent="0.3"/>
  <cols>
    <col min="1" max="1" width="8.81640625" style="1"/>
    <col min="2" max="2" width="32.36328125" style="1" bestFit="1" customWidth="1"/>
    <col min="3" max="3" width="14" style="1" customWidth="1"/>
    <col min="4" max="10" width="11.54296875" style="1" customWidth="1"/>
    <col min="11" max="11" width="20.26953125" style="1" bestFit="1" customWidth="1"/>
    <col min="12" max="20" width="11.54296875" style="1" customWidth="1"/>
    <col min="21" max="21" width="10.1796875" style="1" customWidth="1"/>
    <col min="22" max="22" width="14.453125" style="1" customWidth="1"/>
    <col min="23" max="23" width="12.453125" style="1" customWidth="1"/>
    <col min="24" max="16384" width="8.81640625" style="1"/>
  </cols>
  <sheetData>
    <row r="2" spans="1:25" x14ac:dyDescent="0.3">
      <c r="C2" s="1193"/>
      <c r="D2" s="1193"/>
      <c r="E2" s="1193"/>
      <c r="F2" s="1193"/>
      <c r="G2" s="1193"/>
      <c r="H2" s="1193"/>
      <c r="J2" s="1193" t="s">
        <v>1027</v>
      </c>
      <c r="K2" s="1193"/>
      <c r="L2" s="1193"/>
      <c r="M2" s="1193"/>
      <c r="N2" s="1193"/>
      <c r="O2" s="1193"/>
    </row>
    <row r="3" spans="1:25" x14ac:dyDescent="0.3">
      <c r="C3" s="138"/>
      <c r="D3" s="138"/>
      <c r="E3" s="138"/>
      <c r="F3" s="138"/>
      <c r="G3" s="138"/>
      <c r="H3" s="138"/>
      <c r="J3" s="1189" t="s">
        <v>826</v>
      </c>
      <c r="K3" s="138"/>
      <c r="L3" s="138"/>
      <c r="M3" s="138"/>
      <c r="N3" s="138"/>
      <c r="O3" s="138"/>
    </row>
    <row r="4" spans="1:25" x14ac:dyDescent="0.3">
      <c r="C4" s="138"/>
      <c r="D4" s="138"/>
      <c r="E4" s="138"/>
      <c r="F4" s="138"/>
      <c r="G4" s="138"/>
      <c r="H4" s="138"/>
      <c r="J4" s="138" t="s">
        <v>799</v>
      </c>
      <c r="K4" s="138"/>
      <c r="L4" s="138"/>
      <c r="M4" s="138"/>
      <c r="N4" s="138"/>
      <c r="O4" s="138"/>
    </row>
    <row r="5" spans="1:25" x14ac:dyDescent="0.3">
      <c r="B5" s="138"/>
      <c r="C5" s="138"/>
      <c r="D5" s="138"/>
      <c r="E5" s="138"/>
      <c r="F5" s="138"/>
      <c r="G5" s="138"/>
      <c r="H5" s="138"/>
      <c r="I5" s="138"/>
      <c r="J5" s="138"/>
      <c r="K5" s="138"/>
      <c r="L5" s="138"/>
      <c r="M5" s="138"/>
      <c r="N5" s="138"/>
      <c r="O5" s="138"/>
    </row>
    <row r="6" spans="1:25" x14ac:dyDescent="0.3">
      <c r="B6" s="138"/>
      <c r="C6" s="138"/>
      <c r="D6" s="138"/>
      <c r="E6" s="138"/>
      <c r="F6" s="138"/>
      <c r="G6" s="138"/>
      <c r="H6" s="138"/>
      <c r="I6" s="138"/>
      <c r="J6" s="138"/>
      <c r="K6" s="138"/>
      <c r="L6" s="138"/>
      <c r="M6" s="138"/>
      <c r="N6" s="138"/>
      <c r="O6" s="138"/>
    </row>
    <row r="7" spans="1:25" x14ac:dyDescent="0.3">
      <c r="B7" s="178" t="s">
        <v>701</v>
      </c>
      <c r="C7" s="179"/>
      <c r="D7" s="179"/>
      <c r="E7" s="179"/>
      <c r="F7" s="179"/>
      <c r="G7" s="179"/>
      <c r="H7" s="179"/>
      <c r="I7" s="179"/>
      <c r="J7" s="179"/>
      <c r="K7" s="179"/>
      <c r="L7" s="179"/>
      <c r="M7" s="179"/>
      <c r="N7" s="179"/>
      <c r="O7" s="179"/>
      <c r="P7" s="179"/>
      <c r="Q7" s="179"/>
      <c r="R7" s="179"/>
      <c r="S7" s="179"/>
      <c r="T7" s="179"/>
    </row>
    <row r="8" spans="1:25" x14ac:dyDescent="0.3">
      <c r="B8" s="178" t="s">
        <v>366</v>
      </c>
      <c r="C8" s="179"/>
      <c r="D8" s="179"/>
      <c r="E8" s="179"/>
      <c r="F8" s="179"/>
      <c r="G8" s="179"/>
      <c r="H8" s="179"/>
      <c r="I8" s="179"/>
      <c r="J8" s="179"/>
      <c r="K8" s="179"/>
      <c r="L8" s="179"/>
      <c r="M8" s="179"/>
      <c r="N8" s="179"/>
      <c r="O8" s="179"/>
      <c r="P8" s="179"/>
      <c r="Q8" s="179"/>
      <c r="R8" s="179"/>
      <c r="S8" s="179"/>
      <c r="T8" s="179"/>
    </row>
    <row r="9" spans="1:25" x14ac:dyDescent="0.3">
      <c r="B9" s="179"/>
      <c r="C9" s="179"/>
      <c r="D9" s="179"/>
      <c r="E9" s="179"/>
      <c r="F9" s="179"/>
      <c r="G9" s="179"/>
      <c r="H9" s="179"/>
      <c r="I9" s="179"/>
      <c r="J9" s="179"/>
      <c r="K9" s="179"/>
      <c r="L9" s="179"/>
      <c r="M9" s="179"/>
      <c r="N9" s="179"/>
      <c r="O9" s="179"/>
      <c r="P9" s="179"/>
      <c r="Q9" s="179"/>
      <c r="R9" s="179"/>
      <c r="S9" s="179"/>
      <c r="T9" s="179"/>
    </row>
    <row r="10" spans="1:25" ht="13.9" customHeight="1" x14ac:dyDescent="0.3">
      <c r="B10" s="2429"/>
      <c r="C10" s="2430" t="s">
        <v>358</v>
      </c>
      <c r="D10" s="2431" t="s">
        <v>367</v>
      </c>
      <c r="E10" s="2431"/>
      <c r="F10" s="2431"/>
      <c r="G10" s="2431"/>
      <c r="H10" s="2431"/>
      <c r="I10" s="2431"/>
      <c r="J10" s="2430" t="s">
        <v>368</v>
      </c>
      <c r="K10" s="2430"/>
      <c r="L10" s="2430"/>
      <c r="M10" s="2432" t="s">
        <v>369</v>
      </c>
      <c r="N10" s="2432"/>
      <c r="O10" s="2432"/>
      <c r="P10" s="2432"/>
      <c r="Q10" s="2432"/>
      <c r="R10" s="2432"/>
      <c r="S10" s="2430" t="s">
        <v>363</v>
      </c>
      <c r="T10" s="2430" t="s">
        <v>370</v>
      </c>
      <c r="U10" s="2430" t="s">
        <v>371</v>
      </c>
      <c r="V10" s="2430" t="s">
        <v>465</v>
      </c>
    </row>
    <row r="11" spans="1:25" ht="70" x14ac:dyDescent="0.3">
      <c r="B11" s="2429"/>
      <c r="C11" s="2430"/>
      <c r="D11" s="1194" t="s">
        <v>1538</v>
      </c>
      <c r="E11" s="1194" t="s">
        <v>1539</v>
      </c>
      <c r="F11" s="1194" t="s">
        <v>1540</v>
      </c>
      <c r="G11" s="1194" t="s">
        <v>1541</v>
      </c>
      <c r="H11" s="1194" t="s">
        <v>1575</v>
      </c>
      <c r="I11" s="1194" t="s">
        <v>372</v>
      </c>
      <c r="J11" s="1194" t="s">
        <v>464</v>
      </c>
      <c r="K11" s="1194" t="s">
        <v>373</v>
      </c>
      <c r="L11" s="249" t="s">
        <v>1731</v>
      </c>
      <c r="M11" s="1194" t="s">
        <v>374</v>
      </c>
      <c r="N11" s="1194" t="s">
        <v>375</v>
      </c>
      <c r="O11" s="1194" t="s">
        <v>376</v>
      </c>
      <c r="P11" s="1194" t="s">
        <v>1607</v>
      </c>
      <c r="Q11" s="1194" t="s">
        <v>377</v>
      </c>
      <c r="R11" s="1195" t="s">
        <v>145</v>
      </c>
      <c r="S11" s="2430"/>
      <c r="T11" s="2430"/>
      <c r="U11" s="2430"/>
      <c r="V11" s="2430"/>
      <c r="Y11" s="1" t="s">
        <v>1821</v>
      </c>
    </row>
    <row r="12" spans="1:25" x14ac:dyDescent="0.3">
      <c r="B12" s="140"/>
      <c r="C12" s="180"/>
      <c r="D12" s="102"/>
      <c r="E12" s="102"/>
      <c r="F12" s="102"/>
      <c r="G12" s="102"/>
      <c r="H12" s="102"/>
      <c r="I12" s="102"/>
      <c r="J12" s="102"/>
      <c r="K12" s="102"/>
      <c r="L12" s="102"/>
      <c r="M12" s="102"/>
      <c r="N12" s="102"/>
      <c r="O12" s="102"/>
      <c r="P12" s="102"/>
      <c r="Q12" s="102"/>
      <c r="R12" s="103"/>
      <c r="S12" s="180"/>
      <c r="T12" s="180"/>
      <c r="U12" s="180"/>
      <c r="V12" s="180"/>
    </row>
    <row r="13" spans="1:25" x14ac:dyDescent="0.3">
      <c r="B13" s="177" t="s">
        <v>293</v>
      </c>
      <c r="C13" s="100"/>
      <c r="D13" s="100"/>
      <c r="E13" s="100"/>
      <c r="F13" s="100"/>
      <c r="G13" s="100"/>
      <c r="H13" s="100"/>
      <c r="I13" s="100"/>
      <c r="J13" s="100"/>
      <c r="K13" s="100"/>
      <c r="L13" s="100"/>
      <c r="M13" s="100"/>
      <c r="N13" s="100"/>
      <c r="O13" s="100"/>
      <c r="P13" s="100"/>
      <c r="Q13" s="100"/>
      <c r="R13" s="100"/>
      <c r="S13" s="100"/>
      <c r="T13" s="100"/>
      <c r="U13" s="100"/>
      <c r="V13" s="100"/>
    </row>
    <row r="14" spans="1:25" ht="15.5" x14ac:dyDescent="0.35">
      <c r="A14" s="1739">
        <v>6.8020259186998278E-3</v>
      </c>
      <c r="B14" s="367" t="s">
        <v>953</v>
      </c>
      <c r="C14" s="1455">
        <f>ROUND(F13.1!C61*(1+Y14),0)</f>
        <v>37</v>
      </c>
      <c r="D14" s="481">
        <f ca="1">F13.1!D14</f>
        <v>0</v>
      </c>
      <c r="E14" s="481">
        <f>'Tariff Comparison Ext.vsProp'!B73</f>
        <v>375</v>
      </c>
      <c r="F14" s="481">
        <f>'Tariff Comparison Ext.vsProp'!C73</f>
        <v>5.28</v>
      </c>
      <c r="G14" s="481">
        <f>'Tariff Comparison Ext.vsProp'!I6</f>
        <v>0.51</v>
      </c>
      <c r="H14" s="481"/>
      <c r="I14" s="481">
        <v>0</v>
      </c>
      <c r="J14" s="481">
        <f ca="1">F13.1!I14</f>
        <v>0</v>
      </c>
      <c r="K14" s="481">
        <f>F13.1!J14*(1+A14)</f>
        <v>58134.941791358178</v>
      </c>
      <c r="L14" s="673">
        <f>'F1'!O13</f>
        <v>190.38870735736347</v>
      </c>
      <c r="M14" s="674">
        <f t="shared" ref="M14:M19" ca="1" si="0">K14*D14*12/10^7</f>
        <v>0</v>
      </c>
      <c r="N14" s="674">
        <f t="shared" ref="N14:N20" si="1">K14*E14*12/10^7</f>
        <v>26.160723806111182</v>
      </c>
      <c r="O14" s="674">
        <f>F14*$L14/10</f>
        <v>100.52523748468792</v>
      </c>
      <c r="P14" s="674">
        <f>G14*$L14/10</f>
        <v>9.7098240752255371</v>
      </c>
      <c r="Q14" s="674">
        <f t="shared" ref="Q14:Q20" si="2">I14*$L14/10</f>
        <v>0</v>
      </c>
      <c r="R14" s="673">
        <f t="shared" ref="R14:R20" ca="1" si="3">SUM(M14:Q14)</f>
        <v>136.39578536602463</v>
      </c>
      <c r="S14" s="100"/>
      <c r="T14" s="673">
        <f t="shared" ref="T14:T20" ca="1" si="4">R14+S14</f>
        <v>136.39578536602463</v>
      </c>
      <c r="U14" s="674">
        <f t="shared" ref="U14:U19" ca="1" si="5">T14/L14*10</f>
        <v>7.1640690910310649</v>
      </c>
      <c r="V14" s="483">
        <f t="shared" ref="V14:V20" ca="1" si="6">U14/$V$53</f>
        <v>0.7943114872849586</v>
      </c>
      <c r="Y14" s="1739">
        <v>0.01</v>
      </c>
    </row>
    <row r="15" spans="1:25" ht="15.5" x14ac:dyDescent="0.35">
      <c r="A15" s="1739">
        <v>0.01</v>
      </c>
      <c r="B15" s="367" t="s">
        <v>954</v>
      </c>
      <c r="C15" s="1455">
        <f>ROUND(F13.1!C62*(1+Y15),0)</f>
        <v>96</v>
      </c>
      <c r="D15" s="481">
        <f ca="1">F13.1!D15</f>
        <v>0</v>
      </c>
      <c r="E15" s="481">
        <f>'Tariff Comparison Ext.vsProp'!B74</f>
        <v>375</v>
      </c>
      <c r="F15" s="481">
        <f>'Tariff Comparison Ext.vsProp'!C74</f>
        <v>5.53</v>
      </c>
      <c r="G15" s="481">
        <f>'Tariff Comparison Ext.vsProp'!I7</f>
        <v>0.51</v>
      </c>
      <c r="H15" s="481"/>
      <c r="I15" s="481">
        <v>0</v>
      </c>
      <c r="J15" s="481">
        <f ca="1">F13.1!I15</f>
        <v>0</v>
      </c>
      <c r="K15" s="481">
        <f>F13.1!J15*(1+A15)</f>
        <v>116875.76176000001</v>
      </c>
      <c r="L15" s="673">
        <f>'F1'!O14</f>
        <v>208.45106136432997</v>
      </c>
      <c r="M15" s="674">
        <f t="shared" ca="1" si="0"/>
        <v>0</v>
      </c>
      <c r="N15" s="674">
        <f t="shared" si="1"/>
        <v>52.594092792000005</v>
      </c>
      <c r="O15" s="674">
        <f t="shared" ref="O15:O20" si="7">F15*$L15/10</f>
        <v>115.27343693447449</v>
      </c>
      <c r="P15" s="674">
        <f t="shared" ref="P15:P31" si="8">G15*$L15/10</f>
        <v>10.631004129580829</v>
      </c>
      <c r="Q15" s="674">
        <f t="shared" si="2"/>
        <v>0</v>
      </c>
      <c r="R15" s="673">
        <f t="shared" ca="1" si="3"/>
        <v>178.4985338560553</v>
      </c>
      <c r="S15" s="100"/>
      <c r="T15" s="673">
        <f t="shared" ca="1" si="4"/>
        <v>178.4985338560553</v>
      </c>
      <c r="U15" s="674">
        <f t="shared" ca="1" si="5"/>
        <v>8.5630906692327287</v>
      </c>
      <c r="V15" s="483">
        <f t="shared" ca="1" si="6"/>
        <v>0.94942709217441101</v>
      </c>
      <c r="Y15" s="1739">
        <v>0.02</v>
      </c>
    </row>
    <row r="16" spans="1:25" ht="15.5" x14ac:dyDescent="0.35">
      <c r="A16" s="1739">
        <v>0.02</v>
      </c>
      <c r="B16" s="367" t="s">
        <v>955</v>
      </c>
      <c r="C16" s="1455">
        <f>ROUND(F13.1!C63*(1+Y16),0)</f>
        <v>12</v>
      </c>
      <c r="D16" s="481">
        <f ca="1">F13.1!D16</f>
        <v>0</v>
      </c>
      <c r="E16" s="481">
        <f>'Tariff Comparison Ext.vsProp'!B75</f>
        <v>375</v>
      </c>
      <c r="F16" s="481">
        <f>'Tariff Comparison Ext.vsProp'!C75</f>
        <v>5.39</v>
      </c>
      <c r="G16" s="481">
        <f>'Tariff Comparison Ext.vsProp'!I8</f>
        <v>0.51</v>
      </c>
      <c r="H16" s="481"/>
      <c r="I16" s="481">
        <v>0</v>
      </c>
      <c r="J16" s="481">
        <f ca="1">F13.1!I16</f>
        <v>0</v>
      </c>
      <c r="K16" s="481">
        <f>F13.1!J16*(1+A16)</f>
        <v>8874</v>
      </c>
      <c r="L16" s="673">
        <f>'F1'!O15</f>
        <v>32.121324728631734</v>
      </c>
      <c r="M16" s="674">
        <f t="shared" ca="1" si="0"/>
        <v>0</v>
      </c>
      <c r="N16" s="674">
        <f t="shared" si="1"/>
        <v>3.9933000000000001</v>
      </c>
      <c r="O16" s="674">
        <f t="shared" si="7"/>
        <v>17.313394028732503</v>
      </c>
      <c r="P16" s="674">
        <f t="shared" si="8"/>
        <v>1.6381875611602184</v>
      </c>
      <c r="Q16" s="674">
        <f t="shared" si="2"/>
        <v>0</v>
      </c>
      <c r="R16" s="673">
        <f t="shared" ca="1" si="3"/>
        <v>22.944881589892724</v>
      </c>
      <c r="S16" s="100"/>
      <c r="T16" s="673">
        <f t="shared" ca="1" si="4"/>
        <v>22.944881589892724</v>
      </c>
      <c r="U16" s="674">
        <f t="shared" ca="1" si="5"/>
        <v>7.1431928115469425</v>
      </c>
      <c r="V16" s="483">
        <f t="shared" ca="1" si="6"/>
        <v>0.79199684341493093</v>
      </c>
      <c r="Y16" s="1739">
        <v>0.02</v>
      </c>
    </row>
    <row r="17" spans="1:25" ht="15.5" x14ac:dyDescent="0.35">
      <c r="A17" s="1739">
        <v>0.02</v>
      </c>
      <c r="B17" s="367" t="s">
        <v>956</v>
      </c>
      <c r="C17" s="1455">
        <f>ROUND(F13.1!C64*(1+Y17),0)</f>
        <v>3</v>
      </c>
      <c r="D17" s="481">
        <f ca="1">F13.1!D17</f>
        <v>0</v>
      </c>
      <c r="E17" s="481">
        <f>'Tariff Comparison Ext.vsProp'!B76</f>
        <v>375</v>
      </c>
      <c r="F17" s="481">
        <f>'Tariff Comparison Ext.vsProp'!C76</f>
        <v>5.4</v>
      </c>
      <c r="G17" s="481">
        <f>'Tariff Comparison Ext.vsProp'!I9</f>
        <v>0.51</v>
      </c>
      <c r="H17" s="481"/>
      <c r="I17" s="481">
        <v>0</v>
      </c>
      <c r="J17" s="481">
        <f ca="1">F13.1!I17</f>
        <v>0</v>
      </c>
      <c r="K17" s="481">
        <f>F13.1!J17*(1+A17)</f>
        <v>2932.5</v>
      </c>
      <c r="L17" s="673">
        <f>'F1'!O16</f>
        <v>2.5717217190733441</v>
      </c>
      <c r="M17" s="674">
        <f t="shared" ca="1" si="0"/>
        <v>0</v>
      </c>
      <c r="N17" s="674">
        <f t="shared" si="1"/>
        <v>1.319625</v>
      </c>
      <c r="O17" s="674">
        <f t="shared" si="7"/>
        <v>1.3887297282996058</v>
      </c>
      <c r="P17" s="674">
        <f t="shared" si="8"/>
        <v>0.13115780767274055</v>
      </c>
      <c r="Q17" s="674">
        <f t="shared" si="2"/>
        <v>0</v>
      </c>
      <c r="R17" s="673">
        <f t="shared" ca="1" si="3"/>
        <v>2.8395125359723465</v>
      </c>
      <c r="S17" s="100"/>
      <c r="T17" s="673">
        <f t="shared" ca="1" si="4"/>
        <v>2.8395125359723465</v>
      </c>
      <c r="U17" s="674">
        <f t="shared" ca="1" si="5"/>
        <v>11.041290023383612</v>
      </c>
      <c r="V17" s="483">
        <f t="shared" ca="1" si="6"/>
        <v>1.2241958290154047</v>
      </c>
      <c r="Y17" s="1739">
        <v>0.02</v>
      </c>
    </row>
    <row r="18" spans="1:25" ht="15.5" x14ac:dyDescent="0.35">
      <c r="A18" s="1739">
        <v>0</v>
      </c>
      <c r="B18" s="367" t="s">
        <v>957</v>
      </c>
      <c r="C18" s="1455">
        <f>ROUND(F13.1!C65*(1+Y18),0)</f>
        <v>4</v>
      </c>
      <c r="D18" s="481">
        <f ca="1">F13.1!D18</f>
        <v>0</v>
      </c>
      <c r="E18" s="481">
        <f>'Tariff Comparison Ext.vsProp'!B77</f>
        <v>375</v>
      </c>
      <c r="F18" s="481">
        <f>'Tariff Comparison Ext.vsProp'!C77</f>
        <v>4.93</v>
      </c>
      <c r="G18" s="481">
        <f>'Tariff Comparison Ext.vsProp'!I10</f>
        <v>0.51</v>
      </c>
      <c r="H18" s="481"/>
      <c r="I18" s="481">
        <v>0</v>
      </c>
      <c r="J18" s="481">
        <f ca="1">F13.1!I18</f>
        <v>0</v>
      </c>
      <c r="K18" s="481">
        <f>F13.1!J18*(1+A18)</f>
        <v>8960</v>
      </c>
      <c r="L18" s="673">
        <f>'F1'!O17</f>
        <v>27.783816124755699</v>
      </c>
      <c r="M18" s="674">
        <f t="shared" ca="1" si="0"/>
        <v>0</v>
      </c>
      <c r="N18" s="674">
        <f t="shared" si="1"/>
        <v>4.032</v>
      </c>
      <c r="O18" s="674">
        <f t="shared" si="7"/>
        <v>13.697421349504557</v>
      </c>
      <c r="P18" s="674">
        <f t="shared" si="8"/>
        <v>1.4169746223625406</v>
      </c>
      <c r="Q18" s="674">
        <f t="shared" si="2"/>
        <v>0</v>
      </c>
      <c r="R18" s="673">
        <f t="shared" ca="1" si="3"/>
        <v>19.146395971867097</v>
      </c>
      <c r="S18" s="100"/>
      <c r="T18" s="673">
        <f t="shared" ca="1" si="4"/>
        <v>19.146395971867097</v>
      </c>
      <c r="U18" s="674">
        <f t="shared" ca="1" si="5"/>
        <v>6.8912045364450272</v>
      </c>
      <c r="V18" s="483">
        <f t="shared" ca="1" si="6"/>
        <v>0.76405780778709798</v>
      </c>
      <c r="Y18" s="1739">
        <v>0</v>
      </c>
    </row>
    <row r="19" spans="1:25" ht="15.5" x14ac:dyDescent="0.35">
      <c r="A19" s="1739">
        <v>0.01</v>
      </c>
      <c r="B19" s="367" t="s">
        <v>958</v>
      </c>
      <c r="C19" s="1455">
        <f>ROUND(F13.1!C66*(1+Y19),0)</f>
        <v>46</v>
      </c>
      <c r="D19" s="481">
        <f ca="1">F13.1!D19</f>
        <v>0</v>
      </c>
      <c r="E19" s="481">
        <f>'Tariff Comparison Ext.vsProp'!B78</f>
        <v>375</v>
      </c>
      <c r="F19" s="481">
        <f>'Tariff Comparison Ext.vsProp'!C78</f>
        <v>5.46</v>
      </c>
      <c r="G19" s="481">
        <f>'Tariff Comparison Ext.vsProp'!I11</f>
        <v>0.51</v>
      </c>
      <c r="H19" s="481"/>
      <c r="I19" s="481">
        <v>0</v>
      </c>
      <c r="J19" s="481">
        <f ca="1">F13.1!I19</f>
        <v>0</v>
      </c>
      <c r="K19" s="481">
        <f>F13.1!J19*(1+A19)</f>
        <v>71819.458750000005</v>
      </c>
      <c r="L19" s="673">
        <f>'F1'!O18</f>
        <v>186.01089134631724</v>
      </c>
      <c r="M19" s="674">
        <f t="shared" ca="1" si="0"/>
        <v>0</v>
      </c>
      <c r="N19" s="674">
        <f t="shared" si="1"/>
        <v>32.318756437500006</v>
      </c>
      <c r="O19" s="674">
        <f t="shared" si="7"/>
        <v>101.56194667508922</v>
      </c>
      <c r="P19" s="674">
        <f t="shared" si="8"/>
        <v>9.4865554586621794</v>
      </c>
      <c r="Q19" s="674">
        <f t="shared" si="2"/>
        <v>0</v>
      </c>
      <c r="R19" s="673">
        <f t="shared" ca="1" si="3"/>
        <v>143.3672585712514</v>
      </c>
      <c r="S19" s="100"/>
      <c r="T19" s="673">
        <f t="shared" ca="1" si="4"/>
        <v>143.3672585712514</v>
      </c>
      <c r="U19" s="674">
        <f t="shared" ca="1" si="5"/>
        <v>7.7074658120060597</v>
      </c>
      <c r="V19" s="483">
        <f t="shared" ca="1" si="6"/>
        <v>0.85456024426076516</v>
      </c>
      <c r="Y19" s="1739">
        <v>7.5190793209780615E-3</v>
      </c>
    </row>
    <row r="20" spans="1:25" ht="15.5" x14ac:dyDescent="0.35">
      <c r="A20" s="1739">
        <v>0</v>
      </c>
      <c r="B20" s="367" t="s">
        <v>959</v>
      </c>
      <c r="C20" s="1455">
        <f>ROUND(F13.1!C67*(1+Y20),0)</f>
        <v>0</v>
      </c>
      <c r="D20" s="481">
        <f ca="1">F13.1!D20</f>
        <v>0</v>
      </c>
      <c r="E20" s="481">
        <f>'Tariff Comparison Ext.vsProp'!B79</f>
        <v>70</v>
      </c>
      <c r="F20" s="481">
        <f>'Tariff Comparison Ext.vsProp'!C79</f>
        <v>4.99</v>
      </c>
      <c r="G20" s="481">
        <f>'Tariff Comparison Ext.vsProp'!I12</f>
        <v>0.51</v>
      </c>
      <c r="H20" s="481"/>
      <c r="I20" s="481">
        <v>0</v>
      </c>
      <c r="J20" s="481">
        <f ca="1">F13.1!I20</f>
        <v>0</v>
      </c>
      <c r="K20" s="481">
        <f>F13.1!J20*(1+A20)</f>
        <v>0</v>
      </c>
      <c r="L20" s="673">
        <f>'F1'!O19</f>
        <v>0</v>
      </c>
      <c r="M20" s="674">
        <f ca="1">C20*D20*12/10^7</f>
        <v>0</v>
      </c>
      <c r="N20" s="674">
        <f t="shared" si="1"/>
        <v>0</v>
      </c>
      <c r="O20" s="674">
        <f t="shared" si="7"/>
        <v>0</v>
      </c>
      <c r="P20" s="674">
        <f t="shared" si="8"/>
        <v>0</v>
      </c>
      <c r="Q20" s="674">
        <f t="shared" si="2"/>
        <v>0</v>
      </c>
      <c r="R20" s="673">
        <f t="shared" ca="1" si="3"/>
        <v>0</v>
      </c>
      <c r="S20" s="100"/>
      <c r="T20" s="673">
        <f t="shared" ca="1" si="4"/>
        <v>0</v>
      </c>
      <c r="U20" s="674">
        <v>0</v>
      </c>
      <c r="V20" s="483">
        <f t="shared" ca="1" si="6"/>
        <v>0</v>
      </c>
    </row>
    <row r="21" spans="1:25" x14ac:dyDescent="0.3">
      <c r="B21" s="366"/>
      <c r="C21" s="100"/>
      <c r="D21" s="481"/>
      <c r="E21" s="481"/>
      <c r="F21" s="481"/>
      <c r="G21" s="481"/>
      <c r="H21" s="481"/>
      <c r="I21" s="481"/>
      <c r="J21" s="481"/>
      <c r="K21" s="481"/>
      <c r="L21" s="100"/>
      <c r="M21" s="674"/>
      <c r="N21" s="674"/>
      <c r="O21" s="674"/>
      <c r="P21" s="674"/>
      <c r="Q21" s="674"/>
      <c r="R21" s="673"/>
      <c r="S21" s="100"/>
      <c r="T21" s="673"/>
      <c r="U21" s="674"/>
      <c r="V21" s="481"/>
    </row>
    <row r="22" spans="1:25" s="152" customFormat="1" x14ac:dyDescent="0.3">
      <c r="B22" s="177" t="s">
        <v>972</v>
      </c>
      <c r="C22" s="1457">
        <f>SUM(C14:C20)</f>
        <v>198</v>
      </c>
      <c r="D22" s="482">
        <f>F13.1!D22</f>
        <v>0</v>
      </c>
      <c r="E22" s="482">
        <f>F13.1!E22</f>
        <v>0</v>
      </c>
      <c r="F22" s="482"/>
      <c r="G22" s="482">
        <f>F13.1!G22</f>
        <v>0</v>
      </c>
      <c r="H22" s="482"/>
      <c r="I22" s="482">
        <f>F13.1!H22</f>
        <v>0</v>
      </c>
      <c r="J22" s="482">
        <f>F13.1!I22</f>
        <v>0</v>
      </c>
      <c r="K22" s="675">
        <f>SUM(K14:K20)</f>
        <v>267596.66230135818</v>
      </c>
      <c r="L22" s="675">
        <f>SUM(L14:L20)</f>
        <v>647.32752264047144</v>
      </c>
      <c r="M22" s="675">
        <f t="shared" ref="M22:T22" ca="1" si="9">SUM(M14:M20)</f>
        <v>0</v>
      </c>
      <c r="N22" s="675">
        <f t="shared" si="9"/>
        <v>120.41849803561121</v>
      </c>
      <c r="O22" s="675">
        <f t="shared" si="9"/>
        <v>349.76016620078826</v>
      </c>
      <c r="P22" s="675">
        <f t="shared" si="9"/>
        <v>33.013703654664042</v>
      </c>
      <c r="Q22" s="675">
        <f t="shared" si="9"/>
        <v>0</v>
      </c>
      <c r="R22" s="675">
        <f t="shared" ca="1" si="9"/>
        <v>503.1923678910635</v>
      </c>
      <c r="S22" s="675">
        <f t="shared" si="9"/>
        <v>0</v>
      </c>
      <c r="T22" s="675">
        <f t="shared" ca="1" si="9"/>
        <v>503.1923678910635</v>
      </c>
      <c r="U22" s="676">
        <f ca="1">T22/L22*10</f>
        <v>7.7733813300340504</v>
      </c>
      <c r="V22" s="484">
        <f ca="1">U22/$V$53</f>
        <v>0.86186858432486635</v>
      </c>
    </row>
    <row r="23" spans="1:25" x14ac:dyDescent="0.3">
      <c r="B23" s="76"/>
      <c r="C23" s="100"/>
      <c r="D23" s="481"/>
      <c r="E23" s="481"/>
      <c r="F23" s="481"/>
      <c r="G23" s="481"/>
      <c r="H23" s="481"/>
      <c r="I23" s="481"/>
      <c r="J23" s="481"/>
      <c r="K23" s="481"/>
      <c r="L23" s="100"/>
      <c r="M23" s="674"/>
      <c r="N23" s="674"/>
      <c r="O23" s="674"/>
      <c r="P23" s="674"/>
      <c r="Q23" s="674"/>
      <c r="R23" s="673"/>
      <c r="S23" s="100"/>
      <c r="T23" s="673"/>
      <c r="U23" s="674"/>
      <c r="V23" s="481"/>
    </row>
    <row r="24" spans="1:25" x14ac:dyDescent="0.3">
      <c r="B24" s="177" t="s">
        <v>294</v>
      </c>
      <c r="C24" s="100"/>
      <c r="D24" s="481"/>
      <c r="E24" s="481"/>
      <c r="F24" s="481"/>
      <c r="G24" s="481"/>
      <c r="H24" s="481"/>
      <c r="I24" s="481"/>
      <c r="J24" s="481"/>
      <c r="K24" s="481"/>
      <c r="L24" s="100"/>
      <c r="M24" s="674"/>
      <c r="N24" s="674"/>
      <c r="O24" s="674"/>
      <c r="P24" s="674"/>
      <c r="Q24" s="674"/>
      <c r="R24" s="673"/>
      <c r="S24" s="100"/>
      <c r="T24" s="673"/>
      <c r="U24" s="674"/>
      <c r="V24" s="481"/>
    </row>
    <row r="25" spans="1:25" x14ac:dyDescent="0.3">
      <c r="B25" s="76"/>
      <c r="C25" s="100"/>
      <c r="D25" s="481"/>
      <c r="E25" s="481"/>
      <c r="F25" s="481"/>
      <c r="G25" s="481"/>
      <c r="H25" s="481"/>
      <c r="I25" s="481"/>
      <c r="J25" s="481"/>
      <c r="K25" s="481"/>
      <c r="L25" s="100"/>
      <c r="M25" s="674"/>
      <c r="N25" s="674"/>
      <c r="O25" s="674"/>
      <c r="P25" s="674"/>
      <c r="Q25" s="674"/>
      <c r="R25" s="673"/>
      <c r="S25" s="100"/>
      <c r="T25" s="673"/>
      <c r="U25" s="674"/>
      <c r="V25" s="481"/>
    </row>
    <row r="26" spans="1:25" ht="15.5" x14ac:dyDescent="0.3">
      <c r="B26" s="368" t="s">
        <v>960</v>
      </c>
      <c r="C26" s="1455">
        <f>ROUND(F13.1!C72*(1+Y26),0)</f>
        <v>59</v>
      </c>
      <c r="D26" s="481">
        <f>'Tariff Comparison Ext.vsProp'!B83</f>
        <v>10</v>
      </c>
      <c r="E26" s="481">
        <f>F13.1!E26</f>
        <v>0</v>
      </c>
      <c r="F26" s="481">
        <f>'Tariff Comparison Ext.vsProp'!C16</f>
        <v>1.21</v>
      </c>
      <c r="G26" s="481">
        <f>'Tariff Comparison Ext.vsProp'!I16</f>
        <v>1.47</v>
      </c>
      <c r="H26" s="481"/>
      <c r="I26" s="481">
        <f>F13.1!H26</f>
        <v>0</v>
      </c>
      <c r="J26" s="481">
        <f>F13.1!I26</f>
        <v>0</v>
      </c>
      <c r="K26" s="481">
        <f>F13.1!J26*(1+A26)</f>
        <v>0</v>
      </c>
      <c r="L26" s="673">
        <f>'F1'!O25</f>
        <v>3.5998039046489051E-2</v>
      </c>
      <c r="M26" s="674">
        <f>C26*D26*12/10^7</f>
        <v>7.0799999999999997E-4</v>
      </c>
      <c r="N26" s="674">
        <f>K26*E26*12/10^7</f>
        <v>0</v>
      </c>
      <c r="O26" s="674">
        <f>F26*$L26/10</f>
        <v>4.355762724625175E-3</v>
      </c>
      <c r="P26" s="674">
        <f t="shared" si="8"/>
        <v>5.2917117398338905E-3</v>
      </c>
      <c r="Q26" s="674">
        <f>I26*$L26/10</f>
        <v>0</v>
      </c>
      <c r="R26" s="673">
        <f>SUM(M26:Q26)</f>
        <v>1.0355474464459065E-2</v>
      </c>
      <c r="S26" s="100"/>
      <c r="T26" s="673">
        <f>R26+S26</f>
        <v>1.0355474464459065E-2</v>
      </c>
      <c r="U26" s="674">
        <f>T26/L26*10</f>
        <v>2.876677379866627</v>
      </c>
      <c r="V26" s="483">
        <f ca="1">U26/$V$53</f>
        <v>0.31894972801162647</v>
      </c>
      <c r="Y26" s="1739">
        <v>0</v>
      </c>
    </row>
    <row r="27" spans="1:25" ht="15.5" x14ac:dyDescent="0.35">
      <c r="B27" s="367" t="s">
        <v>961</v>
      </c>
      <c r="C27" s="1455">
        <f>'Tariff Comparison Ext.vsProp'!L17</f>
        <v>0</v>
      </c>
      <c r="D27" s="481">
        <f>'Tariff Comparison Ext.vsProp'!B84</f>
        <v>0</v>
      </c>
      <c r="E27" s="481"/>
      <c r="F27" s="481"/>
      <c r="G27" s="481"/>
      <c r="H27" s="481"/>
      <c r="I27" s="481"/>
      <c r="J27" s="481"/>
      <c r="K27" s="481"/>
      <c r="L27" s="673">
        <f>'F1'!O26</f>
        <v>0</v>
      </c>
      <c r="M27" s="674"/>
      <c r="N27" s="674"/>
      <c r="O27" s="674"/>
      <c r="P27" s="674"/>
      <c r="Q27" s="674"/>
      <c r="R27" s="673"/>
      <c r="S27" s="100"/>
      <c r="T27" s="673"/>
      <c r="U27" s="674"/>
      <c r="V27" s="483"/>
    </row>
    <row r="28" spans="1:25" ht="15.5" x14ac:dyDescent="0.35">
      <c r="B28" s="367" t="s">
        <v>1542</v>
      </c>
      <c r="C28" s="1455">
        <f>ROUND(F13.1!C74*(1+Y28),0)</f>
        <v>326558</v>
      </c>
      <c r="D28" s="481">
        <f>'Tariff Comparison Ext.vsProp'!B85</f>
        <v>85</v>
      </c>
      <c r="E28" s="481">
        <f ca="1">F13.1!E28</f>
        <v>0</v>
      </c>
      <c r="F28" s="481">
        <f>'Tariff Comparison Ext.vsProp'!C18</f>
        <v>1.71</v>
      </c>
      <c r="G28" s="481">
        <f>'Tariff Comparison Ext.vsProp'!I18</f>
        <v>1.47</v>
      </c>
      <c r="H28" s="481"/>
      <c r="I28" s="481">
        <v>0</v>
      </c>
      <c r="J28" s="481">
        <f ca="1">F13.1!I28</f>
        <v>0</v>
      </c>
      <c r="K28" s="481">
        <f>F13.1!J27*(1+A28)</f>
        <v>0</v>
      </c>
      <c r="L28" s="673">
        <f>'F1'!O27</f>
        <v>759.83565672439647</v>
      </c>
      <c r="M28" s="674">
        <f>C28*D28*12/10^7</f>
        <v>33.308916000000004</v>
      </c>
      <c r="N28" s="674">
        <f ca="1">K28*E28*12/10^7</f>
        <v>0</v>
      </c>
      <c r="O28" s="674">
        <f>F28*$L28/10</f>
        <v>129.93189729987179</v>
      </c>
      <c r="P28" s="674">
        <f>G28*$L28/10</f>
        <v>111.69584153848628</v>
      </c>
      <c r="Q28" s="674">
        <f t="shared" ref="Q28:Q41" si="10">I28*$L28/10</f>
        <v>0</v>
      </c>
      <c r="R28" s="673">
        <f t="shared" ref="R28:R41" ca="1" si="11">SUM(M28:Q28)</f>
        <v>274.93665483835809</v>
      </c>
      <c r="S28" s="100"/>
      <c r="T28" s="673">
        <f ca="1">R28+S28</f>
        <v>274.93665483835809</v>
      </c>
      <c r="U28" s="674">
        <f t="shared" ref="U28:U38" ca="1" si="12">T28/L28*10</f>
        <v>3.6183700041610662</v>
      </c>
      <c r="V28" s="483">
        <f t="shared" ref="V28:V38" ca="1" si="13">U28/$V$53</f>
        <v>0.40118441391787457</v>
      </c>
      <c r="W28" s="677"/>
      <c r="X28" s="677"/>
      <c r="Y28" s="1740">
        <v>5.0979786460383369E-3</v>
      </c>
    </row>
    <row r="29" spans="1:25" ht="15.5" x14ac:dyDescent="0.35">
      <c r="B29" s="367" t="s">
        <v>1543</v>
      </c>
      <c r="C29" s="1455">
        <f>ROUND(F13.1!C75*(1+Y29),0)</f>
        <v>363597</v>
      </c>
      <c r="D29" s="481">
        <f>'Tariff Comparison Ext.vsProp'!B86</f>
        <v>125</v>
      </c>
      <c r="E29" s="481">
        <f ca="1">F13.1!E29</f>
        <v>0</v>
      </c>
      <c r="F29" s="481">
        <f>'Tariff Comparison Ext.vsProp'!C19</f>
        <v>4.34</v>
      </c>
      <c r="G29" s="481">
        <f>'Tariff Comparison Ext.vsProp'!I19</f>
        <v>1.47</v>
      </c>
      <c r="H29" s="481"/>
      <c r="I29" s="481">
        <v>0</v>
      </c>
      <c r="J29" s="481">
        <f ca="1">F13.1!I29</f>
        <v>0</v>
      </c>
      <c r="K29" s="481">
        <f>F13.1!J28*(1+A29)</f>
        <v>0</v>
      </c>
      <c r="L29" s="673">
        <f>'F1'!O28</f>
        <v>730.83059938075382</v>
      </c>
      <c r="M29" s="674">
        <f>C29*D29*12/10^7</f>
        <v>54.539549999999998</v>
      </c>
      <c r="N29" s="674">
        <f t="shared" ref="N29:N41" ca="1" si="14">K29*E29*12/10^7</f>
        <v>0</v>
      </c>
      <c r="O29" s="674">
        <f>F29*$L29/10</f>
        <v>317.18048013124718</v>
      </c>
      <c r="P29" s="674">
        <f>G29*$L29/10</f>
        <v>107.43209810897081</v>
      </c>
      <c r="Q29" s="674">
        <f t="shared" si="10"/>
        <v>0</v>
      </c>
      <c r="R29" s="673">
        <f t="shared" ca="1" si="11"/>
        <v>479.15212824021802</v>
      </c>
      <c r="S29" s="100"/>
      <c r="T29" s="673">
        <f ca="1">R29+S29</f>
        <v>479.15212824021802</v>
      </c>
      <c r="U29" s="674">
        <f t="shared" ca="1" si="12"/>
        <v>6.5562680140406329</v>
      </c>
      <c r="V29" s="483">
        <f t="shared" ca="1" si="13"/>
        <v>0.72692193934744886</v>
      </c>
      <c r="Y29" s="1739">
        <v>5.0979786460383369E-3</v>
      </c>
    </row>
    <row r="30" spans="1:25" ht="15.5" x14ac:dyDescent="0.35">
      <c r="B30" s="367" t="s">
        <v>1544</v>
      </c>
      <c r="C30" s="1455">
        <f>ROUND(F13.1!C76*(1+Y30),0)</f>
        <v>52738</v>
      </c>
      <c r="D30" s="481">
        <f>'Tariff Comparison Ext.vsProp'!B87</f>
        <v>125</v>
      </c>
      <c r="E30" s="481">
        <f ca="1">F13.1!E29</f>
        <v>0</v>
      </c>
      <c r="F30" s="481">
        <f>'Tariff Comparison Ext.vsProp'!C20</f>
        <v>7.18</v>
      </c>
      <c r="G30" s="481">
        <f>'Tariff Comparison Ext.vsProp'!I20</f>
        <v>1.47</v>
      </c>
      <c r="H30" s="481"/>
      <c r="I30" s="481">
        <v>0</v>
      </c>
      <c r="J30" s="481">
        <f ca="1">F13.1!I29</f>
        <v>0</v>
      </c>
      <c r="K30" s="481">
        <f>F13.1!J29*(1+A30)</f>
        <v>0</v>
      </c>
      <c r="L30" s="673">
        <f>'F1'!O29</f>
        <v>240.83075876903308</v>
      </c>
      <c r="M30" s="674">
        <f>C30*D30*12/10^7</f>
        <v>7.9107000000000003</v>
      </c>
      <c r="N30" s="674">
        <f t="shared" ca="1" si="14"/>
        <v>0</v>
      </c>
      <c r="O30" s="674">
        <f>F30*$L30/10</f>
        <v>172.91648479616575</v>
      </c>
      <c r="P30" s="674">
        <f t="shared" si="8"/>
        <v>35.402121539047862</v>
      </c>
      <c r="Q30" s="674">
        <f t="shared" si="10"/>
        <v>0</v>
      </c>
      <c r="R30" s="673">
        <f t="shared" ca="1" si="11"/>
        <v>216.22930633521361</v>
      </c>
      <c r="S30" s="100"/>
      <c r="T30" s="673">
        <f ca="1">R30+S30</f>
        <v>216.22930633521361</v>
      </c>
      <c r="U30" s="674">
        <f t="shared" ca="1" si="12"/>
        <v>8.9784754837975953</v>
      </c>
      <c r="V30" s="483">
        <f t="shared" ca="1" si="13"/>
        <v>0.99548261253024828</v>
      </c>
      <c r="Y30" s="1739">
        <v>5.0979786460383369E-3</v>
      </c>
    </row>
    <row r="31" spans="1:25" ht="15.5" x14ac:dyDescent="0.35">
      <c r="B31" s="367" t="s">
        <v>1545</v>
      </c>
      <c r="C31" s="1455">
        <f>ROUND(F13.1!C77*(1+Y31),0)</f>
        <v>30583</v>
      </c>
      <c r="D31" s="481">
        <f>'Tariff Comparison Ext.vsProp'!B88</f>
        <v>155</v>
      </c>
      <c r="E31" s="481">
        <f ca="1">F13.1!E30</f>
        <v>0</v>
      </c>
      <c r="F31" s="481">
        <f>'Tariff Comparison Ext.vsProp'!C21</f>
        <v>8.74</v>
      </c>
      <c r="G31" s="481">
        <f>'Tariff Comparison Ext.vsProp'!I21</f>
        <v>1.47</v>
      </c>
      <c r="H31" s="481"/>
      <c r="I31" s="481">
        <v>0</v>
      </c>
      <c r="J31" s="481">
        <f ca="1">F13.1!I30</f>
        <v>0</v>
      </c>
      <c r="K31" s="481">
        <f>F13.1!J30*(1+A31)</f>
        <v>0</v>
      </c>
      <c r="L31" s="673">
        <f>'F1'!O30</f>
        <v>400.66426340822659</v>
      </c>
      <c r="M31" s="674">
        <f>C31*D31*12/10^7</f>
        <v>5.6884379999999997</v>
      </c>
      <c r="N31" s="674">
        <f t="shared" ca="1" si="14"/>
        <v>0</v>
      </c>
      <c r="O31" s="674">
        <f>F31*$L31/10</f>
        <v>350.18056621879003</v>
      </c>
      <c r="P31" s="674">
        <f t="shared" si="8"/>
        <v>58.897646721009309</v>
      </c>
      <c r="Q31" s="674">
        <f t="shared" si="10"/>
        <v>0</v>
      </c>
      <c r="R31" s="673">
        <f t="shared" ca="1" si="11"/>
        <v>414.76665093979938</v>
      </c>
      <c r="S31" s="100"/>
      <c r="T31" s="673">
        <f ca="1">R31+S31</f>
        <v>414.76665093979938</v>
      </c>
      <c r="U31" s="674">
        <f t="shared" ca="1" si="12"/>
        <v>10.351975177711426</v>
      </c>
      <c r="V31" s="483">
        <f t="shared" ca="1" si="13"/>
        <v>1.1477684951474292</v>
      </c>
      <c r="Y31" s="1739">
        <v>5.0979786460383369E-3</v>
      </c>
    </row>
    <row r="32" spans="1:25" ht="15.5" x14ac:dyDescent="0.35">
      <c r="B32" s="367" t="s">
        <v>973</v>
      </c>
      <c r="C32" s="1455">
        <f>ROUND(F13.1!C78*(1+Y32),0)</f>
        <v>253800</v>
      </c>
      <c r="D32" s="481">
        <f>'Tariff Comparison Ext.vsProp'!B89</f>
        <v>450</v>
      </c>
      <c r="E32" s="481">
        <f ca="1">F13.1!E31</f>
        <v>0</v>
      </c>
      <c r="F32" s="481">
        <f>'Tariff Comparison Ext.vsProp'!C22</f>
        <v>4.82</v>
      </c>
      <c r="G32" s="481">
        <f>'Tariff Comparison Ext.vsProp'!I22</f>
        <v>1.47</v>
      </c>
      <c r="H32" s="481"/>
      <c r="I32" s="481">
        <v>0</v>
      </c>
      <c r="J32" s="481">
        <f ca="1">F13.1!I31</f>
        <v>0</v>
      </c>
      <c r="K32" s="481">
        <f>F13.1!J31*(1+A32)</f>
        <v>0</v>
      </c>
      <c r="L32" s="673">
        <f>'F1'!O31</f>
        <v>833.6817538971103</v>
      </c>
      <c r="M32" s="674">
        <f>C32*D32*12/10^7</f>
        <v>137.05199999999999</v>
      </c>
      <c r="N32" s="674">
        <f t="shared" ca="1" si="14"/>
        <v>0</v>
      </c>
      <c r="O32" s="674">
        <f t="shared" ref="O32:O41" si="15">F32*$L32/10</f>
        <v>401.83460537840722</v>
      </c>
      <c r="P32" s="674">
        <f t="shared" ref="P32:P41" si="16">G32*$L32/10</f>
        <v>122.55121782287522</v>
      </c>
      <c r="Q32" s="674">
        <f t="shared" si="10"/>
        <v>0</v>
      </c>
      <c r="R32" s="673">
        <f t="shared" ca="1" si="11"/>
        <v>661.43782320128241</v>
      </c>
      <c r="S32" s="100"/>
      <c r="T32" s="673">
        <f t="shared" ref="T32:T41" ca="1" si="17">R32+S32</f>
        <v>661.43782320128241</v>
      </c>
      <c r="U32" s="674">
        <f t="shared" ca="1" si="12"/>
        <v>7.9339366623935303</v>
      </c>
      <c r="V32" s="483">
        <f t="shared" ca="1" si="13"/>
        <v>0.87967005206861681</v>
      </c>
      <c r="Y32" s="1739">
        <v>5.0000000000000001E-3</v>
      </c>
    </row>
    <row r="33" spans="1:25" ht="15.5" x14ac:dyDescent="0.35">
      <c r="A33" s="1739">
        <v>0.03</v>
      </c>
      <c r="B33" s="367" t="s">
        <v>974</v>
      </c>
      <c r="C33" s="1455">
        <f>ROUND(F13.1!C79*(1+Y33),0)</f>
        <v>5852</v>
      </c>
      <c r="D33" s="11"/>
      <c r="E33" s="481">
        <f>'Tariff Comparison Ext.vsProp'!B90</f>
        <v>375</v>
      </c>
      <c r="F33" s="481">
        <f>'Tariff Comparison Ext.vsProp'!C23</f>
        <v>4.8600000000000003</v>
      </c>
      <c r="G33" s="481">
        <f>'Tariff Comparison Ext.vsProp'!I23</f>
        <v>1.47</v>
      </c>
      <c r="H33" s="481"/>
      <c r="I33" s="481">
        <v>0</v>
      </c>
      <c r="J33" s="481">
        <f ca="1">F13.1!I32</f>
        <v>0</v>
      </c>
      <c r="K33" s="481">
        <f>F13.1!J32*(1+A33)</f>
        <v>216045.41232500054</v>
      </c>
      <c r="L33" s="673">
        <f>'F1'!O32</f>
        <v>172.24304351173583</v>
      </c>
      <c r="M33" s="674">
        <v>0</v>
      </c>
      <c r="N33" s="674">
        <f t="shared" si="14"/>
        <v>97.220435546250229</v>
      </c>
      <c r="O33" s="674">
        <f t="shared" si="15"/>
        <v>83.710119146703619</v>
      </c>
      <c r="P33" s="674">
        <f t="shared" si="16"/>
        <v>25.319727396225169</v>
      </c>
      <c r="Q33" s="674">
        <f t="shared" si="10"/>
        <v>0</v>
      </c>
      <c r="R33" s="673">
        <f t="shared" si="11"/>
        <v>206.25028208917902</v>
      </c>
      <c r="S33" s="100"/>
      <c r="T33" s="673">
        <f t="shared" si="17"/>
        <v>206.25028208917902</v>
      </c>
      <c r="U33" s="674">
        <f t="shared" si="12"/>
        <v>11.974375155251254</v>
      </c>
      <c r="V33" s="483">
        <f t="shared" ca="1" si="13"/>
        <v>1.3276510343518737</v>
      </c>
      <c r="Y33" s="1739">
        <v>0.01</v>
      </c>
    </row>
    <row r="34" spans="1:25" ht="15.5" x14ac:dyDescent="0.35">
      <c r="A34" s="1739">
        <v>0.03</v>
      </c>
      <c r="B34" s="367" t="s">
        <v>975</v>
      </c>
      <c r="C34" s="1455">
        <f>ROUND(F13.1!C80*(1+Y34),0)</f>
        <v>3136</v>
      </c>
      <c r="D34" s="1511"/>
      <c r="E34" s="481">
        <f>'Tariff Comparison Ext.vsProp'!B91</f>
        <v>375</v>
      </c>
      <c r="F34" s="481">
        <f>'Tariff Comparison Ext.vsProp'!C24</f>
        <v>5.2</v>
      </c>
      <c r="G34" s="481">
        <f>'Tariff Comparison Ext.vsProp'!I24</f>
        <v>1.47</v>
      </c>
      <c r="H34" s="481"/>
      <c r="I34" s="481">
        <v>0</v>
      </c>
      <c r="J34" s="481">
        <f ca="1">F13.1!I33</f>
        <v>0</v>
      </c>
      <c r="K34" s="481">
        <f>F13.1!J33*(1+A34)</f>
        <v>437777.84708000114</v>
      </c>
      <c r="L34" s="673">
        <f>'F1'!O33</f>
        <v>358.2343891645337</v>
      </c>
      <c r="M34" s="674">
        <v>0</v>
      </c>
      <c r="N34" s="674">
        <f t="shared" si="14"/>
        <v>197.00003118600048</v>
      </c>
      <c r="O34" s="674">
        <f t="shared" si="15"/>
        <v>186.28188236555752</v>
      </c>
      <c r="P34" s="674">
        <f t="shared" si="16"/>
        <v>52.660455207186452</v>
      </c>
      <c r="Q34" s="674">
        <f t="shared" si="10"/>
        <v>0</v>
      </c>
      <c r="R34" s="673">
        <f t="shared" si="11"/>
        <v>435.94236875874441</v>
      </c>
      <c r="S34" s="100"/>
      <c r="T34" s="673">
        <f t="shared" si="17"/>
        <v>435.94236875874441</v>
      </c>
      <c r="U34" s="674">
        <f t="shared" si="12"/>
        <v>12.169193744225382</v>
      </c>
      <c r="V34" s="483">
        <f t="shared" ca="1" si="13"/>
        <v>1.3492514183225599</v>
      </c>
      <c r="Y34" s="1739">
        <v>2.3935761787220233E-2</v>
      </c>
    </row>
    <row r="35" spans="1:25" ht="15.5" x14ac:dyDescent="0.35">
      <c r="A35" s="1739"/>
      <c r="B35" s="367" t="s">
        <v>965</v>
      </c>
      <c r="C35" s="1455">
        <f>ROUND(F13.1!C81*(1+Y35),0)</f>
        <v>8347</v>
      </c>
      <c r="D35" s="481">
        <f>'Tariff Comparison Ext.vsProp'!B92</f>
        <v>450</v>
      </c>
      <c r="E35" s="481">
        <f ca="1">F13.1!E34</f>
        <v>0</v>
      </c>
      <c r="F35" s="481">
        <f>'Tariff Comparison Ext.vsProp'!C25</f>
        <v>4.51</v>
      </c>
      <c r="G35" s="481">
        <f>'Tariff Comparison Ext.vsProp'!I25</f>
        <v>1.47</v>
      </c>
      <c r="H35" s="481"/>
      <c r="I35" s="481">
        <v>0</v>
      </c>
      <c r="J35" s="481">
        <f ca="1">F13.1!I34</f>
        <v>0</v>
      </c>
      <c r="K35" s="481">
        <f>F13.1!J34*(1+A35)</f>
        <v>0</v>
      </c>
      <c r="L35" s="673">
        <f>'F1'!O34</f>
        <v>105.7392569038896</v>
      </c>
      <c r="M35" s="674">
        <f>C35*D35*12/10^7</f>
        <v>4.5073800000000004</v>
      </c>
      <c r="N35" s="674">
        <f t="shared" ca="1" si="14"/>
        <v>0</v>
      </c>
      <c r="O35" s="674">
        <f t="shared" si="15"/>
        <v>47.688404863654206</v>
      </c>
      <c r="P35" s="674">
        <f t="shared" si="16"/>
        <v>15.543670764871772</v>
      </c>
      <c r="Q35" s="674">
        <f t="shared" si="10"/>
        <v>0</v>
      </c>
      <c r="R35" s="673">
        <f t="shared" ca="1" si="11"/>
        <v>67.739455628525974</v>
      </c>
      <c r="S35" s="100"/>
      <c r="T35" s="673">
        <f t="shared" ca="1" si="17"/>
        <v>67.739455628525974</v>
      </c>
      <c r="U35" s="674">
        <f t="shared" ca="1" si="12"/>
        <v>6.406273092130478</v>
      </c>
      <c r="V35" s="483">
        <f t="shared" ca="1" si="13"/>
        <v>0.71029135022362189</v>
      </c>
      <c r="Y35" s="1739">
        <v>0.03</v>
      </c>
    </row>
    <row r="36" spans="1:25" ht="15.5" x14ac:dyDescent="0.35">
      <c r="A36" s="1739">
        <v>2.8446671385856881E-2</v>
      </c>
      <c r="B36" s="367" t="s">
        <v>976</v>
      </c>
      <c r="C36" s="1455">
        <f>ROUND(F13.1!C82*(1+Y36),0)</f>
        <v>1007</v>
      </c>
      <c r="E36" s="481">
        <f>'Tariff Comparison Ext.vsProp'!B93</f>
        <v>375</v>
      </c>
      <c r="F36" s="481">
        <f>'Tariff Comparison Ext.vsProp'!C26</f>
        <v>4.78</v>
      </c>
      <c r="G36" s="481">
        <f>'Tariff Comparison Ext.vsProp'!I26</f>
        <v>1.47</v>
      </c>
      <c r="H36" s="481"/>
      <c r="I36" s="481">
        <v>0</v>
      </c>
      <c r="J36" s="481">
        <f ca="1">F13.1!I35</f>
        <v>0</v>
      </c>
      <c r="K36" s="481">
        <f>F13.1!J35*(1+A36)</f>
        <v>63591.37070122904</v>
      </c>
      <c r="L36" s="673">
        <f>'F1'!O35</f>
        <v>79.807084116296068</v>
      </c>
      <c r="M36" s="674">
        <v>0</v>
      </c>
      <c r="N36" s="674">
        <f t="shared" si="14"/>
        <v>28.61611681555307</v>
      </c>
      <c r="O36" s="674">
        <f t="shared" si="15"/>
        <v>38.147786207589526</v>
      </c>
      <c r="P36" s="674">
        <f t="shared" si="16"/>
        <v>11.731641365095522</v>
      </c>
      <c r="Q36" s="674">
        <f t="shared" si="10"/>
        <v>0</v>
      </c>
      <c r="R36" s="673">
        <f t="shared" si="11"/>
        <v>78.49554438823813</v>
      </c>
      <c r="S36" s="100"/>
      <c r="T36" s="673">
        <f t="shared" si="17"/>
        <v>78.49554438823813</v>
      </c>
      <c r="U36" s="674">
        <f t="shared" si="12"/>
        <v>9.8356612395277168</v>
      </c>
      <c r="V36" s="483">
        <f t="shared" ca="1" si="13"/>
        <v>1.0905225240472771</v>
      </c>
      <c r="Y36" s="1739">
        <v>0.01</v>
      </c>
    </row>
    <row r="37" spans="1:25" ht="15.5" x14ac:dyDescent="0.35">
      <c r="B37" s="367" t="s">
        <v>967</v>
      </c>
      <c r="C37" s="1455">
        <f>ROUND(F13.1!C83*(1+Y37),0)</f>
        <v>671</v>
      </c>
      <c r="D37" s="481">
        <f>'Tariff Comparison Ext.vsProp'!B94</f>
        <v>450</v>
      </c>
      <c r="E37" s="481">
        <f ca="1">F13.1!E36</f>
        <v>0</v>
      </c>
      <c r="F37" s="481">
        <f>'Tariff Comparison Ext.vsProp'!C27</f>
        <v>4.97</v>
      </c>
      <c r="G37" s="481">
        <f>'Tariff Comparison Ext.vsProp'!I27</f>
        <v>1.47</v>
      </c>
      <c r="H37" s="481"/>
      <c r="I37" s="481">
        <v>0</v>
      </c>
      <c r="J37" s="481">
        <f ca="1">F13.1!I36</f>
        <v>0</v>
      </c>
      <c r="K37" s="481">
        <f>F13.1!J36*(1+A37)</f>
        <v>0</v>
      </c>
      <c r="L37" s="673">
        <f>'F1'!O36</f>
        <v>61.397282548059046</v>
      </c>
      <c r="M37" s="674">
        <f>C37*D37*12/10^7</f>
        <v>0.36234</v>
      </c>
      <c r="N37" s="674">
        <f t="shared" ca="1" si="14"/>
        <v>0</v>
      </c>
      <c r="O37" s="674">
        <f t="shared" si="15"/>
        <v>30.514449426385347</v>
      </c>
      <c r="P37" s="674">
        <f t="shared" si="16"/>
        <v>9.0254005345646782</v>
      </c>
      <c r="Q37" s="674">
        <f t="shared" si="10"/>
        <v>0</v>
      </c>
      <c r="R37" s="673">
        <f t="shared" ca="1" si="11"/>
        <v>39.902189960950025</v>
      </c>
      <c r="S37" s="100"/>
      <c r="T37" s="673">
        <f t="shared" ca="1" si="17"/>
        <v>39.902189960950025</v>
      </c>
      <c r="U37" s="674">
        <f t="shared" ca="1" si="12"/>
        <v>6.4990156412405344</v>
      </c>
      <c r="V37" s="483">
        <f t="shared" ca="1" si="13"/>
        <v>0.72057411985944697</v>
      </c>
      <c r="Y37" s="1739">
        <v>8.6999999999999994E-3</v>
      </c>
    </row>
    <row r="38" spans="1:25" ht="15.5" x14ac:dyDescent="0.35">
      <c r="B38" s="367" t="s">
        <v>968</v>
      </c>
      <c r="C38" s="1455">
        <f>ROUND(F13.1!C84*(1+Y38),0)</f>
        <v>7003</v>
      </c>
      <c r="D38" s="481">
        <f>'Tariff Comparison Ext.vsProp'!B95</f>
        <v>450</v>
      </c>
      <c r="E38" s="481">
        <f ca="1">F13.1!E37</f>
        <v>0</v>
      </c>
      <c r="F38" s="481">
        <f>'Tariff Comparison Ext.vsProp'!C28</f>
        <v>4.93</v>
      </c>
      <c r="G38" s="481">
        <f>'Tariff Comparison Ext.vsProp'!I28</f>
        <v>1.47</v>
      </c>
      <c r="H38" s="481"/>
      <c r="I38" s="481">
        <v>0</v>
      </c>
      <c r="J38" s="481">
        <f ca="1">F13.1!I37</f>
        <v>0</v>
      </c>
      <c r="K38" s="481">
        <f>F13.1!J37*(1+A38)</f>
        <v>0</v>
      </c>
      <c r="L38" s="673">
        <f>'F1'!O37</f>
        <v>178.81986798061297</v>
      </c>
      <c r="M38" s="674">
        <f>C38*D38*12/10^7</f>
        <v>3.7816200000000002</v>
      </c>
      <c r="N38" s="674">
        <f t="shared" ca="1" si="14"/>
        <v>0</v>
      </c>
      <c r="O38" s="674">
        <f t="shared" si="15"/>
        <v>88.158194914442191</v>
      </c>
      <c r="P38" s="674">
        <f t="shared" si="16"/>
        <v>26.286520593150108</v>
      </c>
      <c r="Q38" s="674">
        <f t="shared" si="10"/>
        <v>0</v>
      </c>
      <c r="R38" s="673">
        <f t="shared" ca="1" si="11"/>
        <v>118.2263355075923</v>
      </c>
      <c r="S38" s="100"/>
      <c r="T38" s="673">
        <f t="shared" ca="1" si="17"/>
        <v>118.2263355075923</v>
      </c>
      <c r="U38" s="674">
        <f t="shared" ca="1" si="12"/>
        <v>6.6114765010569174</v>
      </c>
      <c r="V38" s="483">
        <f t="shared" ca="1" si="13"/>
        <v>0.73304314433241446</v>
      </c>
      <c r="Y38" s="1739">
        <v>8.6999999999999994E-3</v>
      </c>
    </row>
    <row r="39" spans="1:25" ht="15.5" x14ac:dyDescent="0.35">
      <c r="B39" s="367" t="s">
        <v>1546</v>
      </c>
      <c r="C39" s="1455">
        <f>ROUND(F13.1!C85*(1+Y39),0)</f>
        <v>0</v>
      </c>
      <c r="D39" s="11"/>
      <c r="E39" s="481">
        <f>'Tariff Comparison Ext.vsProp'!B96</f>
        <v>40</v>
      </c>
      <c r="F39" s="1">
        <f>'Tariff Comparison Ext.vsProp'!C29</f>
        <v>2.13</v>
      </c>
      <c r="G39" s="481">
        <f>'Tariff Comparison Ext.vsProp'!I29</f>
        <v>1.47</v>
      </c>
      <c r="H39" s="481"/>
      <c r="I39" s="481">
        <v>0</v>
      </c>
      <c r="J39" s="481"/>
      <c r="K39" s="481">
        <f>F13.1!J38*(1+A39)</f>
        <v>0</v>
      </c>
      <c r="L39" s="673">
        <f>'F1'!O38</f>
        <v>0</v>
      </c>
      <c r="M39" s="674">
        <f>C39*D39*12/10^7</f>
        <v>0</v>
      </c>
      <c r="N39" s="674">
        <f t="shared" si="14"/>
        <v>0</v>
      </c>
      <c r="O39" s="674">
        <f t="shared" si="15"/>
        <v>0</v>
      </c>
      <c r="P39" s="674">
        <f t="shared" si="16"/>
        <v>0</v>
      </c>
      <c r="Q39" s="674">
        <f t="shared" si="10"/>
        <v>0</v>
      </c>
      <c r="R39" s="673">
        <f t="shared" si="11"/>
        <v>0</v>
      </c>
      <c r="S39" s="100"/>
      <c r="T39" s="673">
        <f t="shared" si="17"/>
        <v>0</v>
      </c>
      <c r="U39" s="674">
        <v>0</v>
      </c>
      <c r="V39" s="483"/>
      <c r="Y39" s="1739">
        <v>0</v>
      </c>
    </row>
    <row r="40" spans="1:25" ht="15.5" x14ac:dyDescent="0.35">
      <c r="B40" s="367" t="s">
        <v>991</v>
      </c>
      <c r="C40" s="1455">
        <f>ROUND(F13.1!C86*(1+Y40),0)</f>
        <v>1</v>
      </c>
      <c r="D40" s="1511"/>
      <c r="E40" s="481">
        <f>'Tariff Comparison Ext.vsProp'!B97</f>
        <v>90</v>
      </c>
      <c r="F40" s="481">
        <f>'Tariff Comparison Ext.vsProp'!C30</f>
        <v>3.53</v>
      </c>
      <c r="G40" s="481">
        <f>'Tariff Comparison Ext.vsProp'!I30</f>
        <v>1.47</v>
      </c>
      <c r="H40" s="481"/>
      <c r="I40" s="481">
        <v>0</v>
      </c>
      <c r="J40" s="481">
        <f ca="1">F13.1!I39</f>
        <v>0</v>
      </c>
      <c r="K40" s="481">
        <f>F13.1!J39*(1+A40)</f>
        <v>0</v>
      </c>
      <c r="L40" s="673">
        <f>'F1'!O39</f>
        <v>5.1452999999999992E-2</v>
      </c>
      <c r="M40" s="1512">
        <f>C40*E40*12/10^7</f>
        <v>1.08E-4</v>
      </c>
      <c r="N40" s="674">
        <f t="shared" si="14"/>
        <v>0</v>
      </c>
      <c r="O40" s="674">
        <f t="shared" si="15"/>
        <v>1.8162908999999998E-2</v>
      </c>
      <c r="P40" s="674">
        <f t="shared" si="16"/>
        <v>7.5635909999999988E-3</v>
      </c>
      <c r="Q40" s="674">
        <f t="shared" si="10"/>
        <v>0</v>
      </c>
      <c r="R40" s="673">
        <f t="shared" si="11"/>
        <v>2.5834499999999996E-2</v>
      </c>
      <c r="S40" s="100"/>
      <c r="T40" s="673">
        <f t="shared" si="17"/>
        <v>2.5834499999999996E-2</v>
      </c>
      <c r="U40" s="674">
        <f>T40/L40*10</f>
        <v>5.0209900297358754</v>
      </c>
      <c r="V40" s="483">
        <f ca="1">U40/$V$53</f>
        <v>0.55669899431252678</v>
      </c>
      <c r="Y40" s="1739">
        <v>0</v>
      </c>
    </row>
    <row r="41" spans="1:25" ht="15.5" x14ac:dyDescent="0.35">
      <c r="B41" s="370" t="s">
        <v>977</v>
      </c>
      <c r="C41" s="1455">
        <f>ROUND(F13.1!C87*(1+Y41),0)</f>
        <v>28</v>
      </c>
      <c r="E41" s="481">
        <f>'Tariff Comparison Ext.vsProp'!B98</f>
        <v>70</v>
      </c>
      <c r="F41" s="481">
        <f>'Tariff Comparison Ext.vsProp'!C31</f>
        <v>4.03</v>
      </c>
      <c r="G41" s="481">
        <f>'Tariff Comparison Ext.vsProp'!I31</f>
        <v>1.47</v>
      </c>
      <c r="H41" s="481"/>
      <c r="I41" s="481">
        <v>0</v>
      </c>
      <c r="J41" s="481">
        <f ca="1">F13.1!I40</f>
        <v>0</v>
      </c>
      <c r="K41" s="481">
        <f>F13.1!J40*(1+A41)</f>
        <v>0</v>
      </c>
      <c r="L41" s="673">
        <f>'F1'!O40</f>
        <v>22.717072499999993</v>
      </c>
      <c r="M41" s="1512">
        <f>C41*E41*12/10^7</f>
        <v>2.3519999999999999E-3</v>
      </c>
      <c r="N41" s="674">
        <f t="shared" si="14"/>
        <v>0</v>
      </c>
      <c r="O41" s="674">
        <f t="shared" si="15"/>
        <v>9.1549802174999986</v>
      </c>
      <c r="P41" s="674">
        <f t="shared" si="16"/>
        <v>3.3394096574999992</v>
      </c>
      <c r="Q41" s="674">
        <f t="shared" si="10"/>
        <v>0</v>
      </c>
      <c r="R41" s="673">
        <f t="shared" si="11"/>
        <v>12.496741874999998</v>
      </c>
      <c r="S41" s="100"/>
      <c r="T41" s="673">
        <f t="shared" si="17"/>
        <v>12.496741874999998</v>
      </c>
      <c r="U41" s="674">
        <f>T41/L41*10</f>
        <v>5.5010353446730429</v>
      </c>
      <c r="V41" s="483">
        <f ca="1">U41/$V$53</f>
        <v>0.60992370546854935</v>
      </c>
      <c r="Y41" s="1739">
        <v>0.25</v>
      </c>
    </row>
    <row r="42" spans="1:25" ht="15.5" x14ac:dyDescent="0.35">
      <c r="B42" s="367"/>
      <c r="C42" s="100"/>
      <c r="D42" s="481"/>
      <c r="E42" s="481"/>
      <c r="F42" s="481"/>
      <c r="G42" s="481"/>
      <c r="H42" s="481"/>
      <c r="I42" s="481"/>
      <c r="J42" s="481"/>
      <c r="K42" s="481"/>
      <c r="L42" s="100"/>
      <c r="M42" s="674"/>
      <c r="N42" s="674"/>
      <c r="O42" s="674"/>
      <c r="P42" s="674"/>
      <c r="Q42" s="674"/>
      <c r="R42" s="673"/>
      <c r="S42" s="100"/>
      <c r="T42" s="673"/>
      <c r="U42" s="674"/>
      <c r="V42" s="483"/>
    </row>
    <row r="43" spans="1:25" s="152" customFormat="1" x14ac:dyDescent="0.3">
      <c r="B43" s="177" t="s">
        <v>972</v>
      </c>
      <c r="C43" s="1457">
        <f>SUM(C26:C41)</f>
        <v>1053380</v>
      </c>
      <c r="D43" s="481">
        <f ca="1">F13.1!D42</f>
        <v>0</v>
      </c>
      <c r="E43" s="481">
        <f ca="1">F13.1!E42</f>
        <v>0</v>
      </c>
      <c r="F43" s="481">
        <f ca="1">F13.1!F42</f>
        <v>0</v>
      </c>
      <c r="G43" s="481">
        <f ca="1">F13.1!G42</f>
        <v>0</v>
      </c>
      <c r="H43" s="481"/>
      <c r="I43" s="481">
        <f ca="1">F13.1!H42</f>
        <v>0</v>
      </c>
      <c r="J43" s="481">
        <f ca="1">F13.1!I42</f>
        <v>0</v>
      </c>
      <c r="K43" s="675">
        <f t="shared" ref="K43" si="18">SUM(K26:K41)</f>
        <v>717414.63010623073</v>
      </c>
      <c r="L43" s="675">
        <f t="shared" ref="L43:T43" si="19">SUM(L26:L41)</f>
        <v>3944.8884799436942</v>
      </c>
      <c r="M43" s="675">
        <f t="shared" si="19"/>
        <v>247.15411200000003</v>
      </c>
      <c r="N43" s="675">
        <f t="shared" ca="1" si="19"/>
        <v>322.8365835478038</v>
      </c>
      <c r="O43" s="675">
        <f t="shared" si="19"/>
        <v>1855.722369638039</v>
      </c>
      <c r="P43" s="675">
        <f t="shared" si="19"/>
        <v>579.89860655172311</v>
      </c>
      <c r="Q43" s="675">
        <f t="shared" si="19"/>
        <v>0</v>
      </c>
      <c r="R43" s="675">
        <f t="shared" ca="1" si="19"/>
        <v>3005.6116717375662</v>
      </c>
      <c r="S43" s="675">
        <f t="shared" si="19"/>
        <v>0</v>
      </c>
      <c r="T43" s="675">
        <f t="shared" ca="1" si="19"/>
        <v>3005.6116717375662</v>
      </c>
      <c r="U43" s="676">
        <f ca="1">T43/L43*10</f>
        <v>7.6190028869471762</v>
      </c>
      <c r="V43" s="484">
        <f ca="1">U43/$V$53</f>
        <v>0.84475197514997868</v>
      </c>
    </row>
    <row r="44" spans="1:25" x14ac:dyDescent="0.3">
      <c r="B44" s="76" t="s">
        <v>978</v>
      </c>
      <c r="C44" s="1458"/>
      <c r="D44" s="481">
        <f ca="1">F13.1!D43</f>
        <v>0</v>
      </c>
      <c r="E44" s="481">
        <f ca="1">F13.1!E43</f>
        <v>0</v>
      </c>
      <c r="F44" s="481">
        <f ca="1">F13.1!F43</f>
        <v>0</v>
      </c>
      <c r="G44" s="481">
        <f ca="1">F13.1!G43</f>
        <v>0</v>
      </c>
      <c r="H44" s="481"/>
      <c r="I44" s="481">
        <f ca="1">F13.1!H43</f>
        <v>0</v>
      </c>
      <c r="J44" s="481">
        <f ca="1">F13.1!I43</f>
        <v>0</v>
      </c>
      <c r="K44" s="100"/>
      <c r="L44" s="100"/>
      <c r="M44" s="674">
        <f ca="1">C44*D44*12/10^7</f>
        <v>0</v>
      </c>
      <c r="N44" s="674">
        <f ca="1">K44*E44*12/10^7</f>
        <v>0</v>
      </c>
      <c r="O44" s="674">
        <f ca="1">F44*$L44/10</f>
        <v>0</v>
      </c>
      <c r="P44" s="674">
        <f ca="1">G44*$L44/10</f>
        <v>0</v>
      </c>
      <c r="Q44" s="674">
        <f ca="1">I44*$L44/10</f>
        <v>0</v>
      </c>
      <c r="R44" s="673">
        <f ca="1">SUM(M44:Q44)</f>
        <v>0</v>
      </c>
      <c r="S44" s="100"/>
      <c r="T44" s="673">
        <f ca="1">R44+S44</f>
        <v>0</v>
      </c>
      <c r="U44" s="676">
        <v>0</v>
      </c>
      <c r="V44" s="484"/>
    </row>
    <row r="45" spans="1:25" s="152" customFormat="1" x14ac:dyDescent="0.3">
      <c r="B45" s="177" t="s">
        <v>145</v>
      </c>
      <c r="C45" s="1457">
        <f>SUM(C43,C22)</f>
        <v>1053578</v>
      </c>
      <c r="D45" s="481">
        <f ca="1">F13.1!D44</f>
        <v>0</v>
      </c>
      <c r="E45" s="481">
        <f ca="1">F13.1!E44</f>
        <v>0</v>
      </c>
      <c r="F45" s="481">
        <f ca="1">F13.1!F44</f>
        <v>0</v>
      </c>
      <c r="G45" s="481">
        <f ca="1">F13.1!G44</f>
        <v>0</v>
      </c>
      <c r="H45" s="481"/>
      <c r="I45" s="481">
        <f ca="1">F13.1!H44</f>
        <v>0</v>
      </c>
      <c r="J45" s="481">
        <f ca="1">F13.1!I44</f>
        <v>0</v>
      </c>
      <c r="K45" s="675">
        <f t="shared" ref="K45" si="20">SUM(K43,K22)</f>
        <v>985011.29240758892</v>
      </c>
      <c r="L45" s="675">
        <f t="shared" ref="L45:T45" si="21">SUM(L43,L22)</f>
        <v>4592.2160025841658</v>
      </c>
      <c r="M45" s="675">
        <f t="shared" ca="1" si="21"/>
        <v>247.15411200000003</v>
      </c>
      <c r="N45" s="675">
        <f t="shared" ca="1" si="21"/>
        <v>443.25508158341501</v>
      </c>
      <c r="O45" s="675">
        <f t="shared" si="21"/>
        <v>2205.4825358388271</v>
      </c>
      <c r="P45" s="675">
        <f t="shared" si="21"/>
        <v>612.91231020638713</v>
      </c>
      <c r="Q45" s="675">
        <f t="shared" si="21"/>
        <v>0</v>
      </c>
      <c r="R45" s="675">
        <f t="shared" ca="1" si="21"/>
        <v>3508.8040396286297</v>
      </c>
      <c r="S45" s="675">
        <f t="shared" si="21"/>
        <v>0</v>
      </c>
      <c r="T45" s="675">
        <f t="shared" ca="1" si="21"/>
        <v>3508.8040396286297</v>
      </c>
      <c r="U45" s="676">
        <f ca="1">T45/L45*10</f>
        <v>7.640764366602375</v>
      </c>
      <c r="V45" s="484">
        <f ca="1">U45/$V$53</f>
        <v>0.84716476501155091</v>
      </c>
    </row>
    <row r="46" spans="1:25" x14ac:dyDescent="0.3">
      <c r="B46" s="76" t="s">
        <v>980</v>
      </c>
      <c r="C46" s="100"/>
      <c r="D46" s="100"/>
      <c r="E46" s="100"/>
      <c r="F46" s="100"/>
      <c r="G46" s="100"/>
      <c r="H46" s="100"/>
      <c r="I46" s="100"/>
      <c r="J46" s="100"/>
      <c r="K46" s="100"/>
      <c r="L46" s="100"/>
      <c r="M46" s="100"/>
      <c r="N46" s="100"/>
      <c r="O46" s="100"/>
      <c r="P46" s="100"/>
      <c r="Q46" s="674">
        <f>I46*$L46/10</f>
        <v>0</v>
      </c>
      <c r="R46" s="100"/>
      <c r="S46" s="100"/>
      <c r="T46" s="673">
        <f>R46+S46</f>
        <v>0</v>
      </c>
      <c r="U46" s="676">
        <v>0</v>
      </c>
      <c r="V46" s="484"/>
    </row>
    <row r="47" spans="1:25" x14ac:dyDescent="0.3">
      <c r="B47" s="76" t="s">
        <v>981</v>
      </c>
      <c r="C47" s="100"/>
      <c r="D47" s="100"/>
      <c r="E47" s="100"/>
      <c r="F47" s="100"/>
      <c r="G47" s="100"/>
      <c r="H47" s="100"/>
      <c r="I47" s="100"/>
      <c r="J47" s="100"/>
      <c r="K47" s="810"/>
      <c r="L47" s="100"/>
      <c r="M47" s="100"/>
      <c r="N47" s="100"/>
      <c r="O47" s="100"/>
      <c r="P47" s="100"/>
      <c r="Q47" s="100"/>
      <c r="R47" s="100"/>
      <c r="S47" s="100"/>
      <c r="T47" s="100"/>
      <c r="U47" s="38"/>
      <c r="V47" s="1411"/>
    </row>
    <row r="48" spans="1:25" x14ac:dyDescent="0.3">
      <c r="B48" s="76" t="s">
        <v>982</v>
      </c>
      <c r="C48" s="12"/>
      <c r="D48" s="12"/>
      <c r="E48" s="12"/>
      <c r="F48" s="12"/>
      <c r="G48" s="12"/>
      <c r="H48" s="12"/>
      <c r="I48" s="12"/>
      <c r="J48" s="12"/>
      <c r="K48" s="12"/>
      <c r="L48" s="12"/>
      <c r="M48" s="12"/>
      <c r="N48" s="12"/>
      <c r="O48" s="12"/>
      <c r="P48" s="12"/>
      <c r="Q48" s="12"/>
      <c r="R48" s="12"/>
      <c r="S48" s="12"/>
      <c r="T48" s="12"/>
      <c r="U48" s="38"/>
      <c r="V48" s="1411"/>
    </row>
    <row r="49" spans="2:22" x14ac:dyDescent="0.3">
      <c r="B49" s="76" t="s">
        <v>983</v>
      </c>
      <c r="C49" s="12"/>
      <c r="D49" s="12"/>
      <c r="E49" s="12"/>
      <c r="F49" s="12"/>
      <c r="G49" s="12"/>
      <c r="H49" s="12"/>
      <c r="I49" s="12"/>
      <c r="J49" s="12"/>
      <c r="K49" s="12"/>
      <c r="L49" s="12"/>
      <c r="M49" s="12"/>
      <c r="N49" s="12"/>
      <c r="O49" s="12"/>
      <c r="P49" s="12"/>
      <c r="Q49" s="12"/>
      <c r="R49" s="12"/>
      <c r="S49" s="12"/>
      <c r="T49" s="12"/>
      <c r="U49" s="38"/>
      <c r="V49" s="1411"/>
    </row>
    <row r="50" spans="2:22" x14ac:dyDescent="0.3">
      <c r="B50" s="76" t="s">
        <v>984</v>
      </c>
      <c r="C50" s="12"/>
      <c r="D50" s="12"/>
      <c r="E50" s="12"/>
      <c r="F50" s="12"/>
      <c r="G50" s="12"/>
      <c r="H50" s="12"/>
      <c r="I50" s="12"/>
      <c r="J50" s="12"/>
      <c r="K50" s="12"/>
      <c r="L50" s="12"/>
      <c r="M50" s="12"/>
      <c r="N50" s="12"/>
      <c r="O50" s="12"/>
      <c r="P50" s="12"/>
      <c r="Q50" s="12"/>
      <c r="R50" s="12"/>
      <c r="S50" s="12"/>
      <c r="T50" s="12"/>
      <c r="U50" s="38"/>
      <c r="V50" s="1411"/>
    </row>
    <row r="51" spans="2:22" ht="15.5" x14ac:dyDescent="0.35">
      <c r="B51" s="372" t="s">
        <v>992</v>
      </c>
      <c r="C51" s="11"/>
      <c r="D51" s="11"/>
      <c r="E51" s="11"/>
      <c r="F51" s="11"/>
      <c r="G51" s="11"/>
      <c r="H51" s="11"/>
      <c r="I51" s="11"/>
      <c r="J51" s="11"/>
      <c r="K51" s="11"/>
      <c r="L51" s="11"/>
      <c r="M51" s="11"/>
      <c r="N51" s="11"/>
      <c r="O51" s="11"/>
      <c r="P51" s="11"/>
      <c r="Q51" s="11"/>
      <c r="R51" s="11"/>
      <c r="S51" s="11"/>
      <c r="T51" s="11"/>
      <c r="U51" s="38"/>
      <c r="V51" s="1411"/>
    </row>
    <row r="52" spans="2:22" x14ac:dyDescent="0.3">
      <c r="B52" s="177" t="s">
        <v>985</v>
      </c>
      <c r="C52" s="1316">
        <f t="shared" ref="C52:I52" si="22">SUM(C45:C51)</f>
        <v>1053578</v>
      </c>
      <c r="D52" s="1316">
        <f t="shared" ca="1" si="22"/>
        <v>0</v>
      </c>
      <c r="E52" s="1316">
        <f t="shared" ca="1" si="22"/>
        <v>0</v>
      </c>
      <c r="F52" s="1316">
        <f t="shared" ca="1" si="22"/>
        <v>0</v>
      </c>
      <c r="G52" s="1316">
        <f t="shared" ca="1" si="22"/>
        <v>0</v>
      </c>
      <c r="H52" s="1316">
        <f t="shared" si="22"/>
        <v>0</v>
      </c>
      <c r="I52" s="1316">
        <f t="shared" ca="1" si="22"/>
        <v>0</v>
      </c>
      <c r="J52" s="1165">
        <f ca="1">SUM(J14:J51)</f>
        <v>0</v>
      </c>
      <c r="K52" s="1316">
        <f>SUM(K45:K51)</f>
        <v>985011.29240758892</v>
      </c>
      <c r="L52" s="1316">
        <f>SUM(L45:L51)</f>
        <v>4592.2160025841658</v>
      </c>
      <c r="M52" s="1316">
        <f t="shared" ref="M52:T52" ca="1" si="23">SUM(M45:M51)</f>
        <v>247.15411200000003</v>
      </c>
      <c r="N52" s="1316">
        <f t="shared" ca="1" si="23"/>
        <v>443.25508158341501</v>
      </c>
      <c r="O52" s="1316">
        <f t="shared" si="23"/>
        <v>2205.4825358388271</v>
      </c>
      <c r="P52" s="1316">
        <f t="shared" si="23"/>
        <v>612.91231020638713</v>
      </c>
      <c r="Q52" s="1316">
        <f t="shared" si="23"/>
        <v>0</v>
      </c>
      <c r="R52" s="1316">
        <f t="shared" ca="1" si="23"/>
        <v>3508.8040396286297</v>
      </c>
      <c r="S52" s="1316">
        <f t="shared" si="23"/>
        <v>0</v>
      </c>
      <c r="T52" s="1316">
        <f t="shared" ca="1" si="23"/>
        <v>3508.8040396286297</v>
      </c>
      <c r="U52" s="676">
        <f ca="1">T52/L52*10</f>
        <v>7.640764366602375</v>
      </c>
      <c r="V52" s="484">
        <f ca="1">U52/$V$53</f>
        <v>0.84716476501155091</v>
      </c>
    </row>
    <row r="53" spans="2:22" x14ac:dyDescent="0.3">
      <c r="K53" s="677">
        <v>0</v>
      </c>
      <c r="L53" s="677">
        <f>'F1'!O52-L52</f>
        <v>0</v>
      </c>
      <c r="U53" s="152" t="s">
        <v>1286</v>
      </c>
      <c r="V53" s="512">
        <f ca="1">'ARR-Summary'!T97/F13.2!L52*10</f>
        <v>9.0192187897453397</v>
      </c>
    </row>
    <row r="54" spans="2:22" x14ac:dyDescent="0.3">
      <c r="I54" s="2"/>
      <c r="L54" s="1516"/>
      <c r="V54" s="425"/>
    </row>
    <row r="57" spans="2:22" x14ac:dyDescent="0.3">
      <c r="C57" s="1" t="b">
        <f>C45=F14.1!C45</f>
        <v>1</v>
      </c>
      <c r="K57" s="1" t="b">
        <f>K45=F14.1!J45</f>
        <v>1</v>
      </c>
      <c r="L57" s="1" t="b">
        <f>L45=F14.1!K45</f>
        <v>1</v>
      </c>
    </row>
  </sheetData>
  <mergeCells count="9">
    <mergeCell ref="U10:U11"/>
    <mergeCell ref="V10:V11"/>
    <mergeCell ref="S10:S11"/>
    <mergeCell ref="T10:T11"/>
    <mergeCell ref="B10:B11"/>
    <mergeCell ref="C10:C11"/>
    <mergeCell ref="D10:I10"/>
    <mergeCell ref="J10:L10"/>
    <mergeCell ref="M10:R10"/>
  </mergeCells>
  <pageMargins left="0.70866141732283472" right="0.70866141732283472" top="0.74803149606299213" bottom="0.74803149606299213" header="0.31496062992125984" footer="0.31496062992125984"/>
  <pageSetup scale="4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57"/>
  <sheetViews>
    <sheetView showGridLines="0" view="pageBreakPreview" topLeftCell="J51" zoomScale="83" zoomScaleNormal="80" zoomScaleSheetLayoutView="80" workbookViewId="0">
      <selection activeCell="B2" sqref="B2"/>
    </sheetView>
  </sheetViews>
  <sheetFormatPr defaultColWidth="8.81640625" defaultRowHeight="14" x14ac:dyDescent="0.3"/>
  <cols>
    <col min="1" max="1" width="0" style="1" hidden="1" customWidth="1"/>
    <col min="2" max="2" width="32.54296875" style="1" bestFit="1" customWidth="1"/>
    <col min="3" max="3" width="15.7265625" style="1" bestFit="1" customWidth="1"/>
    <col min="4" max="4" width="13.36328125" style="1" bestFit="1" customWidth="1"/>
    <col min="5" max="5" width="12.36328125" style="1" bestFit="1" customWidth="1"/>
    <col min="6" max="6" width="16.1796875" style="1" customWidth="1"/>
    <col min="7" max="7" width="15.54296875" style="1" customWidth="1"/>
    <col min="8" max="8" width="5.1796875" style="1" bestFit="1" customWidth="1"/>
    <col min="9" max="9" width="12.7265625" style="1" bestFit="1" customWidth="1"/>
    <col min="10" max="10" width="19.7265625" style="1" customWidth="1"/>
    <col min="11" max="11" width="13.36328125" style="425" bestFit="1" customWidth="1"/>
    <col min="12" max="12" width="11.1796875" style="1" bestFit="1" customWidth="1"/>
    <col min="13" max="13" width="10.26953125" style="1" bestFit="1" customWidth="1"/>
    <col min="14" max="14" width="12.54296875" style="1" bestFit="1" customWidth="1"/>
    <col min="15" max="15" width="11.7265625" style="1" bestFit="1" customWidth="1"/>
    <col min="16" max="16" width="9.81640625" style="1" bestFit="1" customWidth="1"/>
    <col min="17" max="17" width="9.36328125" style="1" bestFit="1" customWidth="1"/>
    <col min="18" max="18" width="9.54296875" style="1" bestFit="1" customWidth="1"/>
    <col min="19" max="19" width="11.7265625" style="1" bestFit="1" customWidth="1"/>
    <col min="20" max="20" width="11.81640625" style="1" bestFit="1" customWidth="1"/>
    <col min="21" max="21" width="11" style="1" bestFit="1" customWidth="1"/>
    <col min="22" max="22" width="15.81640625" style="1" bestFit="1" customWidth="1"/>
    <col min="23" max="23" width="12.453125" style="1" customWidth="1"/>
    <col min="24" max="16384" width="8.81640625" style="1"/>
  </cols>
  <sheetData>
    <row r="2" spans="1:25" x14ac:dyDescent="0.3">
      <c r="C2" s="132"/>
      <c r="D2" s="132"/>
      <c r="E2" s="132"/>
      <c r="F2" s="132"/>
      <c r="G2" s="132"/>
      <c r="H2" s="1193"/>
      <c r="J2" s="132" t="s">
        <v>1027</v>
      </c>
      <c r="K2" s="565"/>
      <c r="L2" s="132"/>
      <c r="M2" s="132"/>
      <c r="N2" s="132"/>
      <c r="O2" s="132"/>
    </row>
    <row r="3" spans="1:25" x14ac:dyDescent="0.3">
      <c r="C3" s="138"/>
      <c r="D3" s="138"/>
      <c r="E3" s="138"/>
      <c r="F3" s="138"/>
      <c r="G3" s="138"/>
      <c r="H3" s="138"/>
      <c r="J3" s="134" t="s">
        <v>826</v>
      </c>
      <c r="K3" s="896"/>
      <c r="L3" s="138"/>
      <c r="M3" s="138"/>
      <c r="N3" s="138"/>
      <c r="O3" s="138"/>
    </row>
    <row r="4" spans="1:25" x14ac:dyDescent="0.3">
      <c r="C4" s="138"/>
      <c r="D4" s="138"/>
      <c r="E4" s="138"/>
      <c r="F4" s="138"/>
      <c r="G4" s="138"/>
      <c r="H4" s="138"/>
      <c r="J4" s="138" t="s">
        <v>800</v>
      </c>
      <c r="K4" s="896"/>
      <c r="L4" s="138"/>
      <c r="M4" s="138"/>
      <c r="N4" s="138"/>
      <c r="O4" s="138"/>
    </row>
    <row r="5" spans="1:25" x14ac:dyDescent="0.3">
      <c r="B5" s="138"/>
      <c r="C5" s="138"/>
      <c r="D5" s="138"/>
      <c r="E5" s="138"/>
      <c r="F5" s="138"/>
      <c r="G5" s="138"/>
      <c r="H5" s="138"/>
      <c r="I5" s="138"/>
      <c r="J5" s="138"/>
      <c r="K5" s="896"/>
      <c r="L5" s="138"/>
      <c r="M5" s="138"/>
      <c r="N5" s="138"/>
      <c r="O5" s="138"/>
    </row>
    <row r="6" spans="1:25" x14ac:dyDescent="0.3">
      <c r="B6" s="138"/>
      <c r="C6" s="138"/>
      <c r="D6" s="138"/>
      <c r="E6" s="138"/>
      <c r="F6" s="138"/>
      <c r="G6" s="138"/>
      <c r="H6" s="138"/>
      <c r="I6" s="138"/>
      <c r="J6" s="138"/>
      <c r="K6" s="896"/>
      <c r="L6" s="138"/>
      <c r="M6" s="138"/>
      <c r="N6" s="138"/>
      <c r="O6" s="138"/>
    </row>
    <row r="7" spans="1:25" x14ac:dyDescent="0.3">
      <c r="B7" s="178" t="s">
        <v>702</v>
      </c>
      <c r="C7" s="179"/>
      <c r="D7" s="179"/>
      <c r="E7" s="179"/>
      <c r="F7" s="179"/>
      <c r="G7" s="179"/>
      <c r="H7" s="179"/>
      <c r="I7" s="179"/>
      <c r="J7" s="179"/>
      <c r="K7" s="1309"/>
      <c r="L7" s="179"/>
      <c r="M7" s="179"/>
      <c r="N7" s="179"/>
      <c r="O7" s="179"/>
      <c r="P7" s="179"/>
      <c r="Q7" s="179"/>
      <c r="R7" s="179"/>
      <c r="S7" s="179"/>
      <c r="T7" s="179"/>
    </row>
    <row r="8" spans="1:25" x14ac:dyDescent="0.3">
      <c r="B8" s="178" t="s">
        <v>366</v>
      </c>
      <c r="C8" s="179"/>
      <c r="D8" s="179"/>
      <c r="E8" s="179"/>
      <c r="F8" s="179"/>
      <c r="G8" s="179"/>
      <c r="H8" s="179"/>
      <c r="I8" s="179"/>
      <c r="J8" s="179"/>
      <c r="K8" s="1309"/>
      <c r="L8" s="179"/>
      <c r="M8" s="179"/>
      <c r="N8" s="179"/>
      <c r="O8" s="179"/>
      <c r="P8" s="179"/>
      <c r="Q8" s="179"/>
      <c r="R8" s="179"/>
      <c r="S8" s="179"/>
      <c r="T8" s="179"/>
    </row>
    <row r="9" spans="1:25" x14ac:dyDescent="0.3">
      <c r="B9" s="179"/>
      <c r="C9" s="179"/>
      <c r="D9" s="179"/>
      <c r="E9" s="179"/>
      <c r="F9" s="179"/>
      <c r="G9" s="179"/>
      <c r="H9" s="179"/>
      <c r="I9" s="179"/>
      <c r="J9" s="179"/>
      <c r="K9" s="1309"/>
      <c r="L9" s="179"/>
      <c r="M9" s="179"/>
      <c r="N9" s="179"/>
      <c r="O9" s="179"/>
      <c r="P9" s="179"/>
      <c r="Q9" s="179"/>
      <c r="R9" s="179"/>
      <c r="S9" s="179"/>
      <c r="T9" s="179"/>
    </row>
    <row r="10" spans="1:25" ht="13.9" customHeight="1" x14ac:dyDescent="0.3">
      <c r="B10" s="2429"/>
      <c r="C10" s="2430" t="s">
        <v>358</v>
      </c>
      <c r="D10" s="2431" t="s">
        <v>367</v>
      </c>
      <c r="E10" s="2431"/>
      <c r="F10" s="2431"/>
      <c r="G10" s="2431"/>
      <c r="H10" s="2431"/>
      <c r="I10" s="2431"/>
      <c r="J10" s="2430" t="s">
        <v>368</v>
      </c>
      <c r="K10" s="2430"/>
      <c r="L10" s="2430"/>
      <c r="M10" s="2432" t="s">
        <v>369</v>
      </c>
      <c r="N10" s="2432"/>
      <c r="O10" s="2432"/>
      <c r="P10" s="2432"/>
      <c r="Q10" s="2432"/>
      <c r="R10" s="2432"/>
      <c r="S10" s="2430" t="s">
        <v>363</v>
      </c>
      <c r="T10" s="2430" t="s">
        <v>370</v>
      </c>
      <c r="U10" s="2430" t="s">
        <v>371</v>
      </c>
      <c r="V10" s="2430" t="s">
        <v>465</v>
      </c>
    </row>
    <row r="11" spans="1:25" ht="84" x14ac:dyDescent="0.3">
      <c r="B11" s="2429"/>
      <c r="C11" s="2430"/>
      <c r="D11" s="1185" t="s">
        <v>1538</v>
      </c>
      <c r="E11" s="1185" t="s">
        <v>1539</v>
      </c>
      <c r="F11" s="1185" t="s">
        <v>1540</v>
      </c>
      <c r="G11" s="1185" t="s">
        <v>1541</v>
      </c>
      <c r="H11" s="1194" t="s">
        <v>1575</v>
      </c>
      <c r="I11" s="237" t="s">
        <v>372</v>
      </c>
      <c r="J11" s="237" t="s">
        <v>464</v>
      </c>
      <c r="K11" s="1233" t="s">
        <v>373</v>
      </c>
      <c r="L11" s="249" t="s">
        <v>1731</v>
      </c>
      <c r="M11" s="237" t="s">
        <v>374</v>
      </c>
      <c r="N11" s="237" t="s">
        <v>375</v>
      </c>
      <c r="O11" s="237" t="s">
        <v>376</v>
      </c>
      <c r="P11" s="237" t="s">
        <v>1636</v>
      </c>
      <c r="Q11" s="237" t="s">
        <v>377</v>
      </c>
      <c r="R11" s="236" t="s">
        <v>145</v>
      </c>
      <c r="S11" s="2430"/>
      <c r="T11" s="2430"/>
      <c r="U11" s="2430"/>
      <c r="V11" s="2430"/>
      <c r="Y11" s="1" t="s">
        <v>1821</v>
      </c>
    </row>
    <row r="12" spans="1:25" x14ac:dyDescent="0.3">
      <c r="B12" s="140"/>
      <c r="C12" s="180"/>
      <c r="D12" s="102"/>
      <c r="E12" s="102"/>
      <c r="F12" s="102"/>
      <c r="G12" s="102"/>
      <c r="H12" s="102"/>
      <c r="I12" s="102"/>
      <c r="J12" s="102"/>
      <c r="K12" s="1310"/>
      <c r="L12" s="102"/>
      <c r="M12" s="102"/>
      <c r="N12" s="102"/>
      <c r="O12" s="102"/>
      <c r="P12" s="102"/>
      <c r="Q12" s="102"/>
      <c r="R12" s="103"/>
      <c r="S12" s="180"/>
      <c r="T12" s="180"/>
      <c r="U12" s="180"/>
      <c r="V12" s="180"/>
    </row>
    <row r="13" spans="1:25" x14ac:dyDescent="0.3">
      <c r="B13" s="177" t="s">
        <v>293</v>
      </c>
      <c r="C13" s="100"/>
      <c r="D13" s="100"/>
      <c r="E13" s="100"/>
      <c r="F13" s="100"/>
      <c r="G13" s="100"/>
      <c r="H13" s="100"/>
      <c r="I13" s="100"/>
      <c r="J13" s="100"/>
      <c r="K13" s="481"/>
      <c r="L13" s="100"/>
      <c r="M13" s="100"/>
      <c r="N13" s="100"/>
      <c r="O13" s="100"/>
      <c r="P13" s="100"/>
      <c r="Q13" s="100"/>
      <c r="R13" s="100"/>
      <c r="S13" s="100"/>
      <c r="T13" s="100"/>
      <c r="U13" s="100"/>
      <c r="V13" s="100"/>
    </row>
    <row r="14" spans="1:25" ht="15.5" x14ac:dyDescent="0.35">
      <c r="A14" s="1739">
        <f>F13.2!A14</f>
        <v>6.8020259186998278E-3</v>
      </c>
      <c r="B14" s="367" t="s">
        <v>953</v>
      </c>
      <c r="C14" s="1455">
        <f>ROUND(F13.2!C14*(1+Y14),0)</f>
        <v>37</v>
      </c>
      <c r="D14" s="481">
        <v>0</v>
      </c>
      <c r="E14" s="481">
        <f>'Tariff Comparison Ext.vsProp'!B107</f>
        <v>395</v>
      </c>
      <c r="F14" s="481">
        <f>'Tariff Comparison Ext.vsProp'!C107</f>
        <v>5.1100000000000003</v>
      </c>
      <c r="G14" s="481">
        <f>'Tariff Comparison Ext.vsProp'!I40</f>
        <v>0.51</v>
      </c>
      <c r="H14" s="481"/>
      <c r="I14" s="481">
        <f>F13.2!I14</f>
        <v>0</v>
      </c>
      <c r="J14" s="481">
        <f ca="1">F13.2!J14</f>
        <v>0</v>
      </c>
      <c r="K14" s="481">
        <f>F13.2!K14*(1+A14)</f>
        <v>58530.377172205102</v>
      </c>
      <c r="L14" s="673">
        <f>'F1'!Q13</f>
        <v>190.38870735736347</v>
      </c>
      <c r="M14" s="674">
        <f>C14*D14*12/10^7</f>
        <v>0</v>
      </c>
      <c r="N14" s="674">
        <f>K14*E14*12/10^7</f>
        <v>27.74339877962522</v>
      </c>
      <c r="O14" s="674">
        <f>F14*$L14/10</f>
        <v>97.288629459612736</v>
      </c>
      <c r="P14" s="674">
        <f>G14*$L14/10</f>
        <v>9.7098240752255371</v>
      </c>
      <c r="Q14" s="674">
        <f t="shared" ref="Q14:Q19" si="0">I14*$L14/10</f>
        <v>0</v>
      </c>
      <c r="R14" s="673">
        <f t="shared" ref="R14:R20" si="1">SUM(M14:Q14)</f>
        <v>134.7418523144635</v>
      </c>
      <c r="S14" s="100"/>
      <c r="T14" s="673">
        <f t="shared" ref="T14:T20" si="2">SUM(R14,S14)</f>
        <v>134.7418523144635</v>
      </c>
      <c r="U14" s="674">
        <f>T14/L14*10</f>
        <v>7.077197706981134</v>
      </c>
      <c r="V14" s="483">
        <f t="shared" ref="V14:V20" ca="1" si="3">U14/$V$53</f>
        <v>0.9198574929347616</v>
      </c>
      <c r="Y14" s="1739">
        <f>F13.2!Y14</f>
        <v>0.01</v>
      </c>
    </row>
    <row r="15" spans="1:25" ht="15.5" x14ac:dyDescent="0.35">
      <c r="A15" s="1739">
        <f>F13.2!A15</f>
        <v>0.01</v>
      </c>
      <c r="B15" s="367" t="s">
        <v>954</v>
      </c>
      <c r="C15" s="1455">
        <f>ROUND(F13.2!C15*(1+Y15),0)</f>
        <v>98</v>
      </c>
      <c r="D15" s="481">
        <v>0</v>
      </c>
      <c r="E15" s="481">
        <f>'Tariff Comparison Ext.vsProp'!B108</f>
        <v>395</v>
      </c>
      <c r="F15" s="481">
        <f>'Tariff Comparison Ext.vsProp'!C108</f>
        <v>5.35</v>
      </c>
      <c r="G15" s="481">
        <f>'Tariff Comparison Ext.vsProp'!I41</f>
        <v>0.51</v>
      </c>
      <c r="H15" s="481"/>
      <c r="I15" s="481">
        <f>F13.2!I15</f>
        <v>0</v>
      </c>
      <c r="J15" s="481">
        <f ca="1">F13.2!J15</f>
        <v>0</v>
      </c>
      <c r="K15" s="481">
        <f>F13.2!K15*(1+A15)</f>
        <v>118044.51937760001</v>
      </c>
      <c r="L15" s="673">
        <f>'F1'!Q14</f>
        <v>208.45106136432997</v>
      </c>
      <c r="M15" s="674">
        <f t="shared" ref="M15:M44" si="4">C15*D15*12/10^7</f>
        <v>0</v>
      </c>
      <c r="N15" s="674">
        <f t="shared" ref="N15:N20" si="5">K15*E15*12/10^7</f>
        <v>55.953102184982406</v>
      </c>
      <c r="O15" s="674">
        <f t="shared" ref="O15:O20" si="6">F15*$L15/10</f>
        <v>111.52131782991653</v>
      </c>
      <c r="P15" s="674">
        <f t="shared" ref="P15:P20" si="7">G15*$L15/10</f>
        <v>10.631004129580829</v>
      </c>
      <c r="Q15" s="674">
        <f t="shared" si="0"/>
        <v>0</v>
      </c>
      <c r="R15" s="673">
        <f t="shared" si="1"/>
        <v>178.10542414447974</v>
      </c>
      <c r="S15" s="100"/>
      <c r="T15" s="673">
        <f t="shared" si="2"/>
        <v>178.10542414447974</v>
      </c>
      <c r="U15" s="674">
        <f t="shared" ref="U15:U22" si="8">T15/L15*10</f>
        <v>8.5442320599743908</v>
      </c>
      <c r="V15" s="483">
        <f t="shared" ca="1" si="3"/>
        <v>1.1105350178345397</v>
      </c>
      <c r="Y15" s="1739">
        <f>F13.2!Y15</f>
        <v>0.02</v>
      </c>
    </row>
    <row r="16" spans="1:25" ht="15.5" x14ac:dyDescent="0.35">
      <c r="A16" s="1739">
        <f>F13.2!A16</f>
        <v>0.02</v>
      </c>
      <c r="B16" s="367" t="s">
        <v>955</v>
      </c>
      <c r="C16" s="1455">
        <f>ROUND(F13.2!C16*(1+Y16),0)</f>
        <v>12</v>
      </c>
      <c r="D16" s="481">
        <v>0</v>
      </c>
      <c r="E16" s="481">
        <f>'Tariff Comparison Ext.vsProp'!B109</f>
        <v>395</v>
      </c>
      <c r="F16" s="481">
        <f>'Tariff Comparison Ext.vsProp'!C109</f>
        <v>5.34</v>
      </c>
      <c r="G16" s="481">
        <f>'Tariff Comparison Ext.vsProp'!I42</f>
        <v>0.51</v>
      </c>
      <c r="H16" s="481"/>
      <c r="I16" s="481">
        <f>F13.2!I16</f>
        <v>0</v>
      </c>
      <c r="J16" s="481">
        <f ca="1">F13.2!J16</f>
        <v>0</v>
      </c>
      <c r="K16" s="481">
        <f>F13.2!K16*(1+A16)</f>
        <v>9051.48</v>
      </c>
      <c r="L16" s="673">
        <f>'F1'!Q15</f>
        <v>32.121324728631734</v>
      </c>
      <c r="M16" s="674">
        <f t="shared" si="4"/>
        <v>0</v>
      </c>
      <c r="N16" s="674">
        <f t="shared" si="5"/>
        <v>4.2904015199999996</v>
      </c>
      <c r="O16" s="674">
        <f t="shared" si="6"/>
        <v>17.152787405089345</v>
      </c>
      <c r="P16" s="674">
        <f t="shared" si="7"/>
        <v>1.6381875611602184</v>
      </c>
      <c r="Q16" s="674">
        <f t="shared" si="0"/>
        <v>0</v>
      </c>
      <c r="R16" s="673">
        <f t="shared" si="1"/>
        <v>23.081376486249564</v>
      </c>
      <c r="S16" s="100"/>
      <c r="T16" s="673">
        <f t="shared" si="2"/>
        <v>23.081376486249564</v>
      </c>
      <c r="U16" s="674">
        <f t="shared" si="8"/>
        <v>7.1856863567260341</v>
      </c>
      <c r="V16" s="483">
        <f t="shared" ca="1" si="3"/>
        <v>0.93395828557868921</v>
      </c>
      <c r="Y16" s="1739">
        <f>F13.2!Y16</f>
        <v>0.02</v>
      </c>
    </row>
    <row r="17" spans="1:25" ht="15.5" x14ac:dyDescent="0.35">
      <c r="A17" s="1739">
        <f>F13.2!A17</f>
        <v>0.02</v>
      </c>
      <c r="B17" s="367" t="s">
        <v>956</v>
      </c>
      <c r="C17" s="1455">
        <f>ROUND(F13.2!C17*(1+Y17),0)</f>
        <v>3</v>
      </c>
      <c r="D17" s="481">
        <v>0</v>
      </c>
      <c r="E17" s="481">
        <f>'Tariff Comparison Ext.vsProp'!B110</f>
        <v>395</v>
      </c>
      <c r="F17" s="481">
        <f>'Tariff Comparison Ext.vsProp'!C110</f>
        <v>5.35</v>
      </c>
      <c r="G17" s="481">
        <f>'Tariff Comparison Ext.vsProp'!I43</f>
        <v>0.51</v>
      </c>
      <c r="H17" s="481"/>
      <c r="I17" s="481">
        <f>F13.2!I17</f>
        <v>0</v>
      </c>
      <c r="J17" s="481">
        <f ca="1">F13.2!J17</f>
        <v>0</v>
      </c>
      <c r="K17" s="481">
        <f>F13.2!K17*(1+A17)</f>
        <v>2991.15</v>
      </c>
      <c r="L17" s="673">
        <f>'F1'!Q16</f>
        <v>2.5717217190733441</v>
      </c>
      <c r="M17" s="674">
        <f t="shared" si="4"/>
        <v>0</v>
      </c>
      <c r="N17" s="674">
        <f t="shared" si="5"/>
        <v>1.4178051</v>
      </c>
      <c r="O17" s="674">
        <f t="shared" si="6"/>
        <v>1.375871119704239</v>
      </c>
      <c r="P17" s="674">
        <f t="shared" si="7"/>
        <v>0.13115780767274055</v>
      </c>
      <c r="Q17" s="674">
        <f t="shared" si="0"/>
        <v>0</v>
      </c>
      <c r="R17" s="673">
        <f t="shared" si="1"/>
        <v>2.92483402737698</v>
      </c>
      <c r="S17" s="100"/>
      <c r="T17" s="673">
        <f t="shared" si="2"/>
        <v>2.92483402737698</v>
      </c>
      <c r="U17" s="674">
        <f t="shared" si="8"/>
        <v>11.373058001123352</v>
      </c>
      <c r="V17" s="483">
        <f t="shared" ca="1" si="3"/>
        <v>1.4782111582943864</v>
      </c>
      <c r="Y17" s="1739">
        <f>F13.2!Y17</f>
        <v>0.02</v>
      </c>
    </row>
    <row r="18" spans="1:25" ht="15.5" x14ac:dyDescent="0.35">
      <c r="A18" s="1739">
        <f>F13.2!A18</f>
        <v>0</v>
      </c>
      <c r="B18" s="367" t="s">
        <v>957</v>
      </c>
      <c r="C18" s="1455">
        <f>ROUND(F13.2!C18*(1+Y18),0)</f>
        <v>4</v>
      </c>
      <c r="D18" s="481">
        <v>0</v>
      </c>
      <c r="E18" s="481">
        <f>'Tariff Comparison Ext.vsProp'!B111</f>
        <v>395</v>
      </c>
      <c r="F18" s="481">
        <f>'Tariff Comparison Ext.vsProp'!C111</f>
        <v>4.83</v>
      </c>
      <c r="G18" s="481">
        <f>'Tariff Comparison Ext.vsProp'!I44</f>
        <v>0.51</v>
      </c>
      <c r="H18" s="481"/>
      <c r="I18" s="481">
        <f>F13.2!I18</f>
        <v>0</v>
      </c>
      <c r="J18" s="481">
        <f ca="1">F13.2!J18</f>
        <v>0</v>
      </c>
      <c r="K18" s="481">
        <f>F13.2!K18*(1+A18)</f>
        <v>8960</v>
      </c>
      <c r="L18" s="673">
        <f>'F1'!Q17</f>
        <v>27.783816124755699</v>
      </c>
      <c r="M18" s="674">
        <f t="shared" si="4"/>
        <v>0</v>
      </c>
      <c r="N18" s="674">
        <f t="shared" si="5"/>
        <v>4.2470400000000001</v>
      </c>
      <c r="O18" s="674">
        <f t="shared" si="6"/>
        <v>13.419583188257002</v>
      </c>
      <c r="P18" s="674">
        <f t="shared" si="7"/>
        <v>1.4169746223625406</v>
      </c>
      <c r="Q18" s="674">
        <f t="shared" si="0"/>
        <v>0</v>
      </c>
      <c r="R18" s="673">
        <f t="shared" si="1"/>
        <v>19.083597810619544</v>
      </c>
      <c r="S18" s="100"/>
      <c r="T18" s="673">
        <f t="shared" si="2"/>
        <v>19.083597810619544</v>
      </c>
      <c r="U18" s="674">
        <f t="shared" si="8"/>
        <v>6.8686021117220974</v>
      </c>
      <c r="V18" s="483">
        <f t="shared" ca="1" si="3"/>
        <v>0.89274531813951208</v>
      </c>
      <c r="Y18" s="1739">
        <f>F13.2!Y18</f>
        <v>0</v>
      </c>
    </row>
    <row r="19" spans="1:25" ht="15.5" x14ac:dyDescent="0.35">
      <c r="A19" s="1739">
        <f>F13.2!A19</f>
        <v>0.01</v>
      </c>
      <c r="B19" s="367" t="s">
        <v>958</v>
      </c>
      <c r="C19" s="1455">
        <f>ROUND(F13.2!C19*(1+Y19),0)</f>
        <v>46</v>
      </c>
      <c r="D19" s="481">
        <v>0</v>
      </c>
      <c r="E19" s="481">
        <f>'Tariff Comparison Ext.vsProp'!B112</f>
        <v>395</v>
      </c>
      <c r="F19" s="481">
        <f>'Tariff Comparison Ext.vsProp'!C112</f>
        <v>5.44</v>
      </c>
      <c r="G19" s="481">
        <f>'Tariff Comparison Ext.vsProp'!I45</f>
        <v>0.51</v>
      </c>
      <c r="H19" s="481"/>
      <c r="I19" s="481">
        <f>F13.2!I19</f>
        <v>0</v>
      </c>
      <c r="J19" s="481">
        <f ca="1">F13.2!J19</f>
        <v>0</v>
      </c>
      <c r="K19" s="481">
        <f>F13.2!K19*(1+A19)</f>
        <v>72537.6533375</v>
      </c>
      <c r="L19" s="673">
        <f>'F1'!Q18</f>
        <v>186.01089134631724</v>
      </c>
      <c r="M19" s="674">
        <f t="shared" si="4"/>
        <v>0</v>
      </c>
      <c r="N19" s="674">
        <f t="shared" si="5"/>
        <v>34.382847681975001</v>
      </c>
      <c r="O19" s="674">
        <f t="shared" si="6"/>
        <v>101.18992489239659</v>
      </c>
      <c r="P19" s="674">
        <f t="shared" si="7"/>
        <v>9.4865554586621794</v>
      </c>
      <c r="Q19" s="674">
        <f t="shared" si="0"/>
        <v>0</v>
      </c>
      <c r="R19" s="673">
        <f t="shared" si="1"/>
        <v>145.05932803303375</v>
      </c>
      <c r="S19" s="100"/>
      <c r="T19" s="673">
        <f t="shared" si="2"/>
        <v>145.05932803303375</v>
      </c>
      <c r="U19" s="674">
        <f t="shared" si="8"/>
        <v>7.7984319618661804</v>
      </c>
      <c r="V19" s="483">
        <f t="shared" ca="1" si="3"/>
        <v>1.0135997848680223</v>
      </c>
      <c r="Y19" s="1739">
        <f>F13.2!Y19</f>
        <v>7.5190793209780615E-3</v>
      </c>
    </row>
    <row r="20" spans="1:25" ht="15.5" x14ac:dyDescent="0.35">
      <c r="A20" s="1739">
        <f>F13.2!A20</f>
        <v>0</v>
      </c>
      <c r="B20" s="367" t="s">
        <v>959</v>
      </c>
      <c r="C20" s="1455">
        <f>ROUND(F13.2!C20*(1+Y20),0)</f>
        <v>0</v>
      </c>
      <c r="D20" s="481">
        <v>0</v>
      </c>
      <c r="E20" s="481">
        <f>'Tariff Comparison Ext.vsProp'!B113</f>
        <v>70</v>
      </c>
      <c r="F20" s="481">
        <f>'Tariff Comparison Ext.vsProp'!C113</f>
        <v>4.99</v>
      </c>
      <c r="G20" s="481">
        <f>'Tariff Comparison Ext.vsProp'!I46</f>
        <v>0.51</v>
      </c>
      <c r="H20" s="481"/>
      <c r="I20" s="481">
        <f>F13.2!I20</f>
        <v>0</v>
      </c>
      <c r="J20" s="481">
        <f ca="1">F13.2!J20</f>
        <v>0</v>
      </c>
      <c r="K20" s="481">
        <f>F13.2!K20*(1+A20)</f>
        <v>0</v>
      </c>
      <c r="L20" s="673">
        <f>'F1'!Q19</f>
        <v>0</v>
      </c>
      <c r="M20" s="674">
        <f t="shared" si="4"/>
        <v>0</v>
      </c>
      <c r="N20" s="674">
        <f t="shared" si="5"/>
        <v>0</v>
      </c>
      <c r="O20" s="674">
        <f t="shared" si="6"/>
        <v>0</v>
      </c>
      <c r="P20" s="674">
        <f t="shared" si="7"/>
        <v>0</v>
      </c>
      <c r="Q20" s="674">
        <f>I20*$L19/10</f>
        <v>0</v>
      </c>
      <c r="R20" s="673">
        <f t="shared" si="1"/>
        <v>0</v>
      </c>
      <c r="S20" s="100"/>
      <c r="T20" s="673">
        <f t="shared" si="2"/>
        <v>0</v>
      </c>
      <c r="U20" s="674">
        <v>0</v>
      </c>
      <c r="V20" s="483">
        <f t="shared" ca="1" si="3"/>
        <v>0</v>
      </c>
    </row>
    <row r="21" spans="1:25" x14ac:dyDescent="0.3">
      <c r="B21" s="366"/>
      <c r="C21" s="100"/>
      <c r="D21" s="481"/>
      <c r="E21" s="481"/>
      <c r="F21" s="481"/>
      <c r="G21" s="481"/>
      <c r="H21" s="481"/>
      <c r="I21" s="481"/>
      <c r="J21" s="481"/>
      <c r="K21" s="481"/>
      <c r="L21" s="673"/>
      <c r="M21" s="674"/>
      <c r="N21" s="674"/>
      <c r="O21" s="674"/>
      <c r="P21" s="674"/>
      <c r="Q21" s="674"/>
      <c r="R21" s="673"/>
      <c r="S21" s="100"/>
      <c r="T21" s="673"/>
      <c r="U21" s="674"/>
      <c r="V21" s="483"/>
    </row>
    <row r="22" spans="1:25" s="152" customFormat="1" x14ac:dyDescent="0.3">
      <c r="B22" s="177" t="s">
        <v>972</v>
      </c>
      <c r="C22" s="1459">
        <f>SUM(C14:C20)</f>
        <v>200</v>
      </c>
      <c r="D22" s="481"/>
      <c r="E22" s="481"/>
      <c r="F22" s="481"/>
      <c r="G22" s="481"/>
      <c r="H22" s="481"/>
      <c r="I22" s="481">
        <f>F13.2!I22</f>
        <v>0</v>
      </c>
      <c r="J22" s="481">
        <f>F13.2!J22</f>
        <v>0</v>
      </c>
      <c r="K22" s="482">
        <f>SUM(K14:K20)</f>
        <v>270115.17988730513</v>
      </c>
      <c r="L22" s="675">
        <f t="shared" ref="L22:T22" si="9">SUM(L14:L20)</f>
        <v>647.32752264047144</v>
      </c>
      <c r="M22" s="675">
        <f t="shared" si="9"/>
        <v>0</v>
      </c>
      <c r="N22" s="675">
        <f t="shared" si="9"/>
        <v>128.03459526658261</v>
      </c>
      <c r="O22" s="675">
        <f t="shared" si="9"/>
        <v>341.94811389497647</v>
      </c>
      <c r="P22" s="675">
        <f t="shared" si="9"/>
        <v>33.013703654664042</v>
      </c>
      <c r="Q22" s="675">
        <f t="shared" si="9"/>
        <v>0</v>
      </c>
      <c r="R22" s="675">
        <f t="shared" si="9"/>
        <v>502.99641281622308</v>
      </c>
      <c r="S22" s="675">
        <f t="shared" si="9"/>
        <v>0</v>
      </c>
      <c r="T22" s="675">
        <f t="shared" si="9"/>
        <v>502.99641281622308</v>
      </c>
      <c r="U22" s="676">
        <f t="shared" si="8"/>
        <v>7.7703541904797016</v>
      </c>
      <c r="V22" s="484">
        <f ca="1">U22/$V$53</f>
        <v>1.0099503816064341</v>
      </c>
    </row>
    <row r="23" spans="1:25" x14ac:dyDescent="0.3">
      <c r="B23" s="76"/>
      <c r="C23" s="100"/>
      <c r="D23" s="481"/>
      <c r="E23" s="481"/>
      <c r="F23" s="481"/>
      <c r="G23" s="481"/>
      <c r="H23" s="481"/>
      <c r="I23" s="481"/>
      <c r="J23" s="481"/>
      <c r="K23" s="481"/>
      <c r="L23" s="100"/>
      <c r="M23" s="674"/>
      <c r="N23" s="674"/>
      <c r="O23" s="674"/>
      <c r="P23" s="674"/>
      <c r="Q23" s="674"/>
      <c r="R23" s="673"/>
      <c r="S23" s="100"/>
      <c r="T23" s="673"/>
      <c r="U23" s="674"/>
      <c r="V23" s="483"/>
    </row>
    <row r="24" spans="1:25" x14ac:dyDescent="0.3">
      <c r="B24" s="177" t="s">
        <v>294</v>
      </c>
      <c r="C24" s="100"/>
      <c r="D24" s="481"/>
      <c r="E24" s="481"/>
      <c r="F24" s="481"/>
      <c r="G24" s="481"/>
      <c r="H24" s="481"/>
      <c r="I24" s="481"/>
      <c r="J24" s="481"/>
      <c r="K24" s="481"/>
      <c r="L24" s="100"/>
      <c r="M24" s="674"/>
      <c r="N24" s="674"/>
      <c r="O24" s="674"/>
      <c r="P24" s="674"/>
      <c r="Q24" s="674"/>
      <c r="R24" s="673"/>
      <c r="S24" s="100"/>
      <c r="T24" s="673"/>
      <c r="U24" s="674"/>
      <c r="V24" s="483"/>
    </row>
    <row r="25" spans="1:25" x14ac:dyDescent="0.3">
      <c r="B25" s="76"/>
      <c r="C25" s="100"/>
      <c r="D25" s="481"/>
      <c r="E25" s="481"/>
      <c r="F25" s="481"/>
      <c r="G25" s="481"/>
      <c r="H25" s="481"/>
      <c r="I25" s="481"/>
      <c r="J25" s="481"/>
      <c r="K25" s="481"/>
      <c r="L25" s="100"/>
      <c r="M25" s="674"/>
      <c r="N25" s="674"/>
      <c r="O25" s="674"/>
      <c r="P25" s="674"/>
      <c r="Q25" s="674"/>
      <c r="R25" s="673"/>
      <c r="S25" s="100"/>
      <c r="T25" s="673"/>
      <c r="U25" s="674"/>
      <c r="V25" s="483"/>
    </row>
    <row r="26" spans="1:25" ht="15.5" x14ac:dyDescent="0.3">
      <c r="A26" s="1739">
        <f>F13.2!A26</f>
        <v>0</v>
      </c>
      <c r="B26" s="368" t="s">
        <v>960</v>
      </c>
      <c r="C26" s="1455">
        <f>ROUND(F13.2!C26*(1+Y26),0)</f>
        <v>59</v>
      </c>
      <c r="D26" s="481">
        <f>'Tariff Comparison Ext.vsProp'!B117</f>
        <v>10</v>
      </c>
      <c r="E26" s="481">
        <v>0</v>
      </c>
      <c r="F26" s="481">
        <f>'Tariff Comparison Ext.vsProp'!C117</f>
        <v>1.19</v>
      </c>
      <c r="G26" s="481">
        <f>'Tariff Comparison Ext.vsProp'!I50</f>
        <v>1.49</v>
      </c>
      <c r="H26" s="481"/>
      <c r="I26" s="481">
        <f>F13.2!I26</f>
        <v>0</v>
      </c>
      <c r="J26" s="481">
        <f>F13.2!J26</f>
        <v>0</v>
      </c>
      <c r="K26" s="481">
        <f>F13.2!K26*(1+A26)</f>
        <v>0</v>
      </c>
      <c r="L26" s="673">
        <f>'F1'!Q25</f>
        <v>3.5998039046489051E-2</v>
      </c>
      <c r="M26" s="674">
        <f t="shared" si="4"/>
        <v>7.0799999999999997E-4</v>
      </c>
      <c r="N26" s="674">
        <f>K26*E26*12/10^7</f>
        <v>0</v>
      </c>
      <c r="O26" s="674">
        <f t="shared" ref="O26:P28" si="10">F26*$L26/10</f>
        <v>4.2837666465321972E-3</v>
      </c>
      <c r="P26" s="674">
        <f t="shared" si="10"/>
        <v>5.3637078179268691E-3</v>
      </c>
      <c r="Q26" s="674">
        <f>I26*$L26/10</f>
        <v>0</v>
      </c>
      <c r="R26" s="673">
        <f>SUM(M26:Q26)</f>
        <v>1.0355474464459067E-2</v>
      </c>
      <c r="S26" s="100"/>
      <c r="T26" s="673">
        <f>SUM(R26,S26)</f>
        <v>1.0355474464459067E-2</v>
      </c>
      <c r="U26" s="674">
        <f>T26/L26*10</f>
        <v>2.8766773798666274</v>
      </c>
      <c r="V26" s="483">
        <f ca="1">U26/$V$53</f>
        <v>0.37389562255920011</v>
      </c>
      <c r="Y26" s="1739">
        <f>F13.2!Y26</f>
        <v>0</v>
      </c>
    </row>
    <row r="27" spans="1:25" ht="15.5" x14ac:dyDescent="0.35">
      <c r="A27" s="1739">
        <f>F13.2!A27</f>
        <v>0</v>
      </c>
      <c r="B27" s="367" t="s">
        <v>961</v>
      </c>
      <c r="C27" s="1455"/>
      <c r="D27" s="481"/>
      <c r="E27" s="481"/>
      <c r="F27" s="481"/>
      <c r="G27" s="481"/>
      <c r="H27" s="481"/>
      <c r="I27" s="481"/>
      <c r="J27" s="481"/>
      <c r="K27" s="481">
        <f>F13.2!K27*(1+A27)</f>
        <v>0</v>
      </c>
      <c r="L27" s="673">
        <f>'F1'!Q26</f>
        <v>0</v>
      </c>
      <c r="M27" s="674"/>
      <c r="N27" s="674"/>
      <c r="O27" s="674"/>
      <c r="P27" s="674"/>
      <c r="Q27" s="674"/>
      <c r="R27" s="673"/>
      <c r="S27" s="100"/>
      <c r="T27" s="673"/>
      <c r="U27" s="674"/>
      <c r="V27" s="483"/>
    </row>
    <row r="28" spans="1:25" ht="15.5" x14ac:dyDescent="0.35">
      <c r="A28" s="1739">
        <f>F13.2!A28</f>
        <v>0</v>
      </c>
      <c r="B28" s="367" t="s">
        <v>1542</v>
      </c>
      <c r="C28" s="1455">
        <f>ROUND(F13.2!C28*(1+Y28),0)</f>
        <v>328223</v>
      </c>
      <c r="D28" s="481">
        <f>'Tariff Comparison Ext.vsProp'!B119</f>
        <v>90</v>
      </c>
      <c r="E28" s="481">
        <v>0</v>
      </c>
      <c r="F28" s="481">
        <f>'Tariff Comparison Ext.vsProp'!C119</f>
        <v>1.69</v>
      </c>
      <c r="G28" s="481">
        <f>'Tariff Comparison Ext.vsProp'!I52</f>
        <v>1.49</v>
      </c>
      <c r="H28" s="481"/>
      <c r="I28" s="481"/>
      <c r="J28" s="481"/>
      <c r="K28" s="481">
        <f>F13.2!K28*(1+A28)</f>
        <v>0</v>
      </c>
      <c r="L28" s="673">
        <f>'F1'!Q27</f>
        <v>770.09343809017594</v>
      </c>
      <c r="M28" s="674">
        <f>C28*D28*12/10^7</f>
        <v>35.448084000000001</v>
      </c>
      <c r="N28" s="674">
        <f t="shared" ref="N28:N34" si="11">K28*E28*12/10^7</f>
        <v>0</v>
      </c>
      <c r="O28" s="674">
        <f t="shared" si="10"/>
        <v>130.14579103723972</v>
      </c>
      <c r="P28" s="674">
        <f t="shared" si="10"/>
        <v>114.74392227543622</v>
      </c>
      <c r="Q28" s="674">
        <f t="shared" ref="Q28:Q34" si="12">I28*$L28/10</f>
        <v>0</v>
      </c>
      <c r="R28" s="673">
        <f t="shared" ref="R28:R34" si="13">SUM(M28:Q28)</f>
        <v>280.33779731267595</v>
      </c>
      <c r="S28" s="100"/>
      <c r="T28" s="673">
        <f t="shared" ref="T28:T34" si="14">SUM(R28,S28)</f>
        <v>280.33779731267595</v>
      </c>
      <c r="U28" s="674">
        <f t="shared" ref="U28:U34" si="15">T28/L28*10</f>
        <v>3.640308869634195</v>
      </c>
      <c r="V28" s="483">
        <f t="shared" ref="V28:V38" ca="1" si="16">U28/$V$53</f>
        <v>0.47314848743405508</v>
      </c>
      <c r="W28" s="425"/>
      <c r="Y28" s="1739">
        <f>F13.2!Y28</f>
        <v>5.0979786460383369E-3</v>
      </c>
    </row>
    <row r="29" spans="1:25" ht="15.5" x14ac:dyDescent="0.35">
      <c r="A29" s="1739">
        <f>F13.2!A29</f>
        <v>0</v>
      </c>
      <c r="B29" s="367" t="s">
        <v>1543</v>
      </c>
      <c r="C29" s="1455">
        <f>ROUND(F13.2!C29*(1+Y29),0)</f>
        <v>365451</v>
      </c>
      <c r="D29" s="481">
        <f>'Tariff Comparison Ext.vsProp'!B120</f>
        <v>130</v>
      </c>
      <c r="E29" s="481">
        <v>0</v>
      </c>
      <c r="F29" s="481">
        <f>'Tariff Comparison Ext.vsProp'!C120</f>
        <v>4.32</v>
      </c>
      <c r="G29" s="481">
        <f>'Tariff Comparison Ext.vsProp'!I53</f>
        <v>1.49</v>
      </c>
      <c r="H29" s="481"/>
      <c r="I29" s="481">
        <f>F13.2!I29</f>
        <v>0</v>
      </c>
      <c r="J29" s="481">
        <f ca="1">F13.2!J29</f>
        <v>0</v>
      </c>
      <c r="K29" s="481">
        <f>F13.2!K29*(1+A29)</f>
        <v>0</v>
      </c>
      <c r="L29" s="673">
        <f>'F1'!Q28</f>
        <v>740.69681247239407</v>
      </c>
      <c r="M29" s="674">
        <f t="shared" ref="M29:M41" si="17">C29*D29*12/10^7</f>
        <v>57.010356000000002</v>
      </c>
      <c r="N29" s="674">
        <f t="shared" si="11"/>
        <v>0</v>
      </c>
      <c r="O29" s="674">
        <f t="shared" ref="O29:P32" si="18">F29*$L29/10</f>
        <v>319.98102298807424</v>
      </c>
      <c r="P29" s="674">
        <f t="shared" si="18"/>
        <v>110.36382505838671</v>
      </c>
      <c r="Q29" s="674">
        <f t="shared" si="12"/>
        <v>0</v>
      </c>
      <c r="R29" s="673">
        <f t="shared" si="13"/>
        <v>487.35520404646093</v>
      </c>
      <c r="S29" s="100"/>
      <c r="T29" s="673">
        <f t="shared" si="14"/>
        <v>487.35520404646093</v>
      </c>
      <c r="U29" s="674">
        <f t="shared" si="15"/>
        <v>6.5796854507811826</v>
      </c>
      <c r="V29" s="483">
        <f t="shared" ca="1" si="16"/>
        <v>0.85519342734832537</v>
      </c>
      <c r="Y29" s="1739">
        <f>F13.2!Y29</f>
        <v>5.0979786460383369E-3</v>
      </c>
    </row>
    <row r="30" spans="1:25" ht="15.5" x14ac:dyDescent="0.35">
      <c r="A30" s="1739">
        <f>F13.2!A30</f>
        <v>0</v>
      </c>
      <c r="B30" s="367" t="s">
        <v>1544</v>
      </c>
      <c r="C30" s="1455">
        <f>ROUND(F13.2!C30*(1+Y30),0)</f>
        <v>53007</v>
      </c>
      <c r="D30" s="481">
        <f>'Tariff Comparison Ext.vsProp'!B121</f>
        <v>130</v>
      </c>
      <c r="E30" s="481">
        <v>0</v>
      </c>
      <c r="F30" s="481">
        <f>'Tariff Comparison Ext.vsProp'!C121</f>
        <v>7.16</v>
      </c>
      <c r="G30" s="481">
        <f>'Tariff Comparison Ext.vsProp'!I54</f>
        <v>1.49</v>
      </c>
      <c r="H30" s="481"/>
      <c r="I30" s="481">
        <f>F13.2!I30</f>
        <v>0</v>
      </c>
      <c r="J30" s="481">
        <f ca="1">F13.2!J30</f>
        <v>0</v>
      </c>
      <c r="K30" s="481">
        <f>F13.2!K30*(1+A30)</f>
        <v>0</v>
      </c>
      <c r="L30" s="673">
        <f>'F1'!Q29</f>
        <v>244.08197401241503</v>
      </c>
      <c r="M30" s="674">
        <f t="shared" si="17"/>
        <v>8.2690920000000006</v>
      </c>
      <c r="N30" s="674">
        <f t="shared" si="11"/>
        <v>0</v>
      </c>
      <c r="O30" s="674">
        <f t="shared" si="18"/>
        <v>174.76269339288916</v>
      </c>
      <c r="P30" s="674">
        <f t="shared" si="18"/>
        <v>36.368214127849839</v>
      </c>
      <c r="Q30" s="674">
        <f t="shared" si="12"/>
        <v>0</v>
      </c>
      <c r="R30" s="673">
        <f t="shared" si="13"/>
        <v>219.39999952073902</v>
      </c>
      <c r="S30" s="100"/>
      <c r="T30" s="673">
        <f t="shared" si="14"/>
        <v>219.39999952073902</v>
      </c>
      <c r="U30" s="674">
        <f t="shared" si="15"/>
        <v>8.9887833957611072</v>
      </c>
      <c r="V30" s="483">
        <f t="shared" ca="1" si="16"/>
        <v>1.1683154973616545</v>
      </c>
      <c r="Y30" s="1739">
        <f>F13.2!Y30</f>
        <v>5.0979786460383369E-3</v>
      </c>
    </row>
    <row r="31" spans="1:25" ht="15.5" x14ac:dyDescent="0.35">
      <c r="A31" s="1739">
        <f>F13.2!A31</f>
        <v>0</v>
      </c>
      <c r="B31" s="367" t="s">
        <v>1545</v>
      </c>
      <c r="C31" s="1455">
        <f>ROUND(F13.2!C31*(1+Y31),0)</f>
        <v>30739</v>
      </c>
      <c r="D31" s="481">
        <f>'Tariff Comparison Ext.vsProp'!B122</f>
        <v>165</v>
      </c>
      <c r="E31" s="481">
        <v>0</v>
      </c>
      <c r="F31" s="481">
        <f>'Tariff Comparison Ext.vsProp'!C122</f>
        <v>8.7200000000000006</v>
      </c>
      <c r="G31" s="481">
        <f>'Tariff Comparison Ext.vsProp'!I55</f>
        <v>1.49</v>
      </c>
      <c r="H31" s="481"/>
      <c r="I31" s="481">
        <f>F13.2!I31</f>
        <v>0</v>
      </c>
      <c r="J31" s="481">
        <f ca="1">F13.2!J31</f>
        <v>0</v>
      </c>
      <c r="K31" s="481">
        <f>F13.2!K31*(1+A31)</f>
        <v>0</v>
      </c>
      <c r="L31" s="673">
        <f>'F1'!Q30</f>
        <v>406.07323096423778</v>
      </c>
      <c r="M31" s="674">
        <f t="shared" si="17"/>
        <v>6.086322</v>
      </c>
      <c r="N31" s="674">
        <f t="shared" si="11"/>
        <v>0</v>
      </c>
      <c r="O31" s="674">
        <f t="shared" si="18"/>
        <v>354.09585740081536</v>
      </c>
      <c r="P31" s="674">
        <f t="shared" si="18"/>
        <v>60.504911413671422</v>
      </c>
      <c r="Q31" s="674">
        <f t="shared" si="12"/>
        <v>0</v>
      </c>
      <c r="R31" s="673">
        <f t="shared" si="13"/>
        <v>420.68709081448679</v>
      </c>
      <c r="S31" s="100"/>
      <c r="T31" s="673">
        <f t="shared" si="14"/>
        <v>420.68709081448679</v>
      </c>
      <c r="U31" s="674">
        <f t="shared" si="15"/>
        <v>10.359882374308393</v>
      </c>
      <c r="V31" s="483">
        <f t="shared" ca="1" si="16"/>
        <v>1.3465238393057863</v>
      </c>
      <c r="Y31" s="1739">
        <f>F13.2!Y31</f>
        <v>5.0979786460383369E-3</v>
      </c>
    </row>
    <row r="32" spans="1:25" ht="15.5" x14ac:dyDescent="0.35">
      <c r="A32" s="1739">
        <f>F13.2!A32</f>
        <v>0</v>
      </c>
      <c r="B32" s="367" t="s">
        <v>973</v>
      </c>
      <c r="C32" s="1455">
        <f>ROUND(F13.2!C32*(1+Y32),0)</f>
        <v>255069</v>
      </c>
      <c r="D32" s="481">
        <f>'Tariff Comparison Ext.vsProp'!B123</f>
        <v>475</v>
      </c>
      <c r="E32" s="481">
        <v>0</v>
      </c>
      <c r="F32" s="481">
        <f>'Tariff Comparison Ext.vsProp'!C123</f>
        <v>4.71</v>
      </c>
      <c r="G32" s="481">
        <f>'Tariff Comparison Ext.vsProp'!I56</f>
        <v>1.49</v>
      </c>
      <c r="H32" s="481"/>
      <c r="I32" s="481">
        <f>F13.2!I32</f>
        <v>0</v>
      </c>
      <c r="J32" s="481">
        <f ca="1">F13.2!J32</f>
        <v>0</v>
      </c>
      <c r="K32" s="481">
        <f>F13.2!K32*(1+A32)</f>
        <v>0</v>
      </c>
      <c r="L32" s="673">
        <f>'F1'!Q31</f>
        <v>840.9347851560151</v>
      </c>
      <c r="M32" s="674">
        <f t="shared" si="17"/>
        <v>145.38933</v>
      </c>
      <c r="N32" s="674">
        <f t="shared" si="11"/>
        <v>0</v>
      </c>
      <c r="O32" s="674">
        <f t="shared" si="18"/>
        <v>396.0802838084831</v>
      </c>
      <c r="P32" s="674">
        <f t="shared" si="18"/>
        <v>125.29928298824625</v>
      </c>
      <c r="Q32" s="674">
        <f t="shared" si="12"/>
        <v>0</v>
      </c>
      <c r="R32" s="673">
        <f t="shared" si="13"/>
        <v>666.76889679672934</v>
      </c>
      <c r="S32" s="100"/>
      <c r="T32" s="673">
        <f t="shared" si="14"/>
        <v>666.76889679672934</v>
      </c>
      <c r="U32" s="674">
        <f t="shared" si="15"/>
        <v>7.9289013674589102</v>
      </c>
      <c r="V32" s="483">
        <f t="shared" ca="1" si="16"/>
        <v>1.0305575222807886</v>
      </c>
      <c r="Y32" s="1739">
        <f>F13.2!Y32</f>
        <v>5.0000000000000001E-3</v>
      </c>
    </row>
    <row r="33" spans="1:25" ht="15.5" x14ac:dyDescent="0.35">
      <c r="A33" s="1739">
        <f>F13.2!A33</f>
        <v>0.03</v>
      </c>
      <c r="B33" s="367" t="s">
        <v>974</v>
      </c>
      <c r="C33" s="1455">
        <f>ROUND(F13.2!C33*(1+Y33),0)</f>
        <v>5911</v>
      </c>
      <c r="D33" s="481">
        <v>0</v>
      </c>
      <c r="E33" s="481">
        <f>'Tariff Comparison Ext.vsProp'!B124</f>
        <v>395</v>
      </c>
      <c r="F33" s="481">
        <f>'Tariff Comparison Ext.vsProp'!C124</f>
        <v>4.78</v>
      </c>
      <c r="G33" s="481">
        <f>'Tariff Comparison Ext.vsProp'!I57</f>
        <v>1.49</v>
      </c>
      <c r="H33" s="481"/>
      <c r="I33" s="481">
        <f>F13.2!I33</f>
        <v>0</v>
      </c>
      <c r="J33" s="481">
        <f ca="1">F13.2!J33</f>
        <v>0</v>
      </c>
      <c r="K33" s="481">
        <f>F13.2!K33*(1+A33)</f>
        <v>222526.77469475055</v>
      </c>
      <c r="L33" s="673">
        <f>'F1'!Q32</f>
        <v>173.7415579902879</v>
      </c>
      <c r="M33" s="674">
        <f t="shared" si="17"/>
        <v>0</v>
      </c>
      <c r="N33" s="674">
        <f t="shared" si="11"/>
        <v>105.47769120531176</v>
      </c>
      <c r="O33" s="674">
        <f>F33*$L33/10</f>
        <v>83.048464719357611</v>
      </c>
      <c r="P33" s="674">
        <f>G33*$L33/10</f>
        <v>25.887492140552901</v>
      </c>
      <c r="Q33" s="674">
        <f t="shared" si="12"/>
        <v>0</v>
      </c>
      <c r="R33" s="673">
        <f t="shared" si="13"/>
        <v>214.41364806522225</v>
      </c>
      <c r="S33" s="100"/>
      <c r="T33" s="673">
        <f t="shared" si="14"/>
        <v>214.41364806522225</v>
      </c>
      <c r="U33" s="674">
        <f t="shared" si="15"/>
        <v>12.340953456697326</v>
      </c>
      <c r="V33" s="483">
        <f t="shared" ca="1" si="16"/>
        <v>1.6040131952092211</v>
      </c>
      <c r="Y33" s="1739">
        <f>F13.2!Y33</f>
        <v>0.01</v>
      </c>
    </row>
    <row r="34" spans="1:25" ht="15.5" x14ac:dyDescent="0.35">
      <c r="A34" s="1739">
        <f>F13.2!A34</f>
        <v>0.03</v>
      </c>
      <c r="B34" s="367" t="s">
        <v>975</v>
      </c>
      <c r="C34" s="1455">
        <f>ROUND(F13.2!C34*(1+Y34),0)</f>
        <v>3211</v>
      </c>
      <c r="D34" s="481">
        <v>0</v>
      </c>
      <c r="E34" s="481">
        <f>'Tariff Comparison Ext.vsProp'!B125</f>
        <v>395</v>
      </c>
      <c r="F34" s="481">
        <f>'Tariff Comparison Ext.vsProp'!C125</f>
        <v>5.12</v>
      </c>
      <c r="G34" s="481">
        <f>'Tariff Comparison Ext.vsProp'!I58</f>
        <v>1.49</v>
      </c>
      <c r="H34" s="481"/>
      <c r="I34" s="481">
        <f>F13.2!I34</f>
        <v>0</v>
      </c>
      <c r="J34" s="481">
        <f ca="1">F13.2!J34</f>
        <v>0</v>
      </c>
      <c r="K34" s="481">
        <f>F13.2!K34*(1+A34)</f>
        <v>450911.18249240116</v>
      </c>
      <c r="L34" s="673">
        <f>'F1'!Q33</f>
        <v>358.2343891645337</v>
      </c>
      <c r="M34" s="674">
        <f t="shared" si="17"/>
        <v>0</v>
      </c>
      <c r="N34" s="674">
        <f t="shared" si="11"/>
        <v>213.73190050139814</v>
      </c>
      <c r="O34" s="674">
        <f>F34*$L34/10</f>
        <v>183.41600725224126</v>
      </c>
      <c r="P34" s="674">
        <f>G34*$L34/10</f>
        <v>53.376923985515518</v>
      </c>
      <c r="Q34" s="674">
        <f t="shared" si="12"/>
        <v>0</v>
      </c>
      <c r="R34" s="673">
        <f t="shared" si="13"/>
        <v>450.52483173915493</v>
      </c>
      <c r="S34" s="100"/>
      <c r="T34" s="673">
        <f t="shared" si="14"/>
        <v>450.52483173915493</v>
      </c>
      <c r="U34" s="674">
        <f t="shared" si="15"/>
        <v>12.576258599568259</v>
      </c>
      <c r="V34" s="483">
        <f t="shared" ca="1" si="16"/>
        <v>1.6345969386282304</v>
      </c>
      <c r="Y34" s="1739">
        <f>F13.2!Y34</f>
        <v>2.3935761787220233E-2</v>
      </c>
    </row>
    <row r="35" spans="1:25" ht="15.5" x14ac:dyDescent="0.35">
      <c r="A35" s="1739">
        <f>F13.2!A35</f>
        <v>0</v>
      </c>
      <c r="B35" s="367" t="s">
        <v>965</v>
      </c>
      <c r="C35" s="1455">
        <f>ROUND(F13.2!C35*(1+Y35),0)</f>
        <v>8597</v>
      </c>
      <c r="D35" s="481">
        <f>'Tariff Comparison Ext.vsProp'!B126</f>
        <v>475</v>
      </c>
      <c r="E35" s="481">
        <v>0</v>
      </c>
      <c r="F35" s="481">
        <f>'Tariff Comparison Ext.vsProp'!C126</f>
        <v>4.4400000000000004</v>
      </c>
      <c r="G35" s="481">
        <f>'Tariff Comparison Ext.vsProp'!I59</f>
        <v>1.49</v>
      </c>
      <c r="H35" s="481"/>
      <c r="I35" s="481">
        <f>F13.2!I35</f>
        <v>0</v>
      </c>
      <c r="J35" s="481">
        <f ca="1">F13.2!J35</f>
        <v>0</v>
      </c>
      <c r="K35" s="481">
        <f>F13.2!K35*(1+A35)</f>
        <v>0</v>
      </c>
      <c r="L35" s="673">
        <f>'F1'!Q34</f>
        <v>105.7392569038896</v>
      </c>
      <c r="M35" s="674">
        <f t="shared" si="17"/>
        <v>4.90029</v>
      </c>
      <c r="N35" s="674">
        <f t="shared" ref="N35:N41" si="19">K35*E35*12/10^7</f>
        <v>0</v>
      </c>
      <c r="O35" s="674">
        <f t="shared" ref="O35:O41" si="20">F35*$L35/10</f>
        <v>46.948230065326989</v>
      </c>
      <c r="P35" s="674">
        <f t="shared" ref="P35:P41" si="21">G35*$L35/10</f>
        <v>15.75514927867955</v>
      </c>
      <c r="Q35" s="674">
        <f t="shared" ref="Q35:Q41" si="22">I35*$L35/10</f>
        <v>0</v>
      </c>
      <c r="R35" s="673">
        <f t="shared" ref="R35:R41" si="23">SUM(M35:Q35)</f>
        <v>67.603669344006533</v>
      </c>
      <c r="S35" s="100"/>
      <c r="T35" s="673">
        <f t="shared" ref="T35:T41" si="24">SUM(R35,S35)</f>
        <v>67.603669344006533</v>
      </c>
      <c r="U35" s="674">
        <f t="shared" ref="U35:U41" si="25">T35/L35*10</f>
        <v>6.3934314769635714</v>
      </c>
      <c r="V35" s="483">
        <f t="shared" ca="1" si="16"/>
        <v>0.83098510076222432</v>
      </c>
      <c r="Y35" s="1739">
        <f>F13.2!Y35</f>
        <v>0.03</v>
      </c>
    </row>
    <row r="36" spans="1:25" ht="15.5" x14ac:dyDescent="0.35">
      <c r="A36" s="1739">
        <f>F13.2!A36</f>
        <v>2.8446671385856881E-2</v>
      </c>
      <c r="B36" s="367" t="s">
        <v>976</v>
      </c>
      <c r="C36" s="1455">
        <f>ROUND(F13.2!C36*(1+Y36),0)</f>
        <v>1017</v>
      </c>
      <c r="D36" s="481">
        <v>0</v>
      </c>
      <c r="E36" s="481">
        <f>'Tariff Comparison Ext.vsProp'!B127</f>
        <v>395</v>
      </c>
      <c r="F36" s="481">
        <f>'Tariff Comparison Ext.vsProp'!C127</f>
        <v>4.67</v>
      </c>
      <c r="G36" s="481">
        <f>'Tariff Comparison Ext.vsProp'!I60</f>
        <v>1.49</v>
      </c>
      <c r="H36" s="481"/>
      <c r="I36" s="481">
        <f>F13.2!I36</f>
        <v>0</v>
      </c>
      <c r="J36" s="481">
        <f ca="1">F13.2!J36</f>
        <v>0</v>
      </c>
      <c r="K36" s="481">
        <f>F13.2!K36*(1+A36)</f>
        <v>65400.333526543109</v>
      </c>
      <c r="L36" s="673">
        <f>'F1'!Q35</f>
        <v>79.807084116296068</v>
      </c>
      <c r="M36" s="674">
        <f t="shared" si="17"/>
        <v>0</v>
      </c>
      <c r="N36" s="674">
        <f t="shared" si="19"/>
        <v>30.999758091581434</v>
      </c>
      <c r="O36" s="674">
        <f t="shared" si="20"/>
        <v>37.269908282310261</v>
      </c>
      <c r="P36" s="674">
        <f t="shared" si="21"/>
        <v>11.891255533328113</v>
      </c>
      <c r="Q36" s="674">
        <f t="shared" si="22"/>
        <v>0</v>
      </c>
      <c r="R36" s="673">
        <f t="shared" si="23"/>
        <v>80.160921907219802</v>
      </c>
      <c r="S36" s="100"/>
      <c r="T36" s="673">
        <f t="shared" si="24"/>
        <v>80.160921907219802</v>
      </c>
      <c r="U36" s="674">
        <f t="shared" si="25"/>
        <v>10.044336639390073</v>
      </c>
      <c r="V36" s="483">
        <f t="shared" ca="1" si="16"/>
        <v>1.305510839436939</v>
      </c>
      <c r="Y36" s="1739">
        <f>F13.2!Y36</f>
        <v>0.01</v>
      </c>
    </row>
    <row r="37" spans="1:25" ht="15.5" x14ac:dyDescent="0.35">
      <c r="A37" s="1739">
        <f>F13.2!A37</f>
        <v>0</v>
      </c>
      <c r="B37" s="367" t="s">
        <v>967</v>
      </c>
      <c r="C37" s="1455">
        <f>ROUND(F13.2!C37*(1+Y37),0)</f>
        <v>677</v>
      </c>
      <c r="D37" s="481">
        <f>'Tariff Comparison Ext.vsProp'!B128</f>
        <v>475</v>
      </c>
      <c r="E37" s="481">
        <v>0</v>
      </c>
      <c r="F37" s="481">
        <f>'Tariff Comparison Ext.vsProp'!C128</f>
        <v>4.8899999999999997</v>
      </c>
      <c r="G37" s="481">
        <f>'Tariff Comparison Ext.vsProp'!I61</f>
        <v>1.49</v>
      </c>
      <c r="H37" s="481"/>
      <c r="I37" s="481">
        <f>F13.2!I37</f>
        <v>0</v>
      </c>
      <c r="J37" s="481">
        <f ca="1">F13.2!J37</f>
        <v>0</v>
      </c>
      <c r="K37" s="481">
        <f>F13.2!K37*(1+A37)</f>
        <v>0</v>
      </c>
      <c r="L37" s="673">
        <f>'F1'!Q36</f>
        <v>61.397282548059046</v>
      </c>
      <c r="M37" s="674">
        <f t="shared" si="17"/>
        <v>0.38589000000000001</v>
      </c>
      <c r="N37" s="674">
        <f t="shared" si="19"/>
        <v>0</v>
      </c>
      <c r="O37" s="674">
        <f t="shared" si="20"/>
        <v>30.023271166000871</v>
      </c>
      <c r="P37" s="674">
        <f t="shared" si="21"/>
        <v>9.1481950996607981</v>
      </c>
      <c r="Q37" s="674">
        <f t="shared" si="22"/>
        <v>0</v>
      </c>
      <c r="R37" s="673">
        <f t="shared" si="23"/>
        <v>39.557356265661667</v>
      </c>
      <c r="S37" s="100"/>
      <c r="T37" s="673">
        <f t="shared" si="24"/>
        <v>39.557356265661667</v>
      </c>
      <c r="U37" s="674">
        <f t="shared" si="25"/>
        <v>6.4428513158864877</v>
      </c>
      <c r="V37" s="483">
        <f t="shared" ca="1" si="16"/>
        <v>0.83740843539480514</v>
      </c>
      <c r="Y37" s="1739">
        <f>F13.2!Y37</f>
        <v>8.6999999999999994E-3</v>
      </c>
    </row>
    <row r="38" spans="1:25" ht="15.5" x14ac:dyDescent="0.35">
      <c r="A38" s="1739">
        <f>F13.2!A38</f>
        <v>0</v>
      </c>
      <c r="B38" s="367" t="s">
        <v>968</v>
      </c>
      <c r="C38" s="1455">
        <f>ROUND(F13.2!C38*(1+Y38),0)</f>
        <v>7064</v>
      </c>
      <c r="D38" s="481">
        <f>'Tariff Comparison Ext.vsProp'!B129</f>
        <v>475</v>
      </c>
      <c r="E38" s="481">
        <v>0</v>
      </c>
      <c r="F38" s="481">
        <f>'Tariff Comparison Ext.vsProp'!C129</f>
        <v>4.8499999999999996</v>
      </c>
      <c r="G38" s="481">
        <f>'Tariff Comparison Ext.vsProp'!I62</f>
        <v>1.49</v>
      </c>
      <c r="H38" s="481"/>
      <c r="I38" s="481">
        <f>F13.2!I38</f>
        <v>0</v>
      </c>
      <c r="J38" s="481">
        <f ca="1">F13.2!J38</f>
        <v>0</v>
      </c>
      <c r="K38" s="481">
        <f>F13.2!K38*(1+A38)</f>
        <v>0</v>
      </c>
      <c r="L38" s="673">
        <f>'F1'!Q37</f>
        <v>178.81986798061297</v>
      </c>
      <c r="M38" s="674">
        <f t="shared" si="17"/>
        <v>4.0264800000000003</v>
      </c>
      <c r="N38" s="674">
        <f t="shared" si="19"/>
        <v>0</v>
      </c>
      <c r="O38" s="674">
        <f t="shared" si="20"/>
        <v>86.727635970597277</v>
      </c>
      <c r="P38" s="674">
        <f t="shared" si="21"/>
        <v>26.644160329111333</v>
      </c>
      <c r="Q38" s="674">
        <f t="shared" si="22"/>
        <v>0</v>
      </c>
      <c r="R38" s="673">
        <f t="shared" si="23"/>
        <v>117.39827629970861</v>
      </c>
      <c r="S38" s="100"/>
      <c r="T38" s="673">
        <f t="shared" si="24"/>
        <v>117.39827629970861</v>
      </c>
      <c r="U38" s="674">
        <f t="shared" si="25"/>
        <v>6.5651696103721839</v>
      </c>
      <c r="V38" s="483">
        <f t="shared" ca="1" si="16"/>
        <v>0.85330673361454823</v>
      </c>
      <c r="Y38" s="1739">
        <f>F13.2!Y38</f>
        <v>8.6999999999999994E-3</v>
      </c>
    </row>
    <row r="39" spans="1:25" ht="15.5" x14ac:dyDescent="0.35">
      <c r="A39" s="1739">
        <f>F13.2!A39</f>
        <v>0</v>
      </c>
      <c r="B39" s="800" t="s">
        <v>1546</v>
      </c>
      <c r="C39" s="1455">
        <f>ROUND(F13.2!C39*(1+Y39),0)</f>
        <v>0</v>
      </c>
      <c r="D39" s="481">
        <v>0</v>
      </c>
      <c r="E39" s="481">
        <f>'Tariff Comparison Ext.vsProp'!B130</f>
        <v>40</v>
      </c>
      <c r="F39" s="481">
        <f>'Tariff Comparison Ext.vsProp'!C130</f>
        <v>2.04</v>
      </c>
      <c r="G39" s="481">
        <f>'Tariff Comparison Ext.vsProp'!I63</f>
        <v>1.49</v>
      </c>
      <c r="H39" s="481"/>
      <c r="I39" s="481">
        <f>F13.2!I39</f>
        <v>0</v>
      </c>
      <c r="J39" s="481">
        <f>F13.2!J39</f>
        <v>0</v>
      </c>
      <c r="K39" s="481">
        <f>F13.2!K39*(1+A39)</f>
        <v>0</v>
      </c>
      <c r="L39" s="673">
        <f>'F1'!Q38</f>
        <v>0</v>
      </c>
      <c r="M39" s="674">
        <f t="shared" si="17"/>
        <v>0</v>
      </c>
      <c r="N39" s="674">
        <f t="shared" si="19"/>
        <v>0</v>
      </c>
      <c r="O39" s="674">
        <f t="shared" si="20"/>
        <v>0</v>
      </c>
      <c r="P39" s="674">
        <f t="shared" si="21"/>
        <v>0</v>
      </c>
      <c r="Q39" s="674">
        <f t="shared" si="22"/>
        <v>0</v>
      </c>
      <c r="R39" s="673">
        <f t="shared" si="23"/>
        <v>0</v>
      </c>
      <c r="S39" s="100"/>
      <c r="T39" s="673">
        <f t="shared" si="24"/>
        <v>0</v>
      </c>
      <c r="U39" s="674">
        <v>0</v>
      </c>
      <c r="V39" s="483"/>
      <c r="Y39" s="1739">
        <f>F13.2!Y39</f>
        <v>0</v>
      </c>
    </row>
    <row r="40" spans="1:25" ht="15.5" x14ac:dyDescent="0.35">
      <c r="A40" s="1739">
        <f>F13.2!A40</f>
        <v>0</v>
      </c>
      <c r="B40" s="367" t="s">
        <v>991</v>
      </c>
      <c r="C40" s="1455">
        <f>ROUND(F13.2!C40*(1+Y40),0)</f>
        <v>1</v>
      </c>
      <c r="D40" s="481">
        <v>0</v>
      </c>
      <c r="E40" s="481">
        <f>'Tariff Comparison Ext.vsProp'!B131</f>
        <v>90</v>
      </c>
      <c r="F40" s="481">
        <f>'Tariff Comparison Ext.vsProp'!C131</f>
        <v>3.41</v>
      </c>
      <c r="G40" s="481">
        <f>'Tariff Comparison Ext.vsProp'!I64</f>
        <v>1.49</v>
      </c>
      <c r="H40" s="481"/>
      <c r="I40" s="481">
        <f>F13.2!I40</f>
        <v>0</v>
      </c>
      <c r="J40" s="481">
        <f ca="1">F13.2!J40</f>
        <v>0</v>
      </c>
      <c r="K40" s="481">
        <f>F13.2!K40*(1+A40)</f>
        <v>0</v>
      </c>
      <c r="L40" s="673">
        <f>'F1'!Q39</f>
        <v>5.1452999999999992E-2</v>
      </c>
      <c r="M40" s="674">
        <f t="shared" si="17"/>
        <v>0</v>
      </c>
      <c r="N40" s="674">
        <f t="shared" si="19"/>
        <v>0</v>
      </c>
      <c r="O40" s="674">
        <f t="shared" si="20"/>
        <v>1.7545472999999999E-2</v>
      </c>
      <c r="P40" s="674">
        <f t="shared" si="21"/>
        <v>7.6664969999999987E-3</v>
      </c>
      <c r="Q40" s="674">
        <f t="shared" si="22"/>
        <v>0</v>
      </c>
      <c r="R40" s="673">
        <f t="shared" si="23"/>
        <v>2.5211969999999997E-2</v>
      </c>
      <c r="S40" s="100"/>
      <c r="T40" s="673">
        <f t="shared" si="24"/>
        <v>2.5211969999999997E-2</v>
      </c>
      <c r="U40" s="674">
        <f t="shared" si="25"/>
        <v>4.9000000000000004</v>
      </c>
      <c r="V40" s="483">
        <f ca="1">U40/$V$53</f>
        <v>0.63687661444503818</v>
      </c>
      <c r="Y40" s="1739">
        <f>F13.2!Y40</f>
        <v>0</v>
      </c>
    </row>
    <row r="41" spans="1:25" ht="15.5" x14ac:dyDescent="0.35">
      <c r="A41" s="1739">
        <f>F13.2!A41</f>
        <v>0</v>
      </c>
      <c r="B41" s="370" t="s">
        <v>977</v>
      </c>
      <c r="C41" s="1455">
        <f>ROUND(F13.2!C41*(1+Y41),0)</f>
        <v>35</v>
      </c>
      <c r="D41" s="481">
        <v>0</v>
      </c>
      <c r="E41" s="481">
        <f>'Tariff Comparison Ext.vsProp'!B132</f>
        <v>70</v>
      </c>
      <c r="F41" s="481">
        <f>'Tariff Comparison Ext.vsProp'!C132</f>
        <v>4.01</v>
      </c>
      <c r="G41" s="481">
        <f>'Tariff Comparison Ext.vsProp'!I65</f>
        <v>1.49</v>
      </c>
      <c r="H41" s="481"/>
      <c r="I41" s="481">
        <f>F13.2!I41</f>
        <v>0</v>
      </c>
      <c r="J41" s="481">
        <f ca="1">F13.2!J41</f>
        <v>0</v>
      </c>
      <c r="K41" s="481">
        <f>F13.2!K41*(1+A41)</f>
        <v>0</v>
      </c>
      <c r="L41" s="673">
        <f>'F1'!Q40</f>
        <v>28.396340625000008</v>
      </c>
      <c r="M41" s="674">
        <f t="shared" si="17"/>
        <v>0</v>
      </c>
      <c r="N41" s="674">
        <f t="shared" si="19"/>
        <v>0</v>
      </c>
      <c r="O41" s="674">
        <f t="shared" si="20"/>
        <v>11.386932590625003</v>
      </c>
      <c r="P41" s="674">
        <f t="shared" si="21"/>
        <v>4.2310547531250009</v>
      </c>
      <c r="Q41" s="674">
        <f t="shared" si="22"/>
        <v>0</v>
      </c>
      <c r="R41" s="673">
        <f t="shared" si="23"/>
        <v>15.617987343750004</v>
      </c>
      <c r="S41" s="100"/>
      <c r="T41" s="673">
        <f t="shared" si="24"/>
        <v>15.617987343750004</v>
      </c>
      <c r="U41" s="674">
        <f t="shared" si="25"/>
        <v>5.4999999999999991</v>
      </c>
      <c r="V41" s="483">
        <f ca="1">U41/$V$53</f>
        <v>0.71486150600973652</v>
      </c>
      <c r="Y41" s="1739">
        <f>F13.2!Y41</f>
        <v>0.25</v>
      </c>
    </row>
    <row r="42" spans="1:25" ht="15.5" x14ac:dyDescent="0.35">
      <c r="B42" s="367"/>
      <c r="C42" s="100"/>
      <c r="D42" s="481"/>
      <c r="E42" s="481"/>
      <c r="F42" s="481"/>
      <c r="G42" s="481"/>
      <c r="H42" s="481"/>
      <c r="I42" s="481"/>
      <c r="J42" s="481"/>
      <c r="K42" s="481"/>
      <c r="L42" s="100"/>
      <c r="M42" s="674"/>
      <c r="N42" s="674"/>
      <c r="O42" s="674"/>
      <c r="P42" s="674"/>
      <c r="Q42" s="674"/>
      <c r="R42" s="673"/>
      <c r="S42" s="100"/>
      <c r="T42" s="673"/>
      <c r="U42" s="674"/>
      <c r="V42" s="484"/>
    </row>
    <row r="43" spans="1:25" s="152" customFormat="1" x14ac:dyDescent="0.3">
      <c r="B43" s="177" t="s">
        <v>972</v>
      </c>
      <c r="C43" s="1457">
        <f>SUM(C26:C41)</f>
        <v>1059061</v>
      </c>
      <c r="D43" s="482"/>
      <c r="E43" s="482"/>
      <c r="F43" s="482"/>
      <c r="G43" s="482"/>
      <c r="H43" s="482"/>
      <c r="I43" s="482"/>
      <c r="J43" s="482"/>
      <c r="K43" s="675">
        <f t="shared" ref="K43:T43" si="26">SUM(K26:K41)</f>
        <v>738838.29071369488</v>
      </c>
      <c r="L43" s="675">
        <f t="shared" si="26"/>
        <v>3988.1034710629638</v>
      </c>
      <c r="M43" s="675">
        <f t="shared" si="26"/>
        <v>261.51655199999999</v>
      </c>
      <c r="N43" s="675">
        <f t="shared" si="26"/>
        <v>350.20934979829133</v>
      </c>
      <c r="O43" s="675">
        <f t="shared" si="26"/>
        <v>1853.9079279136072</v>
      </c>
      <c r="P43" s="675">
        <f t="shared" si="26"/>
        <v>594.22741718838165</v>
      </c>
      <c r="Q43" s="675">
        <f t="shared" si="26"/>
        <v>0</v>
      </c>
      <c r="R43" s="675">
        <f t="shared" si="26"/>
        <v>3059.8612469002796</v>
      </c>
      <c r="S43" s="675">
        <f t="shared" si="26"/>
        <v>0</v>
      </c>
      <c r="T43" s="675">
        <f t="shared" si="26"/>
        <v>3059.8612469002796</v>
      </c>
      <c r="U43" s="676">
        <f>T43/L43*10</f>
        <v>7.6724720637318971</v>
      </c>
      <c r="V43" s="484">
        <f ca="1">U43/$V$53</f>
        <v>0.99722816987218477</v>
      </c>
    </row>
    <row r="44" spans="1:25" x14ac:dyDescent="0.3">
      <c r="B44" s="76" t="s">
        <v>978</v>
      </c>
      <c r="C44" s="1458"/>
      <c r="D44" s="481"/>
      <c r="E44" s="481"/>
      <c r="F44" s="481"/>
      <c r="G44" s="481"/>
      <c r="H44" s="481"/>
      <c r="I44" s="481"/>
      <c r="J44" s="481"/>
      <c r="K44" s="100"/>
      <c r="L44" s="100"/>
      <c r="M44" s="674">
        <f t="shared" si="4"/>
        <v>0</v>
      </c>
      <c r="N44" s="674">
        <f>K44*E44*12/10^7</f>
        <v>0</v>
      </c>
      <c r="O44" s="674">
        <f>F44*$L44/10</f>
        <v>0</v>
      </c>
      <c r="P44" s="674">
        <f>G44*$L44/10</f>
        <v>0</v>
      </c>
      <c r="Q44" s="674">
        <f>I44*$L44/10</f>
        <v>0</v>
      </c>
      <c r="R44" s="673">
        <f>SUM(M44:Q44)</f>
        <v>0</v>
      </c>
      <c r="S44" s="100"/>
      <c r="T44" s="673">
        <f>SUM(R44,S44)</f>
        <v>0</v>
      </c>
      <c r="U44" s="674">
        <v>0</v>
      </c>
      <c r="V44" s="484"/>
    </row>
    <row r="45" spans="1:25" s="152" customFormat="1" x14ac:dyDescent="0.3">
      <c r="B45" s="177" t="s">
        <v>145</v>
      </c>
      <c r="C45" s="1457">
        <f>SUM(C43,C22)</f>
        <v>1059261</v>
      </c>
      <c r="D45" s="482"/>
      <c r="E45" s="482"/>
      <c r="F45" s="482"/>
      <c r="G45" s="482"/>
      <c r="H45" s="482"/>
      <c r="I45" s="482"/>
      <c r="J45" s="482"/>
      <c r="K45" s="675">
        <f t="shared" ref="K45:T45" si="27">SUM(K43,K22)</f>
        <v>1008953.470601</v>
      </c>
      <c r="L45" s="675">
        <f t="shared" si="27"/>
        <v>4635.430993703435</v>
      </c>
      <c r="M45" s="675">
        <f t="shared" si="27"/>
        <v>261.51655199999999</v>
      </c>
      <c r="N45" s="675">
        <f t="shared" si="27"/>
        <v>478.24394506487397</v>
      </c>
      <c r="O45" s="675">
        <f t="shared" si="27"/>
        <v>2195.8560418085835</v>
      </c>
      <c r="P45" s="675">
        <f t="shared" si="27"/>
        <v>627.24112084304568</v>
      </c>
      <c r="Q45" s="675">
        <f t="shared" si="27"/>
        <v>0</v>
      </c>
      <c r="R45" s="675">
        <f t="shared" si="27"/>
        <v>3562.8576597165029</v>
      </c>
      <c r="S45" s="675">
        <f t="shared" si="27"/>
        <v>0</v>
      </c>
      <c r="T45" s="675">
        <f t="shared" si="27"/>
        <v>3562.8576597165029</v>
      </c>
      <c r="U45" s="676">
        <f>T45/L45*10</f>
        <v>7.6861410827949586</v>
      </c>
      <c r="V45" s="484">
        <f ca="1">U45/$V$53</f>
        <v>0.99900479815456589</v>
      </c>
    </row>
    <row r="46" spans="1:25" x14ac:dyDescent="0.3">
      <c r="B46" s="76" t="s">
        <v>980</v>
      </c>
      <c r="C46" s="100"/>
      <c r="D46" s="481"/>
      <c r="E46" s="481"/>
      <c r="F46" s="481"/>
      <c r="G46" s="481"/>
      <c r="H46" s="481"/>
      <c r="I46" s="481"/>
      <c r="J46" s="481"/>
      <c r="K46" s="810"/>
      <c r="L46" s="673"/>
      <c r="M46" s="674"/>
      <c r="N46" s="674"/>
      <c r="O46" s="674"/>
      <c r="P46" s="674"/>
      <c r="Q46" s="674"/>
      <c r="R46" s="673"/>
      <c r="S46" s="100"/>
      <c r="T46" s="673"/>
      <c r="U46" s="674"/>
      <c r="V46" s="484"/>
    </row>
    <row r="47" spans="1:25" x14ac:dyDescent="0.3">
      <c r="B47" s="76" t="s">
        <v>981</v>
      </c>
      <c r="C47" s="100"/>
      <c r="D47" s="481"/>
      <c r="E47" s="481"/>
      <c r="F47" s="481"/>
      <c r="G47" s="481"/>
      <c r="H47" s="481"/>
      <c r="I47" s="481"/>
      <c r="J47" s="481"/>
      <c r="K47" s="481"/>
      <c r="L47" s="100"/>
      <c r="M47" s="100"/>
      <c r="N47" s="100"/>
      <c r="O47" s="100"/>
      <c r="P47" s="100"/>
      <c r="Q47" s="100"/>
      <c r="R47" s="100"/>
      <c r="S47" s="100"/>
      <c r="T47" s="100"/>
      <c r="U47" s="11"/>
      <c r="V47" s="483"/>
    </row>
    <row r="48" spans="1:25" x14ac:dyDescent="0.3">
      <c r="B48" s="76" t="s">
        <v>982</v>
      </c>
      <c r="C48" s="12"/>
      <c r="D48" s="481"/>
      <c r="E48" s="481"/>
      <c r="F48" s="481"/>
      <c r="G48" s="481"/>
      <c r="H48" s="481"/>
      <c r="I48" s="481"/>
      <c r="J48" s="481"/>
      <c r="K48" s="1262"/>
      <c r="L48" s="12"/>
      <c r="M48" s="12"/>
      <c r="N48" s="12"/>
      <c r="O48" s="12"/>
      <c r="P48" s="12"/>
      <c r="Q48" s="12"/>
      <c r="R48" s="12"/>
      <c r="S48" s="12"/>
      <c r="T48" s="12"/>
      <c r="U48" s="11"/>
      <c r="V48" s="483"/>
    </row>
    <row r="49" spans="2:22" x14ac:dyDescent="0.3">
      <c r="B49" s="76" t="s">
        <v>983</v>
      </c>
      <c r="C49" s="12"/>
      <c r="D49" s="481"/>
      <c r="E49" s="481"/>
      <c r="F49" s="481"/>
      <c r="G49" s="481"/>
      <c r="H49" s="481"/>
      <c r="I49" s="481"/>
      <c r="J49" s="481"/>
      <c r="K49" s="1262"/>
      <c r="L49" s="12"/>
      <c r="M49" s="12"/>
      <c r="N49" s="12"/>
      <c r="O49" s="12"/>
      <c r="P49" s="12"/>
      <c r="Q49" s="12"/>
      <c r="R49" s="12"/>
      <c r="S49" s="12"/>
      <c r="T49" s="12"/>
      <c r="U49" s="11"/>
      <c r="V49" s="483"/>
    </row>
    <row r="50" spans="2:22" x14ac:dyDescent="0.3">
      <c r="B50" s="76" t="s">
        <v>984</v>
      </c>
      <c r="C50" s="12"/>
      <c r="D50" s="481"/>
      <c r="E50" s="481"/>
      <c r="F50" s="481"/>
      <c r="G50" s="481"/>
      <c r="H50" s="481"/>
      <c r="I50" s="481"/>
      <c r="J50" s="481"/>
      <c r="K50" s="1262"/>
      <c r="L50" s="12"/>
      <c r="M50" s="12"/>
      <c r="N50" s="12"/>
      <c r="O50" s="12"/>
      <c r="P50" s="12"/>
      <c r="Q50" s="12"/>
      <c r="R50" s="12"/>
      <c r="S50" s="12"/>
      <c r="T50" s="12"/>
      <c r="U50" s="11"/>
      <c r="V50" s="483"/>
    </row>
    <row r="51" spans="2:22" ht="15.5" x14ac:dyDescent="0.35">
      <c r="B51" s="372" t="s">
        <v>992</v>
      </c>
      <c r="C51" s="11"/>
      <c r="D51" s="481"/>
      <c r="E51" s="481"/>
      <c r="F51" s="481"/>
      <c r="G51" s="481"/>
      <c r="H51" s="481"/>
      <c r="I51" s="481"/>
      <c r="J51" s="481"/>
      <c r="K51" s="343"/>
      <c r="L51" s="11"/>
      <c r="M51" s="11"/>
      <c r="N51" s="11"/>
      <c r="O51" s="11"/>
      <c r="P51" s="11"/>
      <c r="Q51" s="11"/>
      <c r="R51" s="11"/>
      <c r="S51" s="11"/>
      <c r="T51" s="11"/>
      <c r="U51" s="11"/>
      <c r="V51" s="483"/>
    </row>
    <row r="52" spans="2:22" x14ac:dyDescent="0.3">
      <c r="B52" s="177" t="s">
        <v>985</v>
      </c>
      <c r="C52" s="1316">
        <f t="shared" ref="C52:M52" si="28">SUM(C45:C51)</f>
        <v>1059261</v>
      </c>
      <c r="D52" s="1316">
        <f t="shared" si="28"/>
        <v>0</v>
      </c>
      <c r="E52" s="1316">
        <f t="shared" si="28"/>
        <v>0</v>
      </c>
      <c r="F52" s="1316">
        <f t="shared" si="28"/>
        <v>0</v>
      </c>
      <c r="G52" s="1316">
        <f t="shared" si="28"/>
        <v>0</v>
      </c>
      <c r="H52" s="1316">
        <f t="shared" si="28"/>
        <v>0</v>
      </c>
      <c r="I52" s="1316">
        <f t="shared" si="28"/>
        <v>0</v>
      </c>
      <c r="J52" s="1316">
        <f t="shared" si="28"/>
        <v>0</v>
      </c>
      <c r="K52" s="1316">
        <f t="shared" si="28"/>
        <v>1008953.470601</v>
      </c>
      <c r="L52" s="1316">
        <f t="shared" si="28"/>
        <v>4635.430993703435</v>
      </c>
      <c r="M52" s="1316">
        <f t="shared" si="28"/>
        <v>261.51655199999999</v>
      </c>
      <c r="N52" s="1316">
        <f>SUM(N45:N51)</f>
        <v>478.24394506487397</v>
      </c>
      <c r="O52" s="1316">
        <f t="shared" ref="O52:T52" si="29">SUM(O45:O51)</f>
        <v>2195.8560418085835</v>
      </c>
      <c r="P52" s="1316">
        <f t="shared" si="29"/>
        <v>627.24112084304568</v>
      </c>
      <c r="Q52" s="1316">
        <f t="shared" si="29"/>
        <v>0</v>
      </c>
      <c r="R52" s="1316">
        <f t="shared" si="29"/>
        <v>3562.8576597165029</v>
      </c>
      <c r="S52" s="1316">
        <f t="shared" si="29"/>
        <v>0</v>
      </c>
      <c r="T52" s="1316">
        <f t="shared" si="29"/>
        <v>3562.8576597165029</v>
      </c>
      <c r="U52" s="676">
        <f>T52/L52*10</f>
        <v>7.6861410827949586</v>
      </c>
      <c r="V52" s="484">
        <f ca="1">U52/$V$53</f>
        <v>0.99900479815456589</v>
      </c>
    </row>
    <row r="53" spans="2:22" x14ac:dyDescent="0.3">
      <c r="K53" s="425">
        <v>0</v>
      </c>
      <c r="L53" s="677">
        <f>'F1'!$Q$52-L52</f>
        <v>0</v>
      </c>
      <c r="U53" s="38" t="s">
        <v>1286</v>
      </c>
      <c r="V53" s="349">
        <f ca="1">'ARR-Summary'!V97/F13.3!L52*10</f>
        <v>7.6937979647278532</v>
      </c>
    </row>
    <row r="54" spans="2:22" x14ac:dyDescent="0.3">
      <c r="I54" s="2"/>
      <c r="K54" s="1"/>
      <c r="L54" s="1516"/>
      <c r="V54" s="425"/>
    </row>
    <row r="57" spans="2:22" x14ac:dyDescent="0.3">
      <c r="K57" s="1"/>
    </row>
  </sheetData>
  <mergeCells count="9">
    <mergeCell ref="U10:U11"/>
    <mergeCell ref="V10:V11"/>
    <mergeCell ref="S10:S11"/>
    <mergeCell ref="T10:T11"/>
    <mergeCell ref="B10:B11"/>
    <mergeCell ref="C10:C11"/>
    <mergeCell ref="D10:I10"/>
    <mergeCell ref="J10:L10"/>
    <mergeCell ref="M10:R10"/>
  </mergeCells>
  <pageMargins left="0.70866141732283472" right="0.70866141732283472" top="0.74803149606299213" bottom="0.74803149606299213" header="0.31496062992125984" footer="0.31496062992125984"/>
  <pageSetup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showGridLines="0" zoomScale="59" workbookViewId="0">
      <selection activeCell="C22" sqref="C22"/>
    </sheetView>
  </sheetViews>
  <sheetFormatPr defaultRowHeight="14.5" x14ac:dyDescent="0.25"/>
  <cols>
    <col min="1" max="1" width="8.7265625" style="1776"/>
    <col min="2" max="2" width="41" style="1776" customWidth="1"/>
    <col min="3" max="3" width="11" style="1776" customWidth="1"/>
    <col min="4" max="4" width="10.90625" style="1776" customWidth="1"/>
    <col min="5" max="5" width="11" style="1776" customWidth="1"/>
    <col min="6" max="6" width="12.08984375" style="1776" customWidth="1"/>
    <col min="7" max="7" width="9.81640625" style="1776" customWidth="1"/>
    <col min="8" max="8" width="9.90625" style="1776" customWidth="1"/>
    <col min="9" max="16384" width="8.7265625" style="1776"/>
  </cols>
  <sheetData>
    <row r="2" spans="2:10" x14ac:dyDescent="0.25">
      <c r="B2" s="2171" t="s">
        <v>2011</v>
      </c>
      <c r="C2" s="2171"/>
      <c r="D2" s="2171"/>
      <c r="E2" s="2171"/>
      <c r="F2" s="2171"/>
      <c r="G2" s="2171"/>
      <c r="H2" s="2171"/>
    </row>
    <row r="3" spans="2:10" ht="39" x14ac:dyDescent="0.25">
      <c r="B3" s="1932" t="s">
        <v>50</v>
      </c>
      <c r="C3" s="1933" t="s">
        <v>1842</v>
      </c>
      <c r="D3" s="1933" t="s">
        <v>1843</v>
      </c>
      <c r="E3" s="1933" t="s">
        <v>1844</v>
      </c>
      <c r="F3" s="1933" t="s">
        <v>1845</v>
      </c>
      <c r="G3" s="1933" t="s">
        <v>1846</v>
      </c>
      <c r="H3" s="1933" t="s">
        <v>1847</v>
      </c>
    </row>
    <row r="4" spans="2:10" x14ac:dyDescent="0.25">
      <c r="B4" s="1777" t="s">
        <v>1966</v>
      </c>
      <c r="C4" s="1778">
        <f>'ARR-Summary'!F28</f>
        <v>633.59704776431033</v>
      </c>
      <c r="D4" s="1778">
        <f ca="1">'ARR-Summary'!I28</f>
        <v>668.8088369172923</v>
      </c>
      <c r="E4" s="1778">
        <f>'ARR-Summary'!L28</f>
        <v>666.60254989137775</v>
      </c>
      <c r="F4" s="1778">
        <f ca="1">'ARR-Summary'!Q28</f>
        <v>660.328208760861</v>
      </c>
      <c r="G4" s="1778">
        <f ca="1">'ARR-Summary'!T28</f>
        <v>725.63379652876529</v>
      </c>
      <c r="H4" s="1778">
        <f ca="1">'ARR-Summary'!V28</f>
        <v>824.9698136370763</v>
      </c>
    </row>
    <row r="5" spans="2:10" ht="29" x14ac:dyDescent="0.35">
      <c r="B5" s="1917" t="s">
        <v>1967</v>
      </c>
      <c r="C5" s="1778"/>
      <c r="D5" s="1778">
        <v>-30.13</v>
      </c>
      <c r="E5" s="1778">
        <f>'Carrying Cost'!M5</f>
        <v>-13.31460907323396</v>
      </c>
      <c r="F5" s="1778">
        <f>'Carrying Cost'!$N$5</f>
        <v>-8.0704659753726506</v>
      </c>
      <c r="G5" s="1778">
        <f>'Carrying Cost'!$O$5</f>
        <v>-6.7445897602073872</v>
      </c>
      <c r="H5" s="1778">
        <f>'Carrying Cost'!$P$5</f>
        <v>-4.0362093324692152</v>
      </c>
      <c r="J5" s="1779"/>
    </row>
    <row r="6" spans="2:10" ht="43.5" x14ac:dyDescent="0.35">
      <c r="B6" s="1917" t="s">
        <v>1968</v>
      </c>
      <c r="C6" s="1778"/>
      <c r="D6" s="1778"/>
      <c r="E6" s="1778"/>
      <c r="F6" s="1778"/>
      <c r="G6" s="1926">
        <f ca="1">'Carrying Cost'!K15</f>
        <v>454.45164036774452</v>
      </c>
      <c r="H6" s="1926">
        <f ca="1">G10</f>
        <v>227.42053876722809</v>
      </c>
      <c r="J6" s="1779"/>
    </row>
    <row r="7" spans="2:10" x14ac:dyDescent="0.35">
      <c r="B7" s="1780" t="s">
        <v>1969</v>
      </c>
      <c r="C7" s="1778">
        <f>SUM(C4:C6)</f>
        <v>633.59704776431033</v>
      </c>
      <c r="D7" s="1778">
        <f t="shared" ref="D7:H7" ca="1" si="0">SUM(D4:D6)</f>
        <v>638.6788369172923</v>
      </c>
      <c r="E7" s="1778">
        <f t="shared" si="0"/>
        <v>653.28794081814374</v>
      </c>
      <c r="F7" s="1778">
        <f t="shared" ca="1" si="0"/>
        <v>652.2577427854884</v>
      </c>
      <c r="G7" s="1778">
        <f t="shared" ca="1" si="0"/>
        <v>1173.3408471363023</v>
      </c>
      <c r="H7" s="1778">
        <f t="shared" ca="1" si="0"/>
        <v>1048.3541430718351</v>
      </c>
      <c r="J7" s="1779"/>
    </row>
    <row r="8" spans="2:10" ht="3" customHeight="1" x14ac:dyDescent="0.35">
      <c r="B8" s="1780"/>
      <c r="C8" s="1778"/>
      <c r="D8" s="1778"/>
      <c r="E8" s="1778"/>
      <c r="F8" s="1778"/>
      <c r="G8" s="1778"/>
      <c r="H8" s="1778"/>
      <c r="J8" s="1779"/>
    </row>
    <row r="9" spans="2:10" ht="29" x14ac:dyDescent="0.35">
      <c r="B9" s="1780" t="s">
        <v>1970</v>
      </c>
      <c r="C9" s="1778">
        <f>'F20'!E30</f>
        <v>610.67737147740024</v>
      </c>
      <c r="D9" s="1778">
        <f>'F20'!$E$136</f>
        <v>461.49592995099999</v>
      </c>
      <c r="E9" s="1778">
        <f>'F20'!$E$244</f>
        <v>529.34640171800004</v>
      </c>
      <c r="F9" s="1778">
        <f>F13.1!$O$98</f>
        <v>601.21189057547508</v>
      </c>
      <c r="G9" s="1778">
        <f ca="1">F14.1!$O$52</f>
        <v>945.92030836907418</v>
      </c>
      <c r="H9" s="1778">
        <f ca="1">F14.2!$O$52</f>
        <v>1048.6037929065383</v>
      </c>
      <c r="J9" s="1779"/>
    </row>
    <row r="10" spans="2:10" x14ac:dyDescent="0.35">
      <c r="B10" s="1934" t="s">
        <v>1971</v>
      </c>
      <c r="C10" s="1926">
        <f>C7-C9</f>
        <v>22.919676286910089</v>
      </c>
      <c r="D10" s="1926">
        <f ca="1">D7-D9</f>
        <v>177.18290696629231</v>
      </c>
      <c r="E10" s="1926">
        <f t="shared" ref="E10:G10" si="1">E7-E9</f>
        <v>123.9415391001437</v>
      </c>
      <c r="F10" s="1926">
        <f t="shared" ca="1" si="1"/>
        <v>51.045852210013322</v>
      </c>
      <c r="G10" s="1926">
        <f t="shared" ca="1" si="1"/>
        <v>227.42053876722809</v>
      </c>
      <c r="H10" s="1926">
        <f ca="1">H7-H9</f>
        <v>-0.24964983470317748</v>
      </c>
      <c r="I10" s="2107">
        <f ca="1">'Carrying Cost'!P8-H10</f>
        <v>2.2737367544323206E-13</v>
      </c>
      <c r="J10" s="1779"/>
    </row>
    <row r="11" spans="2:10" ht="29" x14ac:dyDescent="0.35">
      <c r="B11" s="1936" t="s">
        <v>1972</v>
      </c>
      <c r="C11" s="1937">
        <f t="shared" ref="C11:H11" si="2">IFERROR(C9/C7,0)</f>
        <v>0.96382609993562363</v>
      </c>
      <c r="D11" s="1937">
        <f t="shared" ca="1" si="2"/>
        <v>0.7225790229381952</v>
      </c>
      <c r="E11" s="1937">
        <f t="shared" si="2"/>
        <v>0.8102803811977215</v>
      </c>
      <c r="F11" s="1937">
        <f t="shared" ca="1" si="2"/>
        <v>0.92173975276702691</v>
      </c>
      <c r="G11" s="1937">
        <f t="shared" ca="1" si="2"/>
        <v>0.80617691839308347</v>
      </c>
      <c r="H11" s="1937">
        <f t="shared" ca="1" si="2"/>
        <v>1.0002381350198815</v>
      </c>
      <c r="I11" s="1935"/>
      <c r="J11" s="1779"/>
    </row>
    <row r="13" spans="2:10" x14ac:dyDescent="0.25">
      <c r="B13" s="2171" t="s">
        <v>2012</v>
      </c>
      <c r="C13" s="2171"/>
      <c r="D13" s="2171"/>
      <c r="E13" s="2171"/>
      <c r="F13" s="2171"/>
      <c r="G13" s="2171"/>
      <c r="H13" s="2171"/>
    </row>
    <row r="14" spans="2:10" ht="39" x14ac:dyDescent="0.25">
      <c r="B14" s="1932" t="s">
        <v>50</v>
      </c>
      <c r="C14" s="1933" t="s">
        <v>1842</v>
      </c>
      <c r="D14" s="1933" t="s">
        <v>1843</v>
      </c>
      <c r="E14" s="1933" t="s">
        <v>1844</v>
      </c>
      <c r="F14" s="1933" t="s">
        <v>1845</v>
      </c>
      <c r="G14" s="1933" t="s">
        <v>1846</v>
      </c>
      <c r="H14" s="1933" t="s">
        <v>1847</v>
      </c>
    </row>
    <row r="15" spans="2:10" x14ac:dyDescent="0.25">
      <c r="B15" s="1777" t="s">
        <v>1973</v>
      </c>
      <c r="C15" s="1778">
        <f>'ARR-Summary'!F57-'ARR-Summary'!F58</f>
        <v>2701.058210413345</v>
      </c>
      <c r="D15" s="1778">
        <f>'ARR-Summary'!$I$57-'ARR-Summary'!$I$58</f>
        <v>2594.200206377247</v>
      </c>
      <c r="E15" s="1778">
        <f>'ARR-Summary'!$L$57-'ARR-Summary'!$L$58</f>
        <v>3097.0175141920795</v>
      </c>
      <c r="F15" s="1778">
        <f ca="1">'ARR-Summary'!$Q$57-'ARR-Summary'!$Q$58</f>
        <v>4204.0604825014989</v>
      </c>
      <c r="G15" s="1778">
        <f ca="1">'ARR-Summary'!$T$57-'ARR-Summary'!$T$58</f>
        <v>3588.8862891788667</v>
      </c>
      <c r="H15" s="1778">
        <f ca="1">'ARR-Summary'!$V$57-'ARR-Summary'!$V$58</f>
        <v>2844.7871408621131</v>
      </c>
    </row>
    <row r="16" spans="2:10" x14ac:dyDescent="0.25">
      <c r="B16" s="1782" t="s">
        <v>1974</v>
      </c>
      <c r="C16" s="1778">
        <f>'F2'!$N$64</f>
        <v>1683.7915831432504</v>
      </c>
      <c r="D16" s="1778">
        <f>'F2'!$N$125</f>
        <v>1426.1139363209188</v>
      </c>
      <c r="E16" s="1778">
        <f>'F2'!$N$186</f>
        <v>1934.5727128834262</v>
      </c>
      <c r="F16" s="1778">
        <f>'F2'!$N$259</f>
        <v>2963.5476643420811</v>
      </c>
      <c r="G16" s="1778">
        <f>'F2'!$N$366</f>
        <v>2231.4712184647738</v>
      </c>
      <c r="H16" s="1778">
        <f ca="1">'F2'!$N$408</f>
        <v>1633.7616603340275</v>
      </c>
    </row>
    <row r="17" spans="2:10" ht="28.5" customHeight="1" x14ac:dyDescent="0.25">
      <c r="B17" s="1783" t="s">
        <v>1975</v>
      </c>
      <c r="C17" s="1778">
        <f>C15-C16</f>
        <v>1017.2666272700947</v>
      </c>
      <c r="D17" s="1778">
        <f t="shared" ref="D17:H17" si="3">D15-D16</f>
        <v>1168.0862700563282</v>
      </c>
      <c r="E17" s="1778">
        <f t="shared" si="3"/>
        <v>1162.4448013086533</v>
      </c>
      <c r="F17" s="1778">
        <f t="shared" ca="1" si="3"/>
        <v>1240.5128181594177</v>
      </c>
      <c r="G17" s="1778">
        <f t="shared" ca="1" si="3"/>
        <v>1357.415070714093</v>
      </c>
      <c r="H17" s="1778">
        <f t="shared" ca="1" si="3"/>
        <v>1211.0254805280856</v>
      </c>
    </row>
    <row r="18" spans="2:10" ht="28.5" customHeight="1" x14ac:dyDescent="0.25">
      <c r="B18" s="1917" t="s">
        <v>1976</v>
      </c>
      <c r="C18" s="1781">
        <f>IFERROR(C16/C15,0)</f>
        <v>0.62338219022890973</v>
      </c>
      <c r="D18" s="1781">
        <f t="shared" ref="D18:H18" si="4">IFERROR(D16/D15,0)</f>
        <v>0.54973164091774585</v>
      </c>
      <c r="E18" s="1781">
        <f t="shared" si="4"/>
        <v>0.62465669116117328</v>
      </c>
      <c r="F18" s="1781">
        <f t="shared" ca="1" si="4"/>
        <v>0.7049250781898152</v>
      </c>
      <c r="G18" s="1781">
        <f t="shared" ca="1" si="4"/>
        <v>0.62177261653373028</v>
      </c>
      <c r="H18" s="1781">
        <f t="shared" ca="1" si="4"/>
        <v>0.57430014248409311</v>
      </c>
    </row>
    <row r="19" spans="2:10" ht="28.5" customHeight="1" x14ac:dyDescent="0.25">
      <c r="B19" s="1917" t="s">
        <v>1977</v>
      </c>
      <c r="C19" s="1778"/>
      <c r="D19" s="1778">
        <f>'ARR-Summary'!$I$95-D5</f>
        <v>-741.37</v>
      </c>
      <c r="E19" s="1778">
        <f>'ARR-Summary'!$L$95-E5</f>
        <v>-327.61539092676605</v>
      </c>
      <c r="F19" s="1778">
        <f>'ARR-Summary'!$Q$95-F5</f>
        <v>-198.57953402462735</v>
      </c>
      <c r="G19" s="1926">
        <f>('ARR-Summary'!$T$95-G5)</f>
        <v>-165.9554102397926</v>
      </c>
      <c r="H19" s="1926">
        <f>('ARR-Summary'!$V$95-H5)</f>
        <v>-99.313790667530782</v>
      </c>
    </row>
    <row r="20" spans="2:10" ht="28.5" customHeight="1" x14ac:dyDescent="0.25">
      <c r="B20" s="1917" t="s">
        <v>1978</v>
      </c>
      <c r="C20" s="1778"/>
      <c r="D20" s="1778"/>
      <c r="E20" s="1778"/>
      <c r="F20" s="1778"/>
      <c r="G20" s="1926">
        <f ca="1">'Carrying Cost'!R15</f>
        <v>479.45629161573464</v>
      </c>
      <c r="H20" s="1926">
        <f ca="1">G28</f>
        <v>623.94891387851885</v>
      </c>
    </row>
    <row r="21" spans="2:10" x14ac:dyDescent="0.25">
      <c r="B21" s="1780" t="s">
        <v>1979</v>
      </c>
      <c r="C21" s="1916">
        <f>C19+C15+C20</f>
        <v>2701.058210413345</v>
      </c>
      <c r="D21" s="1916">
        <f>D19+D15+D20</f>
        <v>1852.8302063772471</v>
      </c>
      <c r="E21" s="1916">
        <f t="shared" ref="E21:H21" si="5">E19+E15+E20</f>
        <v>2769.4021232653135</v>
      </c>
      <c r="F21" s="1916">
        <f t="shared" ca="1" si="5"/>
        <v>4005.4809484768716</v>
      </c>
      <c r="G21" s="1916">
        <f t="shared" ca="1" si="5"/>
        <v>3902.387170554809</v>
      </c>
      <c r="H21" s="1916">
        <f t="shared" ca="1" si="5"/>
        <v>3369.4222640731014</v>
      </c>
      <c r="J21" s="1922"/>
    </row>
    <row r="22" spans="2:10" x14ac:dyDescent="0.25">
      <c r="B22" s="1782" t="s">
        <v>1980</v>
      </c>
      <c r="C22" s="1778">
        <f t="shared" ref="C22:H22" si="6">C16+(C19*C18)</f>
        <v>1683.7915831432504</v>
      </c>
      <c r="D22" s="1778">
        <f t="shared" si="6"/>
        <v>1018.5593896937296</v>
      </c>
      <c r="E22" s="1778">
        <f t="shared" si="6"/>
        <v>1729.9255668136382</v>
      </c>
      <c r="F22" s="1778">
        <f t="shared" ca="1" si="6"/>
        <v>2823.5639707928735</v>
      </c>
      <c r="G22" s="1778">
        <f t="shared" ca="1" si="6"/>
        <v>2128.2846888120494</v>
      </c>
      <c r="H22" s="1778">
        <f t="shared" ca="1" si="6"/>
        <v>1576.7257362030291</v>
      </c>
    </row>
    <row r="23" spans="2:10" ht="29" x14ac:dyDescent="0.25">
      <c r="B23" s="1783" t="s">
        <v>1981</v>
      </c>
      <c r="C23" s="1778">
        <f t="shared" ref="C23:H23" si="7">C21-C22</f>
        <v>1017.2666272700947</v>
      </c>
      <c r="D23" s="1778">
        <f t="shared" si="7"/>
        <v>834.27081668351752</v>
      </c>
      <c r="E23" s="1778">
        <f t="shared" si="7"/>
        <v>1039.4765564516754</v>
      </c>
      <c r="F23" s="1778">
        <f t="shared" ca="1" si="7"/>
        <v>1181.9169776839981</v>
      </c>
      <c r="G23" s="1778">
        <f t="shared" ca="1" si="7"/>
        <v>1774.1024817427597</v>
      </c>
      <c r="H23" s="1778">
        <f t="shared" ca="1" si="7"/>
        <v>1792.6965278700723</v>
      </c>
    </row>
    <row r="24" spans="2:10" hidden="1" x14ac:dyDescent="0.25">
      <c r="B24" s="1784"/>
      <c r="C24" s="1785"/>
      <c r="D24" s="1785"/>
      <c r="E24" s="1785"/>
      <c r="F24" s="1785"/>
      <c r="G24" s="1785"/>
      <c r="H24" s="1785"/>
    </row>
    <row r="25" spans="2:10" ht="29" x14ac:dyDescent="0.25">
      <c r="B25" s="1780" t="s">
        <v>1982</v>
      </c>
      <c r="C25" s="1785">
        <f>'ARR-Summary'!F100-C9</f>
        <v>2855.9990436171288</v>
      </c>
      <c r="D25" s="1785">
        <f>'ARR-Summary'!$I$100-D9</f>
        <v>2331.2490567085001</v>
      </c>
      <c r="E25" s="1785">
        <f>'ARR-Summary'!$L$100-E9</f>
        <v>2465.8455795863797</v>
      </c>
      <c r="F25" s="1785">
        <f ca="1">'ARR-Summary'!$Q$100-F9</f>
        <v>3066.7723569799973</v>
      </c>
      <c r="G25" s="1785">
        <f ca="1">F14.1!S52-G9</f>
        <v>3278.4382566762902</v>
      </c>
      <c r="H25" s="1785">
        <f ca="1">F14.2!S52-H9</f>
        <v>3368.9089134787087</v>
      </c>
    </row>
    <row r="26" spans="2:10" x14ac:dyDescent="0.25">
      <c r="B26" s="1783" t="s">
        <v>1983</v>
      </c>
      <c r="C26" s="1785">
        <f>'F13'!E52</f>
        <v>391.45260455300007</v>
      </c>
      <c r="D26" s="1785">
        <f>'F13'!$E$97</f>
        <v>391.85237014300003</v>
      </c>
      <c r="E26" s="1785">
        <f>'F13'!$E$145</f>
        <v>429.48696932899998</v>
      </c>
      <c r="F26" s="1785">
        <f ca="1">F13.1!$L$98+F13.1!$M$98</f>
        <v>567.48510902500038</v>
      </c>
      <c r="G26" s="1785">
        <f>F14.1!L52+F14.1!M52</f>
        <v>867.25125171788022</v>
      </c>
      <c r="H26" s="1785">
        <f>F14.2!L52+F14.2!M52</f>
        <v>916.27315666617596</v>
      </c>
    </row>
    <row r="27" spans="2:10" ht="43.5" x14ac:dyDescent="0.25">
      <c r="B27" s="1783" t="s">
        <v>1984</v>
      </c>
      <c r="C27" s="1785">
        <f>C25-C26</f>
        <v>2464.5464390641287</v>
      </c>
      <c r="D27" s="1785">
        <f t="shared" ref="D27:H27" si="8">D25-D26</f>
        <v>1939.3966865655002</v>
      </c>
      <c r="E27" s="1785">
        <f t="shared" si="8"/>
        <v>2036.3586102573797</v>
      </c>
      <c r="F27" s="1785">
        <f t="shared" ca="1" si="8"/>
        <v>2499.2872479549969</v>
      </c>
      <c r="G27" s="1785">
        <f t="shared" ca="1" si="8"/>
        <v>2411.1870049584099</v>
      </c>
      <c r="H27" s="1785">
        <f t="shared" ca="1" si="8"/>
        <v>2452.6357568125327</v>
      </c>
    </row>
    <row r="28" spans="2:10" x14ac:dyDescent="0.25">
      <c r="B28" s="1923" t="s">
        <v>1985</v>
      </c>
      <c r="C28" s="1925">
        <f>C21-C25</f>
        <v>-154.94083320378377</v>
      </c>
      <c r="D28" s="1925">
        <f t="shared" ref="D28:H28" si="9">D21-D25</f>
        <v>-478.418850331253</v>
      </c>
      <c r="E28" s="1925">
        <f t="shared" si="9"/>
        <v>303.55654367893385</v>
      </c>
      <c r="F28" s="1925">
        <f t="shared" ca="1" si="9"/>
        <v>938.70859149687431</v>
      </c>
      <c r="G28" s="1925">
        <f ca="1">G21-G25</f>
        <v>623.94891387851885</v>
      </c>
      <c r="H28" s="1925">
        <f t="shared" ca="1" si="9"/>
        <v>0.51335059439270481</v>
      </c>
      <c r="I28" s="1922">
        <f ca="1">'Carrying Cost'!W8-H28</f>
        <v>-4.5474735088646412E-13</v>
      </c>
    </row>
    <row r="29" spans="2:10" x14ac:dyDescent="0.25">
      <c r="B29" s="1780" t="s">
        <v>1986</v>
      </c>
      <c r="C29" s="1789">
        <f t="shared" ref="C29:H29" si="10">IFERROR(C25/C21,0)</f>
        <v>1.0573630115065433</v>
      </c>
      <c r="D29" s="1789">
        <f t="shared" si="10"/>
        <v>1.258209764005674</v>
      </c>
      <c r="E29" s="1789">
        <f t="shared" si="10"/>
        <v>0.89038914171083972</v>
      </c>
      <c r="F29" s="1789">
        <f t="shared" ca="1" si="10"/>
        <v>0.76564397544973251</v>
      </c>
      <c r="G29" s="1789">
        <f t="shared" ca="1" si="10"/>
        <v>0.84011096628584625</v>
      </c>
      <c r="H29" s="1789">
        <f t="shared" ca="1" si="10"/>
        <v>0.99984764432767415</v>
      </c>
    </row>
    <row r="30" spans="2:10" ht="29" x14ac:dyDescent="0.25">
      <c r="B30" s="1783" t="s">
        <v>1987</v>
      </c>
      <c r="C30" s="1789">
        <f>IFERROR(C26/(C23),0)</f>
        <v>0.38480826369335464</v>
      </c>
      <c r="D30" s="1789">
        <f t="shared" ref="D30:H30" si="11">IFERROR(D26/(D23),0)</f>
        <v>0.46969444730277565</v>
      </c>
      <c r="E30" s="1789">
        <f t="shared" si="11"/>
        <v>0.41317619590679683</v>
      </c>
      <c r="F30" s="1789">
        <f t="shared" ca="1" si="11"/>
        <v>0.48013956964811905</v>
      </c>
      <c r="G30" s="1789">
        <f ca="1">IFERROR(G26/(G23),0)</f>
        <v>0.4888394332586416</v>
      </c>
      <c r="H30" s="1789">
        <f t="shared" ca="1" si="11"/>
        <v>0.51111448168799256</v>
      </c>
    </row>
    <row r="31" spans="2:10" ht="29" x14ac:dyDescent="0.25">
      <c r="B31" s="1783" t="s">
        <v>1988</v>
      </c>
      <c r="C31" s="1789">
        <f>IFERROR(C27/C22,0)</f>
        <v>1.4636885370714285</v>
      </c>
      <c r="D31" s="1789">
        <f t="shared" ref="D31:H31" si="12">IFERROR(D27/D22,0)</f>
        <v>1.9040585224477258</v>
      </c>
      <c r="E31" s="1789">
        <f t="shared" si="12"/>
        <v>1.177136548139561</v>
      </c>
      <c r="F31" s="1789">
        <f t="shared" ca="1" si="12"/>
        <v>0.88515339967777751</v>
      </c>
      <c r="G31" s="1789">
        <f t="shared" ca="1" si="12"/>
        <v>1.1329250347162292</v>
      </c>
      <c r="H31" s="1789">
        <f t="shared" ca="1" si="12"/>
        <v>1.5555246549845851</v>
      </c>
    </row>
    <row r="32" spans="2:10" x14ac:dyDescent="0.25">
      <c r="I32" s="1922"/>
      <c r="J32" s="1922"/>
    </row>
    <row r="33" spans="2:9" x14ac:dyDescent="0.25">
      <c r="B33" s="2108" t="s">
        <v>1964</v>
      </c>
      <c r="C33" s="2109">
        <f t="shared" ref="C33:H33" si="13">C7+C21</f>
        <v>3334.6552581776555</v>
      </c>
      <c r="D33" s="2109">
        <f t="shared" ca="1" si="13"/>
        <v>2491.5090432945394</v>
      </c>
      <c r="E33" s="2109">
        <f t="shared" si="13"/>
        <v>3422.6900640834574</v>
      </c>
      <c r="F33" s="2109">
        <f t="shared" ca="1" si="13"/>
        <v>4657.7386912623597</v>
      </c>
      <c r="G33" s="2109">
        <f t="shared" ca="1" si="13"/>
        <v>5075.7280176911117</v>
      </c>
      <c r="H33" s="2109">
        <f t="shared" ca="1" si="13"/>
        <v>4417.7764071449365</v>
      </c>
    </row>
    <row r="34" spans="2:9" x14ac:dyDescent="0.25">
      <c r="B34" s="2108" t="s">
        <v>1962</v>
      </c>
      <c r="C34" s="2109">
        <f t="shared" ref="C34:H34" si="14">C9+C25</f>
        <v>3466.6764150945291</v>
      </c>
      <c r="D34" s="2109">
        <f t="shared" si="14"/>
        <v>2792.7449866595002</v>
      </c>
      <c r="E34" s="2109">
        <f t="shared" si="14"/>
        <v>2995.1919813043796</v>
      </c>
      <c r="F34" s="2109">
        <f t="shared" ca="1" si="14"/>
        <v>3667.9842475554724</v>
      </c>
      <c r="G34" s="2109">
        <f t="shared" ca="1" si="14"/>
        <v>4224.3585650453642</v>
      </c>
      <c r="H34" s="2109">
        <f t="shared" ca="1" si="14"/>
        <v>4417.5127063852469</v>
      </c>
      <c r="I34" s="1922"/>
    </row>
    <row r="35" spans="2:9" x14ac:dyDescent="0.25">
      <c r="B35" s="2108" t="s">
        <v>1963</v>
      </c>
      <c r="C35" s="2109">
        <f>C10+'Tariff recovery-Wire and Retail'!C28</f>
        <v>-132.02115691687368</v>
      </c>
      <c r="D35" s="2109">
        <f ca="1">D10+'Tariff recovery-Wire and Retail'!D28</f>
        <v>-301.23594336496069</v>
      </c>
      <c r="E35" s="2109">
        <f>E10+'Tariff recovery-Wire and Retail'!E28</f>
        <v>427.49808277907755</v>
      </c>
      <c r="F35" s="2109">
        <f ca="1">F10+'Tariff recovery-Wire and Retail'!F28</f>
        <v>989.75444370688763</v>
      </c>
      <c r="G35" s="2109">
        <f ca="1">G10+'Tariff recovery-Wire and Retail'!G28</f>
        <v>851.36945264574695</v>
      </c>
      <c r="H35" s="2109">
        <f ca="1">H10+'Tariff recovery-Wire and Retail'!H28</f>
        <v>0.26370075968952733</v>
      </c>
    </row>
    <row r="36" spans="2:9" x14ac:dyDescent="0.25">
      <c r="D36" s="1922"/>
      <c r="E36" s="1922"/>
      <c r="F36" s="1922"/>
      <c r="G36" s="1922"/>
      <c r="H36" s="1922">
        <f ca="1">'Carrying Cost'!P8+'Carrying Cost'!W8-H35</f>
        <v>-2.2737367544323206E-13</v>
      </c>
    </row>
    <row r="37" spans="2:9" x14ac:dyDescent="0.25">
      <c r="C37" s="1930">
        <f>(C17+C4)/(C15+C4)</f>
        <v>0.49506277177706814</v>
      </c>
      <c r="D37" s="1930">
        <f ca="1">(D17+D4)/(D15+D4)</f>
        <v>0.56294514743942459</v>
      </c>
      <c r="E37" s="1930">
        <f>(E17+E4)/(E15+E4)</f>
        <v>0.48598086949710567</v>
      </c>
      <c r="F37" s="1930">
        <f ca="1">(F17+F4)/(F15+F4)</f>
        <v>0.39076668160475275</v>
      </c>
      <c r="G37" s="1930">
        <f t="shared" ref="G37:H37" ca="1" si="15">(G17+G4)/(G15+G4)</f>
        <v>0.4827996685293478</v>
      </c>
      <c r="H37" s="1930">
        <f t="shared" ca="1" si="15"/>
        <v>0.55480385197417348</v>
      </c>
    </row>
    <row r="38" spans="2:9" x14ac:dyDescent="0.25">
      <c r="C38" s="1931">
        <f>1-C37</f>
        <v>0.50493722822293186</v>
      </c>
      <c r="D38" s="1931">
        <f t="shared" ref="D38:H38" ca="1" si="16">1-D37</f>
        <v>0.43705485256057541</v>
      </c>
      <c r="E38" s="1931">
        <f t="shared" si="16"/>
        <v>0.51401913050289427</v>
      </c>
      <c r="F38" s="1931">
        <f t="shared" ca="1" si="16"/>
        <v>0.60923331839524719</v>
      </c>
      <c r="G38" s="1931">
        <f t="shared" ca="1" si="16"/>
        <v>0.51720033147065214</v>
      </c>
      <c r="H38" s="1931">
        <f t="shared" ca="1" si="16"/>
        <v>0.44519614802582652</v>
      </c>
    </row>
    <row r="43" spans="2:9" ht="39" x14ac:dyDescent="0.25">
      <c r="B43" s="1932" t="s">
        <v>50</v>
      </c>
      <c r="C43" s="1933" t="s">
        <v>1842</v>
      </c>
      <c r="D43" s="1933" t="s">
        <v>1843</v>
      </c>
      <c r="E43" s="1933" t="s">
        <v>1844</v>
      </c>
      <c r="F43" s="1933" t="s">
        <v>1845</v>
      </c>
      <c r="G43" s="1933" t="s">
        <v>1994</v>
      </c>
      <c r="H43" s="1933" t="s">
        <v>1995</v>
      </c>
    </row>
    <row r="44" spans="2:9" x14ac:dyDescent="0.25">
      <c r="B44" s="1941" t="s">
        <v>1996</v>
      </c>
      <c r="C44" s="1938">
        <f t="shared" ref="C44:H44" si="17">C21</f>
        <v>2701.058210413345</v>
      </c>
      <c r="D44" s="1938">
        <f t="shared" si="17"/>
        <v>1852.8302063772471</v>
      </c>
      <c r="E44" s="1938">
        <f t="shared" si="17"/>
        <v>2769.4021232653135</v>
      </c>
      <c r="F44" s="1938">
        <f t="shared" ca="1" si="17"/>
        <v>4005.4809484768716</v>
      </c>
      <c r="G44" s="1938">
        <f t="shared" ca="1" si="17"/>
        <v>3902.387170554809</v>
      </c>
      <c r="H44" s="1938">
        <f t="shared" ca="1" si="17"/>
        <v>3369.4222640731014</v>
      </c>
    </row>
    <row r="45" spans="2:9" x14ac:dyDescent="0.25">
      <c r="B45" s="1941" t="s">
        <v>1997</v>
      </c>
      <c r="C45" s="1938">
        <f>C22</f>
        <v>1683.7915831432504</v>
      </c>
      <c r="D45" s="1938">
        <f t="shared" ref="D45:G45" si="18">D22</f>
        <v>1018.5593896937296</v>
      </c>
      <c r="E45" s="1938">
        <f t="shared" si="18"/>
        <v>1729.9255668136382</v>
      </c>
      <c r="F45" s="1938">
        <f t="shared" ca="1" si="18"/>
        <v>2823.5639707928735</v>
      </c>
      <c r="G45" s="1938">
        <f t="shared" ca="1" si="18"/>
        <v>2128.2846888120494</v>
      </c>
      <c r="H45" s="1938">
        <f ca="1">H22</f>
        <v>1576.7257362030291</v>
      </c>
    </row>
    <row r="46" spans="2:9" ht="29" x14ac:dyDescent="0.25">
      <c r="B46" s="1941" t="s">
        <v>1998</v>
      </c>
      <c r="C46" s="1938">
        <f>C44-C45</f>
        <v>1017.2666272700947</v>
      </c>
      <c r="D46" s="1938">
        <f t="shared" ref="D46:H46" si="19">D44-D45</f>
        <v>834.27081668351752</v>
      </c>
      <c r="E46" s="1938">
        <f t="shared" si="19"/>
        <v>1039.4765564516754</v>
      </c>
      <c r="F46" s="1938">
        <f t="shared" ca="1" si="19"/>
        <v>1181.9169776839981</v>
      </c>
      <c r="G46" s="1938">
        <f t="shared" ca="1" si="19"/>
        <v>1774.1024817427597</v>
      </c>
      <c r="H46" s="1938">
        <f t="shared" ca="1" si="19"/>
        <v>1792.6965278700723</v>
      </c>
    </row>
    <row r="47" spans="2:9" ht="29" x14ac:dyDescent="0.25">
      <c r="B47" s="1941" t="s">
        <v>2001</v>
      </c>
      <c r="C47" s="1940">
        <f>C46/C44</f>
        <v>0.37661780977109027</v>
      </c>
      <c r="D47" s="1940">
        <f t="shared" ref="D47:H47" si="20">D46/D44</f>
        <v>0.45026835908225421</v>
      </c>
      <c r="E47" s="1940">
        <f t="shared" si="20"/>
        <v>0.37534330883882683</v>
      </c>
      <c r="F47" s="1940">
        <f t="shared" ca="1" si="20"/>
        <v>0.29507492181018491</v>
      </c>
      <c r="G47" s="1940">
        <f t="shared" ca="1" si="20"/>
        <v>0.45461980172780564</v>
      </c>
      <c r="H47" s="1940">
        <f t="shared" ca="1" si="20"/>
        <v>0.53204863842235794</v>
      </c>
    </row>
    <row r="48" spans="2:9" x14ac:dyDescent="0.25">
      <c r="B48" s="1941" t="s">
        <v>1993</v>
      </c>
      <c r="C48" s="1938">
        <f t="shared" ref="C48:H48" si="21">C26</f>
        <v>391.45260455300007</v>
      </c>
      <c r="D48" s="1938">
        <f t="shared" si="21"/>
        <v>391.85237014300003</v>
      </c>
      <c r="E48" s="1938">
        <f t="shared" si="21"/>
        <v>429.48696932899998</v>
      </c>
      <c r="F48" s="1938">
        <f t="shared" ca="1" si="21"/>
        <v>567.48510902500038</v>
      </c>
      <c r="G48" s="1938">
        <f t="shared" si="21"/>
        <v>867.25125171788022</v>
      </c>
      <c r="H48" s="1938">
        <f t="shared" si="21"/>
        <v>916.27315666617596</v>
      </c>
    </row>
    <row r="49" spans="2:8" ht="29" x14ac:dyDescent="0.25">
      <c r="B49" s="1941" t="s">
        <v>2002</v>
      </c>
      <c r="C49" s="1940">
        <f t="shared" ref="C49:H49" si="22">C48/C46</f>
        <v>0.38480826369335464</v>
      </c>
      <c r="D49" s="1940">
        <f t="shared" si="22"/>
        <v>0.46969444730277565</v>
      </c>
      <c r="E49" s="1940">
        <f t="shared" si="22"/>
        <v>0.41317619590679683</v>
      </c>
      <c r="F49" s="1940">
        <f t="shared" ca="1" si="22"/>
        <v>0.48013956964811905</v>
      </c>
      <c r="G49" s="1940">
        <f t="shared" ca="1" si="22"/>
        <v>0.4888394332586416</v>
      </c>
      <c r="H49" s="1940">
        <f t="shared" ca="1" si="22"/>
        <v>0.51111448168799256</v>
      </c>
    </row>
    <row r="52" spans="2:8" ht="39" x14ac:dyDescent="0.25">
      <c r="B52" s="1932" t="s">
        <v>50</v>
      </c>
      <c r="C52" s="1933" t="s">
        <v>1842</v>
      </c>
      <c r="D52" s="1933" t="s">
        <v>1843</v>
      </c>
      <c r="E52" s="1933" t="s">
        <v>1844</v>
      </c>
      <c r="F52" s="1933" t="s">
        <v>1845</v>
      </c>
      <c r="G52" s="1933" t="s">
        <v>1846</v>
      </c>
      <c r="H52" s="1933" t="s">
        <v>1847</v>
      </c>
    </row>
    <row r="53" spans="2:8" x14ac:dyDescent="0.25">
      <c r="B53" s="1777" t="s">
        <v>1973</v>
      </c>
      <c r="C53" s="1778">
        <f>C15</f>
        <v>2701.058210413345</v>
      </c>
      <c r="D53" s="1778">
        <f t="shared" ref="D53:H53" si="23">D15</f>
        <v>2594.200206377247</v>
      </c>
      <c r="E53" s="1778">
        <f t="shared" si="23"/>
        <v>3097.0175141920795</v>
      </c>
      <c r="F53" s="1778">
        <f t="shared" ca="1" si="23"/>
        <v>4204.0604825014989</v>
      </c>
      <c r="G53" s="1778">
        <f t="shared" ca="1" si="23"/>
        <v>3588.8862891788667</v>
      </c>
      <c r="H53" s="1778">
        <f t="shared" ca="1" si="23"/>
        <v>2844.7871408621131</v>
      </c>
    </row>
    <row r="54" spans="2:8" x14ac:dyDescent="0.25">
      <c r="B54" s="1782" t="s">
        <v>1974</v>
      </c>
      <c r="C54" s="1778">
        <f>'F2'!$N$64</f>
        <v>1683.7915831432504</v>
      </c>
      <c r="D54" s="1778">
        <f>'F2'!$N$125</f>
        <v>1426.1139363209188</v>
      </c>
      <c r="E54" s="1778">
        <f>'F2'!$N$186</f>
        <v>1934.5727128834262</v>
      </c>
      <c r="F54" s="1778">
        <f>'F2'!$N$259</f>
        <v>2963.5476643420811</v>
      </c>
      <c r="G54" s="1778">
        <f>'F2'!$N$366</f>
        <v>2231.4712184647738</v>
      </c>
      <c r="H54" s="1778">
        <f ca="1">'F2'!$N$408</f>
        <v>1633.7616603340275</v>
      </c>
    </row>
    <row r="55" spans="2:8" ht="29" x14ac:dyDescent="0.25">
      <c r="B55" s="1783" t="s">
        <v>1975</v>
      </c>
      <c r="C55" s="1778">
        <f>C53-C54</f>
        <v>1017.2666272700947</v>
      </c>
      <c r="D55" s="1778">
        <f t="shared" ref="D55:H55" si="24">D53-D54</f>
        <v>1168.0862700563282</v>
      </c>
      <c r="E55" s="1778">
        <f t="shared" si="24"/>
        <v>1162.4448013086533</v>
      </c>
      <c r="F55" s="1778">
        <f t="shared" ca="1" si="24"/>
        <v>1240.5128181594177</v>
      </c>
      <c r="G55" s="1778">
        <f t="shared" ca="1" si="24"/>
        <v>1357.415070714093</v>
      </c>
      <c r="H55" s="1778">
        <f t="shared" ca="1" si="24"/>
        <v>1211.0254805280856</v>
      </c>
    </row>
    <row r="56" spans="2:8" x14ac:dyDescent="0.25">
      <c r="B56" s="1939" t="s">
        <v>2000</v>
      </c>
      <c r="C56" s="1940">
        <f>C55/C53</f>
        <v>0.37661780977109027</v>
      </c>
      <c r="D56" s="1940">
        <f t="shared" ref="D56:H56" si="25">D55/D53</f>
        <v>0.45026835908225421</v>
      </c>
      <c r="E56" s="1940">
        <f t="shared" si="25"/>
        <v>0.37534330883882677</v>
      </c>
      <c r="F56" s="1940">
        <f t="shared" ca="1" si="25"/>
        <v>0.29507492181018485</v>
      </c>
      <c r="G56" s="1940">
        <f t="shared" ca="1" si="25"/>
        <v>0.37822738346626972</v>
      </c>
      <c r="H56" s="1940">
        <f t="shared" ca="1" si="25"/>
        <v>0.42569985751590683</v>
      </c>
    </row>
  </sheetData>
  <mergeCells count="2">
    <mergeCell ref="B2:H2"/>
    <mergeCell ref="B13:H1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55"/>
  <sheetViews>
    <sheetView showGridLines="0" topLeftCell="D35" zoomScale="80" zoomScaleNormal="80" zoomScaleSheetLayoutView="84" workbookViewId="0">
      <selection activeCell="D51" sqref="D51"/>
    </sheetView>
  </sheetViews>
  <sheetFormatPr defaultColWidth="8.81640625" defaultRowHeight="14" x14ac:dyDescent="0.3"/>
  <cols>
    <col min="1" max="1" width="8.81640625" style="1"/>
    <col min="2" max="2" width="24" style="1" customWidth="1"/>
    <col min="3" max="3" width="14" style="1" customWidth="1"/>
    <col min="4" max="4" width="16.453125" style="1" customWidth="1"/>
    <col min="5" max="9" width="11.54296875" style="1" customWidth="1"/>
    <col min="10" max="10" width="13.54296875" style="1" bestFit="1" customWidth="1"/>
    <col min="11" max="19" width="11.54296875" style="1" customWidth="1"/>
    <col min="20" max="20" width="11" style="1" customWidth="1"/>
    <col min="21" max="21" width="14.81640625" style="1" customWidth="1"/>
    <col min="22" max="22" width="12.453125" style="1" customWidth="1"/>
    <col min="23" max="23" width="9.6328125" style="1" bestFit="1" customWidth="1"/>
    <col min="24" max="16384" width="8.81640625" style="1"/>
  </cols>
  <sheetData>
    <row r="2" spans="2:23" x14ac:dyDescent="0.3">
      <c r="C2" s="132"/>
      <c r="D2" s="132"/>
      <c r="E2" s="132"/>
      <c r="F2" s="132"/>
      <c r="G2" s="132"/>
      <c r="J2" s="132"/>
      <c r="K2" s="132" t="s">
        <v>1027</v>
      </c>
      <c r="L2" s="132"/>
      <c r="M2" s="132"/>
      <c r="N2" s="132"/>
    </row>
    <row r="3" spans="2:23" x14ac:dyDescent="0.3">
      <c r="C3" s="138"/>
      <c r="D3" s="138"/>
      <c r="E3" s="138"/>
      <c r="F3" s="138"/>
      <c r="G3" s="138"/>
      <c r="J3" s="138"/>
      <c r="K3" s="134" t="s">
        <v>826</v>
      </c>
      <c r="L3" s="138"/>
      <c r="M3" s="138"/>
      <c r="N3" s="138"/>
    </row>
    <row r="4" spans="2:23" x14ac:dyDescent="0.3">
      <c r="C4" s="138"/>
      <c r="D4" s="138"/>
      <c r="E4" s="138"/>
      <c r="F4" s="138"/>
      <c r="G4" s="138"/>
      <c r="J4" s="138"/>
      <c r="K4" s="138" t="s">
        <v>801</v>
      </c>
      <c r="L4" s="138"/>
      <c r="M4" s="138"/>
      <c r="N4" s="138"/>
    </row>
    <row r="5" spans="2:23" x14ac:dyDescent="0.3">
      <c r="B5" s="138"/>
      <c r="C5" s="138"/>
      <c r="D5" s="138"/>
      <c r="E5" s="138"/>
      <c r="F5" s="138"/>
      <c r="G5" s="138"/>
      <c r="H5" s="138"/>
      <c r="I5" s="138"/>
      <c r="J5" s="138"/>
      <c r="K5" s="138"/>
      <c r="L5" s="138"/>
      <c r="M5" s="138"/>
      <c r="N5" s="138"/>
    </row>
    <row r="6" spans="2:23" x14ac:dyDescent="0.3">
      <c r="B6" s="138"/>
      <c r="C6" s="138"/>
      <c r="D6" s="138"/>
      <c r="E6" s="138"/>
      <c r="F6" s="138"/>
      <c r="G6" s="138"/>
      <c r="H6" s="138"/>
      <c r="I6" s="138"/>
      <c r="J6" s="138"/>
      <c r="K6" s="138"/>
      <c r="L6" s="138"/>
      <c r="M6" s="138"/>
      <c r="N6" s="138"/>
    </row>
    <row r="7" spans="2:23" x14ac:dyDescent="0.3">
      <c r="B7" s="178" t="s">
        <v>701</v>
      </c>
      <c r="C7" s="179"/>
      <c r="D7" s="179"/>
      <c r="E7" s="179"/>
      <c r="F7" s="179"/>
      <c r="G7" s="179"/>
      <c r="H7" s="179"/>
      <c r="I7" s="179"/>
      <c r="J7" s="179"/>
      <c r="K7" s="179"/>
      <c r="L7" s="179"/>
      <c r="M7" s="179"/>
      <c r="N7" s="179"/>
      <c r="O7" s="179"/>
      <c r="P7" s="179"/>
      <c r="Q7" s="179"/>
      <c r="R7" s="179"/>
      <c r="S7" s="179"/>
    </row>
    <row r="8" spans="2:23" x14ac:dyDescent="0.3">
      <c r="B8" s="178" t="s">
        <v>388</v>
      </c>
      <c r="C8" s="179"/>
      <c r="D8" s="179"/>
      <c r="E8" s="179"/>
      <c r="F8" s="179"/>
      <c r="G8" s="179"/>
      <c r="H8" s="179"/>
      <c r="I8" s="179"/>
      <c r="J8" s="179"/>
      <c r="K8" s="179"/>
      <c r="L8" s="179"/>
      <c r="M8" s="179"/>
      <c r="N8" s="179"/>
      <c r="O8" s="179"/>
      <c r="P8" s="179"/>
      <c r="Q8" s="179"/>
      <c r="R8" s="179"/>
      <c r="S8" s="179"/>
    </row>
    <row r="9" spans="2:23" ht="14.5" x14ac:dyDescent="0.35">
      <c r="B9" s="1758" t="s">
        <v>1742</v>
      </c>
      <c r="C9" s="179"/>
      <c r="D9" s="179"/>
      <c r="E9" s="179"/>
      <c r="F9" s="179"/>
      <c r="G9" s="179"/>
      <c r="H9" s="179"/>
      <c r="I9" s="179"/>
      <c r="J9" s="179"/>
      <c r="K9" s="179"/>
      <c r="L9" s="179"/>
      <c r="M9" s="179"/>
      <c r="N9" s="179"/>
      <c r="O9" s="179"/>
      <c r="P9" s="179"/>
      <c r="Q9" s="179"/>
      <c r="R9" s="179"/>
      <c r="S9" s="179"/>
    </row>
    <row r="10" spans="2:23" ht="28.5" customHeight="1" x14ac:dyDescent="0.3">
      <c r="B10" s="2435"/>
      <c r="C10" s="2434" t="s">
        <v>358</v>
      </c>
      <c r="D10" s="2436" t="s">
        <v>367</v>
      </c>
      <c r="E10" s="2436"/>
      <c r="F10" s="2436"/>
      <c r="G10" s="2436"/>
      <c r="H10" s="2436"/>
      <c r="I10" s="2434" t="s">
        <v>368</v>
      </c>
      <c r="J10" s="2434"/>
      <c r="K10" s="2434"/>
      <c r="L10" s="2437" t="s">
        <v>369</v>
      </c>
      <c r="M10" s="2437"/>
      <c r="N10" s="2437"/>
      <c r="O10" s="2437"/>
      <c r="P10" s="2437"/>
      <c r="Q10" s="2437"/>
      <c r="R10" s="2434" t="s">
        <v>363</v>
      </c>
      <c r="S10" s="2434" t="s">
        <v>370</v>
      </c>
      <c r="T10" s="2434" t="s">
        <v>371</v>
      </c>
      <c r="U10" s="2434" t="s">
        <v>465</v>
      </c>
    </row>
    <row r="11" spans="2:23" ht="56" x14ac:dyDescent="0.3">
      <c r="B11" s="2435"/>
      <c r="C11" s="2434"/>
      <c r="D11" s="1233" t="s">
        <v>1538</v>
      </c>
      <c r="E11" s="1233" t="s">
        <v>1539</v>
      </c>
      <c r="F11" s="1233" t="s">
        <v>1540</v>
      </c>
      <c r="G11" s="1233" t="s">
        <v>1541</v>
      </c>
      <c r="H11" s="1233" t="s">
        <v>372</v>
      </c>
      <c r="I11" s="1233" t="s">
        <v>464</v>
      </c>
      <c r="J11" s="1233" t="s">
        <v>373</v>
      </c>
      <c r="K11" s="1233" t="s">
        <v>359</v>
      </c>
      <c r="L11" s="1233" t="s">
        <v>374</v>
      </c>
      <c r="M11" s="1233" t="s">
        <v>375</v>
      </c>
      <c r="N11" s="1233" t="s">
        <v>376</v>
      </c>
      <c r="O11" s="1233" t="s">
        <v>1607</v>
      </c>
      <c r="P11" s="1233" t="s">
        <v>377</v>
      </c>
      <c r="Q11" s="1234" t="s">
        <v>145</v>
      </c>
      <c r="R11" s="2434"/>
      <c r="S11" s="2434"/>
      <c r="T11" s="2434"/>
      <c r="U11" s="2434"/>
    </row>
    <row r="12" spans="2:23" x14ac:dyDescent="0.3">
      <c r="B12" s="571"/>
      <c r="C12" s="1311"/>
      <c r="D12" s="1310"/>
      <c r="E12" s="1310"/>
      <c r="F12" s="1310"/>
      <c r="G12" s="1310"/>
      <c r="H12" s="1310"/>
      <c r="I12" s="1310"/>
      <c r="J12" s="1310"/>
      <c r="K12" s="1310"/>
      <c r="L12" s="1310"/>
      <c r="M12" s="1310"/>
      <c r="N12" s="1310"/>
      <c r="O12" s="1310"/>
      <c r="P12" s="1310"/>
      <c r="Q12" s="579"/>
      <c r="R12" s="1311"/>
      <c r="S12" s="1311"/>
      <c r="T12" s="1311"/>
      <c r="U12" s="1311"/>
    </row>
    <row r="13" spans="2:23" x14ac:dyDescent="0.3">
      <c r="B13" s="379" t="s">
        <v>293</v>
      </c>
      <c r="C13" s="481"/>
      <c r="D13" s="481"/>
      <c r="E13" s="481"/>
      <c r="F13" s="481"/>
      <c r="G13" s="481"/>
      <c r="H13" s="481"/>
      <c r="I13" s="481"/>
      <c r="J13" s="481"/>
      <c r="K13" s="481"/>
      <c r="L13" s="481"/>
      <c r="M13" s="481"/>
      <c r="N13" s="481"/>
      <c r="O13" s="481"/>
      <c r="P13" s="481"/>
      <c r="Q13" s="481"/>
      <c r="R13" s="481"/>
      <c r="S13" s="481"/>
      <c r="T13" s="481"/>
      <c r="U13" s="481"/>
    </row>
    <row r="14" spans="2:23" ht="15.5" x14ac:dyDescent="0.35">
      <c r="B14" s="1312" t="s">
        <v>953</v>
      </c>
      <c r="C14" s="1455">
        <f>F13.2!C14</f>
        <v>37</v>
      </c>
      <c r="D14" s="481">
        <v>0</v>
      </c>
      <c r="E14" s="481">
        <f>'Tariff Comparison Ext.vsProp'!G6</f>
        <v>470</v>
      </c>
      <c r="F14" s="481">
        <f>'Tariff Comparison Ext.vsProp'!F6</f>
        <v>6.1247999999999996</v>
      </c>
      <c r="G14" s="481">
        <f ca="1">wheeling!$C$15</f>
        <v>0.84</v>
      </c>
      <c r="H14" s="481">
        <f>F13.2!I14</f>
        <v>0</v>
      </c>
      <c r="I14" s="481"/>
      <c r="J14" s="481">
        <f>F13.2!K14</f>
        <v>58134.941791358178</v>
      </c>
      <c r="K14" s="481">
        <f>'F1'!O13</f>
        <v>190.38870735736347</v>
      </c>
      <c r="L14" s="481">
        <f t="shared" ref="L14:L20" si="0">C14*D14*12/10^7</f>
        <v>0</v>
      </c>
      <c r="M14" s="481">
        <f t="shared" ref="M14:M20" si="1">J14*E14*12/10^7</f>
        <v>32.788107170326015</v>
      </c>
      <c r="N14" s="481">
        <f t="shared" ref="N14:P20" si="2">F14*$K14/10</f>
        <v>116.60927548223796</v>
      </c>
      <c r="O14" s="481">
        <f t="shared" ca="1" si="2"/>
        <v>15.99265141801853</v>
      </c>
      <c r="P14" s="481">
        <f t="shared" si="2"/>
        <v>0</v>
      </c>
      <c r="Q14" s="481">
        <f t="shared" ref="Q14:Q20" ca="1" si="3">SUM(L14:P14)</f>
        <v>165.39003407058252</v>
      </c>
      <c r="R14" s="481"/>
      <c r="S14" s="481">
        <f t="shared" ref="S14:S20" ca="1" si="4">SUM(Q14,R14)</f>
        <v>165.39003407058252</v>
      </c>
      <c r="T14" s="481">
        <f ca="1">S14/K14*10</f>
        <v>8.6869665940922669</v>
      </c>
      <c r="U14" s="810">
        <f ca="1">T14/$U$54</f>
        <v>0.78594492983592001</v>
      </c>
      <c r="W14" s="425"/>
    </row>
    <row r="15" spans="2:23" ht="15.5" x14ac:dyDescent="0.35">
      <c r="B15" s="1312" t="s">
        <v>954</v>
      </c>
      <c r="C15" s="1455">
        <f>F13.2!C15</f>
        <v>96</v>
      </c>
      <c r="D15" s="481">
        <v>0</v>
      </c>
      <c r="E15" s="481">
        <f>'Tariff Comparison Ext.vsProp'!G7</f>
        <v>470</v>
      </c>
      <c r="F15" s="481">
        <f>'Tariff Comparison Ext.vsProp'!F7</f>
        <v>6.0830000000000011</v>
      </c>
      <c r="G15" s="481">
        <f ca="1">wheeling!$C$15</f>
        <v>0.84</v>
      </c>
      <c r="H15" s="481">
        <f>F13.2!I15</f>
        <v>0</v>
      </c>
      <c r="I15" s="481"/>
      <c r="J15" s="481">
        <f>F13.2!K15</f>
        <v>116875.76176000001</v>
      </c>
      <c r="K15" s="481">
        <f>'F1'!O14</f>
        <v>208.45106136432997</v>
      </c>
      <c r="L15" s="481">
        <f t="shared" si="0"/>
        <v>0</v>
      </c>
      <c r="M15" s="481">
        <f t="shared" si="1"/>
        <v>65.917929632640011</v>
      </c>
      <c r="N15" s="481">
        <f t="shared" si="2"/>
        <v>126.80078062792195</v>
      </c>
      <c r="O15" s="481">
        <f t="shared" ca="1" si="2"/>
        <v>17.509889154603719</v>
      </c>
      <c r="P15" s="481">
        <f t="shared" si="2"/>
        <v>0</v>
      </c>
      <c r="Q15" s="481">
        <f t="shared" ca="1" si="3"/>
        <v>210.22859941516569</v>
      </c>
      <c r="R15" s="481"/>
      <c r="S15" s="481">
        <f t="shared" ca="1" si="4"/>
        <v>210.22859941516569</v>
      </c>
      <c r="T15" s="481">
        <f t="shared" ref="T15:T32" ca="1" si="5">S15/K15*10</f>
        <v>10.085273638771691</v>
      </c>
      <c r="U15" s="810">
        <f ca="1">T15/$U$54</f>
        <v>0.91245541197211621</v>
      </c>
      <c r="W15" s="425"/>
    </row>
    <row r="16" spans="2:23" ht="15.5" x14ac:dyDescent="0.35">
      <c r="B16" s="1312" t="s">
        <v>955</v>
      </c>
      <c r="C16" s="1455">
        <f>F13.2!C16</f>
        <v>12</v>
      </c>
      <c r="D16" s="481">
        <v>0</v>
      </c>
      <c r="E16" s="481">
        <f>'Tariff Comparison Ext.vsProp'!G8</f>
        <v>470</v>
      </c>
      <c r="F16" s="481">
        <f>'Tariff Comparison Ext.vsProp'!F8</f>
        <v>6.3332499999999996</v>
      </c>
      <c r="G16" s="481">
        <f ca="1">wheeling!$C$15</f>
        <v>0.84</v>
      </c>
      <c r="H16" s="481">
        <f>F13.2!I16</f>
        <v>0</v>
      </c>
      <c r="I16" s="481"/>
      <c r="J16" s="481">
        <f>F13.2!K16</f>
        <v>8874</v>
      </c>
      <c r="K16" s="481">
        <f>'F1'!O15</f>
        <v>32.121324728631734</v>
      </c>
      <c r="L16" s="481">
        <f t="shared" si="0"/>
        <v>0</v>
      </c>
      <c r="M16" s="481">
        <f t="shared" si="1"/>
        <v>5.0049359999999998</v>
      </c>
      <c r="N16" s="481">
        <f t="shared" si="2"/>
        <v>20.343237983760694</v>
      </c>
      <c r="O16" s="481">
        <f t="shared" ca="1" si="2"/>
        <v>2.6981912772050656</v>
      </c>
      <c r="P16" s="481">
        <f t="shared" si="2"/>
        <v>0</v>
      </c>
      <c r="Q16" s="481">
        <f t="shared" ca="1" si="3"/>
        <v>28.046365260965761</v>
      </c>
      <c r="R16" s="481"/>
      <c r="S16" s="481">
        <f t="shared" ca="1" si="4"/>
        <v>28.046365260965761</v>
      </c>
      <c r="T16" s="481">
        <f t="shared" ca="1" si="5"/>
        <v>8.7313849904721685</v>
      </c>
      <c r="U16" s="810">
        <f t="shared" ref="U16:U20" ca="1" si="6">T16/$U$54</f>
        <v>0.78996364143658027</v>
      </c>
      <c r="W16" s="425"/>
    </row>
    <row r="17" spans="2:23" ht="15.5" x14ac:dyDescent="0.35">
      <c r="B17" s="1312" t="s">
        <v>956</v>
      </c>
      <c r="C17" s="1455">
        <f>F13.2!C17</f>
        <v>3</v>
      </c>
      <c r="D17" s="481">
        <v>0</v>
      </c>
      <c r="E17" s="481">
        <f>'Tariff Comparison Ext.vsProp'!G9</f>
        <v>470</v>
      </c>
      <c r="F17" s="481">
        <f>'Tariff Comparison Ext.vsProp'!F9</f>
        <v>5.7024000000000008</v>
      </c>
      <c r="G17" s="481">
        <f ca="1">wheeling!$C$15</f>
        <v>0.84</v>
      </c>
      <c r="H17" s="481">
        <f>F13.2!I17</f>
        <v>0</v>
      </c>
      <c r="I17" s="481"/>
      <c r="J17" s="481">
        <f>F13.2!K17</f>
        <v>2932.5</v>
      </c>
      <c r="K17" s="481">
        <f>'F1'!O16</f>
        <v>2.5717217190733441</v>
      </c>
      <c r="L17" s="481">
        <f t="shared" si="0"/>
        <v>0</v>
      </c>
      <c r="M17" s="481">
        <f t="shared" si="1"/>
        <v>1.6539299999999999</v>
      </c>
      <c r="N17" s="481">
        <f t="shared" si="2"/>
        <v>1.4664985930843839</v>
      </c>
      <c r="O17" s="481">
        <f t="shared" ca="1" si="2"/>
        <v>0.21602462440216091</v>
      </c>
      <c r="P17" s="481">
        <f t="shared" si="2"/>
        <v>0</v>
      </c>
      <c r="Q17" s="481">
        <f t="shared" ca="1" si="3"/>
        <v>3.3364532174865449</v>
      </c>
      <c r="R17" s="481"/>
      <c r="S17" s="481">
        <f t="shared" ca="1" si="4"/>
        <v>3.3364532174865449</v>
      </c>
      <c r="T17" s="481">
        <f t="shared" ca="1" si="5"/>
        <v>12.97361682930746</v>
      </c>
      <c r="U17" s="810">
        <f t="shared" ca="1" si="6"/>
        <v>1.1737754782621721</v>
      </c>
      <c r="W17" s="425"/>
    </row>
    <row r="18" spans="2:23" ht="15.5" x14ac:dyDescent="0.35">
      <c r="B18" s="1312" t="s">
        <v>957</v>
      </c>
      <c r="C18" s="1455">
        <f>F13.2!C18</f>
        <v>4</v>
      </c>
      <c r="D18" s="481">
        <v>0</v>
      </c>
      <c r="E18" s="481">
        <f>'Tariff Comparison Ext.vsProp'!G10</f>
        <v>470</v>
      </c>
      <c r="F18" s="481">
        <f>'Tariff Comparison Ext.vsProp'!F10</f>
        <v>5.8173999999999992</v>
      </c>
      <c r="G18" s="481">
        <f ca="1">wheeling!$C$15</f>
        <v>0.84</v>
      </c>
      <c r="H18" s="481">
        <f>F13.2!I18</f>
        <v>0</v>
      </c>
      <c r="I18" s="481"/>
      <c r="J18" s="481">
        <f>F13.2!K18</f>
        <v>8960</v>
      </c>
      <c r="K18" s="481">
        <f>'F1'!O17</f>
        <v>27.783816124755699</v>
      </c>
      <c r="L18" s="481">
        <f t="shared" si="0"/>
        <v>0</v>
      </c>
      <c r="M18" s="481">
        <f t="shared" si="1"/>
        <v>5.0534400000000002</v>
      </c>
      <c r="N18" s="481">
        <f t="shared" si="2"/>
        <v>16.16295719241538</v>
      </c>
      <c r="O18" s="481">
        <f t="shared" ca="1" si="2"/>
        <v>2.3338405544794787</v>
      </c>
      <c r="P18" s="481">
        <f t="shared" si="2"/>
        <v>0</v>
      </c>
      <c r="Q18" s="481">
        <f t="shared" ca="1" si="3"/>
        <v>23.550237746894858</v>
      </c>
      <c r="R18" s="481"/>
      <c r="S18" s="481">
        <f t="shared" ca="1" si="4"/>
        <v>23.550237746894858</v>
      </c>
      <c r="T18" s="481">
        <f t="shared" ca="1" si="5"/>
        <v>8.4762430190111022</v>
      </c>
      <c r="U18" s="810">
        <f t="shared" ca="1" si="6"/>
        <v>0.76687991748229001</v>
      </c>
      <c r="W18" s="425"/>
    </row>
    <row r="19" spans="2:23" ht="15.5" x14ac:dyDescent="0.35">
      <c r="B19" s="1312" t="s">
        <v>958</v>
      </c>
      <c r="C19" s="1455">
        <f>F13.2!C19</f>
        <v>46</v>
      </c>
      <c r="D19" s="481">
        <v>0</v>
      </c>
      <c r="E19" s="481">
        <f>'Tariff Comparison Ext.vsProp'!G11</f>
        <v>470</v>
      </c>
      <c r="F19" s="481">
        <f>'Tariff Comparison Ext.vsProp'!F11</f>
        <v>6.3881999999999994</v>
      </c>
      <c r="G19" s="481">
        <f ca="1">wheeling!$C$15</f>
        <v>0.84</v>
      </c>
      <c r="H19" s="481">
        <f>F13.2!I19</f>
        <v>0</v>
      </c>
      <c r="I19" s="481"/>
      <c r="J19" s="481">
        <f>F13.2!K19</f>
        <v>71819.458750000005</v>
      </c>
      <c r="K19" s="481">
        <f>'F1'!O18</f>
        <v>186.01089134631724</v>
      </c>
      <c r="L19" s="481">
        <f t="shared" si="0"/>
        <v>0</v>
      </c>
      <c r="M19" s="481">
        <f t="shared" si="1"/>
        <v>40.506174735000002</v>
      </c>
      <c r="N19" s="481">
        <f t="shared" si="2"/>
        <v>118.82747760985437</v>
      </c>
      <c r="O19" s="481">
        <f t="shared" ca="1" si="2"/>
        <v>15.624914873090649</v>
      </c>
      <c r="P19" s="481">
        <f t="shared" si="2"/>
        <v>0</v>
      </c>
      <c r="Q19" s="481">
        <f t="shared" ca="1" si="3"/>
        <v>174.95856721794505</v>
      </c>
      <c r="R19" s="481"/>
      <c r="S19" s="481">
        <f t="shared" ca="1" si="4"/>
        <v>174.95856721794505</v>
      </c>
      <c r="T19" s="481">
        <f t="shared" ca="1" si="5"/>
        <v>9.4058238177142623</v>
      </c>
      <c r="U19" s="810">
        <f t="shared" ca="1" si="6"/>
        <v>0.85098284428650173</v>
      </c>
      <c r="W19" s="425"/>
    </row>
    <row r="20" spans="2:23" ht="15.5" x14ac:dyDescent="0.35">
      <c r="B20" s="1312" t="s">
        <v>959</v>
      </c>
      <c r="C20" s="1455">
        <f>F13.2!C20</f>
        <v>0</v>
      </c>
      <c r="D20" s="481">
        <v>0</v>
      </c>
      <c r="E20" s="481">
        <f>'Tariff Comparison Ext.vsProp'!G12</f>
        <v>70</v>
      </c>
      <c r="F20" s="481">
        <f>'Tariff Comparison Ext.vsProp'!F12</f>
        <v>4.99</v>
      </c>
      <c r="G20" s="481">
        <f ca="1">wheeling!$C$15</f>
        <v>0.84</v>
      </c>
      <c r="H20" s="481">
        <f>F13.2!I20</f>
        <v>0</v>
      </c>
      <c r="I20" s="481"/>
      <c r="J20" s="481">
        <f>F13.2!K20</f>
        <v>0</v>
      </c>
      <c r="K20" s="481">
        <f>'F1'!O19</f>
        <v>0</v>
      </c>
      <c r="L20" s="481">
        <f t="shared" si="0"/>
        <v>0</v>
      </c>
      <c r="M20" s="481">
        <f t="shared" si="1"/>
        <v>0</v>
      </c>
      <c r="N20" s="481">
        <f t="shared" si="2"/>
        <v>0</v>
      </c>
      <c r="O20" s="481">
        <f t="shared" ca="1" si="2"/>
        <v>0</v>
      </c>
      <c r="P20" s="481">
        <f t="shared" si="2"/>
        <v>0</v>
      </c>
      <c r="Q20" s="481">
        <f t="shared" ca="1" si="3"/>
        <v>0</v>
      </c>
      <c r="R20" s="481"/>
      <c r="S20" s="481">
        <f t="shared" ca="1" si="4"/>
        <v>0</v>
      </c>
      <c r="T20" s="481">
        <v>0</v>
      </c>
      <c r="U20" s="810">
        <f t="shared" ca="1" si="6"/>
        <v>0</v>
      </c>
      <c r="W20" s="425"/>
    </row>
    <row r="21" spans="2:23" x14ac:dyDescent="0.3">
      <c r="B21" s="387"/>
      <c r="C21" s="1455"/>
      <c r="D21" s="481"/>
      <c r="E21" s="481"/>
      <c r="F21" s="481"/>
      <c r="G21" s="481"/>
      <c r="H21" s="481"/>
      <c r="I21" s="481"/>
      <c r="J21" s="481"/>
      <c r="K21" s="481"/>
      <c r="L21" s="481"/>
      <c r="M21" s="481"/>
      <c r="N21" s="481"/>
      <c r="O21" s="481"/>
      <c r="P21" s="481"/>
      <c r="Q21" s="481"/>
      <c r="R21" s="481"/>
      <c r="S21" s="481"/>
      <c r="T21" s="481"/>
      <c r="U21" s="810"/>
      <c r="W21" s="425"/>
    </row>
    <row r="22" spans="2:23" s="152" customFormat="1" x14ac:dyDescent="0.3">
      <c r="B22" s="379" t="s">
        <v>972</v>
      </c>
      <c r="C22" s="1459">
        <f>SUM(C14:C20)</f>
        <v>198</v>
      </c>
      <c r="D22" s="482"/>
      <c r="E22" s="482"/>
      <c r="F22" s="482"/>
      <c r="G22" s="482">
        <f>F13.2!G22</f>
        <v>0</v>
      </c>
      <c r="H22" s="482">
        <f>F13.2!I22</f>
        <v>0</v>
      </c>
      <c r="I22" s="482"/>
      <c r="J22" s="482">
        <f>SUM(J14:J20)</f>
        <v>267596.66230135818</v>
      </c>
      <c r="K22" s="482">
        <f>SUM(K14:K20)</f>
        <v>647.32752264047144</v>
      </c>
      <c r="L22" s="482">
        <f t="shared" ref="L22:S22" si="7">SUM(L14:L20)</f>
        <v>0</v>
      </c>
      <c r="M22" s="482">
        <f t="shared" si="7"/>
        <v>150.92451753796604</v>
      </c>
      <c r="N22" s="482">
        <f t="shared" si="7"/>
        <v>400.21022748927476</v>
      </c>
      <c r="O22" s="482">
        <f t="shared" ca="1" si="7"/>
        <v>54.375511901799612</v>
      </c>
      <c r="P22" s="482">
        <f t="shared" si="7"/>
        <v>0</v>
      </c>
      <c r="Q22" s="482">
        <f t="shared" ca="1" si="7"/>
        <v>605.51025692904045</v>
      </c>
      <c r="R22" s="482">
        <f t="shared" si="7"/>
        <v>0</v>
      </c>
      <c r="S22" s="482">
        <f t="shared" ca="1" si="7"/>
        <v>605.51025692904045</v>
      </c>
      <c r="T22" s="482">
        <f t="shared" ca="1" si="5"/>
        <v>9.3540014251076968</v>
      </c>
      <c r="U22" s="811">
        <f ca="1">T22/$U$54</f>
        <v>0.8462942632634326</v>
      </c>
      <c r="W22" s="512"/>
    </row>
    <row r="23" spans="2:23" x14ac:dyDescent="0.3">
      <c r="B23" s="374"/>
      <c r="C23" s="1455"/>
      <c r="D23" s="481"/>
      <c r="E23" s="481"/>
      <c r="F23" s="481"/>
      <c r="G23" s="481"/>
      <c r="H23" s="481"/>
      <c r="I23" s="481"/>
      <c r="J23" s="481"/>
      <c r="K23" s="481"/>
      <c r="L23" s="481"/>
      <c r="M23" s="481"/>
      <c r="N23" s="481"/>
      <c r="O23" s="481"/>
      <c r="P23" s="481"/>
      <c r="Q23" s="481"/>
      <c r="R23" s="481"/>
      <c r="S23" s="481"/>
      <c r="T23" s="481"/>
      <c r="U23" s="810"/>
      <c r="W23" s="425"/>
    </row>
    <row r="24" spans="2:23" x14ac:dyDescent="0.3">
      <c r="B24" s="379" t="s">
        <v>294</v>
      </c>
      <c r="C24" s="1455"/>
      <c r="D24" s="481"/>
      <c r="E24" s="481"/>
      <c r="F24" s="481"/>
      <c r="G24" s="481"/>
      <c r="H24" s="481"/>
      <c r="I24" s="481"/>
      <c r="J24" s="481"/>
      <c r="K24" s="481"/>
      <c r="L24" s="481"/>
      <c r="M24" s="481"/>
      <c r="N24" s="481"/>
      <c r="O24" s="481"/>
      <c r="P24" s="481"/>
      <c r="Q24" s="481"/>
      <c r="R24" s="481"/>
      <c r="S24" s="481"/>
      <c r="T24" s="481"/>
      <c r="U24" s="810"/>
      <c r="W24" s="425"/>
    </row>
    <row r="25" spans="2:23" x14ac:dyDescent="0.3">
      <c r="B25" s="374"/>
      <c r="C25" s="1455"/>
      <c r="D25" s="481"/>
      <c r="E25" s="481"/>
      <c r="F25" s="481"/>
      <c r="G25" s="481"/>
      <c r="H25" s="481"/>
      <c r="I25" s="481"/>
      <c r="J25" s="481"/>
      <c r="K25" s="481"/>
      <c r="L25" s="481"/>
      <c r="M25" s="481"/>
      <c r="N25" s="481"/>
      <c r="O25" s="481"/>
      <c r="P25" s="481"/>
      <c r="Q25" s="481"/>
      <c r="R25" s="481"/>
      <c r="S25" s="481"/>
      <c r="T25" s="481"/>
      <c r="U25" s="810"/>
      <c r="W25" s="425"/>
    </row>
    <row r="26" spans="2:23" ht="15.5" x14ac:dyDescent="0.3">
      <c r="B26" s="1313" t="s">
        <v>960</v>
      </c>
      <c r="C26" s="1455">
        <f>F13.2!C26</f>
        <v>59</v>
      </c>
      <c r="D26" s="481">
        <f>'Tariff Comparison Ext.vsProp'!G16</f>
        <v>11</v>
      </c>
      <c r="E26" s="481">
        <v>0</v>
      </c>
      <c r="F26" s="481">
        <f>'Tariff Comparison Ext.vsProp'!F16</f>
        <v>1.2221</v>
      </c>
      <c r="G26" s="481">
        <f ca="1">wheeling!$C$16</f>
        <v>2.2599999999999998</v>
      </c>
      <c r="H26" s="481">
        <f>F13.2!I26</f>
        <v>0</v>
      </c>
      <c r="I26" s="481"/>
      <c r="J26" s="481">
        <f>F13.2!K26</f>
        <v>0</v>
      </c>
      <c r="K26" s="481">
        <f>'F1'!O25</f>
        <v>3.5998039046489051E-2</v>
      </c>
      <c r="L26" s="481">
        <f>C26*D26*12/10^7</f>
        <v>7.7879999999999996E-4</v>
      </c>
      <c r="M26" s="481">
        <f>J26*E26*12/10^7</f>
        <v>0</v>
      </c>
      <c r="N26" s="481">
        <f>F26*$K26/10</f>
        <v>4.3993203518714269E-3</v>
      </c>
      <c r="O26" s="481">
        <f ca="1">G26*$K26/10</f>
        <v>8.1355568245065242E-3</v>
      </c>
      <c r="P26" s="481">
        <f>H26*$K26/10</f>
        <v>0</v>
      </c>
      <c r="Q26" s="481">
        <f ca="1">SUM(L26:P26)</f>
        <v>1.331367717637795E-2</v>
      </c>
      <c r="R26" s="481"/>
      <c r="S26" s="481">
        <f ca="1">SUM(Q26,R26)</f>
        <v>1.331367717637795E-2</v>
      </c>
      <c r="T26" s="481">
        <f t="shared" ca="1" si="5"/>
        <v>3.6984451178532889</v>
      </c>
      <c r="U26" s="810">
        <f ca="1">T26/$U$54</f>
        <v>0.33461325736304892</v>
      </c>
      <c r="W26" s="425"/>
    </row>
    <row r="27" spans="2:23" ht="15.5" x14ac:dyDescent="0.35">
      <c r="B27" s="367" t="s">
        <v>961</v>
      </c>
      <c r="C27" s="1455"/>
      <c r="D27" s="481"/>
      <c r="E27" s="481"/>
      <c r="F27" s="481"/>
      <c r="G27" s="481"/>
      <c r="H27" s="481"/>
      <c r="I27" s="481"/>
      <c r="J27" s="481"/>
      <c r="K27" s="481">
        <f>'F1'!O26</f>
        <v>0</v>
      </c>
      <c r="L27" s="481"/>
      <c r="M27" s="481"/>
      <c r="N27" s="481"/>
      <c r="O27" s="481"/>
      <c r="P27" s="481"/>
      <c r="Q27" s="481"/>
      <c r="R27" s="481"/>
      <c r="S27" s="481"/>
      <c r="T27" s="481"/>
      <c r="U27" s="810"/>
      <c r="W27" s="425"/>
    </row>
    <row r="28" spans="2:23" ht="15.5" x14ac:dyDescent="0.35">
      <c r="B28" s="367" t="s">
        <v>1542</v>
      </c>
      <c r="C28" s="1455">
        <f>F13.2!C28</f>
        <v>326558</v>
      </c>
      <c r="D28" s="481">
        <f>'Tariff Comparison Ext.vsProp'!G18</f>
        <v>110</v>
      </c>
      <c r="E28" s="481">
        <v>0</v>
      </c>
      <c r="F28" s="481">
        <f>'Tariff Comparison Ext.vsProp'!F18</f>
        <v>1.8980999999999997</v>
      </c>
      <c r="G28" s="481">
        <f ca="1">wheeling!$C$16</f>
        <v>2.2599999999999998</v>
      </c>
      <c r="H28" s="481">
        <f>F13.2!I28</f>
        <v>0</v>
      </c>
      <c r="I28" s="481"/>
      <c r="J28" s="481">
        <f>F13.2!K28</f>
        <v>0</v>
      </c>
      <c r="K28" s="481">
        <f>'F1'!O27</f>
        <v>759.83565672439647</v>
      </c>
      <c r="L28" s="481">
        <f>C28*D28*12/10^7</f>
        <v>43.105656000000003</v>
      </c>
      <c r="M28" s="481">
        <f>J28*E28*12/10^7</f>
        <v>0</v>
      </c>
      <c r="N28" s="481">
        <f t="shared" ref="N28:P32" si="8">F28*$K28/10</f>
        <v>144.22440600285768</v>
      </c>
      <c r="O28" s="481">
        <f t="shared" ca="1" si="8"/>
        <v>171.72285841971359</v>
      </c>
      <c r="P28" s="481">
        <f t="shared" si="8"/>
        <v>0</v>
      </c>
      <c r="Q28" s="481">
        <f ca="1">SUM(L28:P28)</f>
        <v>359.05292042257128</v>
      </c>
      <c r="R28" s="481"/>
      <c r="S28" s="481">
        <f ca="1">SUM(Q28,R28)</f>
        <v>359.05292042257128</v>
      </c>
      <c r="T28" s="481">
        <f ca="1">S28/K28*10</f>
        <v>4.7254023583260851</v>
      </c>
      <c r="U28" s="810">
        <f t="shared" ref="U28:U41" ca="1" si="9">T28/$U$54</f>
        <v>0.42752622388197015</v>
      </c>
      <c r="W28" s="425"/>
    </row>
    <row r="29" spans="2:23" ht="15.5" x14ac:dyDescent="0.35">
      <c r="B29" s="367" t="s">
        <v>1543</v>
      </c>
      <c r="C29" s="1455">
        <f>F13.2!C29</f>
        <v>363597</v>
      </c>
      <c r="D29" s="481">
        <f>'Tariff Comparison Ext.vsProp'!G19</f>
        <v>160</v>
      </c>
      <c r="E29" s="481">
        <v>0</v>
      </c>
      <c r="F29" s="481">
        <f>'Tariff Comparison Ext.vsProp'!F19</f>
        <v>4.774</v>
      </c>
      <c r="G29" s="481">
        <f ca="1">wheeling!$C$16</f>
        <v>2.2599999999999998</v>
      </c>
      <c r="H29" s="481">
        <f>F13.2!I29</f>
        <v>0</v>
      </c>
      <c r="I29" s="481"/>
      <c r="J29" s="481">
        <f>F13.2!K29</f>
        <v>0</v>
      </c>
      <c r="K29" s="481">
        <f>'F1'!O28</f>
        <v>730.83059938075382</v>
      </c>
      <c r="L29" s="481">
        <f>C29*D29*12/10^7</f>
        <v>69.810624000000004</v>
      </c>
      <c r="M29" s="481">
        <f>J29*E29*12/10^7</f>
        <v>0</v>
      </c>
      <c r="N29" s="481">
        <f t="shared" si="8"/>
        <v>348.89852814437188</v>
      </c>
      <c r="O29" s="481">
        <f t="shared" ca="1" si="8"/>
        <v>165.16771546005035</v>
      </c>
      <c r="P29" s="481">
        <f t="shared" si="8"/>
        <v>0</v>
      </c>
      <c r="Q29" s="481">
        <f ca="1">SUM(L29:P29)</f>
        <v>583.87686760442227</v>
      </c>
      <c r="R29" s="481"/>
      <c r="S29" s="481">
        <f ca="1">SUM(Q29,R29)</f>
        <v>583.87686760442227</v>
      </c>
      <c r="T29" s="481">
        <f ca="1">S29/K29*10</f>
        <v>7.9892230579720094</v>
      </c>
      <c r="U29" s="810">
        <f t="shared" ca="1" si="9"/>
        <v>0.72281725591203916</v>
      </c>
      <c r="W29" s="425"/>
    </row>
    <row r="30" spans="2:23" ht="15.5" x14ac:dyDescent="0.35">
      <c r="B30" s="367" t="s">
        <v>1544</v>
      </c>
      <c r="C30" s="1455">
        <f>F13.2!C30</f>
        <v>52738</v>
      </c>
      <c r="D30" s="481">
        <f>'Tariff Comparison Ext.vsProp'!G20</f>
        <v>160</v>
      </c>
      <c r="E30" s="481">
        <v>0</v>
      </c>
      <c r="F30" s="481">
        <f>'Tariff Comparison Ext.vsProp'!F20</f>
        <v>7.8262</v>
      </c>
      <c r="G30" s="481">
        <f ca="1">wheeling!$C$16</f>
        <v>2.2599999999999998</v>
      </c>
      <c r="H30" s="481">
        <f>F13.2!I30</f>
        <v>0</v>
      </c>
      <c r="I30" s="481"/>
      <c r="J30" s="481">
        <f>F13.2!K30</f>
        <v>0</v>
      </c>
      <c r="K30" s="481">
        <f>'F1'!O29</f>
        <v>240.83075876903308</v>
      </c>
      <c r="L30" s="481">
        <f>C30*D30*12/10^7</f>
        <v>10.125696</v>
      </c>
      <c r="M30" s="481">
        <f>J30*E30*12/10^7</f>
        <v>0</v>
      </c>
      <c r="N30" s="481">
        <f t="shared" si="8"/>
        <v>188.47896842782069</v>
      </c>
      <c r="O30" s="481">
        <f t="shared" ca="1" si="8"/>
        <v>54.427751481801479</v>
      </c>
      <c r="P30" s="481">
        <f t="shared" si="8"/>
        <v>0</v>
      </c>
      <c r="Q30" s="481">
        <f ca="1">SUM(L30:P30)</f>
        <v>253.03241590962216</v>
      </c>
      <c r="R30" s="481"/>
      <c r="S30" s="481">
        <f ca="1">SUM(Q30,R30)</f>
        <v>253.03241590962216</v>
      </c>
      <c r="T30" s="481">
        <f t="shared" ca="1" si="5"/>
        <v>10.506648619260922</v>
      </c>
      <c r="U30" s="810">
        <f t="shared" ca="1" si="9"/>
        <v>0.95057890719776195</v>
      </c>
      <c r="W30" s="425"/>
    </row>
    <row r="31" spans="2:23" ht="15.5" x14ac:dyDescent="0.35">
      <c r="B31" s="367" t="s">
        <v>1545</v>
      </c>
      <c r="C31" s="1455">
        <f>F13.2!C31</f>
        <v>30583</v>
      </c>
      <c r="D31" s="481">
        <f>'Tariff Comparison Ext.vsProp'!G21</f>
        <v>200</v>
      </c>
      <c r="E31" s="481">
        <v>0</v>
      </c>
      <c r="F31" s="481">
        <f>'Tariff Comparison Ext.vsProp'!F21</f>
        <v>9.5266000000000002</v>
      </c>
      <c r="G31" s="481">
        <f ca="1">wheeling!$C$16</f>
        <v>2.2599999999999998</v>
      </c>
      <c r="H31" s="481">
        <f>F13.2!I31</f>
        <v>0</v>
      </c>
      <c r="I31" s="481"/>
      <c r="J31" s="481">
        <f>F13.2!K31</f>
        <v>0</v>
      </c>
      <c r="K31" s="481">
        <f>'F1'!O30</f>
        <v>400.66426340822659</v>
      </c>
      <c r="L31" s="481">
        <f>C31*D31*12/10^7</f>
        <v>7.3399200000000002</v>
      </c>
      <c r="M31" s="481">
        <f>J31*E31*12/10^7</f>
        <v>0</v>
      </c>
      <c r="N31" s="481">
        <f t="shared" si="8"/>
        <v>381.69681717848118</v>
      </c>
      <c r="O31" s="481">
        <f t="shared" ca="1" si="8"/>
        <v>90.550123530259199</v>
      </c>
      <c r="P31" s="481">
        <f t="shared" si="8"/>
        <v>0</v>
      </c>
      <c r="Q31" s="481">
        <f ca="1">SUM(L31:P31)</f>
        <v>479.5868607087404</v>
      </c>
      <c r="R31" s="481"/>
      <c r="S31" s="481">
        <f ca="1">SUM(Q31,R31)</f>
        <v>479.5868607087404</v>
      </c>
      <c r="T31" s="481">
        <f t="shared" ca="1" si="5"/>
        <v>11.969793777692161</v>
      </c>
      <c r="U31" s="810">
        <f t="shared" ca="1" si="9"/>
        <v>1.0829555551826928</v>
      </c>
      <c r="W31" s="425"/>
    </row>
    <row r="32" spans="2:23" ht="15.5" x14ac:dyDescent="0.35">
      <c r="B32" s="1312" t="s">
        <v>973</v>
      </c>
      <c r="C32" s="1455">
        <f>F13.2!C32</f>
        <v>253800</v>
      </c>
      <c r="D32" s="481">
        <f>'Tariff Comparison Ext.vsProp'!G22</f>
        <v>560</v>
      </c>
      <c r="E32" s="481">
        <v>0</v>
      </c>
      <c r="F32" s="481">
        <f>'Tariff Comparison Ext.vsProp'!F22</f>
        <v>5.2538000000000009</v>
      </c>
      <c r="G32" s="481">
        <f ca="1">wheeling!$C$16</f>
        <v>2.2599999999999998</v>
      </c>
      <c r="H32" s="481">
        <f>F13.2!I32</f>
        <v>0</v>
      </c>
      <c r="I32" s="481"/>
      <c r="J32" s="481">
        <f>F13.2!K32</f>
        <v>0</v>
      </c>
      <c r="K32" s="481">
        <f>'F1'!O31</f>
        <v>833.6817538971103</v>
      </c>
      <c r="L32" s="481">
        <f>C32*D32*12/10^7</f>
        <v>170.55359999999999</v>
      </c>
      <c r="M32" s="481">
        <f>J32*E32*12/10^7</f>
        <v>0</v>
      </c>
      <c r="N32" s="481">
        <f t="shared" si="8"/>
        <v>437.99971986246391</v>
      </c>
      <c r="O32" s="481">
        <f t="shared" ca="1" si="8"/>
        <v>188.4120763807469</v>
      </c>
      <c r="P32" s="481">
        <f t="shared" si="8"/>
        <v>0</v>
      </c>
      <c r="Q32" s="481">
        <f ca="1">SUM(L32:P32)</f>
        <v>796.96539624321076</v>
      </c>
      <c r="R32" s="481"/>
      <c r="S32" s="481">
        <f ca="1">SUM(Q32,R32)</f>
        <v>796.96539624321076</v>
      </c>
      <c r="T32" s="481">
        <f t="shared" ca="1" si="5"/>
        <v>9.5595878465341713</v>
      </c>
      <c r="U32" s="810">
        <f t="shared" ca="1" si="9"/>
        <v>0.86489449659150053</v>
      </c>
      <c r="W32" s="425"/>
    </row>
    <row r="33" spans="1:23" ht="15.5" x14ac:dyDescent="0.35">
      <c r="B33" s="1312" t="s">
        <v>974</v>
      </c>
      <c r="C33" s="1455">
        <f>F13.2!C33</f>
        <v>5852</v>
      </c>
      <c r="D33" s="481">
        <v>0</v>
      </c>
      <c r="E33" s="481">
        <f>'Tariff Comparison Ext.vsProp'!G23</f>
        <v>470</v>
      </c>
      <c r="F33" s="481">
        <f>'Tariff Comparison Ext.vsProp'!F23</f>
        <v>5.0058000000000007</v>
      </c>
      <c r="G33" s="481">
        <f ca="1">wheeling!$C$16</f>
        <v>2.2599999999999998</v>
      </c>
      <c r="H33" s="481">
        <f>F13.2!I33</f>
        <v>0</v>
      </c>
      <c r="I33" s="481"/>
      <c r="J33" s="481">
        <f>F13.2!K33</f>
        <v>216045.41232500054</v>
      </c>
      <c r="K33" s="481">
        <f>'F1'!O32</f>
        <v>172.24304351173583</v>
      </c>
      <c r="L33" s="481"/>
      <c r="M33" s="481">
        <f t="shared" ref="M33:M41" si="10">J33*E33*12/10^7</f>
        <v>121.84961255130031</v>
      </c>
      <c r="N33" s="481">
        <f t="shared" ref="N33:N38" si="11">F33*$K33/10</f>
        <v>86.221422721104744</v>
      </c>
      <c r="O33" s="481">
        <f t="shared" ref="O33:O38" ca="1" si="12">G33*$K33/10</f>
        <v>38.9269278336523</v>
      </c>
      <c r="P33" s="481">
        <f t="shared" ref="P33:P38" si="13">H33*$K33/10</f>
        <v>0</v>
      </c>
      <c r="Q33" s="481">
        <f t="shared" ref="Q33:Q38" ca="1" si="14">SUM(L33:P33)</f>
        <v>246.99796310605734</v>
      </c>
      <c r="R33" s="481"/>
      <c r="S33" s="481">
        <f t="shared" ref="S33:S38" ca="1" si="15">SUM(Q33,R33)</f>
        <v>246.99796310605734</v>
      </c>
      <c r="T33" s="481">
        <f t="shared" ref="T33:T41" ca="1" si="16">S33/K33*10</f>
        <v>14.340083527914906</v>
      </c>
      <c r="U33" s="810">
        <f t="shared" ca="1" si="9"/>
        <v>1.2974052357762074</v>
      </c>
      <c r="W33" s="425"/>
    </row>
    <row r="34" spans="1:23" ht="15.5" x14ac:dyDescent="0.35">
      <c r="A34" s="789"/>
      <c r="B34" s="1312" t="s">
        <v>975</v>
      </c>
      <c r="C34" s="1455">
        <f>F13.2!C34</f>
        <v>3136</v>
      </c>
      <c r="D34" s="481">
        <v>0</v>
      </c>
      <c r="E34" s="481">
        <f>'Tariff Comparison Ext.vsProp'!G24</f>
        <v>470</v>
      </c>
      <c r="F34" s="481">
        <f>'Tariff Comparison Ext.vsProp'!F24</f>
        <v>5.3560000000000008</v>
      </c>
      <c r="G34" s="481">
        <f ca="1">wheeling!$C$16</f>
        <v>2.2599999999999998</v>
      </c>
      <c r="H34" s="481">
        <f>F13.2!I34</f>
        <v>0</v>
      </c>
      <c r="I34" s="481"/>
      <c r="J34" s="481">
        <f>F13.2!K34</f>
        <v>437777.84708000114</v>
      </c>
      <c r="K34" s="481">
        <f>'F1'!O33</f>
        <v>358.2343891645337</v>
      </c>
      <c r="L34" s="481"/>
      <c r="M34" s="481">
        <f t="shared" si="10"/>
        <v>246.90670575312066</v>
      </c>
      <c r="N34" s="481">
        <f t="shared" si="11"/>
        <v>191.87033883652427</v>
      </c>
      <c r="O34" s="481">
        <f t="shared" ca="1" si="12"/>
        <v>80.960971951184604</v>
      </c>
      <c r="P34" s="481">
        <f t="shared" si="13"/>
        <v>0</v>
      </c>
      <c r="Q34" s="481">
        <f t="shared" ca="1" si="14"/>
        <v>519.73801654082945</v>
      </c>
      <c r="R34" s="481"/>
      <c r="S34" s="481">
        <f t="shared" ca="1" si="15"/>
        <v>519.73801654082945</v>
      </c>
      <c r="T34" s="481">
        <f t="shared" ca="1" si="16"/>
        <v>14.508322826095812</v>
      </c>
      <c r="U34" s="810">
        <f t="shared" ca="1" si="9"/>
        <v>1.3126265241249342</v>
      </c>
      <c r="W34" s="425"/>
    </row>
    <row r="35" spans="1:23" ht="15.5" x14ac:dyDescent="0.35">
      <c r="B35" s="1312" t="s">
        <v>965</v>
      </c>
      <c r="C35" s="1455">
        <f>F13.2!C35</f>
        <v>8347</v>
      </c>
      <c r="D35" s="481">
        <f>'Tariff Comparison Ext.vsProp'!G25</f>
        <v>560</v>
      </c>
      <c r="E35" s="481">
        <v>0</v>
      </c>
      <c r="F35" s="481">
        <f>'Tariff Comparison Ext.vsProp'!F25</f>
        <v>4.7805999999999997</v>
      </c>
      <c r="G35" s="481">
        <f ca="1">wheeling!$C$16</f>
        <v>2.2599999999999998</v>
      </c>
      <c r="H35" s="481">
        <f>F13.2!I35</f>
        <v>0</v>
      </c>
      <c r="I35" s="481"/>
      <c r="J35" s="481">
        <f>F13.2!K35</f>
        <v>0</v>
      </c>
      <c r="K35" s="481">
        <f>'F1'!O34</f>
        <v>105.7392569038896</v>
      </c>
      <c r="L35" s="481">
        <f>C35*D35*12/10^7</f>
        <v>5.6091839999999999</v>
      </c>
      <c r="M35" s="481">
        <f t="shared" si="10"/>
        <v>0</v>
      </c>
      <c r="N35" s="481">
        <f t="shared" si="11"/>
        <v>50.549709155473458</v>
      </c>
      <c r="O35" s="481">
        <f t="shared" ca="1" si="12"/>
        <v>23.897072060279047</v>
      </c>
      <c r="P35" s="481">
        <f t="shared" si="13"/>
        <v>0</v>
      </c>
      <c r="Q35" s="481">
        <f t="shared" ca="1" si="14"/>
        <v>80.055965215752508</v>
      </c>
      <c r="R35" s="481"/>
      <c r="S35" s="481">
        <f t="shared" ca="1" si="15"/>
        <v>80.055965215752508</v>
      </c>
      <c r="T35" s="481">
        <f t="shared" ca="1" si="16"/>
        <v>7.5710731813179279</v>
      </c>
      <c r="U35" s="810">
        <f t="shared" ca="1" si="9"/>
        <v>0.68498554884742469</v>
      </c>
      <c r="W35" s="425"/>
    </row>
    <row r="36" spans="1:23" ht="15.5" x14ac:dyDescent="0.35">
      <c r="B36" s="1312" t="s">
        <v>976</v>
      </c>
      <c r="C36" s="1455">
        <f>F13.2!C36</f>
        <v>1007</v>
      </c>
      <c r="D36" s="481">
        <v>0</v>
      </c>
      <c r="E36" s="481">
        <f>'Tariff Comparison Ext.vsProp'!G26</f>
        <v>470</v>
      </c>
      <c r="F36" s="481">
        <f>'Tariff Comparison Ext.vsProp'!F26</f>
        <v>5.0668000000000006</v>
      </c>
      <c r="G36" s="481">
        <f ca="1">wheeling!$C$16</f>
        <v>2.2599999999999998</v>
      </c>
      <c r="H36" s="481">
        <f>F13.2!I36</f>
        <v>0</v>
      </c>
      <c r="I36" s="481"/>
      <c r="J36" s="481">
        <f>F13.2!K36</f>
        <v>63591.37070122904</v>
      </c>
      <c r="K36" s="481">
        <f>'F1'!O35</f>
        <v>79.807084116296068</v>
      </c>
      <c r="L36" s="481"/>
      <c r="M36" s="481">
        <f t="shared" si="10"/>
        <v>35.865533075493182</v>
      </c>
      <c r="N36" s="481">
        <f t="shared" si="11"/>
        <v>40.436653380044895</v>
      </c>
      <c r="O36" s="481">
        <f t="shared" ca="1" si="12"/>
        <v>18.036401010282908</v>
      </c>
      <c r="P36" s="481">
        <f t="shared" si="13"/>
        <v>0</v>
      </c>
      <c r="Q36" s="481">
        <f t="shared" ca="1" si="14"/>
        <v>94.338587465820979</v>
      </c>
      <c r="R36" s="481"/>
      <c r="S36" s="481">
        <f t="shared" ca="1" si="15"/>
        <v>94.338587465820979</v>
      </c>
      <c r="T36" s="481">
        <f t="shared" ca="1" si="16"/>
        <v>11.820828753541402</v>
      </c>
      <c r="U36" s="810">
        <f t="shared" ca="1" si="9"/>
        <v>1.0694780881997077</v>
      </c>
      <c r="W36" s="425"/>
    </row>
    <row r="37" spans="1:23" ht="15.5" x14ac:dyDescent="0.35">
      <c r="B37" s="1312" t="s">
        <v>967</v>
      </c>
      <c r="C37" s="1455">
        <f>F13.2!C37</f>
        <v>671</v>
      </c>
      <c r="D37" s="481">
        <f>'Tariff Comparison Ext.vsProp'!G27</f>
        <v>560</v>
      </c>
      <c r="E37" s="481">
        <v>0</v>
      </c>
      <c r="F37" s="481">
        <f>'Tariff Comparison Ext.vsProp'!F27</f>
        <v>5.4670000000000005</v>
      </c>
      <c r="G37" s="481">
        <f ca="1">wheeling!$C$16</f>
        <v>2.2599999999999998</v>
      </c>
      <c r="H37" s="481">
        <f>F13.2!I37</f>
        <v>0</v>
      </c>
      <c r="I37" s="481"/>
      <c r="J37" s="481">
        <f>F13.2!K37</f>
        <v>0</v>
      </c>
      <c r="K37" s="481">
        <f>'F1'!O36</f>
        <v>61.397282548059046</v>
      </c>
      <c r="L37" s="481">
        <f>C37*D37*12/10^7</f>
        <v>0.45091199999999998</v>
      </c>
      <c r="M37" s="481">
        <f t="shared" si="10"/>
        <v>0</v>
      </c>
      <c r="N37" s="481">
        <f t="shared" si="11"/>
        <v>33.565894369023887</v>
      </c>
      <c r="O37" s="481">
        <f t="shared" ca="1" si="12"/>
        <v>13.875785855861343</v>
      </c>
      <c r="P37" s="481">
        <f t="shared" si="13"/>
        <v>0</v>
      </c>
      <c r="Q37" s="481">
        <f t="shared" ca="1" si="14"/>
        <v>47.892592224885234</v>
      </c>
      <c r="R37" s="481"/>
      <c r="S37" s="481">
        <f t="shared" ca="1" si="15"/>
        <v>47.892592224885234</v>
      </c>
      <c r="T37" s="481">
        <f t="shared" ca="1" si="16"/>
        <v>7.8004416868771118</v>
      </c>
      <c r="U37" s="810">
        <f t="shared" ca="1" si="9"/>
        <v>0.70573744331549815</v>
      </c>
      <c r="W37" s="425"/>
    </row>
    <row r="38" spans="1:23" ht="15.5" x14ac:dyDescent="0.35">
      <c r="B38" s="1312" t="s">
        <v>968</v>
      </c>
      <c r="C38" s="1455">
        <f>F13.2!C38</f>
        <v>7003</v>
      </c>
      <c r="D38" s="481">
        <f>'Tariff Comparison Ext.vsProp'!G28</f>
        <v>560</v>
      </c>
      <c r="E38" s="481">
        <v>0</v>
      </c>
      <c r="F38" s="481">
        <f>'Tariff Comparison Ext.vsProp'!F28</f>
        <v>5.4722999999999988</v>
      </c>
      <c r="G38" s="481">
        <f ca="1">wheeling!$C$16</f>
        <v>2.2599999999999998</v>
      </c>
      <c r="H38" s="481">
        <f>F13.2!I38</f>
        <v>0</v>
      </c>
      <c r="I38" s="481"/>
      <c r="J38" s="481">
        <f>F13.2!K38</f>
        <v>0</v>
      </c>
      <c r="K38" s="481">
        <f>'F1'!O37</f>
        <v>178.81986798061297</v>
      </c>
      <c r="L38" s="481">
        <f>C38*D38*12/10^7</f>
        <v>4.706016</v>
      </c>
      <c r="M38" s="481">
        <f t="shared" si="10"/>
        <v>0</v>
      </c>
      <c r="N38" s="481">
        <f t="shared" si="11"/>
        <v>97.855596355030812</v>
      </c>
      <c r="O38" s="481">
        <f t="shared" ca="1" si="12"/>
        <v>40.413290163618527</v>
      </c>
      <c r="P38" s="481">
        <f t="shared" si="13"/>
        <v>0</v>
      </c>
      <c r="Q38" s="481">
        <f t="shared" ca="1" si="14"/>
        <v>142.97490251864934</v>
      </c>
      <c r="R38" s="481"/>
      <c r="S38" s="481">
        <f t="shared" ca="1" si="15"/>
        <v>142.97490251864934</v>
      </c>
      <c r="T38" s="481">
        <f t="shared" ca="1" si="16"/>
        <v>7.9954707568708292</v>
      </c>
      <c r="U38" s="810">
        <f t="shared" ca="1" si="9"/>
        <v>0.72338251044818624</v>
      </c>
      <c r="W38" s="425"/>
    </row>
    <row r="39" spans="1:23" ht="15.5" x14ac:dyDescent="0.35">
      <c r="B39" s="800" t="s">
        <v>1546</v>
      </c>
      <c r="C39" s="1455"/>
      <c r="D39" s="481">
        <v>0</v>
      </c>
      <c r="E39" s="481">
        <f>'Tariff Comparison Ext.vsProp'!G29</f>
        <v>50</v>
      </c>
      <c r="F39" s="481">
        <f>'Tariff Comparison Ext.vsProp'!F29</f>
        <v>2.343</v>
      </c>
      <c r="G39" s="481">
        <f ca="1">wheeling!$C$16</f>
        <v>2.2599999999999998</v>
      </c>
      <c r="H39" s="481"/>
      <c r="I39" s="481"/>
      <c r="J39" s="481">
        <f>F13.2!K39</f>
        <v>0</v>
      </c>
      <c r="K39" s="481">
        <f>'F1'!O38</f>
        <v>0</v>
      </c>
      <c r="L39" s="481"/>
      <c r="M39" s="481">
        <f t="shared" si="10"/>
        <v>0</v>
      </c>
      <c r="N39" s="481">
        <f t="shared" ref="N39:P41" si="17">F39*$K39/10</f>
        <v>0</v>
      </c>
      <c r="O39" s="481">
        <f t="shared" ca="1" si="17"/>
        <v>0</v>
      </c>
      <c r="P39" s="481">
        <f t="shared" si="17"/>
        <v>0</v>
      </c>
      <c r="Q39" s="481">
        <f ca="1">SUM(L39:P39)</f>
        <v>0</v>
      </c>
      <c r="R39" s="481"/>
      <c r="S39" s="481">
        <f ca="1">SUM(Q39,R39)</f>
        <v>0</v>
      </c>
      <c r="T39" s="481">
        <v>0</v>
      </c>
      <c r="U39" s="810">
        <f t="shared" ca="1" si="9"/>
        <v>0</v>
      </c>
      <c r="W39" s="425"/>
    </row>
    <row r="40" spans="1:23" ht="15.5" x14ac:dyDescent="0.35">
      <c r="B40" s="1312" t="s">
        <v>991</v>
      </c>
      <c r="C40" s="1455">
        <f>F13.2!C40</f>
        <v>1</v>
      </c>
      <c r="D40" s="481">
        <v>0</v>
      </c>
      <c r="E40" s="481">
        <f>'Tariff Comparison Ext.vsProp'!G30</f>
        <v>120</v>
      </c>
      <c r="F40" s="481">
        <f>'Tariff Comparison Ext.vsProp'!F30</f>
        <v>3.7594499999999997</v>
      </c>
      <c r="G40" s="481">
        <f ca="1">wheeling!$C$16</f>
        <v>2.2599999999999998</v>
      </c>
      <c r="H40" s="481">
        <f>F13.2!I40</f>
        <v>0</v>
      </c>
      <c r="I40" s="481"/>
      <c r="J40" s="481">
        <f>F13.2!K40</f>
        <v>0</v>
      </c>
      <c r="K40" s="481">
        <f>'F1'!O39</f>
        <v>5.1452999999999992E-2</v>
      </c>
      <c r="L40" s="481">
        <f>C40*E40*12/10^7</f>
        <v>1.44E-4</v>
      </c>
      <c r="M40" s="481">
        <f t="shared" si="10"/>
        <v>0</v>
      </c>
      <c r="N40" s="481">
        <f t="shared" si="17"/>
        <v>1.9343498084999997E-2</v>
      </c>
      <c r="O40" s="481">
        <f t="shared" ca="1" si="17"/>
        <v>1.1628377999999998E-2</v>
      </c>
      <c r="P40" s="481">
        <f t="shared" si="17"/>
        <v>0</v>
      </c>
      <c r="Q40" s="481">
        <f ca="1">SUM(L40:P40)</f>
        <v>3.1115876084999994E-2</v>
      </c>
      <c r="R40" s="481"/>
      <c r="S40" s="481">
        <f ca="1">SUM(Q40,R40)</f>
        <v>3.1115876084999994E-2</v>
      </c>
      <c r="T40" s="481">
        <f t="shared" ca="1" si="16"/>
        <v>6.0474367063145005</v>
      </c>
      <c r="U40" s="810">
        <f t="shared" ca="1" si="9"/>
        <v>0.54713600729900946</v>
      </c>
      <c r="W40" s="425"/>
    </row>
    <row r="41" spans="1:23" ht="15.5" x14ac:dyDescent="0.35">
      <c r="B41" s="1314" t="s">
        <v>1640</v>
      </c>
      <c r="C41" s="1455">
        <f>F13.2!C41</f>
        <v>28</v>
      </c>
      <c r="D41" s="481">
        <v>0</v>
      </c>
      <c r="E41" s="481">
        <f>'Tariff Comparison Ext.vsProp'!G31</f>
        <v>70</v>
      </c>
      <c r="F41" s="481">
        <f>'Tariff Comparison Ext.vsProp'!F31</f>
        <v>4.03</v>
      </c>
      <c r="G41" s="481">
        <f ca="1">wheeling!$C$16</f>
        <v>2.2599999999999998</v>
      </c>
      <c r="H41" s="481">
        <f>F13.2!I41</f>
        <v>0</v>
      </c>
      <c r="I41" s="481"/>
      <c r="J41" s="481">
        <f>F13.2!K41</f>
        <v>0</v>
      </c>
      <c r="K41" s="481">
        <f>'F1'!O40</f>
        <v>22.717072499999993</v>
      </c>
      <c r="L41" s="481">
        <f>C41*E41*12/10^7</f>
        <v>2.3519999999999999E-3</v>
      </c>
      <c r="M41" s="481">
        <f t="shared" si="10"/>
        <v>0</v>
      </c>
      <c r="N41" s="481">
        <f t="shared" si="17"/>
        <v>9.1549802174999986</v>
      </c>
      <c r="O41" s="481">
        <f t="shared" ca="1" si="17"/>
        <v>5.1340583849999977</v>
      </c>
      <c r="P41" s="481">
        <f t="shared" si="17"/>
        <v>0</v>
      </c>
      <c r="Q41" s="481">
        <f ca="1">SUM(L41:P41)</f>
        <v>14.291390602499996</v>
      </c>
      <c r="R41" s="481"/>
      <c r="S41" s="481">
        <f ca="1">SUM(Q41,R41)</f>
        <v>14.291390602499996</v>
      </c>
      <c r="T41" s="481">
        <f t="shared" ca="1" si="16"/>
        <v>6.2910353446730429</v>
      </c>
      <c r="U41" s="810">
        <f t="shared" ca="1" si="9"/>
        <v>0.56917535931666685</v>
      </c>
      <c r="W41" s="425"/>
    </row>
    <row r="42" spans="1:23" ht="15.5" x14ac:dyDescent="0.35">
      <c r="B42" s="1312"/>
      <c r="C42" s="1455"/>
      <c r="D42" s="481"/>
      <c r="E42" s="481"/>
      <c r="F42" s="481"/>
      <c r="G42" s="481"/>
      <c r="H42" s="481"/>
      <c r="I42" s="481"/>
      <c r="J42" s="481"/>
      <c r="K42" s="481"/>
      <c r="L42" s="481"/>
      <c r="M42" s="481"/>
      <c r="N42" s="481"/>
      <c r="O42" s="481"/>
      <c r="P42" s="481"/>
      <c r="Q42" s="481"/>
      <c r="R42" s="481"/>
      <c r="S42" s="481"/>
      <c r="T42" s="481"/>
      <c r="U42" s="810"/>
      <c r="W42" s="425"/>
    </row>
    <row r="43" spans="1:23" s="152" customFormat="1" x14ac:dyDescent="0.3">
      <c r="B43" s="379" t="s">
        <v>972</v>
      </c>
      <c r="C43" s="1459">
        <f>F13.2!C43</f>
        <v>1053380</v>
      </c>
      <c r="D43" s="482"/>
      <c r="E43" s="482"/>
      <c r="F43" s="482"/>
      <c r="G43" s="482">
        <f ca="1">F13.2!G43</f>
        <v>0</v>
      </c>
      <c r="H43" s="482">
        <f ca="1">F13.2!I43</f>
        <v>0</v>
      </c>
      <c r="I43" s="482"/>
      <c r="J43" s="482">
        <f t="shared" ref="J43:S43" si="18">SUM(J25:J41)</f>
        <v>717414.63010623073</v>
      </c>
      <c r="K43" s="482">
        <f t="shared" si="18"/>
        <v>3944.8884799436942</v>
      </c>
      <c r="L43" s="482">
        <f t="shared" si="18"/>
        <v>311.70488279999995</v>
      </c>
      <c r="M43" s="482">
        <f t="shared" si="18"/>
        <v>404.62185137991418</v>
      </c>
      <c r="N43" s="482">
        <f t="shared" si="18"/>
        <v>2010.9767774691345</v>
      </c>
      <c r="O43" s="482">
        <f t="shared" ca="1" si="18"/>
        <v>891.54479646727452</v>
      </c>
      <c r="P43" s="482">
        <f t="shared" si="18"/>
        <v>0</v>
      </c>
      <c r="Q43" s="482">
        <f t="shared" ca="1" si="18"/>
        <v>3618.8483081163236</v>
      </c>
      <c r="R43" s="482">
        <f t="shared" si="18"/>
        <v>0</v>
      </c>
      <c r="S43" s="482">
        <f t="shared" ca="1" si="18"/>
        <v>3618.8483081163236</v>
      </c>
      <c r="T43" s="482">
        <f ca="1">S43/K43*10</f>
        <v>9.1735123223761601</v>
      </c>
      <c r="U43" s="811">
        <f ca="1">T43/$U$54</f>
        <v>0.82996468565472425</v>
      </c>
      <c r="W43" s="512"/>
    </row>
    <row r="44" spans="1:23" x14ac:dyDescent="0.3">
      <c r="B44" s="374" t="s">
        <v>978</v>
      </c>
      <c r="C44" s="1455">
        <f>F13.2!C44</f>
        <v>0</v>
      </c>
      <c r="D44" s="481"/>
      <c r="E44" s="481"/>
      <c r="F44" s="481"/>
      <c r="G44" s="481">
        <f ca="1">F13.2!G44</f>
        <v>0</v>
      </c>
      <c r="H44" s="481">
        <f ca="1">F13.2!I44</f>
        <v>0</v>
      </c>
      <c r="I44" s="481"/>
      <c r="J44" s="482">
        <f>F13.2!K44</f>
        <v>0</v>
      </c>
      <c r="K44" s="482">
        <f>F13.2!L44</f>
        <v>0</v>
      </c>
      <c r="L44" s="482">
        <f>C44*D44*12/10^7</f>
        <v>0</v>
      </c>
      <c r="M44" s="482">
        <f>J44*E44*12/10^7</f>
        <v>0</v>
      </c>
      <c r="N44" s="482">
        <f>F44*$K44/10</f>
        <v>0</v>
      </c>
      <c r="O44" s="482">
        <f ca="1">G44*$K44/10</f>
        <v>0</v>
      </c>
      <c r="P44" s="482">
        <f ca="1">H44*$K44/10</f>
        <v>0</v>
      </c>
      <c r="Q44" s="482">
        <f ca="1">SUM(L44:P44)</f>
        <v>0</v>
      </c>
      <c r="R44" s="482"/>
      <c r="S44" s="482">
        <f ca="1">SUM(Q44,R44)</f>
        <v>0</v>
      </c>
      <c r="T44" s="482">
        <v>0</v>
      </c>
      <c r="U44" s="811"/>
    </row>
    <row r="45" spans="1:23" s="152" customFormat="1" x14ac:dyDescent="0.3">
      <c r="B45" s="379" t="s">
        <v>145</v>
      </c>
      <c r="C45" s="1459">
        <f t="shared" ref="C45" si="19">C43+C22</f>
        <v>1053578</v>
      </c>
      <c r="D45" s="482"/>
      <c r="E45" s="482"/>
      <c r="F45" s="482"/>
      <c r="G45" s="482">
        <f ca="1">F13.2!G45</f>
        <v>0</v>
      </c>
      <c r="H45" s="482">
        <f ca="1">F13.2!I45</f>
        <v>0</v>
      </c>
      <c r="I45" s="482"/>
      <c r="J45" s="482">
        <f t="shared" ref="J45:S45" si="20">J43+J22</f>
        <v>985011.29240758892</v>
      </c>
      <c r="K45" s="482">
        <f t="shared" si="20"/>
        <v>4592.2160025841658</v>
      </c>
      <c r="L45" s="482">
        <f t="shared" si="20"/>
        <v>311.70488279999995</v>
      </c>
      <c r="M45" s="482">
        <f t="shared" si="20"/>
        <v>555.54636891788027</v>
      </c>
      <c r="N45" s="482">
        <f t="shared" si="20"/>
        <v>2411.1870049584095</v>
      </c>
      <c r="O45" s="482">
        <f t="shared" ca="1" si="20"/>
        <v>945.92030836907418</v>
      </c>
      <c r="P45" s="482">
        <f t="shared" si="20"/>
        <v>0</v>
      </c>
      <c r="Q45" s="482">
        <f t="shared" ca="1" si="20"/>
        <v>4224.3585650453642</v>
      </c>
      <c r="R45" s="482">
        <f t="shared" si="20"/>
        <v>0</v>
      </c>
      <c r="S45" s="482">
        <f t="shared" ca="1" si="20"/>
        <v>4224.3585650453642</v>
      </c>
      <c r="T45" s="482">
        <f ca="1">S45/K45*10</f>
        <v>9.1989544103940268</v>
      </c>
      <c r="U45" s="811">
        <f ca="1">T45/$U$54</f>
        <v>0.83226653404627682</v>
      </c>
    </row>
    <row r="46" spans="1:23" x14ac:dyDescent="0.3">
      <c r="B46" s="374" t="s">
        <v>980</v>
      </c>
      <c r="C46" s="481"/>
      <c r="D46" s="481"/>
      <c r="E46" s="481"/>
      <c r="F46" s="481"/>
      <c r="G46" s="481"/>
      <c r="H46" s="481"/>
      <c r="I46" s="481"/>
      <c r="J46" s="482"/>
      <c r="K46" s="482"/>
      <c r="L46" s="482"/>
      <c r="M46" s="482"/>
      <c r="N46" s="482"/>
      <c r="O46" s="482"/>
      <c r="P46" s="482"/>
      <c r="Q46" s="482"/>
      <c r="R46" s="482"/>
      <c r="S46" s="482"/>
      <c r="T46" s="482"/>
      <c r="U46" s="811"/>
    </row>
    <row r="47" spans="1:23" x14ac:dyDescent="0.3">
      <c r="B47" s="374" t="s">
        <v>981</v>
      </c>
      <c r="C47" s="481"/>
      <c r="D47" s="481"/>
      <c r="E47" s="481"/>
      <c r="F47" s="481"/>
      <c r="G47" s="481"/>
      <c r="H47" s="481"/>
      <c r="I47" s="481"/>
      <c r="J47" s="482"/>
      <c r="K47" s="482"/>
      <c r="L47" s="482"/>
      <c r="M47" s="482"/>
      <c r="N47" s="482"/>
      <c r="O47" s="482"/>
      <c r="P47" s="482"/>
      <c r="Q47" s="482"/>
      <c r="R47" s="482"/>
      <c r="S47" s="482"/>
      <c r="T47" s="349"/>
      <c r="U47" s="1319"/>
    </row>
    <row r="48" spans="1:23" x14ac:dyDescent="0.3">
      <c r="B48" s="374" t="s">
        <v>982</v>
      </c>
      <c r="C48" s="1262"/>
      <c r="D48" s="1262"/>
      <c r="E48" s="1262"/>
      <c r="F48" s="1262"/>
      <c r="G48" s="1262"/>
      <c r="H48" s="1262"/>
      <c r="I48" s="1262"/>
      <c r="J48" s="1317"/>
      <c r="K48" s="1317"/>
      <c r="L48" s="1317"/>
      <c r="M48" s="1317"/>
      <c r="N48" s="1317"/>
      <c r="O48" s="1317"/>
      <c r="P48" s="1317"/>
      <c r="Q48" s="1317"/>
      <c r="R48" s="1317"/>
      <c r="S48" s="1317"/>
      <c r="T48" s="349"/>
      <c r="U48" s="1319"/>
    </row>
    <row r="49" spans="2:23" x14ac:dyDescent="0.3">
      <c r="B49" s="374" t="s">
        <v>983</v>
      </c>
      <c r="C49" s="1262"/>
      <c r="D49" s="1262"/>
      <c r="E49" s="1262"/>
      <c r="F49" s="1262"/>
      <c r="G49" s="1262"/>
      <c r="H49" s="1262"/>
      <c r="I49" s="1262"/>
      <c r="J49" s="1317"/>
      <c r="K49" s="1317"/>
      <c r="L49" s="1317"/>
      <c r="M49" s="1317"/>
      <c r="N49" s="1317"/>
      <c r="O49" s="1317"/>
      <c r="P49" s="1317"/>
      <c r="Q49" s="1317"/>
      <c r="R49" s="1317"/>
      <c r="S49" s="1317"/>
      <c r="T49" s="349"/>
      <c r="U49" s="1319"/>
    </row>
    <row r="50" spans="2:23" x14ac:dyDescent="0.3">
      <c r="B50" s="374" t="s">
        <v>984</v>
      </c>
      <c r="C50" s="1262"/>
      <c r="D50" s="1262"/>
      <c r="E50" s="1262"/>
      <c r="F50" s="1262"/>
      <c r="G50" s="1262"/>
      <c r="H50" s="1262"/>
      <c r="I50" s="1262"/>
      <c r="J50" s="1317"/>
      <c r="K50" s="1317"/>
      <c r="L50" s="1317"/>
      <c r="M50" s="1317"/>
      <c r="N50" s="1317"/>
      <c r="O50" s="1317"/>
      <c r="P50" s="1317"/>
      <c r="Q50" s="1317"/>
      <c r="R50" s="1317"/>
      <c r="S50" s="1317"/>
      <c r="T50" s="349"/>
      <c r="U50" s="1319"/>
    </row>
    <row r="51" spans="2:23" ht="15.5" x14ac:dyDescent="0.35">
      <c r="B51" s="1315" t="s">
        <v>992</v>
      </c>
      <c r="C51" s="343"/>
      <c r="D51" s="343"/>
      <c r="E51" s="343"/>
      <c r="F51" s="343"/>
      <c r="G51" s="343"/>
      <c r="H51" s="343"/>
      <c r="I51" s="343"/>
      <c r="J51" s="349"/>
      <c r="K51" s="349"/>
      <c r="L51" s="349"/>
      <c r="M51" s="349"/>
      <c r="N51" s="349"/>
      <c r="O51" s="349"/>
      <c r="P51" s="349"/>
      <c r="Q51" s="349"/>
      <c r="R51" s="349"/>
      <c r="S51" s="349"/>
      <c r="T51" s="349"/>
      <c r="U51" s="1319"/>
    </row>
    <row r="52" spans="2:23" x14ac:dyDescent="0.3">
      <c r="B52" s="379" t="s">
        <v>985</v>
      </c>
      <c r="C52" s="349">
        <f t="shared" ref="C52:I52" si="21">SUM(C45:C51)</f>
        <v>1053578</v>
      </c>
      <c r="D52" s="349">
        <f t="shared" si="21"/>
        <v>0</v>
      </c>
      <c r="E52" s="349">
        <f t="shared" si="21"/>
        <v>0</v>
      </c>
      <c r="F52" s="349">
        <f t="shared" si="21"/>
        <v>0</v>
      </c>
      <c r="G52" s="349">
        <f t="shared" ca="1" si="21"/>
        <v>0</v>
      </c>
      <c r="H52" s="349">
        <f t="shared" ca="1" si="21"/>
        <v>0</v>
      </c>
      <c r="I52" s="349">
        <f t="shared" si="21"/>
        <v>0</v>
      </c>
      <c r="J52" s="349">
        <f>SUM(J45:J51)</f>
        <v>985011.29240758892</v>
      </c>
      <c r="K52" s="349">
        <f t="shared" ref="K52:S52" si="22">SUM(K45:K51)</f>
        <v>4592.2160025841658</v>
      </c>
      <c r="L52" s="349">
        <f t="shared" si="22"/>
        <v>311.70488279999995</v>
      </c>
      <c r="M52" s="349">
        <f t="shared" si="22"/>
        <v>555.54636891788027</v>
      </c>
      <c r="N52" s="349">
        <f t="shared" si="22"/>
        <v>2411.1870049584095</v>
      </c>
      <c r="O52" s="349">
        <f t="shared" ca="1" si="22"/>
        <v>945.92030836907418</v>
      </c>
      <c r="P52" s="349">
        <f t="shared" si="22"/>
        <v>0</v>
      </c>
      <c r="Q52" s="349">
        <f t="shared" ca="1" si="22"/>
        <v>4224.3585650453642</v>
      </c>
      <c r="R52" s="349">
        <f t="shared" si="22"/>
        <v>0</v>
      </c>
      <c r="S52" s="349">
        <f t="shared" ca="1" si="22"/>
        <v>4224.3585650453642</v>
      </c>
      <c r="T52" s="482">
        <f ca="1">S52/K52*10</f>
        <v>9.1989544103940268</v>
      </c>
      <c r="U52" s="811">
        <f ca="1">T52/$U$54</f>
        <v>0.83226653404627682</v>
      </c>
    </row>
    <row r="53" spans="2:23" x14ac:dyDescent="0.3">
      <c r="C53" s="677">
        <f>F13.2!C52-C52</f>
        <v>0</v>
      </c>
      <c r="J53" s="677">
        <f>F13.2!$K$52-J52</f>
        <v>0</v>
      </c>
      <c r="K53" s="677">
        <f>F13.2!L52-K52</f>
        <v>0</v>
      </c>
      <c r="U53" s="1320"/>
    </row>
    <row r="54" spans="2:23" x14ac:dyDescent="0.3">
      <c r="H54" s="2"/>
      <c r="K54" s="1516"/>
      <c r="T54" s="152" t="s">
        <v>1286</v>
      </c>
      <c r="U54" s="512">
        <f ca="1">(SUM('Gap Determination'!E8:E11,'Gap Determination'!E20)+'ARR-Summary'!T97)/K52*10</f>
        <v>11.05289475676855</v>
      </c>
      <c r="W54" s="425"/>
    </row>
    <row r="55" spans="2:23" x14ac:dyDescent="0.3">
      <c r="U55" s="728"/>
    </row>
  </sheetData>
  <mergeCells count="9">
    <mergeCell ref="T10:T11"/>
    <mergeCell ref="U10:U11"/>
    <mergeCell ref="R10:R11"/>
    <mergeCell ref="S10:S11"/>
    <mergeCell ref="B10:B11"/>
    <mergeCell ref="C10:C11"/>
    <mergeCell ref="D10:H10"/>
    <mergeCell ref="I10:K10"/>
    <mergeCell ref="L10:Q10"/>
  </mergeCells>
  <pageMargins left="0.70866141732283472" right="0.70866141732283472" top="0.74803149606299213" bottom="0.74803149606299213" header="0.31496062992125984" footer="0.31496062992125984"/>
  <pageSetup scale="46"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57"/>
  <sheetViews>
    <sheetView showGridLines="0" view="pageBreakPreview" topLeftCell="B1" zoomScale="65" zoomScaleNormal="80" workbookViewId="0">
      <selection activeCell="B7" sqref="B7"/>
    </sheetView>
  </sheetViews>
  <sheetFormatPr defaultColWidth="8.81640625" defaultRowHeight="14" x14ac:dyDescent="0.3"/>
  <cols>
    <col min="1" max="1" width="8.81640625" style="1"/>
    <col min="2" max="2" width="34.26953125" style="1" customWidth="1"/>
    <col min="3" max="3" width="14" style="1" customWidth="1"/>
    <col min="4" max="9" width="11.54296875" style="1" customWidth="1"/>
    <col min="10" max="10" width="17.6328125" style="1" bestFit="1" customWidth="1"/>
    <col min="11" max="19" width="11.54296875" style="1" customWidth="1"/>
    <col min="20" max="20" width="10.26953125" style="1" customWidth="1"/>
    <col min="21" max="21" width="14.54296875" style="1" customWidth="1"/>
    <col min="22" max="22" width="12.453125" style="1" customWidth="1"/>
    <col min="23" max="16384" width="8.81640625" style="1"/>
  </cols>
  <sheetData>
    <row r="2" spans="2:22" x14ac:dyDescent="0.3">
      <c r="C2" s="132"/>
      <c r="D2" s="132"/>
      <c r="E2" s="132"/>
      <c r="F2" s="132"/>
      <c r="G2" s="132"/>
      <c r="I2" s="132" t="s">
        <v>1027</v>
      </c>
      <c r="J2" s="132"/>
      <c r="K2" s="132"/>
      <c r="L2" s="132"/>
      <c r="M2" s="132"/>
      <c r="N2" s="132"/>
    </row>
    <row r="3" spans="2:22" x14ac:dyDescent="0.3">
      <c r="C3" s="138"/>
      <c r="D3" s="138"/>
      <c r="E3" s="138"/>
      <c r="F3" s="138"/>
      <c r="G3" s="138"/>
      <c r="I3" s="134" t="s">
        <v>826</v>
      </c>
      <c r="J3" s="138"/>
      <c r="K3" s="138"/>
      <c r="L3" s="138"/>
      <c r="M3" s="138"/>
      <c r="N3" s="138"/>
    </row>
    <row r="4" spans="2:22" x14ac:dyDescent="0.3">
      <c r="C4" s="138"/>
      <c r="D4" s="138"/>
      <c r="E4" s="138"/>
      <c r="F4" s="138"/>
      <c r="G4" s="138"/>
      <c r="I4" s="138" t="s">
        <v>802</v>
      </c>
      <c r="J4" s="138"/>
      <c r="K4" s="138"/>
      <c r="L4" s="138"/>
      <c r="M4" s="138"/>
      <c r="N4" s="138"/>
    </row>
    <row r="5" spans="2:22" x14ac:dyDescent="0.3">
      <c r="B5" s="138"/>
      <c r="C5" s="138"/>
      <c r="D5" s="138"/>
      <c r="E5" s="138"/>
      <c r="F5" s="138"/>
      <c r="G5" s="138"/>
      <c r="H5" s="138"/>
      <c r="I5" s="138"/>
      <c r="J5" s="138"/>
      <c r="K5" s="138"/>
      <c r="L5" s="138"/>
      <c r="M5" s="138"/>
      <c r="N5" s="138"/>
    </row>
    <row r="6" spans="2:22" x14ac:dyDescent="0.3">
      <c r="B6" s="138"/>
      <c r="C6" s="138"/>
      <c r="D6" s="138"/>
      <c r="E6" s="138"/>
      <c r="F6" s="138"/>
      <c r="G6" s="138"/>
      <c r="H6" s="138"/>
      <c r="I6" s="138"/>
      <c r="J6" s="138"/>
      <c r="K6" s="138"/>
      <c r="L6" s="138"/>
      <c r="M6" s="138"/>
      <c r="N6" s="138"/>
    </row>
    <row r="7" spans="2:22" x14ac:dyDescent="0.3">
      <c r="B7" s="178" t="s">
        <v>702</v>
      </c>
      <c r="C7" s="179"/>
      <c r="D7" s="179"/>
      <c r="E7" s="179"/>
      <c r="F7" s="179"/>
      <c r="G7" s="179"/>
      <c r="H7" s="179"/>
      <c r="I7" s="179"/>
      <c r="J7" s="179"/>
      <c r="K7" s="179"/>
      <c r="L7" s="179"/>
      <c r="M7" s="179"/>
      <c r="N7" s="179"/>
      <c r="O7" s="179"/>
      <c r="P7" s="179"/>
      <c r="Q7" s="179"/>
      <c r="R7" s="179"/>
      <c r="S7" s="179"/>
    </row>
    <row r="8" spans="2:22" x14ac:dyDescent="0.3">
      <c r="B8" s="178" t="s">
        <v>388</v>
      </c>
      <c r="C8" s="179"/>
      <c r="D8" s="179"/>
      <c r="E8" s="179"/>
      <c r="F8" s="179"/>
      <c r="G8" s="179"/>
      <c r="H8" s="179"/>
      <c r="I8" s="179"/>
      <c r="J8" s="179"/>
      <c r="K8" s="179"/>
      <c r="L8" s="179"/>
      <c r="M8" s="179"/>
      <c r="N8" s="179"/>
      <c r="O8" s="179"/>
      <c r="P8" s="179"/>
      <c r="Q8" s="179"/>
      <c r="R8" s="179"/>
      <c r="S8" s="179"/>
    </row>
    <row r="9" spans="2:22" ht="14.5" x14ac:dyDescent="0.35">
      <c r="B9" s="1758" t="s">
        <v>1742</v>
      </c>
      <c r="C9" s="179"/>
      <c r="D9" s="179"/>
      <c r="E9" s="179"/>
      <c r="F9" s="179"/>
      <c r="G9" s="179"/>
      <c r="H9" s="179"/>
      <c r="I9" s="179"/>
      <c r="J9" s="179"/>
      <c r="K9" s="179"/>
      <c r="L9" s="179"/>
      <c r="M9" s="179"/>
      <c r="N9" s="179"/>
      <c r="O9" s="179"/>
      <c r="P9" s="179"/>
      <c r="Q9" s="179"/>
      <c r="R9" s="179"/>
      <c r="S9" s="179"/>
    </row>
    <row r="10" spans="2:22" ht="30.5" customHeight="1" x14ac:dyDescent="0.3">
      <c r="B10" s="2429"/>
      <c r="C10" s="2430" t="s">
        <v>358</v>
      </c>
      <c r="D10" s="2431" t="s">
        <v>367</v>
      </c>
      <c r="E10" s="2431"/>
      <c r="F10" s="2431"/>
      <c r="G10" s="2431"/>
      <c r="H10" s="2431"/>
      <c r="I10" s="2430" t="s">
        <v>368</v>
      </c>
      <c r="J10" s="2430"/>
      <c r="K10" s="2430"/>
      <c r="L10" s="2432" t="s">
        <v>369</v>
      </c>
      <c r="M10" s="2432"/>
      <c r="N10" s="2432"/>
      <c r="O10" s="2432"/>
      <c r="P10" s="2432"/>
      <c r="Q10" s="2432"/>
      <c r="R10" s="2430" t="s">
        <v>363</v>
      </c>
      <c r="S10" s="2430" t="s">
        <v>370</v>
      </c>
      <c r="T10" s="2430" t="s">
        <v>371</v>
      </c>
      <c r="U10" s="2430" t="s">
        <v>465</v>
      </c>
      <c r="V10" s="2430" t="s">
        <v>465</v>
      </c>
    </row>
    <row r="11" spans="2:22" ht="70" customHeight="1" x14ac:dyDescent="0.3">
      <c r="B11" s="2429"/>
      <c r="C11" s="2430"/>
      <c r="D11" s="1185" t="s">
        <v>1538</v>
      </c>
      <c r="E11" s="1185" t="s">
        <v>1539</v>
      </c>
      <c r="F11" s="1185" t="s">
        <v>1540</v>
      </c>
      <c r="G11" s="1185" t="s">
        <v>1541</v>
      </c>
      <c r="H11" s="237" t="s">
        <v>372</v>
      </c>
      <c r="I11" s="237" t="s">
        <v>464</v>
      </c>
      <c r="J11" s="237" t="s">
        <v>373</v>
      </c>
      <c r="K11" s="237" t="s">
        <v>359</v>
      </c>
      <c r="L11" s="237" t="s">
        <v>374</v>
      </c>
      <c r="M11" s="237" t="s">
        <v>375</v>
      </c>
      <c r="N11" s="237" t="s">
        <v>376</v>
      </c>
      <c r="O11" s="237" t="s">
        <v>1607</v>
      </c>
      <c r="P11" s="237" t="s">
        <v>377</v>
      </c>
      <c r="Q11" s="236" t="s">
        <v>145</v>
      </c>
      <c r="R11" s="2430"/>
      <c r="S11" s="2430"/>
      <c r="T11" s="2430"/>
      <c r="U11" s="2430"/>
      <c r="V11" s="2430"/>
    </row>
    <row r="12" spans="2:22" x14ac:dyDescent="0.3">
      <c r="B12" s="140"/>
      <c r="C12" s="180"/>
      <c r="D12" s="102"/>
      <c r="E12" s="102"/>
      <c r="F12" s="102"/>
      <c r="G12" s="102"/>
      <c r="H12" s="102"/>
      <c r="I12" s="102"/>
      <c r="J12" s="102"/>
      <c r="K12" s="102"/>
      <c r="L12" s="102"/>
      <c r="M12" s="102"/>
      <c r="N12" s="102"/>
      <c r="O12" s="102"/>
      <c r="P12" s="102"/>
      <c r="Q12" s="103"/>
      <c r="R12" s="180"/>
      <c r="S12" s="180"/>
      <c r="T12" s="180"/>
      <c r="U12" s="180"/>
      <c r="V12" s="11"/>
    </row>
    <row r="13" spans="2:22" x14ac:dyDescent="0.3">
      <c r="B13" s="177" t="s">
        <v>293</v>
      </c>
      <c r="C13" s="100"/>
      <c r="D13" s="100"/>
      <c r="E13" s="100"/>
      <c r="F13" s="100"/>
      <c r="G13" s="100"/>
      <c r="H13" s="100"/>
      <c r="I13" s="100"/>
      <c r="J13" s="100"/>
      <c r="K13" s="100"/>
      <c r="L13" s="100"/>
      <c r="M13" s="100"/>
      <c r="N13" s="100"/>
      <c r="O13" s="100"/>
      <c r="P13" s="100"/>
      <c r="Q13" s="100"/>
      <c r="R13" s="100"/>
      <c r="S13" s="100"/>
      <c r="T13" s="100"/>
      <c r="U13" s="100"/>
      <c r="V13" s="11"/>
    </row>
    <row r="14" spans="2:22" ht="15.5" x14ac:dyDescent="0.35">
      <c r="B14" s="367" t="s">
        <v>953</v>
      </c>
      <c r="C14" s="1455">
        <f>F13.3!C14</f>
        <v>37</v>
      </c>
      <c r="D14" s="481">
        <v>0</v>
      </c>
      <c r="E14" s="481">
        <f>'Tariff Comparison Ext.vsProp'!G40</f>
        <v>480</v>
      </c>
      <c r="F14" s="481">
        <f>'Tariff Comparison Ext.vsProp'!F40</f>
        <v>6.1860479999999995</v>
      </c>
      <c r="G14" s="481">
        <f ca="1">wheeling!$D$15</f>
        <v>0.92</v>
      </c>
      <c r="H14" s="481">
        <f>F13.3!I14</f>
        <v>0</v>
      </c>
      <c r="I14" s="481"/>
      <c r="J14" s="481">
        <f>F13.3!K14</f>
        <v>58530.377172205102</v>
      </c>
      <c r="K14" s="481">
        <f>'F1'!Q13</f>
        <v>190.38870735736347</v>
      </c>
      <c r="L14" s="481">
        <f>C14*D14*12/10^7</f>
        <v>0</v>
      </c>
      <c r="M14" s="481">
        <f t="shared" ref="M14:M20" si="0">J14*E14*12/10^7</f>
        <v>33.713497251190141</v>
      </c>
      <c r="N14" s="481">
        <f t="shared" ref="N14:P20" si="1">F14*$K14/10</f>
        <v>117.77536823706035</v>
      </c>
      <c r="O14" s="481">
        <f t="shared" ca="1" si="1"/>
        <v>17.515761076877439</v>
      </c>
      <c r="P14" s="481">
        <f t="shared" si="1"/>
        <v>0</v>
      </c>
      <c r="Q14" s="481">
        <f t="shared" ref="Q14:Q20" ca="1" si="2">SUM(L14:P14)</f>
        <v>169.00462656512792</v>
      </c>
      <c r="R14" s="100"/>
      <c r="S14" s="673">
        <f t="shared" ref="S14:S20" ca="1" si="3">SUM(Q14,R14)</f>
        <v>169.00462656512792</v>
      </c>
      <c r="T14" s="674">
        <f ca="1">S14/K14*10</f>
        <v>8.8768198970909964</v>
      </c>
      <c r="U14" s="810">
        <f t="shared" ref="U14:U20" ca="1" si="4">T14/$U$54</f>
        <v>0.93141622129064272</v>
      </c>
      <c r="V14" s="2131">
        <f t="shared" ref="V14:V20" ca="1" si="5">T14/$U$54</f>
        <v>0.93141622129064272</v>
      </c>
    </row>
    <row r="15" spans="2:22" ht="15.5" x14ac:dyDescent="0.35">
      <c r="B15" s="367" t="s">
        <v>954</v>
      </c>
      <c r="C15" s="1455">
        <f>F13.3!C15</f>
        <v>98</v>
      </c>
      <c r="D15" s="481">
        <v>0</v>
      </c>
      <c r="E15" s="481">
        <f>'Tariff Comparison Ext.vsProp'!G41</f>
        <v>480</v>
      </c>
      <c r="F15" s="481">
        <f>'Tariff Comparison Ext.vsProp'!F41</f>
        <v>6.1438300000000012</v>
      </c>
      <c r="G15" s="481">
        <f ca="1">wheeling!$D$15</f>
        <v>0.92</v>
      </c>
      <c r="H15" s="481">
        <f>F13.3!I15</f>
        <v>0</v>
      </c>
      <c r="I15" s="481"/>
      <c r="J15" s="481">
        <f>F13.3!K15</f>
        <v>118044.51937760001</v>
      </c>
      <c r="K15" s="481">
        <f>'F1'!Q14</f>
        <v>208.45106136432997</v>
      </c>
      <c r="L15" s="481">
        <f>C15*D15*12/10^7</f>
        <v>0</v>
      </c>
      <c r="M15" s="481">
        <f t="shared" si="0"/>
        <v>67.993643161497602</v>
      </c>
      <c r="N15" s="481">
        <f t="shared" si="1"/>
        <v>128.06878843420117</v>
      </c>
      <c r="O15" s="481">
        <f t="shared" ca="1" si="1"/>
        <v>19.177497645518358</v>
      </c>
      <c r="P15" s="481">
        <f t="shared" si="1"/>
        <v>0</v>
      </c>
      <c r="Q15" s="481">
        <f t="shared" ca="1" si="2"/>
        <v>215.23992924121711</v>
      </c>
      <c r="R15" s="100"/>
      <c r="S15" s="673">
        <f t="shared" ca="1" si="3"/>
        <v>215.23992924121711</v>
      </c>
      <c r="T15" s="674">
        <f ca="1">S15/K15*10</f>
        <v>10.325681617184072</v>
      </c>
      <c r="U15" s="810">
        <f t="shared" ca="1" si="4"/>
        <v>1.0834406313999425</v>
      </c>
      <c r="V15" s="2131">
        <f t="shared" ca="1" si="5"/>
        <v>1.0834406313999425</v>
      </c>
    </row>
    <row r="16" spans="2:22" ht="15.5" x14ac:dyDescent="0.35">
      <c r="B16" s="367" t="s">
        <v>955</v>
      </c>
      <c r="C16" s="1455">
        <f>F13.3!C16</f>
        <v>12</v>
      </c>
      <c r="D16" s="481">
        <v>0</v>
      </c>
      <c r="E16" s="481">
        <f>'Tariff Comparison Ext.vsProp'!G42</f>
        <v>480</v>
      </c>
      <c r="F16" s="481">
        <f>'Tariff Comparison Ext.vsProp'!F42</f>
        <v>6.3965825000000001</v>
      </c>
      <c r="G16" s="481">
        <f ca="1">wheeling!$D$15</f>
        <v>0.92</v>
      </c>
      <c r="H16" s="481">
        <f>F13.3!I16</f>
        <v>0</v>
      </c>
      <c r="I16" s="481"/>
      <c r="J16" s="481">
        <f>F13.3!K16</f>
        <v>9051.48</v>
      </c>
      <c r="K16" s="481">
        <f>'F1'!Q15</f>
        <v>32.121324728631734</v>
      </c>
      <c r="L16" s="481">
        <f>C16*D16*12/10^7</f>
        <v>0</v>
      </c>
      <c r="M16" s="481">
        <f t="shared" si="0"/>
        <v>5.2136524799999995</v>
      </c>
      <c r="N16" s="481">
        <f t="shared" si="1"/>
        <v>20.546670363598302</v>
      </c>
      <c r="O16" s="481">
        <f t="shared" ca="1" si="1"/>
        <v>2.9551618750341193</v>
      </c>
      <c r="P16" s="481">
        <f t="shared" si="1"/>
        <v>0</v>
      </c>
      <c r="Q16" s="481">
        <f t="shared" ca="1" si="2"/>
        <v>28.715484718632421</v>
      </c>
      <c r="R16" s="100"/>
      <c r="S16" s="673">
        <f t="shared" ca="1" si="3"/>
        <v>28.715484718632421</v>
      </c>
      <c r="T16" s="674">
        <f ca="1">S16/K16*10</f>
        <v>8.9396950347556885</v>
      </c>
      <c r="U16" s="810">
        <f t="shared" ca="1" si="4"/>
        <v>0.93801350768551128</v>
      </c>
      <c r="V16" s="2131">
        <f t="shared" ca="1" si="5"/>
        <v>0.93801350768551128</v>
      </c>
    </row>
    <row r="17" spans="2:22" ht="15.5" x14ac:dyDescent="0.35">
      <c r="B17" s="367" t="s">
        <v>956</v>
      </c>
      <c r="C17" s="1455">
        <f>F13.3!C17</f>
        <v>3</v>
      </c>
      <c r="D17" s="481">
        <v>0</v>
      </c>
      <c r="E17" s="481">
        <f>'Tariff Comparison Ext.vsProp'!G43</f>
        <v>480</v>
      </c>
      <c r="F17" s="481">
        <f>'Tariff Comparison Ext.vsProp'!F43</f>
        <v>5.759424000000001</v>
      </c>
      <c r="G17" s="481">
        <f ca="1">wheeling!$D$15</f>
        <v>0.92</v>
      </c>
      <c r="H17" s="481">
        <f>F13.3!I17</f>
        <v>0</v>
      </c>
      <c r="I17" s="481"/>
      <c r="J17" s="481">
        <f>F13.3!K17</f>
        <v>2991.15</v>
      </c>
      <c r="K17" s="481">
        <f>'F1'!Q16</f>
        <v>2.5717217190733441</v>
      </c>
      <c r="L17" s="481">
        <f t="shared" ref="L17:L44" si="6">C17*D17*12/10^7</f>
        <v>0</v>
      </c>
      <c r="M17" s="481">
        <f t="shared" si="0"/>
        <v>1.7229023999999999</v>
      </c>
      <c r="N17" s="481">
        <f t="shared" si="1"/>
        <v>1.4811635790152278</v>
      </c>
      <c r="O17" s="481">
        <f t="shared" ca="1" si="1"/>
        <v>0.23659839815474765</v>
      </c>
      <c r="P17" s="481">
        <f t="shared" si="1"/>
        <v>0</v>
      </c>
      <c r="Q17" s="481">
        <f t="shared" ca="1" si="2"/>
        <v>3.4406643771699756</v>
      </c>
      <c r="R17" s="100"/>
      <c r="S17" s="673">
        <f t="shared" ca="1" si="3"/>
        <v>3.4406643771699756</v>
      </c>
      <c r="T17" s="674">
        <f t="shared" ref="T17:T26" ca="1" si="7">S17/K17*10</f>
        <v>13.378836254529645</v>
      </c>
      <c r="U17" s="810">
        <f t="shared" ca="1" si="4"/>
        <v>1.4037983482737904</v>
      </c>
      <c r="V17" s="2131">
        <f t="shared" ca="1" si="5"/>
        <v>1.4037983482737904</v>
      </c>
    </row>
    <row r="18" spans="2:22" ht="15.5" x14ac:dyDescent="0.35">
      <c r="B18" s="367" t="s">
        <v>957</v>
      </c>
      <c r="C18" s="1455">
        <f>F13.3!C18</f>
        <v>4</v>
      </c>
      <c r="D18" s="481">
        <v>0</v>
      </c>
      <c r="E18" s="481">
        <f>'Tariff Comparison Ext.vsProp'!G44</f>
        <v>480</v>
      </c>
      <c r="F18" s="481">
        <f>'Tariff Comparison Ext.vsProp'!F44</f>
        <v>5.9337479999999996</v>
      </c>
      <c r="G18" s="481">
        <f ca="1">wheeling!$D$15</f>
        <v>0.92</v>
      </c>
      <c r="H18" s="481">
        <f>F13.3!I18</f>
        <v>0</v>
      </c>
      <c r="I18" s="481"/>
      <c r="J18" s="481">
        <f>F13.3!K18</f>
        <v>8960</v>
      </c>
      <c r="K18" s="481">
        <f>'F1'!Q17</f>
        <v>27.783816124755699</v>
      </c>
      <c r="L18" s="481">
        <f t="shared" si="6"/>
        <v>0</v>
      </c>
      <c r="M18" s="481">
        <f t="shared" si="0"/>
        <v>5.1609600000000002</v>
      </c>
      <c r="N18" s="481">
        <f t="shared" si="1"/>
        <v>16.486216336263688</v>
      </c>
      <c r="O18" s="481">
        <f t="shared" ca="1" si="1"/>
        <v>2.5561110834775245</v>
      </c>
      <c r="P18" s="481">
        <f t="shared" si="1"/>
        <v>0</v>
      </c>
      <c r="Q18" s="481">
        <f t="shared" ca="1" si="2"/>
        <v>24.203287419741212</v>
      </c>
      <c r="R18" s="100"/>
      <c r="S18" s="673">
        <f t="shared" ca="1" si="3"/>
        <v>24.203287419741212</v>
      </c>
      <c r="T18" s="674">
        <f t="shared" ca="1" si="7"/>
        <v>8.7112898066496349</v>
      </c>
      <c r="U18" s="810">
        <f t="shared" ca="1" si="4"/>
        <v>0.91404768017612537</v>
      </c>
      <c r="V18" s="2131">
        <f t="shared" ca="1" si="5"/>
        <v>0.91404768017612537</v>
      </c>
    </row>
    <row r="19" spans="2:22" ht="15.5" x14ac:dyDescent="0.35">
      <c r="B19" s="367" t="s">
        <v>958</v>
      </c>
      <c r="C19" s="1455">
        <f>F13.3!C19</f>
        <v>46</v>
      </c>
      <c r="D19" s="481">
        <v>0</v>
      </c>
      <c r="E19" s="481">
        <f>'Tariff Comparison Ext.vsProp'!G45</f>
        <v>480</v>
      </c>
      <c r="F19" s="481">
        <f>'Tariff Comparison Ext.vsProp'!F45</f>
        <v>6.4520819999999999</v>
      </c>
      <c r="G19" s="481">
        <f ca="1">wheeling!$D$15</f>
        <v>0.92</v>
      </c>
      <c r="H19" s="481">
        <f>F13.3!I19</f>
        <v>0</v>
      </c>
      <c r="I19" s="481"/>
      <c r="J19" s="481">
        <f>F13.3!K19</f>
        <v>72537.6533375</v>
      </c>
      <c r="K19" s="481">
        <f>'F1'!Q18</f>
        <v>186.01089134631724</v>
      </c>
      <c r="L19" s="481">
        <f t="shared" si="6"/>
        <v>0</v>
      </c>
      <c r="M19" s="481">
        <f t="shared" si="0"/>
        <v>41.781688322400001</v>
      </c>
      <c r="N19" s="481">
        <f t="shared" si="1"/>
        <v>120.01575238595292</v>
      </c>
      <c r="O19" s="481">
        <f t="shared" ca="1" si="1"/>
        <v>17.113002003861187</v>
      </c>
      <c r="P19" s="481">
        <f t="shared" si="1"/>
        <v>0</v>
      </c>
      <c r="Q19" s="481">
        <f t="shared" ca="1" si="2"/>
        <v>178.91044271221412</v>
      </c>
      <c r="R19" s="100"/>
      <c r="S19" s="673">
        <f t="shared" ca="1" si="3"/>
        <v>178.91044271221412</v>
      </c>
      <c r="T19" s="674">
        <f t="shared" ca="1" si="7"/>
        <v>9.618277801761435</v>
      </c>
      <c r="U19" s="810">
        <f t="shared" ca="1" si="4"/>
        <v>1.0092150194886929</v>
      </c>
      <c r="V19" s="2131">
        <f t="shared" ca="1" si="5"/>
        <v>1.0092150194886929</v>
      </c>
    </row>
    <row r="20" spans="2:22" ht="15.5" x14ac:dyDescent="0.35">
      <c r="B20" s="367" t="s">
        <v>959</v>
      </c>
      <c r="C20" s="1455">
        <f>F13.3!C20</f>
        <v>0</v>
      </c>
      <c r="D20" s="481">
        <v>0</v>
      </c>
      <c r="E20" s="481">
        <f>'Tariff Comparison Ext.vsProp'!G46</f>
        <v>70</v>
      </c>
      <c r="F20" s="481">
        <f>'Tariff Comparison Ext.vsProp'!F46</f>
        <v>4.99</v>
      </c>
      <c r="G20" s="481">
        <f ca="1">wheeling!$D$15</f>
        <v>0.92</v>
      </c>
      <c r="H20" s="481">
        <f>F13.3!I20</f>
        <v>0</v>
      </c>
      <c r="I20" s="481"/>
      <c r="J20" s="481">
        <f>F13.3!K20</f>
        <v>0</v>
      </c>
      <c r="K20" s="481">
        <f>'F1'!Q19</f>
        <v>0</v>
      </c>
      <c r="L20" s="481">
        <f t="shared" si="6"/>
        <v>0</v>
      </c>
      <c r="M20" s="481">
        <f t="shared" si="0"/>
        <v>0</v>
      </c>
      <c r="N20" s="481">
        <f t="shared" si="1"/>
        <v>0</v>
      </c>
      <c r="O20" s="481">
        <f t="shared" ca="1" si="1"/>
        <v>0</v>
      </c>
      <c r="P20" s="481">
        <f t="shared" si="1"/>
        <v>0</v>
      </c>
      <c r="Q20" s="481">
        <f t="shared" ca="1" si="2"/>
        <v>0</v>
      </c>
      <c r="R20" s="100"/>
      <c r="S20" s="673">
        <f t="shared" ca="1" si="3"/>
        <v>0</v>
      </c>
      <c r="T20" s="674">
        <v>0</v>
      </c>
      <c r="U20" s="810">
        <f t="shared" ca="1" si="4"/>
        <v>0</v>
      </c>
      <c r="V20" s="2131">
        <f t="shared" ca="1" si="5"/>
        <v>0</v>
      </c>
    </row>
    <row r="21" spans="2:22" x14ac:dyDescent="0.3">
      <c r="B21" s="366"/>
      <c r="C21" s="1455">
        <f>F13.3!C21</f>
        <v>0</v>
      </c>
      <c r="D21" s="481"/>
      <c r="E21" s="481"/>
      <c r="F21" s="481"/>
      <c r="G21" s="481"/>
      <c r="H21" s="481"/>
      <c r="I21" s="481"/>
      <c r="J21" s="481"/>
      <c r="K21" s="481"/>
      <c r="L21" s="481"/>
      <c r="M21" s="481"/>
      <c r="N21" s="481"/>
      <c r="O21" s="481"/>
      <c r="P21" s="481"/>
      <c r="Q21" s="481"/>
      <c r="R21" s="100"/>
      <c r="S21" s="673"/>
      <c r="T21" s="674"/>
      <c r="U21" s="810"/>
      <c r="V21" s="11"/>
    </row>
    <row r="22" spans="2:22" s="152" customFormat="1" x14ac:dyDescent="0.3">
      <c r="B22" s="177" t="s">
        <v>972</v>
      </c>
      <c r="C22" s="1459">
        <f>SUM(C14:C20)</f>
        <v>200</v>
      </c>
      <c r="D22" s="482"/>
      <c r="E22" s="482"/>
      <c r="F22" s="482"/>
      <c r="G22" s="482"/>
      <c r="H22" s="482"/>
      <c r="I22" s="482"/>
      <c r="J22" s="482">
        <f>SUM(J14:J20)</f>
        <v>270115.17988730513</v>
      </c>
      <c r="K22" s="482">
        <f>SUM(K14:K20)</f>
        <v>647.32752264047144</v>
      </c>
      <c r="L22" s="482">
        <f t="shared" ref="L22:S22" si="8">SUM(L14:L20)</f>
        <v>0</v>
      </c>
      <c r="M22" s="482">
        <f t="shared" si="8"/>
        <v>155.58634361508774</v>
      </c>
      <c r="N22" s="482">
        <f t="shared" si="8"/>
        <v>404.37395933609162</v>
      </c>
      <c r="O22" s="482">
        <f t="shared" ca="1" si="8"/>
        <v>59.554132082923374</v>
      </c>
      <c r="P22" s="482">
        <f t="shared" si="8"/>
        <v>0</v>
      </c>
      <c r="Q22" s="482">
        <f t="shared" ca="1" si="8"/>
        <v>619.5144350341028</v>
      </c>
      <c r="R22" s="482">
        <f t="shared" si="8"/>
        <v>0</v>
      </c>
      <c r="S22" s="482">
        <f t="shared" ca="1" si="8"/>
        <v>619.5144350341028</v>
      </c>
      <c r="T22" s="676">
        <f t="shared" ca="1" si="7"/>
        <v>9.5703397950249656</v>
      </c>
      <c r="U22" s="811">
        <f ca="1">T22/$U$54</f>
        <v>1.0041850383007991</v>
      </c>
      <c r="V22" s="2131">
        <f ca="1">T22/$U$54</f>
        <v>1.0041850383007991</v>
      </c>
    </row>
    <row r="23" spans="2:22" x14ac:dyDescent="0.3">
      <c r="B23" s="76"/>
      <c r="C23" s="1455"/>
      <c r="D23" s="481"/>
      <c r="E23" s="481"/>
      <c r="F23" s="481"/>
      <c r="G23" s="481"/>
      <c r="H23" s="481"/>
      <c r="I23" s="481"/>
      <c r="J23" s="481"/>
      <c r="K23" s="481"/>
      <c r="L23" s="481"/>
      <c r="M23" s="481"/>
      <c r="N23" s="481"/>
      <c r="O23" s="481"/>
      <c r="P23" s="481"/>
      <c r="Q23" s="481"/>
      <c r="R23" s="100"/>
      <c r="S23" s="673"/>
      <c r="T23" s="674"/>
      <c r="U23" s="810"/>
      <c r="V23" s="11"/>
    </row>
    <row r="24" spans="2:22" x14ac:dyDescent="0.3">
      <c r="B24" s="177" t="s">
        <v>294</v>
      </c>
      <c r="C24" s="1455"/>
      <c r="D24" s="481"/>
      <c r="E24" s="481"/>
      <c r="F24" s="481"/>
      <c r="G24" s="481"/>
      <c r="H24" s="481"/>
      <c r="I24" s="481"/>
      <c r="J24" s="481"/>
      <c r="K24" s="481"/>
      <c r="L24" s="481"/>
      <c r="M24" s="481"/>
      <c r="N24" s="481"/>
      <c r="O24" s="481"/>
      <c r="P24" s="481"/>
      <c r="Q24" s="481"/>
      <c r="R24" s="100"/>
      <c r="S24" s="673"/>
      <c r="T24" s="674"/>
      <c r="U24" s="810"/>
      <c r="V24" s="11"/>
    </row>
    <row r="25" spans="2:22" x14ac:dyDescent="0.3">
      <c r="B25" s="76"/>
      <c r="C25" s="1455"/>
      <c r="D25" s="481"/>
      <c r="E25" s="481"/>
      <c r="F25" s="481"/>
      <c r="G25" s="481"/>
      <c r="H25" s="481"/>
      <c r="I25" s="481"/>
      <c r="J25" s="481"/>
      <c r="K25" s="481"/>
      <c r="L25" s="481"/>
      <c r="M25" s="481"/>
      <c r="N25" s="481"/>
      <c r="O25" s="481"/>
      <c r="P25" s="481"/>
      <c r="Q25" s="481"/>
      <c r="R25" s="100"/>
      <c r="S25" s="673"/>
      <c r="T25" s="674"/>
      <c r="U25" s="810"/>
      <c r="V25" s="11"/>
    </row>
    <row r="26" spans="2:22" ht="15.5" x14ac:dyDescent="0.3">
      <c r="B26" s="368" t="s">
        <v>960</v>
      </c>
      <c r="C26" s="1455">
        <f>F13.3!C26</f>
        <v>59</v>
      </c>
      <c r="D26" s="481">
        <f>'Tariff Comparison Ext.vsProp'!G50</f>
        <v>12</v>
      </c>
      <c r="E26" s="481">
        <v>0</v>
      </c>
      <c r="F26" s="481">
        <f>'Tariff Comparison Ext.vsProp'!F50</f>
        <v>1.234321</v>
      </c>
      <c r="G26" s="481">
        <f ca="1">wheeling!$D$16</f>
        <v>2.48</v>
      </c>
      <c r="H26" s="481">
        <f>F13.3!I26</f>
        <v>0</v>
      </c>
      <c r="I26" s="481"/>
      <c r="J26" s="481">
        <f>F13.3!K26</f>
        <v>0</v>
      </c>
      <c r="K26" s="481">
        <f>'F1'!Q25</f>
        <v>3.5998039046489051E-2</v>
      </c>
      <c r="L26" s="481">
        <f t="shared" si="6"/>
        <v>8.4960000000000005E-4</v>
      </c>
      <c r="M26" s="481">
        <f>J26*E26*12/10^7</f>
        <v>0</v>
      </c>
      <c r="N26" s="481">
        <f>F26*$K26/10</f>
        <v>4.4433135553901409E-3</v>
      </c>
      <c r="O26" s="481">
        <f ca="1">G26*$K26/10</f>
        <v>8.9275136835292833E-3</v>
      </c>
      <c r="P26" s="481">
        <f>H26*$K26/10</f>
        <v>0</v>
      </c>
      <c r="Q26" s="481">
        <f ca="1">SUM(L26:P26)</f>
        <v>1.4220427238919423E-2</v>
      </c>
      <c r="R26" s="100"/>
      <c r="S26" s="673">
        <f ca="1">SUM(Q26,R26)</f>
        <v>1.4220427238919423E-2</v>
      </c>
      <c r="T26" s="674">
        <f t="shared" ca="1" si="7"/>
        <v>3.9503338558399514</v>
      </c>
      <c r="U26" s="810">
        <f ca="1">T26/$U$54</f>
        <v>0.41449585273761297</v>
      </c>
      <c r="V26" s="2131">
        <f ca="1">T26/$U$54</f>
        <v>0.41449585273761297</v>
      </c>
    </row>
    <row r="27" spans="2:22" ht="15.5" x14ac:dyDescent="0.35">
      <c r="B27" s="367" t="s">
        <v>961</v>
      </c>
      <c r="C27" s="1455"/>
      <c r="D27" s="481"/>
      <c r="E27" s="481"/>
      <c r="F27" s="481"/>
      <c r="G27" s="481"/>
      <c r="H27" s="481"/>
      <c r="I27" s="481"/>
      <c r="J27" s="481"/>
      <c r="K27" s="481"/>
      <c r="L27" s="481"/>
      <c r="M27" s="481"/>
      <c r="N27" s="481"/>
      <c r="O27" s="481"/>
      <c r="P27" s="481"/>
      <c r="Q27" s="481"/>
      <c r="R27" s="100"/>
      <c r="S27" s="673"/>
      <c r="T27" s="674"/>
      <c r="U27" s="810"/>
      <c r="V27" s="11"/>
    </row>
    <row r="28" spans="2:22" ht="15.5" x14ac:dyDescent="0.35">
      <c r="B28" s="367" t="s">
        <v>1542</v>
      </c>
      <c r="C28" s="1455">
        <f>F13.3!C28</f>
        <v>328223</v>
      </c>
      <c r="D28" s="481">
        <f>'Tariff Comparison Ext.vsProp'!G52</f>
        <v>120</v>
      </c>
      <c r="E28" s="481">
        <v>0</v>
      </c>
      <c r="F28" s="481">
        <f>'Tariff Comparison Ext.vsProp'!F52</f>
        <v>1.9218262499999996</v>
      </c>
      <c r="G28" s="481">
        <f ca="1">wheeling!$D$16</f>
        <v>2.48</v>
      </c>
      <c r="H28" s="481">
        <f>F13.3!I28</f>
        <v>0</v>
      </c>
      <c r="I28" s="481"/>
      <c r="J28" s="481">
        <f>F13.3!K28</f>
        <v>0</v>
      </c>
      <c r="K28" s="481">
        <f>'F1'!Q27</f>
        <v>770.09343809017594</v>
      </c>
      <c r="L28" s="481">
        <f>C28*D28*12/10^7</f>
        <v>47.264111999999997</v>
      </c>
      <c r="M28" s="481">
        <f t="shared" ref="M28:M41" si="9">J28*E28*12/10^7</f>
        <v>0</v>
      </c>
      <c r="N28" s="481">
        <f t="shared" ref="N28:N41" si="10">F28*$K28/10</f>
        <v>147.99857842744498</v>
      </c>
      <c r="O28" s="481">
        <f t="shared" ref="O28:O41" ca="1" si="11">G28*$K28/10</f>
        <v>190.98317264636364</v>
      </c>
      <c r="P28" s="481">
        <f t="shared" ref="P28:P41" si="12">H28*$K28/10</f>
        <v>0</v>
      </c>
      <c r="Q28" s="481">
        <f t="shared" ref="Q28:Q41" ca="1" si="13">SUM(L28:P28)</f>
        <v>386.24586307380861</v>
      </c>
      <c r="R28" s="100"/>
      <c r="S28" s="673">
        <f t="shared" ref="S28:S41" ca="1" si="14">SUM(Q28,R28)</f>
        <v>386.24586307380861</v>
      </c>
      <c r="T28" s="674">
        <f t="shared" ref="T28:T43" ca="1" si="15">S28/K28*10</f>
        <v>5.0155714095122601</v>
      </c>
      <c r="U28" s="810">
        <f t="shared" ref="U28:U41" ca="1" si="16">T28/$U$54</f>
        <v>0.5262678103216003</v>
      </c>
      <c r="V28" s="2131">
        <f t="shared" ref="V28:V41" ca="1" si="17">T28/$U$54</f>
        <v>0.5262678103216003</v>
      </c>
    </row>
    <row r="29" spans="2:22" ht="15.5" x14ac:dyDescent="0.35">
      <c r="B29" s="367" t="s">
        <v>1543</v>
      </c>
      <c r="C29" s="1455">
        <f>F13.3!C29</f>
        <v>365451</v>
      </c>
      <c r="D29" s="481">
        <f>'Tariff Comparison Ext.vsProp'!G53</f>
        <v>170</v>
      </c>
      <c r="E29" s="481">
        <v>0</v>
      </c>
      <c r="F29" s="481">
        <f>'Tariff Comparison Ext.vsProp'!F53</f>
        <v>4.8098049999999999</v>
      </c>
      <c r="G29" s="481">
        <f ca="1">wheeling!$D$16</f>
        <v>2.48</v>
      </c>
      <c r="H29" s="481">
        <f>F13.3!I29</f>
        <v>0</v>
      </c>
      <c r="I29" s="481"/>
      <c r="J29" s="481">
        <f>F13.3!K29</f>
        <v>0</v>
      </c>
      <c r="K29" s="481">
        <f>'F1'!Q28</f>
        <v>740.69681247239407</v>
      </c>
      <c r="L29" s="481">
        <f>C29*D29*12/10^7</f>
        <v>74.552003999999997</v>
      </c>
      <c r="M29" s="481">
        <f t="shared" si="9"/>
        <v>0</v>
      </c>
      <c r="N29" s="481">
        <f t="shared" si="10"/>
        <v>356.26072321137832</v>
      </c>
      <c r="O29" s="481">
        <f t="shared" ca="1" si="11"/>
        <v>183.69280949315373</v>
      </c>
      <c r="P29" s="481">
        <f t="shared" si="12"/>
        <v>0</v>
      </c>
      <c r="Q29" s="481">
        <f t="shared" ca="1" si="13"/>
        <v>614.50553670453201</v>
      </c>
      <c r="R29" s="100"/>
      <c r="S29" s="673">
        <f t="shared" ca="1" si="14"/>
        <v>614.50553670453201</v>
      </c>
      <c r="T29" s="674">
        <f t="shared" ca="1" si="15"/>
        <v>8.2963167433292391</v>
      </c>
      <c r="U29" s="810">
        <f t="shared" ca="1" si="16"/>
        <v>0.87050588851468258</v>
      </c>
      <c r="V29" s="2131">
        <f t="shared" ca="1" si="17"/>
        <v>0.87050588851468258</v>
      </c>
    </row>
    <row r="30" spans="2:22" ht="15.5" x14ac:dyDescent="0.35">
      <c r="B30" s="367" t="s">
        <v>1544</v>
      </c>
      <c r="C30" s="1455">
        <f>F13.3!C30</f>
        <v>53007</v>
      </c>
      <c r="D30" s="481">
        <f>'Tariff Comparison Ext.vsProp'!G54</f>
        <v>170</v>
      </c>
      <c r="E30" s="481">
        <v>0</v>
      </c>
      <c r="F30" s="481">
        <f>'Tariff Comparison Ext.vsProp'!F54</f>
        <v>7.8848965000000009</v>
      </c>
      <c r="G30" s="481">
        <f ca="1">wheeling!$D$16</f>
        <v>2.48</v>
      </c>
      <c r="H30" s="481">
        <f>F13.3!I30</f>
        <v>0</v>
      </c>
      <c r="I30" s="481"/>
      <c r="J30" s="481">
        <f>F13.3!K30</f>
        <v>0</v>
      </c>
      <c r="K30" s="481">
        <f>'F1'!Q29</f>
        <v>244.08197401241503</v>
      </c>
      <c r="L30" s="481">
        <f t="shared" si="6"/>
        <v>10.813428</v>
      </c>
      <c r="M30" s="481">
        <f t="shared" si="9"/>
        <v>0</v>
      </c>
      <c r="N30" s="481">
        <f t="shared" si="10"/>
        <v>192.45611026035823</v>
      </c>
      <c r="O30" s="481">
        <f t="shared" ca="1" si="11"/>
        <v>60.532329555078924</v>
      </c>
      <c r="P30" s="481">
        <f t="shared" si="12"/>
        <v>0</v>
      </c>
      <c r="Q30" s="481">
        <f t="shared" ca="1" si="13"/>
        <v>263.80186781543716</v>
      </c>
      <c r="R30" s="100"/>
      <c r="S30" s="673">
        <f t="shared" ca="1" si="14"/>
        <v>263.80186781543716</v>
      </c>
      <c r="T30" s="674">
        <f t="shared" ca="1" si="15"/>
        <v>10.807920940610678</v>
      </c>
      <c r="U30" s="810">
        <f t="shared" ca="1" si="16"/>
        <v>1.1340404558405579</v>
      </c>
      <c r="V30" s="2131">
        <f t="shared" ca="1" si="17"/>
        <v>1.1340404558405579</v>
      </c>
    </row>
    <row r="31" spans="2:22" ht="15.5" x14ac:dyDescent="0.35">
      <c r="B31" s="367" t="s">
        <v>1545</v>
      </c>
      <c r="C31" s="1455">
        <f>F13.3!C31</f>
        <v>30739</v>
      </c>
      <c r="D31" s="481">
        <f>'Tariff Comparison Ext.vsProp'!G55</f>
        <v>210</v>
      </c>
      <c r="E31" s="481">
        <v>0</v>
      </c>
      <c r="F31" s="481">
        <f>'Tariff Comparison Ext.vsProp'!F55</f>
        <v>9.5980495000000001</v>
      </c>
      <c r="G31" s="481">
        <f ca="1">wheeling!$D$16</f>
        <v>2.48</v>
      </c>
      <c r="H31" s="481">
        <f>F13.3!I31</f>
        <v>0</v>
      </c>
      <c r="I31" s="481"/>
      <c r="J31" s="481">
        <f>F13.3!K31</f>
        <v>0</v>
      </c>
      <c r="K31" s="481">
        <f>'F1'!Q30</f>
        <v>406.07323096423778</v>
      </c>
      <c r="L31" s="481">
        <f t="shared" si="6"/>
        <v>7.7462280000000003</v>
      </c>
      <c r="M31" s="481">
        <f t="shared" si="9"/>
        <v>0</v>
      </c>
      <c r="N31" s="481">
        <f t="shared" si="10"/>
        <v>389.75109714196867</v>
      </c>
      <c r="O31" s="481">
        <f t="shared" ca="1" si="11"/>
        <v>100.70616127913097</v>
      </c>
      <c r="P31" s="481">
        <f t="shared" si="12"/>
        <v>0</v>
      </c>
      <c r="Q31" s="481">
        <f t="shared" ca="1" si="13"/>
        <v>498.20348642109963</v>
      </c>
      <c r="R31" s="100"/>
      <c r="S31" s="673">
        <f t="shared" ca="1" si="14"/>
        <v>498.20348642109963</v>
      </c>
      <c r="T31" s="674">
        <f t="shared" ca="1" si="15"/>
        <v>12.268808885483406</v>
      </c>
      <c r="U31" s="810">
        <f t="shared" ca="1" si="16"/>
        <v>1.2873267391173335</v>
      </c>
      <c r="V31" s="2131">
        <f t="shared" ca="1" si="17"/>
        <v>1.2873267391173335</v>
      </c>
    </row>
    <row r="32" spans="2:22" ht="15.5" x14ac:dyDescent="0.35">
      <c r="B32" s="367" t="s">
        <v>973</v>
      </c>
      <c r="C32" s="1455">
        <f>F13.3!C32</f>
        <v>255069</v>
      </c>
      <c r="D32" s="481">
        <f>'Tariff Comparison Ext.vsProp'!G56</f>
        <v>580</v>
      </c>
      <c r="E32" s="481">
        <v>0</v>
      </c>
      <c r="F32" s="481">
        <f>'Tariff Comparison Ext.vsProp'!F56</f>
        <v>5.2932035000000015</v>
      </c>
      <c r="G32" s="481">
        <f ca="1">wheeling!$D$16</f>
        <v>2.48</v>
      </c>
      <c r="H32" s="481">
        <f>F13.3!I32</f>
        <v>0</v>
      </c>
      <c r="I32" s="481"/>
      <c r="J32" s="481">
        <f>F13.3!K32</f>
        <v>0</v>
      </c>
      <c r="K32" s="481">
        <f>'F1'!Q31</f>
        <v>840.9347851560151</v>
      </c>
      <c r="L32" s="481">
        <f t="shared" si="6"/>
        <v>177.52802399999999</v>
      </c>
      <c r="M32" s="481">
        <f t="shared" si="9"/>
        <v>0</v>
      </c>
      <c r="N32" s="481">
        <f t="shared" si="10"/>
        <v>445.12389480595687</v>
      </c>
      <c r="O32" s="481">
        <f t="shared" ca="1" si="11"/>
        <v>208.55182671869176</v>
      </c>
      <c r="P32" s="481">
        <f t="shared" si="12"/>
        <v>0</v>
      </c>
      <c r="Q32" s="481">
        <f t="shared" ca="1" si="13"/>
        <v>831.20374552464864</v>
      </c>
      <c r="R32" s="100"/>
      <c r="S32" s="673">
        <f t="shared" ca="1" si="14"/>
        <v>831.20374552464864</v>
      </c>
      <c r="T32" s="674">
        <f t="shared" ca="1" si="15"/>
        <v>9.8842830644761452</v>
      </c>
      <c r="U32" s="810">
        <f t="shared" ca="1" si="16"/>
        <v>1.0371260979507391</v>
      </c>
      <c r="V32" s="2131">
        <f t="shared" ca="1" si="17"/>
        <v>1.0371260979507391</v>
      </c>
    </row>
    <row r="33" spans="1:22" ht="15.5" x14ac:dyDescent="0.35">
      <c r="B33" s="367" t="s">
        <v>974</v>
      </c>
      <c r="C33" s="1455">
        <f>F13.3!C33</f>
        <v>5911</v>
      </c>
      <c r="D33" s="481">
        <v>0</v>
      </c>
      <c r="E33" s="481">
        <f>'Tariff Comparison Ext.vsProp'!G57</f>
        <v>480</v>
      </c>
      <c r="F33" s="481">
        <f>'Tariff Comparison Ext.vsProp'!F57</f>
        <v>5.0308289999999998</v>
      </c>
      <c r="G33" s="481">
        <f ca="1">wheeling!$D$16</f>
        <v>2.48</v>
      </c>
      <c r="H33" s="481">
        <f>F13.3!I33</f>
        <v>0</v>
      </c>
      <c r="I33" s="481"/>
      <c r="J33" s="481">
        <f>F13.3!K33</f>
        <v>222526.77469475055</v>
      </c>
      <c r="K33" s="481">
        <f>'F1'!Q32</f>
        <v>173.7415579902879</v>
      </c>
      <c r="L33" s="481">
        <f>C33*E33*12/10^7</f>
        <v>3.4047360000000002</v>
      </c>
      <c r="M33" s="481">
        <f t="shared" si="9"/>
        <v>128.17542222417632</v>
      </c>
      <c r="N33" s="481">
        <f t="shared" si="10"/>
        <v>87.406406844272198</v>
      </c>
      <c r="O33" s="481">
        <f t="shared" ca="1" si="11"/>
        <v>43.087906381591395</v>
      </c>
      <c r="P33" s="481">
        <f t="shared" si="12"/>
        <v>0</v>
      </c>
      <c r="Q33" s="481">
        <f t="shared" ca="1" si="13"/>
        <v>262.07447145003994</v>
      </c>
      <c r="R33" s="100"/>
      <c r="S33" s="673">
        <f t="shared" ca="1" si="14"/>
        <v>262.07447145003994</v>
      </c>
      <c r="T33" s="674">
        <f t="shared" ca="1" si="15"/>
        <v>15.084155712744893</v>
      </c>
      <c r="U33" s="810">
        <f t="shared" ca="1" si="16"/>
        <v>1.5827320457328062</v>
      </c>
      <c r="V33" s="2131">
        <f t="shared" ca="1" si="17"/>
        <v>1.5827320457328062</v>
      </c>
    </row>
    <row r="34" spans="1:22" ht="15.5" x14ac:dyDescent="0.35">
      <c r="A34" s="789"/>
      <c r="B34" s="367" t="s">
        <v>975</v>
      </c>
      <c r="C34" s="1455">
        <f>F13.3!C34</f>
        <v>3211</v>
      </c>
      <c r="D34" s="481">
        <v>0</v>
      </c>
      <c r="E34" s="481">
        <f>'Tariff Comparison Ext.vsProp'!G58</f>
        <v>480</v>
      </c>
      <c r="F34" s="481">
        <f>'Tariff Comparison Ext.vsProp'!F58</f>
        <v>5.3827800000000003</v>
      </c>
      <c r="G34" s="481">
        <f ca="1">wheeling!$D$16</f>
        <v>2.48</v>
      </c>
      <c r="H34" s="481">
        <f>F13.3!I34</f>
        <v>0</v>
      </c>
      <c r="I34" s="481"/>
      <c r="J34" s="481">
        <f>F13.3!K34</f>
        <v>450911.18249240116</v>
      </c>
      <c r="K34" s="481">
        <f>'F1'!Q33</f>
        <v>358.2343891645337</v>
      </c>
      <c r="L34" s="481">
        <f>C34*E34*12/10^7</f>
        <v>1.8495360000000001</v>
      </c>
      <c r="M34" s="481">
        <f t="shared" si="9"/>
        <v>259.72484111562306</v>
      </c>
      <c r="N34" s="481">
        <f t="shared" si="10"/>
        <v>192.82969053070687</v>
      </c>
      <c r="O34" s="481">
        <f t="shared" ca="1" si="11"/>
        <v>88.842128512804351</v>
      </c>
      <c r="P34" s="481">
        <f t="shared" si="12"/>
        <v>0</v>
      </c>
      <c r="Q34" s="481">
        <f t="shared" ca="1" si="13"/>
        <v>543.24619615913434</v>
      </c>
      <c r="R34" s="100"/>
      <c r="S34" s="673">
        <f t="shared" ca="1" si="14"/>
        <v>543.24619615913434</v>
      </c>
      <c r="T34" s="674">
        <f t="shared" ca="1" si="15"/>
        <v>15.164546246553298</v>
      </c>
      <c r="U34" s="810">
        <f t="shared" ca="1" si="16"/>
        <v>1.5911671664286648</v>
      </c>
      <c r="V34" s="2131">
        <f t="shared" ca="1" si="17"/>
        <v>1.5911671664286648</v>
      </c>
    </row>
    <row r="35" spans="1:22" ht="15.5" x14ac:dyDescent="0.35">
      <c r="B35" s="367" t="s">
        <v>965</v>
      </c>
      <c r="C35" s="1455">
        <f>F13.3!C35</f>
        <v>8597</v>
      </c>
      <c r="D35" s="481">
        <f>'Tariff Comparison Ext.vsProp'!G59</f>
        <v>580</v>
      </c>
      <c r="E35" s="481">
        <v>0</v>
      </c>
      <c r="F35" s="481">
        <f>'Tariff Comparison Ext.vsProp'!F59</f>
        <v>4.8284060000000002</v>
      </c>
      <c r="G35" s="481">
        <f ca="1">wheeling!$D$16</f>
        <v>2.48</v>
      </c>
      <c r="H35" s="481">
        <f>F13.3!I35</f>
        <v>0</v>
      </c>
      <c r="I35" s="481"/>
      <c r="J35" s="481">
        <f>F13.3!K35</f>
        <v>0</v>
      </c>
      <c r="K35" s="481">
        <f>'F1'!Q34</f>
        <v>105.7392569038896</v>
      </c>
      <c r="L35" s="481">
        <f t="shared" si="6"/>
        <v>5.9835120000000002</v>
      </c>
      <c r="M35" s="481">
        <f t="shared" si="9"/>
        <v>0</v>
      </c>
      <c r="N35" s="481">
        <f t="shared" si="10"/>
        <v>51.055206247028195</v>
      </c>
      <c r="O35" s="481">
        <f t="shared" ca="1" si="11"/>
        <v>26.223335712164619</v>
      </c>
      <c r="P35" s="481">
        <f t="shared" si="12"/>
        <v>0</v>
      </c>
      <c r="Q35" s="481">
        <f t="shared" ca="1" si="13"/>
        <v>83.262053959192812</v>
      </c>
      <c r="R35" s="100"/>
      <c r="S35" s="673">
        <f t="shared" ca="1" si="14"/>
        <v>83.262053959192812</v>
      </c>
      <c r="T35" s="674">
        <f t="shared" ca="1" si="15"/>
        <v>7.8742802245028862</v>
      </c>
      <c r="U35" s="810">
        <f t="shared" ca="1" si="16"/>
        <v>0.82622295113744482</v>
      </c>
      <c r="V35" s="2131">
        <f t="shared" ca="1" si="17"/>
        <v>0.82622295113744482</v>
      </c>
    </row>
    <row r="36" spans="1:22" ht="15.5" x14ac:dyDescent="0.35">
      <c r="B36" s="367" t="s">
        <v>976</v>
      </c>
      <c r="C36" s="1455">
        <f>F13.3!C36</f>
        <v>1017</v>
      </c>
      <c r="D36" s="481">
        <v>0</v>
      </c>
      <c r="E36" s="481">
        <f>'Tariff Comparison Ext.vsProp'!G60</f>
        <v>480</v>
      </c>
      <c r="F36" s="481">
        <f>'Tariff Comparison Ext.vsProp'!F60</f>
        <v>5.1174680000000006</v>
      </c>
      <c r="G36" s="481">
        <f ca="1">wheeling!$D$16</f>
        <v>2.48</v>
      </c>
      <c r="H36" s="481">
        <f>F13.3!I36</f>
        <v>0</v>
      </c>
      <c r="I36" s="481"/>
      <c r="J36" s="481">
        <f>F13.3!K36</f>
        <v>65400.333526543109</v>
      </c>
      <c r="K36" s="481">
        <f>'F1'!Q35</f>
        <v>79.807084116296068</v>
      </c>
      <c r="L36" s="481">
        <f>C36*E36*12/10^7</f>
        <v>0.58579199999999998</v>
      </c>
      <c r="M36" s="481">
        <f t="shared" si="9"/>
        <v>37.670592111288833</v>
      </c>
      <c r="N36" s="481">
        <f t="shared" si="10"/>
        <v>40.841019913845344</v>
      </c>
      <c r="O36" s="481">
        <f t="shared" ca="1" si="11"/>
        <v>19.792156860841423</v>
      </c>
      <c r="P36" s="481">
        <f t="shared" si="12"/>
        <v>0</v>
      </c>
      <c r="Q36" s="481">
        <f t="shared" ca="1" si="13"/>
        <v>98.889560885975612</v>
      </c>
      <c r="R36" s="100"/>
      <c r="S36" s="673">
        <f t="shared" ca="1" si="14"/>
        <v>98.889560885975612</v>
      </c>
      <c r="T36" s="674">
        <f t="shared" ca="1" si="15"/>
        <v>12.3910755518736</v>
      </c>
      <c r="U36" s="810">
        <f t="shared" ca="1" si="16"/>
        <v>1.3001557880018646</v>
      </c>
      <c r="V36" s="2131">
        <f t="shared" ca="1" si="17"/>
        <v>1.3001557880018646</v>
      </c>
    </row>
    <row r="37" spans="1:22" ht="15.5" x14ac:dyDescent="0.35">
      <c r="B37" s="367" t="s">
        <v>967</v>
      </c>
      <c r="C37" s="1455">
        <f>F13.3!C37</f>
        <v>677</v>
      </c>
      <c r="D37" s="481">
        <f>'Tariff Comparison Ext.vsProp'!G61</f>
        <v>580</v>
      </c>
      <c r="E37" s="481">
        <v>0</v>
      </c>
      <c r="F37" s="481">
        <f>'Tariff Comparison Ext.vsProp'!F61</f>
        <v>5.576340000000001</v>
      </c>
      <c r="G37" s="481">
        <f ca="1">wheeling!$D$16</f>
        <v>2.48</v>
      </c>
      <c r="H37" s="481">
        <f>F13.3!I37</f>
        <v>0</v>
      </c>
      <c r="I37" s="481"/>
      <c r="J37" s="481">
        <f>F13.3!K37</f>
        <v>0</v>
      </c>
      <c r="K37" s="481">
        <f>'F1'!Q36</f>
        <v>61.397282548059046</v>
      </c>
      <c r="L37" s="481">
        <f t="shared" si="6"/>
        <v>0.471192</v>
      </c>
      <c r="M37" s="481">
        <f t="shared" si="9"/>
        <v>0</v>
      </c>
      <c r="N37" s="481">
        <f t="shared" si="10"/>
        <v>34.237212256404362</v>
      </c>
      <c r="O37" s="481">
        <f t="shared" ca="1" si="11"/>
        <v>15.226526071918645</v>
      </c>
      <c r="P37" s="481">
        <f t="shared" si="12"/>
        <v>0</v>
      </c>
      <c r="Q37" s="481">
        <f t="shared" ca="1" si="13"/>
        <v>49.934930328323006</v>
      </c>
      <c r="R37" s="100"/>
      <c r="S37" s="673">
        <f t="shared" ca="1" si="14"/>
        <v>49.934930328323006</v>
      </c>
      <c r="T37" s="674">
        <f t="shared" ca="1" si="15"/>
        <v>8.1330847646613957</v>
      </c>
      <c r="U37" s="810">
        <f t="shared" ca="1" si="16"/>
        <v>0.85337848089267809</v>
      </c>
      <c r="V37" s="2131">
        <f t="shared" ca="1" si="17"/>
        <v>0.85337848089267809</v>
      </c>
    </row>
    <row r="38" spans="1:22" ht="15.5" x14ac:dyDescent="0.35">
      <c r="B38" s="367" t="s">
        <v>968</v>
      </c>
      <c r="C38" s="1455">
        <f>F13.3!C38</f>
        <v>7064</v>
      </c>
      <c r="D38" s="481">
        <f>'Tariff Comparison Ext.vsProp'!G62</f>
        <v>580</v>
      </c>
      <c r="E38" s="481">
        <v>0</v>
      </c>
      <c r="F38" s="481">
        <f>'Tariff Comparison Ext.vsProp'!F62</f>
        <v>5.5270229999999989</v>
      </c>
      <c r="G38" s="481">
        <f ca="1">wheeling!$D$16</f>
        <v>2.48</v>
      </c>
      <c r="H38" s="481">
        <f>F13.3!I38</f>
        <v>0</v>
      </c>
      <c r="I38" s="481"/>
      <c r="J38" s="481">
        <f>F13.3!K38</f>
        <v>0</v>
      </c>
      <c r="K38" s="481">
        <f>'F1'!Q37</f>
        <v>178.81986798061297</v>
      </c>
      <c r="L38" s="481">
        <f t="shared" si="6"/>
        <v>4.916544</v>
      </c>
      <c r="M38" s="481">
        <f t="shared" si="9"/>
        <v>0</v>
      </c>
      <c r="N38" s="481">
        <f t="shared" si="10"/>
        <v>98.834152318581118</v>
      </c>
      <c r="O38" s="481">
        <f t="shared" ca="1" si="11"/>
        <v>44.347327259192014</v>
      </c>
      <c r="P38" s="481">
        <f t="shared" si="12"/>
        <v>0</v>
      </c>
      <c r="Q38" s="481">
        <f t="shared" ca="1" si="13"/>
        <v>148.09802357777312</v>
      </c>
      <c r="R38" s="100"/>
      <c r="S38" s="673">
        <f t="shared" ca="1" si="14"/>
        <v>148.09802357777312</v>
      </c>
      <c r="T38" s="674">
        <f t="shared" ca="1" si="15"/>
        <v>8.2819669452965599</v>
      </c>
      <c r="U38" s="810">
        <f t="shared" ca="1" si="16"/>
        <v>0.86900021026336849</v>
      </c>
      <c r="V38" s="2131">
        <f t="shared" ca="1" si="17"/>
        <v>0.86900021026336849</v>
      </c>
    </row>
    <row r="39" spans="1:22" ht="15.5" x14ac:dyDescent="0.35">
      <c r="B39" s="800" t="s">
        <v>1546</v>
      </c>
      <c r="C39" s="1455"/>
      <c r="D39" s="481">
        <v>0</v>
      </c>
      <c r="E39" s="481">
        <f>'Tariff Comparison Ext.vsProp'!G63</f>
        <v>60</v>
      </c>
      <c r="F39" s="481">
        <f>'Tariff Comparison Ext.vsProp'!F63</f>
        <v>2.3664299999999998</v>
      </c>
      <c r="G39" s="481">
        <f ca="1">wheeling!$D$16</f>
        <v>2.48</v>
      </c>
      <c r="H39" s="481"/>
      <c r="I39" s="481"/>
      <c r="J39" s="481"/>
      <c r="K39" s="481">
        <f>'F1'!Q38</f>
        <v>0</v>
      </c>
      <c r="L39" s="481"/>
      <c r="M39" s="481">
        <f t="shared" si="9"/>
        <v>0</v>
      </c>
      <c r="N39" s="481">
        <f t="shared" si="10"/>
        <v>0</v>
      </c>
      <c r="O39" s="481">
        <f t="shared" ca="1" si="11"/>
        <v>0</v>
      </c>
      <c r="P39" s="481">
        <f t="shared" si="12"/>
        <v>0</v>
      </c>
      <c r="Q39" s="481">
        <f t="shared" ca="1" si="13"/>
        <v>0</v>
      </c>
      <c r="R39" s="100"/>
      <c r="S39" s="673">
        <f t="shared" ca="1" si="14"/>
        <v>0</v>
      </c>
      <c r="T39" s="674">
        <v>0</v>
      </c>
      <c r="U39" s="810">
        <f t="shared" ca="1" si="16"/>
        <v>0</v>
      </c>
      <c r="V39" s="2131">
        <f t="shared" ca="1" si="17"/>
        <v>0</v>
      </c>
    </row>
    <row r="40" spans="1:22" ht="15.5" x14ac:dyDescent="0.35">
      <c r="B40" s="367" t="s">
        <v>991</v>
      </c>
      <c r="C40" s="1455">
        <f>F13.3!C40</f>
        <v>1</v>
      </c>
      <c r="D40" s="481">
        <v>0</v>
      </c>
      <c r="E40" s="481">
        <f>'Tariff Comparison Ext.vsProp'!G64</f>
        <v>130</v>
      </c>
      <c r="F40" s="481">
        <f>'Tariff Comparison Ext.vsProp'!F64</f>
        <v>3.7970444999999997</v>
      </c>
      <c r="G40" s="481">
        <f ca="1">wheeling!$D$16</f>
        <v>2.48</v>
      </c>
      <c r="H40" s="481">
        <f>F13.3!I40</f>
        <v>0</v>
      </c>
      <c r="I40" s="481"/>
      <c r="J40" s="481">
        <f>F13.3!K40</f>
        <v>0</v>
      </c>
      <c r="K40" s="481">
        <f>'F1'!Q39</f>
        <v>5.1452999999999992E-2</v>
      </c>
      <c r="L40" s="481">
        <f t="shared" si="6"/>
        <v>0</v>
      </c>
      <c r="M40" s="481">
        <f t="shared" si="9"/>
        <v>0</v>
      </c>
      <c r="N40" s="481">
        <f t="shared" si="10"/>
        <v>1.9536933065849995E-2</v>
      </c>
      <c r="O40" s="481">
        <f t="shared" ca="1" si="11"/>
        <v>1.2760343999999998E-2</v>
      </c>
      <c r="P40" s="481">
        <f t="shared" si="12"/>
        <v>0</v>
      </c>
      <c r="Q40" s="481">
        <f t="shared" ca="1" si="13"/>
        <v>3.2297277065849991E-2</v>
      </c>
      <c r="R40" s="100"/>
      <c r="S40" s="673">
        <f t="shared" ca="1" si="14"/>
        <v>3.2297277065849991E-2</v>
      </c>
      <c r="T40" s="674">
        <f t="shared" ca="1" si="15"/>
        <v>6.2770444999999997</v>
      </c>
      <c r="U40" s="810">
        <f t="shared" ca="1" si="16"/>
        <v>0.65863013295776895</v>
      </c>
      <c r="V40" s="2131">
        <f t="shared" ca="1" si="17"/>
        <v>0.65863013295776895</v>
      </c>
    </row>
    <row r="41" spans="1:22" ht="15.5" x14ac:dyDescent="0.35">
      <c r="B41" s="370" t="s">
        <v>977</v>
      </c>
      <c r="C41" s="1455">
        <f>F13.3!C41</f>
        <v>35</v>
      </c>
      <c r="D41" s="481">
        <v>0</v>
      </c>
      <c r="E41" s="481">
        <f>'Tariff Comparison Ext.vsProp'!G65</f>
        <v>80</v>
      </c>
      <c r="F41" s="481">
        <f>'Tariff Comparison Ext.vsProp'!F65</f>
        <v>4.03</v>
      </c>
      <c r="G41" s="481">
        <f ca="1">wheeling!$D$16</f>
        <v>2.48</v>
      </c>
      <c r="H41" s="481">
        <f>F13.3!I41</f>
        <v>0</v>
      </c>
      <c r="I41" s="481"/>
      <c r="J41" s="481">
        <f>F13.3!K41</f>
        <v>0</v>
      </c>
      <c r="K41" s="481">
        <f>'F1'!Q40</f>
        <v>28.396340625000008</v>
      </c>
      <c r="L41" s="481">
        <f t="shared" si="6"/>
        <v>0</v>
      </c>
      <c r="M41" s="481">
        <f t="shared" si="9"/>
        <v>0</v>
      </c>
      <c r="N41" s="481">
        <f t="shared" si="10"/>
        <v>11.443725271875003</v>
      </c>
      <c r="O41" s="481">
        <f t="shared" ca="1" si="11"/>
        <v>7.0422924750000018</v>
      </c>
      <c r="P41" s="481">
        <f t="shared" si="12"/>
        <v>0</v>
      </c>
      <c r="Q41" s="481">
        <f t="shared" ca="1" si="13"/>
        <v>18.486017746875007</v>
      </c>
      <c r="R41" s="100"/>
      <c r="S41" s="673">
        <f t="shared" ca="1" si="14"/>
        <v>18.486017746875007</v>
      </c>
      <c r="T41" s="674">
        <f t="shared" ca="1" si="15"/>
        <v>6.51</v>
      </c>
      <c r="U41" s="810">
        <f t="shared" ca="1" si="16"/>
        <v>0.68307340589270571</v>
      </c>
      <c r="V41" s="2131">
        <f t="shared" ca="1" si="17"/>
        <v>0.68307340589270571</v>
      </c>
    </row>
    <row r="42" spans="1:22" ht="15.5" x14ac:dyDescent="0.35">
      <c r="B42" s="367"/>
      <c r="C42" s="1455"/>
      <c r="D42" s="481"/>
      <c r="E42" s="481"/>
      <c r="F42" s="481"/>
      <c r="G42" s="481"/>
      <c r="H42" s="481"/>
      <c r="I42" s="481"/>
      <c r="J42" s="481"/>
      <c r="K42" s="481"/>
      <c r="L42" s="481"/>
      <c r="M42" s="481"/>
      <c r="N42" s="481"/>
      <c r="O42" s="481"/>
      <c r="P42" s="481"/>
      <c r="Q42" s="481"/>
      <c r="R42" s="100"/>
      <c r="S42" s="673"/>
      <c r="T42" s="674"/>
      <c r="U42" s="810"/>
      <c r="V42" s="11"/>
    </row>
    <row r="43" spans="1:22" x14ac:dyDescent="0.3">
      <c r="B43" s="177" t="s">
        <v>972</v>
      </c>
      <c r="C43" s="482">
        <f t="shared" ref="C43" si="18">SUM(C26:C41)</f>
        <v>1059061</v>
      </c>
      <c r="D43" s="481"/>
      <c r="E43" s="481"/>
      <c r="F43" s="481"/>
      <c r="G43" s="481">
        <f>F13.3!G43</f>
        <v>0</v>
      </c>
      <c r="H43" s="481">
        <f>F13.3!I43</f>
        <v>0</v>
      </c>
      <c r="I43" s="481"/>
      <c r="J43" s="482">
        <f t="shared" ref="J43:S43" si="19">SUM(J26:J41)</f>
        <v>738838.29071369488</v>
      </c>
      <c r="K43" s="482">
        <f t="shared" si="19"/>
        <v>3988.1034710629638</v>
      </c>
      <c r="L43" s="482">
        <f t="shared" si="19"/>
        <v>335.1159576</v>
      </c>
      <c r="M43" s="482">
        <f t="shared" si="19"/>
        <v>425.57085545108822</v>
      </c>
      <c r="N43" s="482">
        <f t="shared" si="19"/>
        <v>2048.2617974764412</v>
      </c>
      <c r="O43" s="482">
        <f t="shared" ca="1" si="19"/>
        <v>989.04966082361489</v>
      </c>
      <c r="P43" s="482">
        <f t="shared" si="19"/>
        <v>0</v>
      </c>
      <c r="Q43" s="482">
        <f t="shared" ca="1" si="19"/>
        <v>3797.9982713511445</v>
      </c>
      <c r="R43" s="482">
        <f t="shared" si="19"/>
        <v>0</v>
      </c>
      <c r="S43" s="482">
        <f t="shared" ca="1" si="19"/>
        <v>3797.9982713511445</v>
      </c>
      <c r="T43" s="676">
        <f t="shared" ca="1" si="15"/>
        <v>9.5233192892531697</v>
      </c>
      <c r="U43" s="811">
        <f ca="1">T43/$U$54</f>
        <v>0.9992513275443724</v>
      </c>
      <c r="V43" s="2131">
        <f ca="1">T43/$U$54</f>
        <v>0.9992513275443724</v>
      </c>
    </row>
    <row r="44" spans="1:22" x14ac:dyDescent="0.3">
      <c r="B44" s="76" t="s">
        <v>978</v>
      </c>
      <c r="C44" s="1455">
        <f>F13.3!C44</f>
        <v>0</v>
      </c>
      <c r="D44" s="481"/>
      <c r="E44" s="481"/>
      <c r="F44" s="481"/>
      <c r="G44" s="481">
        <f>F13.3!G44</f>
        <v>0</v>
      </c>
      <c r="H44" s="481">
        <f>F13.3!I44</f>
        <v>0</v>
      </c>
      <c r="I44" s="481"/>
      <c r="J44" s="482">
        <f>F13.3!K44</f>
        <v>0</v>
      </c>
      <c r="K44" s="482"/>
      <c r="L44" s="482">
        <f t="shared" si="6"/>
        <v>0</v>
      </c>
      <c r="M44" s="482">
        <f>J44*E44*12/10^7</f>
        <v>0</v>
      </c>
      <c r="N44" s="482">
        <f>F44*$K44/10</f>
        <v>0</v>
      </c>
      <c r="O44" s="482">
        <f>G44*$K44/10</f>
        <v>0</v>
      </c>
      <c r="P44" s="482">
        <f>H44*$K44/10</f>
        <v>0</v>
      </c>
      <c r="Q44" s="482">
        <f>SUM(L44:P44)</f>
        <v>0</v>
      </c>
      <c r="R44" s="142"/>
      <c r="S44" s="675">
        <f>SUM(Q44,R44)</f>
        <v>0</v>
      </c>
      <c r="T44" s="676">
        <v>0</v>
      </c>
      <c r="U44" s="811"/>
      <c r="V44" s="11"/>
    </row>
    <row r="45" spans="1:22" x14ac:dyDescent="0.3">
      <c r="B45" s="177" t="s">
        <v>145</v>
      </c>
      <c r="C45" s="482">
        <f t="shared" ref="C45" si="20">C43+C22</f>
        <v>1059261</v>
      </c>
      <c r="D45" s="481"/>
      <c r="E45" s="481"/>
      <c r="F45" s="481"/>
      <c r="G45" s="481">
        <f>F13.3!G45</f>
        <v>0</v>
      </c>
      <c r="H45" s="481">
        <f>F13.3!I45</f>
        <v>0</v>
      </c>
      <c r="I45" s="481"/>
      <c r="J45" s="482">
        <f t="shared" ref="J45:S45" si="21">J43+J22</f>
        <v>1008953.470601</v>
      </c>
      <c r="K45" s="482">
        <f t="shared" si="21"/>
        <v>4635.430993703435</v>
      </c>
      <c r="L45" s="482">
        <f t="shared" si="21"/>
        <v>335.1159576</v>
      </c>
      <c r="M45" s="482">
        <f t="shared" si="21"/>
        <v>581.15719906617596</v>
      </c>
      <c r="N45" s="482">
        <f t="shared" si="21"/>
        <v>2452.6357568125327</v>
      </c>
      <c r="O45" s="482">
        <f t="shared" ca="1" si="21"/>
        <v>1048.6037929065383</v>
      </c>
      <c r="P45" s="482">
        <f t="shared" si="21"/>
        <v>0</v>
      </c>
      <c r="Q45" s="482">
        <f t="shared" ca="1" si="21"/>
        <v>4417.5127063852469</v>
      </c>
      <c r="R45" s="482">
        <f t="shared" si="21"/>
        <v>0</v>
      </c>
      <c r="S45" s="482">
        <f t="shared" ca="1" si="21"/>
        <v>4417.5127063852469</v>
      </c>
      <c r="T45" s="676">
        <f ca="1">S45/K45*10</f>
        <v>9.5298855972309831</v>
      </c>
      <c r="U45" s="811">
        <f ca="1">T45/$U$54</f>
        <v>0.99994030916565435</v>
      </c>
      <c r="V45" s="2131">
        <f ca="1">T45/$U$54</f>
        <v>0.99994030916565435</v>
      </c>
    </row>
    <row r="46" spans="1:22" x14ac:dyDescent="0.3">
      <c r="B46" s="76" t="s">
        <v>980</v>
      </c>
      <c r="C46" s="1458"/>
      <c r="D46" s="100"/>
      <c r="E46" s="100"/>
      <c r="F46" s="100"/>
      <c r="G46" s="100"/>
      <c r="H46" s="100"/>
      <c r="I46" s="100"/>
      <c r="J46" s="142"/>
      <c r="K46" s="142"/>
      <c r="L46" s="142"/>
      <c r="M46" s="142"/>
      <c r="N46" s="142"/>
      <c r="O46" s="142"/>
      <c r="P46" s="142"/>
      <c r="Q46" s="142"/>
      <c r="R46" s="142"/>
      <c r="S46" s="142"/>
      <c r="T46" s="142"/>
      <c r="U46" s="811"/>
      <c r="V46" s="11"/>
    </row>
    <row r="47" spans="1:22" x14ac:dyDescent="0.3">
      <c r="B47" s="76" t="s">
        <v>981</v>
      </c>
      <c r="C47" s="100"/>
      <c r="D47" s="100"/>
      <c r="E47" s="100"/>
      <c r="F47" s="100"/>
      <c r="G47" s="100"/>
      <c r="H47" s="100"/>
      <c r="I47" s="100"/>
      <c r="J47" s="142"/>
      <c r="K47" s="142"/>
      <c r="L47" s="142"/>
      <c r="M47" s="142"/>
      <c r="N47" s="142"/>
      <c r="O47" s="142"/>
      <c r="P47" s="142"/>
      <c r="Q47" s="142"/>
      <c r="R47" s="142"/>
      <c r="S47" s="142"/>
      <c r="T47" s="38"/>
      <c r="U47" s="1319"/>
      <c r="V47" s="11"/>
    </row>
    <row r="48" spans="1:22" x14ac:dyDescent="0.3">
      <c r="B48" s="76" t="s">
        <v>982</v>
      </c>
      <c r="C48" s="12"/>
      <c r="D48" s="12"/>
      <c r="E48" s="12"/>
      <c r="F48" s="12"/>
      <c r="G48" s="12"/>
      <c r="H48" s="12"/>
      <c r="I48" s="12"/>
      <c r="J48" s="1318"/>
      <c r="K48" s="1318"/>
      <c r="L48" s="1318"/>
      <c r="M48" s="1318"/>
      <c r="N48" s="1318"/>
      <c r="O48" s="1318"/>
      <c r="P48" s="1318"/>
      <c r="Q48" s="1318"/>
      <c r="R48" s="1318"/>
      <c r="S48" s="1318"/>
      <c r="T48" s="38"/>
      <c r="U48" s="1319"/>
      <c r="V48" s="11"/>
    </row>
    <row r="49" spans="2:22" x14ac:dyDescent="0.3">
      <c r="B49" s="76" t="s">
        <v>983</v>
      </c>
      <c r="C49" s="12"/>
      <c r="D49" s="12"/>
      <c r="E49" s="12"/>
      <c r="F49" s="12"/>
      <c r="G49" s="12"/>
      <c r="H49" s="12"/>
      <c r="I49" s="12"/>
      <c r="J49" s="1318"/>
      <c r="K49" s="1318"/>
      <c r="L49" s="1318"/>
      <c r="M49" s="1318"/>
      <c r="N49" s="1318"/>
      <c r="O49" s="1318"/>
      <c r="P49" s="1318"/>
      <c r="Q49" s="1318"/>
      <c r="R49" s="1318"/>
      <c r="S49" s="1318"/>
      <c r="T49" s="38"/>
      <c r="U49" s="1319"/>
      <c r="V49" s="11"/>
    </row>
    <row r="50" spans="2:22" x14ac:dyDescent="0.3">
      <c r="B50" s="76" t="s">
        <v>984</v>
      </c>
      <c r="C50" s="12"/>
      <c r="D50" s="12"/>
      <c r="E50" s="12"/>
      <c r="F50" s="12"/>
      <c r="G50" s="12"/>
      <c r="H50" s="12"/>
      <c r="I50" s="12"/>
      <c r="J50" s="1318"/>
      <c r="K50" s="1318"/>
      <c r="L50" s="1318"/>
      <c r="M50" s="1318"/>
      <c r="N50" s="1318"/>
      <c r="O50" s="1318"/>
      <c r="P50" s="1318"/>
      <c r="Q50" s="1318"/>
      <c r="R50" s="1318"/>
      <c r="S50" s="1318"/>
      <c r="T50" s="38"/>
      <c r="U50" s="1319"/>
      <c r="V50" s="11"/>
    </row>
    <row r="51" spans="2:22" ht="15.5" x14ac:dyDescent="0.35">
      <c r="B51" s="372" t="s">
        <v>992</v>
      </c>
      <c r="C51" s="11"/>
      <c r="D51" s="11"/>
      <c r="E51" s="11"/>
      <c r="F51" s="11"/>
      <c r="G51" s="11"/>
      <c r="H51" s="11"/>
      <c r="I51" s="11"/>
      <c r="J51" s="38"/>
      <c r="K51" s="38"/>
      <c r="L51" s="38"/>
      <c r="M51" s="38"/>
      <c r="N51" s="38"/>
      <c r="O51" s="38"/>
      <c r="P51" s="38"/>
      <c r="Q51" s="38"/>
      <c r="R51" s="38"/>
      <c r="S51" s="38"/>
      <c r="T51" s="38"/>
      <c r="U51" s="1319"/>
      <c r="V51" s="11"/>
    </row>
    <row r="52" spans="2:22" x14ac:dyDescent="0.3">
      <c r="B52" s="177" t="s">
        <v>985</v>
      </c>
      <c r="C52" s="1316">
        <f t="shared" ref="C52:I52" si="22">SUM(C45:C51)</f>
        <v>1059261</v>
      </c>
      <c r="D52" s="1316">
        <f t="shared" si="22"/>
        <v>0</v>
      </c>
      <c r="E52" s="1316">
        <f t="shared" si="22"/>
        <v>0</v>
      </c>
      <c r="F52" s="1316">
        <f t="shared" si="22"/>
        <v>0</v>
      </c>
      <c r="G52" s="1316">
        <f t="shared" si="22"/>
        <v>0</v>
      </c>
      <c r="H52" s="1316">
        <f t="shared" si="22"/>
        <v>0</v>
      </c>
      <c r="I52" s="1316">
        <f t="shared" si="22"/>
        <v>0</v>
      </c>
      <c r="J52" s="1316">
        <f>SUM(J45:J51)</f>
        <v>1008953.470601</v>
      </c>
      <c r="K52" s="1316">
        <f>SUM(K45:K51)</f>
        <v>4635.430993703435</v>
      </c>
      <c r="L52" s="1316">
        <f t="shared" ref="L52:S52" si="23">SUM(L45:L51)</f>
        <v>335.1159576</v>
      </c>
      <c r="M52" s="1316">
        <f t="shared" si="23"/>
        <v>581.15719906617596</v>
      </c>
      <c r="N52" s="1316">
        <f t="shared" si="23"/>
        <v>2452.6357568125327</v>
      </c>
      <c r="O52" s="1316">
        <f t="shared" ca="1" si="23"/>
        <v>1048.6037929065383</v>
      </c>
      <c r="P52" s="1316">
        <f t="shared" si="23"/>
        <v>0</v>
      </c>
      <c r="Q52" s="1316">
        <f t="shared" ca="1" si="23"/>
        <v>4417.5127063852469</v>
      </c>
      <c r="R52" s="1316">
        <f t="shared" si="23"/>
        <v>0</v>
      </c>
      <c r="S52" s="1316">
        <f t="shared" ca="1" si="23"/>
        <v>4417.5127063852469</v>
      </c>
      <c r="T52" s="676">
        <f ca="1">S52/K52*10</f>
        <v>9.5298855972309831</v>
      </c>
      <c r="U52" s="811">
        <f ca="1">T52/$U$54</f>
        <v>0.99994030916565435</v>
      </c>
      <c r="V52" s="2131"/>
    </row>
    <row r="53" spans="2:22" x14ac:dyDescent="0.3">
      <c r="C53" s="677">
        <f>F13.3!C52-C52</f>
        <v>0</v>
      </c>
      <c r="J53" s="677">
        <f>F13.3!$K$52-J52</f>
        <v>0</v>
      </c>
      <c r="K53" s="677">
        <f>F13.3!L52-K52</f>
        <v>0</v>
      </c>
      <c r="S53" s="152"/>
      <c r="T53" s="152"/>
      <c r="U53" s="152"/>
    </row>
    <row r="54" spans="2:22" x14ac:dyDescent="0.3">
      <c r="H54" s="2"/>
      <c r="K54" s="1516"/>
      <c r="S54" s="152"/>
      <c r="T54" s="38" t="s">
        <v>1286</v>
      </c>
      <c r="U54" s="1316">
        <f ca="1">('ARR-Summary'!T97+SUM('Gap Determination'!E8:E11)+'Gap Determination'!E20-'Gap Determination'!D25+'ARR-Summary'!V97)/K52*10</f>
        <v>9.5304544780104692</v>
      </c>
    </row>
    <row r="55" spans="2:22" x14ac:dyDescent="0.3">
      <c r="U55" s="425"/>
    </row>
    <row r="56" spans="2:22" x14ac:dyDescent="0.3">
      <c r="U56" s="425"/>
    </row>
    <row r="57" spans="2:22" x14ac:dyDescent="0.3">
      <c r="U57" s="425"/>
    </row>
  </sheetData>
  <mergeCells count="10">
    <mergeCell ref="B10:B11"/>
    <mergeCell ref="C10:C11"/>
    <mergeCell ref="D10:H10"/>
    <mergeCell ref="I10:K10"/>
    <mergeCell ref="L10:Q10"/>
    <mergeCell ref="V10:V11"/>
    <mergeCell ref="T10:T11"/>
    <mergeCell ref="U10:U11"/>
    <mergeCell ref="R10:R11"/>
    <mergeCell ref="S10:S11"/>
  </mergeCells>
  <pageMargins left="0.70866141732283472" right="0.70866141732283472" top="0.74803149606299213" bottom="0.74803149606299213" header="0.31496062992125984" footer="0.31496062992125984"/>
  <pageSetup scale="42" orientation="landscape" r:id="rId1"/>
  <ignoredErrors>
    <ignoredError sqref="L22 M22:T22"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view="pageBreakPreview" topLeftCell="A4" zoomScale="65" zoomScaleNormal="75" workbookViewId="0">
      <selection activeCell="D10" sqref="D10"/>
    </sheetView>
  </sheetViews>
  <sheetFormatPr defaultColWidth="9.1796875" defaultRowHeight="14" x14ac:dyDescent="0.25"/>
  <cols>
    <col min="1" max="1" width="4.1796875" style="60" customWidth="1"/>
    <col min="2" max="2" width="15.54296875" style="60" customWidth="1"/>
    <col min="3" max="3" width="28.08984375" style="60" customWidth="1"/>
    <col min="4" max="4" width="12.08984375" style="60" customWidth="1"/>
    <col min="5" max="5" width="12.36328125" style="60" customWidth="1"/>
    <col min="6" max="6" width="12" style="60" customWidth="1"/>
    <col min="7" max="7" width="13.90625" style="60" customWidth="1"/>
    <col min="8" max="8" width="13.453125" style="60" customWidth="1"/>
    <col min="9" max="9" width="11.54296875" style="60" customWidth="1"/>
    <col min="10" max="10" width="16.1796875" style="60" customWidth="1"/>
    <col min="11" max="11" width="22.6328125" style="60" customWidth="1"/>
    <col min="12" max="15" width="8.81640625" style="60" customWidth="1"/>
    <col min="16" max="255" width="9.1796875" style="60"/>
    <col min="256" max="256" width="4.1796875" style="60" customWidth="1"/>
    <col min="257" max="257" width="15.54296875" style="60" bestFit="1" customWidth="1"/>
    <col min="258" max="258" width="27.1796875" style="60" customWidth="1"/>
    <col min="259" max="259" width="18" style="60" bestFit="1" customWidth="1"/>
    <col min="260" max="260" width="18" style="60" customWidth="1"/>
    <col min="261" max="261" width="17.7265625" style="60" bestFit="1" customWidth="1"/>
    <col min="262" max="264" width="18.7265625" style="60" customWidth="1"/>
    <col min="265" max="265" width="20.54296875" style="60" customWidth="1"/>
    <col min="266" max="271" width="18.7265625" style="60" customWidth="1"/>
    <col min="272" max="511" width="9.1796875" style="60"/>
    <col min="512" max="512" width="4.1796875" style="60" customWidth="1"/>
    <col min="513" max="513" width="15.54296875" style="60" bestFit="1" customWidth="1"/>
    <col min="514" max="514" width="27.1796875" style="60" customWidth="1"/>
    <col min="515" max="515" width="18" style="60" bestFit="1" customWidth="1"/>
    <col min="516" max="516" width="18" style="60" customWidth="1"/>
    <col min="517" max="517" width="17.7265625" style="60" bestFit="1" customWidth="1"/>
    <col min="518" max="520" width="18.7265625" style="60" customWidth="1"/>
    <col min="521" max="521" width="20.54296875" style="60" customWidth="1"/>
    <col min="522" max="527" width="18.7265625" style="60" customWidth="1"/>
    <col min="528" max="767" width="9.1796875" style="60"/>
    <col min="768" max="768" width="4.1796875" style="60" customWidth="1"/>
    <col min="769" max="769" width="15.54296875" style="60" bestFit="1" customWidth="1"/>
    <col min="770" max="770" width="27.1796875" style="60" customWidth="1"/>
    <col min="771" max="771" width="18" style="60" bestFit="1" customWidth="1"/>
    <col min="772" max="772" width="18" style="60" customWidth="1"/>
    <col min="773" max="773" width="17.7265625" style="60" bestFit="1" customWidth="1"/>
    <col min="774" max="776" width="18.7265625" style="60" customWidth="1"/>
    <col min="777" max="777" width="20.54296875" style="60" customWidth="1"/>
    <col min="778" max="783" width="18.7265625" style="60" customWidth="1"/>
    <col min="784" max="1023" width="9.1796875" style="60"/>
    <col min="1024" max="1024" width="4.1796875" style="60" customWidth="1"/>
    <col min="1025" max="1025" width="15.54296875" style="60" bestFit="1" customWidth="1"/>
    <col min="1026" max="1026" width="27.1796875" style="60" customWidth="1"/>
    <col min="1027" max="1027" width="18" style="60" bestFit="1" customWidth="1"/>
    <col min="1028" max="1028" width="18" style="60" customWidth="1"/>
    <col min="1029" max="1029" width="17.7265625" style="60" bestFit="1" customWidth="1"/>
    <col min="1030" max="1032" width="18.7265625" style="60" customWidth="1"/>
    <col min="1033" max="1033" width="20.54296875" style="60" customWidth="1"/>
    <col min="1034" max="1039" width="18.7265625" style="60" customWidth="1"/>
    <col min="1040" max="1279" width="9.1796875" style="60"/>
    <col min="1280" max="1280" width="4.1796875" style="60" customWidth="1"/>
    <col min="1281" max="1281" width="15.54296875" style="60" bestFit="1" customWidth="1"/>
    <col min="1282" max="1282" width="27.1796875" style="60" customWidth="1"/>
    <col min="1283" max="1283" width="18" style="60" bestFit="1" customWidth="1"/>
    <col min="1284" max="1284" width="18" style="60" customWidth="1"/>
    <col min="1285" max="1285" width="17.7265625" style="60" bestFit="1" customWidth="1"/>
    <col min="1286" max="1288" width="18.7265625" style="60" customWidth="1"/>
    <col min="1289" max="1289" width="20.54296875" style="60" customWidth="1"/>
    <col min="1290" max="1295" width="18.7265625" style="60" customWidth="1"/>
    <col min="1296" max="1535" width="9.1796875" style="60"/>
    <col min="1536" max="1536" width="4.1796875" style="60" customWidth="1"/>
    <col min="1537" max="1537" width="15.54296875" style="60" bestFit="1" customWidth="1"/>
    <col min="1538" max="1538" width="27.1796875" style="60" customWidth="1"/>
    <col min="1539" max="1539" width="18" style="60" bestFit="1" customWidth="1"/>
    <col min="1540" max="1540" width="18" style="60" customWidth="1"/>
    <col min="1541" max="1541" width="17.7265625" style="60" bestFit="1" customWidth="1"/>
    <col min="1542" max="1544" width="18.7265625" style="60" customWidth="1"/>
    <col min="1545" max="1545" width="20.54296875" style="60" customWidth="1"/>
    <col min="1546" max="1551" width="18.7265625" style="60" customWidth="1"/>
    <col min="1552" max="1791" width="9.1796875" style="60"/>
    <col min="1792" max="1792" width="4.1796875" style="60" customWidth="1"/>
    <col min="1793" max="1793" width="15.54296875" style="60" bestFit="1" customWidth="1"/>
    <col min="1794" max="1794" width="27.1796875" style="60" customWidth="1"/>
    <col min="1795" max="1795" width="18" style="60" bestFit="1" customWidth="1"/>
    <col min="1796" max="1796" width="18" style="60" customWidth="1"/>
    <col min="1797" max="1797" width="17.7265625" style="60" bestFit="1" customWidth="1"/>
    <col min="1798" max="1800" width="18.7265625" style="60" customWidth="1"/>
    <col min="1801" max="1801" width="20.54296875" style="60" customWidth="1"/>
    <col min="1802" max="1807" width="18.7265625" style="60" customWidth="1"/>
    <col min="1808" max="2047" width="9.1796875" style="60"/>
    <col min="2048" max="2048" width="4.1796875" style="60" customWidth="1"/>
    <col min="2049" max="2049" width="15.54296875" style="60" bestFit="1" customWidth="1"/>
    <col min="2050" max="2050" width="27.1796875" style="60" customWidth="1"/>
    <col min="2051" max="2051" width="18" style="60" bestFit="1" customWidth="1"/>
    <col min="2052" max="2052" width="18" style="60" customWidth="1"/>
    <col min="2053" max="2053" width="17.7265625" style="60" bestFit="1" customWidth="1"/>
    <col min="2054" max="2056" width="18.7265625" style="60" customWidth="1"/>
    <col min="2057" max="2057" width="20.54296875" style="60" customWidth="1"/>
    <col min="2058" max="2063" width="18.7265625" style="60" customWidth="1"/>
    <col min="2064" max="2303" width="9.1796875" style="60"/>
    <col min="2304" max="2304" width="4.1796875" style="60" customWidth="1"/>
    <col min="2305" max="2305" width="15.54296875" style="60" bestFit="1" customWidth="1"/>
    <col min="2306" max="2306" width="27.1796875" style="60" customWidth="1"/>
    <col min="2307" max="2307" width="18" style="60" bestFit="1" customWidth="1"/>
    <col min="2308" max="2308" width="18" style="60" customWidth="1"/>
    <col min="2309" max="2309" width="17.7265625" style="60" bestFit="1" customWidth="1"/>
    <col min="2310" max="2312" width="18.7265625" style="60" customWidth="1"/>
    <col min="2313" max="2313" width="20.54296875" style="60" customWidth="1"/>
    <col min="2314" max="2319" width="18.7265625" style="60" customWidth="1"/>
    <col min="2320" max="2559" width="9.1796875" style="60"/>
    <col min="2560" max="2560" width="4.1796875" style="60" customWidth="1"/>
    <col min="2561" max="2561" width="15.54296875" style="60" bestFit="1" customWidth="1"/>
    <col min="2562" max="2562" width="27.1796875" style="60" customWidth="1"/>
    <col min="2563" max="2563" width="18" style="60" bestFit="1" customWidth="1"/>
    <col min="2564" max="2564" width="18" style="60" customWidth="1"/>
    <col min="2565" max="2565" width="17.7265625" style="60" bestFit="1" customWidth="1"/>
    <col min="2566" max="2568" width="18.7265625" style="60" customWidth="1"/>
    <col min="2569" max="2569" width="20.54296875" style="60" customWidth="1"/>
    <col min="2570" max="2575" width="18.7265625" style="60" customWidth="1"/>
    <col min="2576" max="2815" width="9.1796875" style="60"/>
    <col min="2816" max="2816" width="4.1796875" style="60" customWidth="1"/>
    <col min="2817" max="2817" width="15.54296875" style="60" bestFit="1" customWidth="1"/>
    <col min="2818" max="2818" width="27.1796875" style="60" customWidth="1"/>
    <col min="2819" max="2819" width="18" style="60" bestFit="1" customWidth="1"/>
    <col min="2820" max="2820" width="18" style="60" customWidth="1"/>
    <col min="2821" max="2821" width="17.7265625" style="60" bestFit="1" customWidth="1"/>
    <col min="2822" max="2824" width="18.7265625" style="60" customWidth="1"/>
    <col min="2825" max="2825" width="20.54296875" style="60" customWidth="1"/>
    <col min="2826" max="2831" width="18.7265625" style="60" customWidth="1"/>
    <col min="2832" max="3071" width="9.1796875" style="60"/>
    <col min="3072" max="3072" width="4.1796875" style="60" customWidth="1"/>
    <col min="3073" max="3073" width="15.54296875" style="60" bestFit="1" customWidth="1"/>
    <col min="3074" max="3074" width="27.1796875" style="60" customWidth="1"/>
    <col min="3075" max="3075" width="18" style="60" bestFit="1" customWidth="1"/>
    <col min="3076" max="3076" width="18" style="60" customWidth="1"/>
    <col min="3077" max="3077" width="17.7265625" style="60" bestFit="1" customWidth="1"/>
    <col min="3078" max="3080" width="18.7265625" style="60" customWidth="1"/>
    <col min="3081" max="3081" width="20.54296875" style="60" customWidth="1"/>
    <col min="3082" max="3087" width="18.7265625" style="60" customWidth="1"/>
    <col min="3088" max="3327" width="9.1796875" style="60"/>
    <col min="3328" max="3328" width="4.1796875" style="60" customWidth="1"/>
    <col min="3329" max="3329" width="15.54296875" style="60" bestFit="1" customWidth="1"/>
    <col min="3330" max="3330" width="27.1796875" style="60" customWidth="1"/>
    <col min="3331" max="3331" width="18" style="60" bestFit="1" customWidth="1"/>
    <col min="3332" max="3332" width="18" style="60" customWidth="1"/>
    <col min="3333" max="3333" width="17.7265625" style="60" bestFit="1" customWidth="1"/>
    <col min="3334" max="3336" width="18.7265625" style="60" customWidth="1"/>
    <col min="3337" max="3337" width="20.54296875" style="60" customWidth="1"/>
    <col min="3338" max="3343" width="18.7265625" style="60" customWidth="1"/>
    <col min="3344" max="3583" width="9.1796875" style="60"/>
    <col min="3584" max="3584" width="4.1796875" style="60" customWidth="1"/>
    <col min="3585" max="3585" width="15.54296875" style="60" bestFit="1" customWidth="1"/>
    <col min="3586" max="3586" width="27.1796875" style="60" customWidth="1"/>
    <col min="3587" max="3587" width="18" style="60" bestFit="1" customWidth="1"/>
    <col min="3588" max="3588" width="18" style="60" customWidth="1"/>
    <col min="3589" max="3589" width="17.7265625" style="60" bestFit="1" customWidth="1"/>
    <col min="3590" max="3592" width="18.7265625" style="60" customWidth="1"/>
    <col min="3593" max="3593" width="20.54296875" style="60" customWidth="1"/>
    <col min="3594" max="3599" width="18.7265625" style="60" customWidth="1"/>
    <col min="3600" max="3839" width="9.1796875" style="60"/>
    <col min="3840" max="3840" width="4.1796875" style="60" customWidth="1"/>
    <col min="3841" max="3841" width="15.54296875" style="60" bestFit="1" customWidth="1"/>
    <col min="3842" max="3842" width="27.1796875" style="60" customWidth="1"/>
    <col min="3843" max="3843" width="18" style="60" bestFit="1" customWidth="1"/>
    <col min="3844" max="3844" width="18" style="60" customWidth="1"/>
    <col min="3845" max="3845" width="17.7265625" style="60" bestFit="1" customWidth="1"/>
    <col min="3846" max="3848" width="18.7265625" style="60" customWidth="1"/>
    <col min="3849" max="3849" width="20.54296875" style="60" customWidth="1"/>
    <col min="3850" max="3855" width="18.7265625" style="60" customWidth="1"/>
    <col min="3856" max="4095" width="9.1796875" style="60"/>
    <col min="4096" max="4096" width="4.1796875" style="60" customWidth="1"/>
    <col min="4097" max="4097" width="15.54296875" style="60" bestFit="1" customWidth="1"/>
    <col min="4098" max="4098" width="27.1796875" style="60" customWidth="1"/>
    <col min="4099" max="4099" width="18" style="60" bestFit="1" customWidth="1"/>
    <col min="4100" max="4100" width="18" style="60" customWidth="1"/>
    <col min="4101" max="4101" width="17.7265625" style="60" bestFit="1" customWidth="1"/>
    <col min="4102" max="4104" width="18.7265625" style="60" customWidth="1"/>
    <col min="4105" max="4105" width="20.54296875" style="60" customWidth="1"/>
    <col min="4106" max="4111" width="18.7265625" style="60" customWidth="1"/>
    <col min="4112" max="4351" width="9.1796875" style="60"/>
    <col min="4352" max="4352" width="4.1796875" style="60" customWidth="1"/>
    <col min="4353" max="4353" width="15.54296875" style="60" bestFit="1" customWidth="1"/>
    <col min="4354" max="4354" width="27.1796875" style="60" customWidth="1"/>
    <col min="4355" max="4355" width="18" style="60" bestFit="1" customWidth="1"/>
    <col min="4356" max="4356" width="18" style="60" customWidth="1"/>
    <col min="4357" max="4357" width="17.7265625" style="60" bestFit="1" customWidth="1"/>
    <col min="4358" max="4360" width="18.7265625" style="60" customWidth="1"/>
    <col min="4361" max="4361" width="20.54296875" style="60" customWidth="1"/>
    <col min="4362" max="4367" width="18.7265625" style="60" customWidth="1"/>
    <col min="4368" max="4607" width="9.1796875" style="60"/>
    <col min="4608" max="4608" width="4.1796875" style="60" customWidth="1"/>
    <col min="4609" max="4609" width="15.54296875" style="60" bestFit="1" customWidth="1"/>
    <col min="4610" max="4610" width="27.1796875" style="60" customWidth="1"/>
    <col min="4611" max="4611" width="18" style="60" bestFit="1" customWidth="1"/>
    <col min="4612" max="4612" width="18" style="60" customWidth="1"/>
    <col min="4613" max="4613" width="17.7265625" style="60" bestFit="1" customWidth="1"/>
    <col min="4614" max="4616" width="18.7265625" style="60" customWidth="1"/>
    <col min="4617" max="4617" width="20.54296875" style="60" customWidth="1"/>
    <col min="4618" max="4623" width="18.7265625" style="60" customWidth="1"/>
    <col min="4624" max="4863" width="9.1796875" style="60"/>
    <col min="4864" max="4864" width="4.1796875" style="60" customWidth="1"/>
    <col min="4865" max="4865" width="15.54296875" style="60" bestFit="1" customWidth="1"/>
    <col min="4866" max="4866" width="27.1796875" style="60" customWidth="1"/>
    <col min="4867" max="4867" width="18" style="60" bestFit="1" customWidth="1"/>
    <col min="4868" max="4868" width="18" style="60" customWidth="1"/>
    <col min="4869" max="4869" width="17.7265625" style="60" bestFit="1" customWidth="1"/>
    <col min="4870" max="4872" width="18.7265625" style="60" customWidth="1"/>
    <col min="4873" max="4873" width="20.54296875" style="60" customWidth="1"/>
    <col min="4874" max="4879" width="18.7265625" style="60" customWidth="1"/>
    <col min="4880" max="5119" width="9.1796875" style="60"/>
    <col min="5120" max="5120" width="4.1796875" style="60" customWidth="1"/>
    <col min="5121" max="5121" width="15.54296875" style="60" bestFit="1" customWidth="1"/>
    <col min="5122" max="5122" width="27.1796875" style="60" customWidth="1"/>
    <col min="5123" max="5123" width="18" style="60" bestFit="1" customWidth="1"/>
    <col min="5124" max="5124" width="18" style="60" customWidth="1"/>
    <col min="5125" max="5125" width="17.7265625" style="60" bestFit="1" customWidth="1"/>
    <col min="5126" max="5128" width="18.7265625" style="60" customWidth="1"/>
    <col min="5129" max="5129" width="20.54296875" style="60" customWidth="1"/>
    <col min="5130" max="5135" width="18.7265625" style="60" customWidth="1"/>
    <col min="5136" max="5375" width="9.1796875" style="60"/>
    <col min="5376" max="5376" width="4.1796875" style="60" customWidth="1"/>
    <col min="5377" max="5377" width="15.54296875" style="60" bestFit="1" customWidth="1"/>
    <col min="5378" max="5378" width="27.1796875" style="60" customWidth="1"/>
    <col min="5379" max="5379" width="18" style="60" bestFit="1" customWidth="1"/>
    <col min="5380" max="5380" width="18" style="60" customWidth="1"/>
    <col min="5381" max="5381" width="17.7265625" style="60" bestFit="1" customWidth="1"/>
    <col min="5382" max="5384" width="18.7265625" style="60" customWidth="1"/>
    <col min="5385" max="5385" width="20.54296875" style="60" customWidth="1"/>
    <col min="5386" max="5391" width="18.7265625" style="60" customWidth="1"/>
    <col min="5392" max="5631" width="9.1796875" style="60"/>
    <col min="5632" max="5632" width="4.1796875" style="60" customWidth="1"/>
    <col min="5633" max="5633" width="15.54296875" style="60" bestFit="1" customWidth="1"/>
    <col min="5634" max="5634" width="27.1796875" style="60" customWidth="1"/>
    <col min="5635" max="5635" width="18" style="60" bestFit="1" customWidth="1"/>
    <col min="5636" max="5636" width="18" style="60" customWidth="1"/>
    <col min="5637" max="5637" width="17.7265625" style="60" bestFit="1" customWidth="1"/>
    <col min="5638" max="5640" width="18.7265625" style="60" customWidth="1"/>
    <col min="5641" max="5641" width="20.54296875" style="60" customWidth="1"/>
    <col min="5642" max="5647" width="18.7265625" style="60" customWidth="1"/>
    <col min="5648" max="5887" width="9.1796875" style="60"/>
    <col min="5888" max="5888" width="4.1796875" style="60" customWidth="1"/>
    <col min="5889" max="5889" width="15.54296875" style="60" bestFit="1" customWidth="1"/>
    <col min="5890" max="5890" width="27.1796875" style="60" customWidth="1"/>
    <col min="5891" max="5891" width="18" style="60" bestFit="1" customWidth="1"/>
    <col min="5892" max="5892" width="18" style="60" customWidth="1"/>
    <col min="5893" max="5893" width="17.7265625" style="60" bestFit="1" customWidth="1"/>
    <col min="5894" max="5896" width="18.7265625" style="60" customWidth="1"/>
    <col min="5897" max="5897" width="20.54296875" style="60" customWidth="1"/>
    <col min="5898" max="5903" width="18.7265625" style="60" customWidth="1"/>
    <col min="5904" max="6143" width="9.1796875" style="60"/>
    <col min="6144" max="6144" width="4.1796875" style="60" customWidth="1"/>
    <col min="6145" max="6145" width="15.54296875" style="60" bestFit="1" customWidth="1"/>
    <col min="6146" max="6146" width="27.1796875" style="60" customWidth="1"/>
    <col min="6147" max="6147" width="18" style="60" bestFit="1" customWidth="1"/>
    <col min="6148" max="6148" width="18" style="60" customWidth="1"/>
    <col min="6149" max="6149" width="17.7265625" style="60" bestFit="1" customWidth="1"/>
    <col min="6150" max="6152" width="18.7265625" style="60" customWidth="1"/>
    <col min="6153" max="6153" width="20.54296875" style="60" customWidth="1"/>
    <col min="6154" max="6159" width="18.7265625" style="60" customWidth="1"/>
    <col min="6160" max="6399" width="9.1796875" style="60"/>
    <col min="6400" max="6400" width="4.1796875" style="60" customWidth="1"/>
    <col min="6401" max="6401" width="15.54296875" style="60" bestFit="1" customWidth="1"/>
    <col min="6402" max="6402" width="27.1796875" style="60" customWidth="1"/>
    <col min="6403" max="6403" width="18" style="60" bestFit="1" customWidth="1"/>
    <col min="6404" max="6404" width="18" style="60" customWidth="1"/>
    <col min="6405" max="6405" width="17.7265625" style="60" bestFit="1" customWidth="1"/>
    <col min="6406" max="6408" width="18.7265625" style="60" customWidth="1"/>
    <col min="6409" max="6409" width="20.54296875" style="60" customWidth="1"/>
    <col min="6410" max="6415" width="18.7265625" style="60" customWidth="1"/>
    <col min="6416" max="6655" width="9.1796875" style="60"/>
    <col min="6656" max="6656" width="4.1796875" style="60" customWidth="1"/>
    <col min="6657" max="6657" width="15.54296875" style="60" bestFit="1" customWidth="1"/>
    <col min="6658" max="6658" width="27.1796875" style="60" customWidth="1"/>
    <col min="6659" max="6659" width="18" style="60" bestFit="1" customWidth="1"/>
    <col min="6660" max="6660" width="18" style="60" customWidth="1"/>
    <col min="6661" max="6661" width="17.7265625" style="60" bestFit="1" customWidth="1"/>
    <col min="6662" max="6664" width="18.7265625" style="60" customWidth="1"/>
    <col min="6665" max="6665" width="20.54296875" style="60" customWidth="1"/>
    <col min="6666" max="6671" width="18.7265625" style="60" customWidth="1"/>
    <col min="6672" max="6911" width="9.1796875" style="60"/>
    <col min="6912" max="6912" width="4.1796875" style="60" customWidth="1"/>
    <col min="6913" max="6913" width="15.54296875" style="60" bestFit="1" customWidth="1"/>
    <col min="6914" max="6914" width="27.1796875" style="60" customWidth="1"/>
    <col min="6915" max="6915" width="18" style="60" bestFit="1" customWidth="1"/>
    <col min="6916" max="6916" width="18" style="60" customWidth="1"/>
    <col min="6917" max="6917" width="17.7265625" style="60" bestFit="1" customWidth="1"/>
    <col min="6918" max="6920" width="18.7265625" style="60" customWidth="1"/>
    <col min="6921" max="6921" width="20.54296875" style="60" customWidth="1"/>
    <col min="6922" max="6927" width="18.7265625" style="60" customWidth="1"/>
    <col min="6928" max="7167" width="9.1796875" style="60"/>
    <col min="7168" max="7168" width="4.1796875" style="60" customWidth="1"/>
    <col min="7169" max="7169" width="15.54296875" style="60" bestFit="1" customWidth="1"/>
    <col min="7170" max="7170" width="27.1796875" style="60" customWidth="1"/>
    <col min="7171" max="7171" width="18" style="60" bestFit="1" customWidth="1"/>
    <col min="7172" max="7172" width="18" style="60" customWidth="1"/>
    <col min="7173" max="7173" width="17.7265625" style="60" bestFit="1" customWidth="1"/>
    <col min="7174" max="7176" width="18.7265625" style="60" customWidth="1"/>
    <col min="7177" max="7177" width="20.54296875" style="60" customWidth="1"/>
    <col min="7178" max="7183" width="18.7265625" style="60" customWidth="1"/>
    <col min="7184" max="7423" width="9.1796875" style="60"/>
    <col min="7424" max="7424" width="4.1796875" style="60" customWidth="1"/>
    <col min="7425" max="7425" width="15.54296875" style="60" bestFit="1" customWidth="1"/>
    <col min="7426" max="7426" width="27.1796875" style="60" customWidth="1"/>
    <col min="7427" max="7427" width="18" style="60" bestFit="1" customWidth="1"/>
    <col min="7428" max="7428" width="18" style="60" customWidth="1"/>
    <col min="7429" max="7429" width="17.7265625" style="60" bestFit="1" customWidth="1"/>
    <col min="7430" max="7432" width="18.7265625" style="60" customWidth="1"/>
    <col min="7433" max="7433" width="20.54296875" style="60" customWidth="1"/>
    <col min="7434" max="7439" width="18.7265625" style="60" customWidth="1"/>
    <col min="7440" max="7679" width="9.1796875" style="60"/>
    <col min="7680" max="7680" width="4.1796875" style="60" customWidth="1"/>
    <col min="7681" max="7681" width="15.54296875" style="60" bestFit="1" customWidth="1"/>
    <col min="7682" max="7682" width="27.1796875" style="60" customWidth="1"/>
    <col min="7683" max="7683" width="18" style="60" bestFit="1" customWidth="1"/>
    <col min="7684" max="7684" width="18" style="60" customWidth="1"/>
    <col min="7685" max="7685" width="17.7265625" style="60" bestFit="1" customWidth="1"/>
    <col min="7686" max="7688" width="18.7265625" style="60" customWidth="1"/>
    <col min="7689" max="7689" width="20.54296875" style="60" customWidth="1"/>
    <col min="7690" max="7695" width="18.7265625" style="60" customWidth="1"/>
    <col min="7696" max="7935" width="9.1796875" style="60"/>
    <col min="7936" max="7936" width="4.1796875" style="60" customWidth="1"/>
    <col min="7937" max="7937" width="15.54296875" style="60" bestFit="1" customWidth="1"/>
    <col min="7938" max="7938" width="27.1796875" style="60" customWidth="1"/>
    <col min="7939" max="7939" width="18" style="60" bestFit="1" customWidth="1"/>
    <col min="7940" max="7940" width="18" style="60" customWidth="1"/>
    <col min="7941" max="7941" width="17.7265625" style="60" bestFit="1" customWidth="1"/>
    <col min="7942" max="7944" width="18.7265625" style="60" customWidth="1"/>
    <col min="7945" max="7945" width="20.54296875" style="60" customWidth="1"/>
    <col min="7946" max="7951" width="18.7265625" style="60" customWidth="1"/>
    <col min="7952" max="8191" width="9.1796875" style="60"/>
    <col min="8192" max="8192" width="4.1796875" style="60" customWidth="1"/>
    <col min="8193" max="8193" width="15.54296875" style="60" bestFit="1" customWidth="1"/>
    <col min="8194" max="8194" width="27.1796875" style="60" customWidth="1"/>
    <col min="8195" max="8195" width="18" style="60" bestFit="1" customWidth="1"/>
    <col min="8196" max="8196" width="18" style="60" customWidth="1"/>
    <col min="8197" max="8197" width="17.7265625" style="60" bestFit="1" customWidth="1"/>
    <col min="8198" max="8200" width="18.7265625" style="60" customWidth="1"/>
    <col min="8201" max="8201" width="20.54296875" style="60" customWidth="1"/>
    <col min="8202" max="8207" width="18.7265625" style="60" customWidth="1"/>
    <col min="8208" max="8447" width="9.1796875" style="60"/>
    <col min="8448" max="8448" width="4.1796875" style="60" customWidth="1"/>
    <col min="8449" max="8449" width="15.54296875" style="60" bestFit="1" customWidth="1"/>
    <col min="8450" max="8450" width="27.1796875" style="60" customWidth="1"/>
    <col min="8451" max="8451" width="18" style="60" bestFit="1" customWidth="1"/>
    <col min="8452" max="8452" width="18" style="60" customWidth="1"/>
    <col min="8453" max="8453" width="17.7265625" style="60" bestFit="1" customWidth="1"/>
    <col min="8454" max="8456" width="18.7265625" style="60" customWidth="1"/>
    <col min="8457" max="8457" width="20.54296875" style="60" customWidth="1"/>
    <col min="8458" max="8463" width="18.7265625" style="60" customWidth="1"/>
    <col min="8464" max="8703" width="9.1796875" style="60"/>
    <col min="8704" max="8704" width="4.1796875" style="60" customWidth="1"/>
    <col min="8705" max="8705" width="15.54296875" style="60" bestFit="1" customWidth="1"/>
    <col min="8706" max="8706" width="27.1796875" style="60" customWidth="1"/>
    <col min="8707" max="8707" width="18" style="60" bestFit="1" customWidth="1"/>
    <col min="8708" max="8708" width="18" style="60" customWidth="1"/>
    <col min="8709" max="8709" width="17.7265625" style="60" bestFit="1" customWidth="1"/>
    <col min="8710" max="8712" width="18.7265625" style="60" customWidth="1"/>
    <col min="8713" max="8713" width="20.54296875" style="60" customWidth="1"/>
    <col min="8714" max="8719" width="18.7265625" style="60" customWidth="1"/>
    <col min="8720" max="8959" width="9.1796875" style="60"/>
    <col min="8960" max="8960" width="4.1796875" style="60" customWidth="1"/>
    <col min="8961" max="8961" width="15.54296875" style="60" bestFit="1" customWidth="1"/>
    <col min="8962" max="8962" width="27.1796875" style="60" customWidth="1"/>
    <col min="8963" max="8963" width="18" style="60" bestFit="1" customWidth="1"/>
    <col min="8964" max="8964" width="18" style="60" customWidth="1"/>
    <col min="8965" max="8965" width="17.7265625" style="60" bestFit="1" customWidth="1"/>
    <col min="8966" max="8968" width="18.7265625" style="60" customWidth="1"/>
    <col min="8969" max="8969" width="20.54296875" style="60" customWidth="1"/>
    <col min="8970" max="8975" width="18.7265625" style="60" customWidth="1"/>
    <col min="8976" max="9215" width="9.1796875" style="60"/>
    <col min="9216" max="9216" width="4.1796875" style="60" customWidth="1"/>
    <col min="9217" max="9217" width="15.54296875" style="60" bestFit="1" customWidth="1"/>
    <col min="9218" max="9218" width="27.1796875" style="60" customWidth="1"/>
    <col min="9219" max="9219" width="18" style="60" bestFit="1" customWidth="1"/>
    <col min="9220" max="9220" width="18" style="60" customWidth="1"/>
    <col min="9221" max="9221" width="17.7265625" style="60" bestFit="1" customWidth="1"/>
    <col min="9222" max="9224" width="18.7265625" style="60" customWidth="1"/>
    <col min="9225" max="9225" width="20.54296875" style="60" customWidth="1"/>
    <col min="9226" max="9231" width="18.7265625" style="60" customWidth="1"/>
    <col min="9232" max="9471" width="9.1796875" style="60"/>
    <col min="9472" max="9472" width="4.1796875" style="60" customWidth="1"/>
    <col min="9473" max="9473" width="15.54296875" style="60" bestFit="1" customWidth="1"/>
    <col min="9474" max="9474" width="27.1796875" style="60" customWidth="1"/>
    <col min="9475" max="9475" width="18" style="60" bestFit="1" customWidth="1"/>
    <col min="9476" max="9476" width="18" style="60" customWidth="1"/>
    <col min="9477" max="9477" width="17.7265625" style="60" bestFit="1" customWidth="1"/>
    <col min="9478" max="9480" width="18.7265625" style="60" customWidth="1"/>
    <col min="9481" max="9481" width="20.54296875" style="60" customWidth="1"/>
    <col min="9482" max="9487" width="18.7265625" style="60" customWidth="1"/>
    <col min="9488" max="9727" width="9.1796875" style="60"/>
    <col min="9728" max="9728" width="4.1796875" style="60" customWidth="1"/>
    <col min="9729" max="9729" width="15.54296875" style="60" bestFit="1" customWidth="1"/>
    <col min="9730" max="9730" width="27.1796875" style="60" customWidth="1"/>
    <col min="9731" max="9731" width="18" style="60" bestFit="1" customWidth="1"/>
    <col min="9732" max="9732" width="18" style="60" customWidth="1"/>
    <col min="9733" max="9733" width="17.7265625" style="60" bestFit="1" customWidth="1"/>
    <col min="9734" max="9736" width="18.7265625" style="60" customWidth="1"/>
    <col min="9737" max="9737" width="20.54296875" style="60" customWidth="1"/>
    <col min="9738" max="9743" width="18.7265625" style="60" customWidth="1"/>
    <col min="9744" max="9983" width="9.1796875" style="60"/>
    <col min="9984" max="9984" width="4.1796875" style="60" customWidth="1"/>
    <col min="9985" max="9985" width="15.54296875" style="60" bestFit="1" customWidth="1"/>
    <col min="9986" max="9986" width="27.1796875" style="60" customWidth="1"/>
    <col min="9987" max="9987" width="18" style="60" bestFit="1" customWidth="1"/>
    <col min="9988" max="9988" width="18" style="60" customWidth="1"/>
    <col min="9989" max="9989" width="17.7265625" style="60" bestFit="1" customWidth="1"/>
    <col min="9990" max="9992" width="18.7265625" style="60" customWidth="1"/>
    <col min="9993" max="9993" width="20.54296875" style="60" customWidth="1"/>
    <col min="9994" max="9999" width="18.7265625" style="60" customWidth="1"/>
    <col min="10000" max="10239" width="9.1796875" style="60"/>
    <col min="10240" max="10240" width="4.1796875" style="60" customWidth="1"/>
    <col min="10241" max="10241" width="15.54296875" style="60" bestFit="1" customWidth="1"/>
    <col min="10242" max="10242" width="27.1796875" style="60" customWidth="1"/>
    <col min="10243" max="10243" width="18" style="60" bestFit="1" customWidth="1"/>
    <col min="10244" max="10244" width="18" style="60" customWidth="1"/>
    <col min="10245" max="10245" width="17.7265625" style="60" bestFit="1" customWidth="1"/>
    <col min="10246" max="10248" width="18.7265625" style="60" customWidth="1"/>
    <col min="10249" max="10249" width="20.54296875" style="60" customWidth="1"/>
    <col min="10250" max="10255" width="18.7265625" style="60" customWidth="1"/>
    <col min="10256" max="10495" width="9.1796875" style="60"/>
    <col min="10496" max="10496" width="4.1796875" style="60" customWidth="1"/>
    <col min="10497" max="10497" width="15.54296875" style="60" bestFit="1" customWidth="1"/>
    <col min="10498" max="10498" width="27.1796875" style="60" customWidth="1"/>
    <col min="10499" max="10499" width="18" style="60" bestFit="1" customWidth="1"/>
    <col min="10500" max="10500" width="18" style="60" customWidth="1"/>
    <col min="10501" max="10501" width="17.7265625" style="60" bestFit="1" customWidth="1"/>
    <col min="10502" max="10504" width="18.7265625" style="60" customWidth="1"/>
    <col min="10505" max="10505" width="20.54296875" style="60" customWidth="1"/>
    <col min="10506" max="10511" width="18.7265625" style="60" customWidth="1"/>
    <col min="10512" max="10751" width="9.1796875" style="60"/>
    <col min="10752" max="10752" width="4.1796875" style="60" customWidth="1"/>
    <col min="10753" max="10753" width="15.54296875" style="60" bestFit="1" customWidth="1"/>
    <col min="10754" max="10754" width="27.1796875" style="60" customWidth="1"/>
    <col min="10755" max="10755" width="18" style="60" bestFit="1" customWidth="1"/>
    <col min="10756" max="10756" width="18" style="60" customWidth="1"/>
    <col min="10757" max="10757" width="17.7265625" style="60" bestFit="1" customWidth="1"/>
    <col min="10758" max="10760" width="18.7265625" style="60" customWidth="1"/>
    <col min="10761" max="10761" width="20.54296875" style="60" customWidth="1"/>
    <col min="10762" max="10767" width="18.7265625" style="60" customWidth="1"/>
    <col min="10768" max="11007" width="9.1796875" style="60"/>
    <col min="11008" max="11008" width="4.1796875" style="60" customWidth="1"/>
    <col min="11009" max="11009" width="15.54296875" style="60" bestFit="1" customWidth="1"/>
    <col min="11010" max="11010" width="27.1796875" style="60" customWidth="1"/>
    <col min="11011" max="11011" width="18" style="60" bestFit="1" customWidth="1"/>
    <col min="11012" max="11012" width="18" style="60" customWidth="1"/>
    <col min="11013" max="11013" width="17.7265625" style="60" bestFit="1" customWidth="1"/>
    <col min="11014" max="11016" width="18.7265625" style="60" customWidth="1"/>
    <col min="11017" max="11017" width="20.54296875" style="60" customWidth="1"/>
    <col min="11018" max="11023" width="18.7265625" style="60" customWidth="1"/>
    <col min="11024" max="11263" width="9.1796875" style="60"/>
    <col min="11264" max="11264" width="4.1796875" style="60" customWidth="1"/>
    <col min="11265" max="11265" width="15.54296875" style="60" bestFit="1" customWidth="1"/>
    <col min="11266" max="11266" width="27.1796875" style="60" customWidth="1"/>
    <col min="11267" max="11267" width="18" style="60" bestFit="1" customWidth="1"/>
    <col min="11268" max="11268" width="18" style="60" customWidth="1"/>
    <col min="11269" max="11269" width="17.7265625" style="60" bestFit="1" customWidth="1"/>
    <col min="11270" max="11272" width="18.7265625" style="60" customWidth="1"/>
    <col min="11273" max="11273" width="20.54296875" style="60" customWidth="1"/>
    <col min="11274" max="11279" width="18.7265625" style="60" customWidth="1"/>
    <col min="11280" max="11519" width="9.1796875" style="60"/>
    <col min="11520" max="11520" width="4.1796875" style="60" customWidth="1"/>
    <col min="11521" max="11521" width="15.54296875" style="60" bestFit="1" customWidth="1"/>
    <col min="11522" max="11522" width="27.1796875" style="60" customWidth="1"/>
    <col min="11523" max="11523" width="18" style="60" bestFit="1" customWidth="1"/>
    <col min="11524" max="11524" width="18" style="60" customWidth="1"/>
    <col min="11525" max="11525" width="17.7265625" style="60" bestFit="1" customWidth="1"/>
    <col min="11526" max="11528" width="18.7265625" style="60" customWidth="1"/>
    <col min="11529" max="11529" width="20.54296875" style="60" customWidth="1"/>
    <col min="11530" max="11535" width="18.7265625" style="60" customWidth="1"/>
    <col min="11536" max="11775" width="9.1796875" style="60"/>
    <col min="11776" max="11776" width="4.1796875" style="60" customWidth="1"/>
    <col min="11777" max="11777" width="15.54296875" style="60" bestFit="1" customWidth="1"/>
    <col min="11778" max="11778" width="27.1796875" style="60" customWidth="1"/>
    <col min="11779" max="11779" width="18" style="60" bestFit="1" customWidth="1"/>
    <col min="11780" max="11780" width="18" style="60" customWidth="1"/>
    <col min="11781" max="11781" width="17.7265625" style="60" bestFit="1" customWidth="1"/>
    <col min="11782" max="11784" width="18.7265625" style="60" customWidth="1"/>
    <col min="11785" max="11785" width="20.54296875" style="60" customWidth="1"/>
    <col min="11786" max="11791" width="18.7265625" style="60" customWidth="1"/>
    <col min="11792" max="12031" width="9.1796875" style="60"/>
    <col min="12032" max="12032" width="4.1796875" style="60" customWidth="1"/>
    <col min="12033" max="12033" width="15.54296875" style="60" bestFit="1" customWidth="1"/>
    <col min="12034" max="12034" width="27.1796875" style="60" customWidth="1"/>
    <col min="12035" max="12035" width="18" style="60" bestFit="1" customWidth="1"/>
    <col min="12036" max="12036" width="18" style="60" customWidth="1"/>
    <col min="12037" max="12037" width="17.7265625" style="60" bestFit="1" customWidth="1"/>
    <col min="12038" max="12040" width="18.7265625" style="60" customWidth="1"/>
    <col min="12041" max="12041" width="20.54296875" style="60" customWidth="1"/>
    <col min="12042" max="12047" width="18.7265625" style="60" customWidth="1"/>
    <col min="12048" max="12287" width="9.1796875" style="60"/>
    <col min="12288" max="12288" width="4.1796875" style="60" customWidth="1"/>
    <col min="12289" max="12289" width="15.54296875" style="60" bestFit="1" customWidth="1"/>
    <col min="12290" max="12290" width="27.1796875" style="60" customWidth="1"/>
    <col min="12291" max="12291" width="18" style="60" bestFit="1" customWidth="1"/>
    <col min="12292" max="12292" width="18" style="60" customWidth="1"/>
    <col min="12293" max="12293" width="17.7265625" style="60" bestFit="1" customWidth="1"/>
    <col min="12294" max="12296" width="18.7265625" style="60" customWidth="1"/>
    <col min="12297" max="12297" width="20.54296875" style="60" customWidth="1"/>
    <col min="12298" max="12303" width="18.7265625" style="60" customWidth="1"/>
    <col min="12304" max="12543" width="9.1796875" style="60"/>
    <col min="12544" max="12544" width="4.1796875" style="60" customWidth="1"/>
    <col min="12545" max="12545" width="15.54296875" style="60" bestFit="1" customWidth="1"/>
    <col min="12546" max="12546" width="27.1796875" style="60" customWidth="1"/>
    <col min="12547" max="12547" width="18" style="60" bestFit="1" customWidth="1"/>
    <col min="12548" max="12548" width="18" style="60" customWidth="1"/>
    <col min="12549" max="12549" width="17.7265625" style="60" bestFit="1" customWidth="1"/>
    <col min="12550" max="12552" width="18.7265625" style="60" customWidth="1"/>
    <col min="12553" max="12553" width="20.54296875" style="60" customWidth="1"/>
    <col min="12554" max="12559" width="18.7265625" style="60" customWidth="1"/>
    <col min="12560" max="12799" width="9.1796875" style="60"/>
    <col min="12800" max="12800" width="4.1796875" style="60" customWidth="1"/>
    <col min="12801" max="12801" width="15.54296875" style="60" bestFit="1" customWidth="1"/>
    <col min="12802" max="12802" width="27.1796875" style="60" customWidth="1"/>
    <col min="12803" max="12803" width="18" style="60" bestFit="1" customWidth="1"/>
    <col min="12804" max="12804" width="18" style="60" customWidth="1"/>
    <col min="12805" max="12805" width="17.7265625" style="60" bestFit="1" customWidth="1"/>
    <col min="12806" max="12808" width="18.7265625" style="60" customWidth="1"/>
    <col min="12809" max="12809" width="20.54296875" style="60" customWidth="1"/>
    <col min="12810" max="12815" width="18.7265625" style="60" customWidth="1"/>
    <col min="12816" max="13055" width="9.1796875" style="60"/>
    <col min="13056" max="13056" width="4.1796875" style="60" customWidth="1"/>
    <col min="13057" max="13057" width="15.54296875" style="60" bestFit="1" customWidth="1"/>
    <col min="13058" max="13058" width="27.1796875" style="60" customWidth="1"/>
    <col min="13059" max="13059" width="18" style="60" bestFit="1" customWidth="1"/>
    <col min="13060" max="13060" width="18" style="60" customWidth="1"/>
    <col min="13061" max="13061" width="17.7265625" style="60" bestFit="1" customWidth="1"/>
    <col min="13062" max="13064" width="18.7265625" style="60" customWidth="1"/>
    <col min="13065" max="13065" width="20.54296875" style="60" customWidth="1"/>
    <col min="13066" max="13071" width="18.7265625" style="60" customWidth="1"/>
    <col min="13072" max="13311" width="9.1796875" style="60"/>
    <col min="13312" max="13312" width="4.1796875" style="60" customWidth="1"/>
    <col min="13313" max="13313" width="15.54296875" style="60" bestFit="1" customWidth="1"/>
    <col min="13314" max="13314" width="27.1796875" style="60" customWidth="1"/>
    <col min="13315" max="13315" width="18" style="60" bestFit="1" customWidth="1"/>
    <col min="13316" max="13316" width="18" style="60" customWidth="1"/>
    <col min="13317" max="13317" width="17.7265625" style="60" bestFit="1" customWidth="1"/>
    <col min="13318" max="13320" width="18.7265625" style="60" customWidth="1"/>
    <col min="13321" max="13321" width="20.54296875" style="60" customWidth="1"/>
    <col min="13322" max="13327" width="18.7265625" style="60" customWidth="1"/>
    <col min="13328" max="13567" width="9.1796875" style="60"/>
    <col min="13568" max="13568" width="4.1796875" style="60" customWidth="1"/>
    <col min="13569" max="13569" width="15.54296875" style="60" bestFit="1" customWidth="1"/>
    <col min="13570" max="13570" width="27.1796875" style="60" customWidth="1"/>
    <col min="13571" max="13571" width="18" style="60" bestFit="1" customWidth="1"/>
    <col min="13572" max="13572" width="18" style="60" customWidth="1"/>
    <col min="13573" max="13573" width="17.7265625" style="60" bestFit="1" customWidth="1"/>
    <col min="13574" max="13576" width="18.7265625" style="60" customWidth="1"/>
    <col min="13577" max="13577" width="20.54296875" style="60" customWidth="1"/>
    <col min="13578" max="13583" width="18.7265625" style="60" customWidth="1"/>
    <col min="13584" max="13823" width="9.1796875" style="60"/>
    <col min="13824" max="13824" width="4.1796875" style="60" customWidth="1"/>
    <col min="13825" max="13825" width="15.54296875" style="60" bestFit="1" customWidth="1"/>
    <col min="13826" max="13826" width="27.1796875" style="60" customWidth="1"/>
    <col min="13827" max="13827" width="18" style="60" bestFit="1" customWidth="1"/>
    <col min="13828" max="13828" width="18" style="60" customWidth="1"/>
    <col min="13829" max="13829" width="17.7265625" style="60" bestFit="1" customWidth="1"/>
    <col min="13830" max="13832" width="18.7265625" style="60" customWidth="1"/>
    <col min="13833" max="13833" width="20.54296875" style="60" customWidth="1"/>
    <col min="13834" max="13839" width="18.7265625" style="60" customWidth="1"/>
    <col min="13840" max="14079" width="9.1796875" style="60"/>
    <col min="14080" max="14080" width="4.1796875" style="60" customWidth="1"/>
    <col min="14081" max="14081" width="15.54296875" style="60" bestFit="1" customWidth="1"/>
    <col min="14082" max="14082" width="27.1796875" style="60" customWidth="1"/>
    <col min="14083" max="14083" width="18" style="60" bestFit="1" customWidth="1"/>
    <col min="14084" max="14084" width="18" style="60" customWidth="1"/>
    <col min="14085" max="14085" width="17.7265625" style="60" bestFit="1" customWidth="1"/>
    <col min="14086" max="14088" width="18.7265625" style="60" customWidth="1"/>
    <col min="14089" max="14089" width="20.54296875" style="60" customWidth="1"/>
    <col min="14090" max="14095" width="18.7265625" style="60" customWidth="1"/>
    <col min="14096" max="14335" width="9.1796875" style="60"/>
    <col min="14336" max="14336" width="4.1796875" style="60" customWidth="1"/>
    <col min="14337" max="14337" width="15.54296875" style="60" bestFit="1" customWidth="1"/>
    <col min="14338" max="14338" width="27.1796875" style="60" customWidth="1"/>
    <col min="14339" max="14339" width="18" style="60" bestFit="1" customWidth="1"/>
    <col min="14340" max="14340" width="18" style="60" customWidth="1"/>
    <col min="14341" max="14341" width="17.7265625" style="60" bestFit="1" customWidth="1"/>
    <col min="14342" max="14344" width="18.7265625" style="60" customWidth="1"/>
    <col min="14345" max="14345" width="20.54296875" style="60" customWidth="1"/>
    <col min="14346" max="14351" width="18.7265625" style="60" customWidth="1"/>
    <col min="14352" max="14591" width="9.1796875" style="60"/>
    <col min="14592" max="14592" width="4.1796875" style="60" customWidth="1"/>
    <col min="14593" max="14593" width="15.54296875" style="60" bestFit="1" customWidth="1"/>
    <col min="14594" max="14594" width="27.1796875" style="60" customWidth="1"/>
    <col min="14595" max="14595" width="18" style="60" bestFit="1" customWidth="1"/>
    <col min="14596" max="14596" width="18" style="60" customWidth="1"/>
    <col min="14597" max="14597" width="17.7265625" style="60" bestFit="1" customWidth="1"/>
    <col min="14598" max="14600" width="18.7265625" style="60" customWidth="1"/>
    <col min="14601" max="14601" width="20.54296875" style="60" customWidth="1"/>
    <col min="14602" max="14607" width="18.7265625" style="60" customWidth="1"/>
    <col min="14608" max="14847" width="9.1796875" style="60"/>
    <col min="14848" max="14848" width="4.1796875" style="60" customWidth="1"/>
    <col min="14849" max="14849" width="15.54296875" style="60" bestFit="1" customWidth="1"/>
    <col min="14850" max="14850" width="27.1796875" style="60" customWidth="1"/>
    <col min="14851" max="14851" width="18" style="60" bestFit="1" customWidth="1"/>
    <col min="14852" max="14852" width="18" style="60" customWidth="1"/>
    <col min="14853" max="14853" width="17.7265625" style="60" bestFit="1" customWidth="1"/>
    <col min="14854" max="14856" width="18.7265625" style="60" customWidth="1"/>
    <col min="14857" max="14857" width="20.54296875" style="60" customWidth="1"/>
    <col min="14858" max="14863" width="18.7265625" style="60" customWidth="1"/>
    <col min="14864" max="15103" width="9.1796875" style="60"/>
    <col min="15104" max="15104" width="4.1796875" style="60" customWidth="1"/>
    <col min="15105" max="15105" width="15.54296875" style="60" bestFit="1" customWidth="1"/>
    <col min="15106" max="15106" width="27.1796875" style="60" customWidth="1"/>
    <col min="15107" max="15107" width="18" style="60" bestFit="1" customWidth="1"/>
    <col min="15108" max="15108" width="18" style="60" customWidth="1"/>
    <col min="15109" max="15109" width="17.7265625" style="60" bestFit="1" customWidth="1"/>
    <col min="15110" max="15112" width="18.7265625" style="60" customWidth="1"/>
    <col min="15113" max="15113" width="20.54296875" style="60" customWidth="1"/>
    <col min="15114" max="15119" width="18.7265625" style="60" customWidth="1"/>
    <col min="15120" max="15359" width="9.1796875" style="60"/>
    <col min="15360" max="15360" width="4.1796875" style="60" customWidth="1"/>
    <col min="15361" max="15361" width="15.54296875" style="60" bestFit="1" customWidth="1"/>
    <col min="15362" max="15362" width="27.1796875" style="60" customWidth="1"/>
    <col min="15363" max="15363" width="18" style="60" bestFit="1" customWidth="1"/>
    <col min="15364" max="15364" width="18" style="60" customWidth="1"/>
    <col min="15365" max="15365" width="17.7265625" style="60" bestFit="1" customWidth="1"/>
    <col min="15366" max="15368" width="18.7265625" style="60" customWidth="1"/>
    <col min="15369" max="15369" width="20.54296875" style="60" customWidth="1"/>
    <col min="15370" max="15375" width="18.7265625" style="60" customWidth="1"/>
    <col min="15376" max="15615" width="9.1796875" style="60"/>
    <col min="15616" max="15616" width="4.1796875" style="60" customWidth="1"/>
    <col min="15617" max="15617" width="15.54296875" style="60" bestFit="1" customWidth="1"/>
    <col min="15618" max="15618" width="27.1796875" style="60" customWidth="1"/>
    <col min="15619" max="15619" width="18" style="60" bestFit="1" customWidth="1"/>
    <col min="15620" max="15620" width="18" style="60" customWidth="1"/>
    <col min="15621" max="15621" width="17.7265625" style="60" bestFit="1" customWidth="1"/>
    <col min="15622" max="15624" width="18.7265625" style="60" customWidth="1"/>
    <col min="15625" max="15625" width="20.54296875" style="60" customWidth="1"/>
    <col min="15626" max="15631" width="18.7265625" style="60" customWidth="1"/>
    <col min="15632" max="15871" width="9.1796875" style="60"/>
    <col min="15872" max="15872" width="4.1796875" style="60" customWidth="1"/>
    <col min="15873" max="15873" width="15.54296875" style="60" bestFit="1" customWidth="1"/>
    <col min="15874" max="15874" width="27.1796875" style="60" customWidth="1"/>
    <col min="15875" max="15875" width="18" style="60" bestFit="1" customWidth="1"/>
    <col min="15876" max="15876" width="18" style="60" customWidth="1"/>
    <col min="15877" max="15877" width="17.7265625" style="60" bestFit="1" customWidth="1"/>
    <col min="15878" max="15880" width="18.7265625" style="60" customWidth="1"/>
    <col min="15881" max="15881" width="20.54296875" style="60" customWidth="1"/>
    <col min="15882" max="15887" width="18.7265625" style="60" customWidth="1"/>
    <col min="15888" max="16127" width="9.1796875" style="60"/>
    <col min="16128" max="16128" width="4.1796875" style="60" customWidth="1"/>
    <col min="16129" max="16129" width="15.54296875" style="60" bestFit="1" customWidth="1"/>
    <col min="16130" max="16130" width="27.1796875" style="60" customWidth="1"/>
    <col min="16131" max="16131" width="18" style="60" bestFit="1" customWidth="1"/>
    <col min="16132" max="16132" width="18" style="60" customWidth="1"/>
    <col min="16133" max="16133" width="17.7265625" style="60" bestFit="1" customWidth="1"/>
    <col min="16134" max="16136" width="18.7265625" style="60" customWidth="1"/>
    <col min="16137" max="16137" width="20.54296875" style="60" customWidth="1"/>
    <col min="16138" max="16143" width="18.7265625" style="60" customWidth="1"/>
    <col min="16144" max="16384" width="9.1796875" style="60"/>
  </cols>
  <sheetData>
    <row r="1" spans="2:14" x14ac:dyDescent="0.25">
      <c r="B1" s="104"/>
    </row>
    <row r="2" spans="2:14" x14ac:dyDescent="0.25">
      <c r="B2" s="105"/>
      <c r="D2" s="105"/>
      <c r="E2" s="105"/>
      <c r="F2" s="134" t="s">
        <v>1027</v>
      </c>
      <c r="G2" s="181"/>
      <c r="H2" s="181"/>
      <c r="I2" s="181"/>
      <c r="J2" s="181"/>
      <c r="K2" s="181"/>
      <c r="L2" s="181"/>
      <c r="M2" s="181"/>
      <c r="N2" s="181"/>
    </row>
    <row r="3" spans="2:14" x14ac:dyDescent="0.25">
      <c r="D3" s="105"/>
      <c r="E3" s="105"/>
      <c r="F3" s="134" t="s">
        <v>826</v>
      </c>
      <c r="G3" s="181"/>
      <c r="H3" s="181"/>
      <c r="I3" s="181"/>
      <c r="J3" s="181"/>
      <c r="K3" s="181"/>
      <c r="L3" s="181"/>
      <c r="M3" s="181"/>
      <c r="N3" s="181"/>
    </row>
    <row r="4" spans="2:14" x14ac:dyDescent="0.25">
      <c r="B4" s="105"/>
      <c r="D4" s="105"/>
      <c r="E4" s="105"/>
      <c r="F4" s="202" t="s">
        <v>498</v>
      </c>
      <c r="G4" s="181"/>
      <c r="H4" s="181"/>
      <c r="I4" s="181"/>
      <c r="J4" s="181"/>
      <c r="K4" s="181"/>
      <c r="L4" s="181"/>
      <c r="M4" s="181"/>
      <c r="N4" s="181"/>
    </row>
    <row r="5" spans="2:14" x14ac:dyDescent="0.25">
      <c r="C5" s="182"/>
      <c r="D5" s="182"/>
      <c r="E5" s="182"/>
    </row>
    <row r="6" spans="2:14" x14ac:dyDescent="0.25">
      <c r="C6" s="182"/>
      <c r="D6" s="182"/>
      <c r="E6" s="182"/>
    </row>
    <row r="7" spans="2:14" x14ac:dyDescent="0.25">
      <c r="C7" s="182"/>
      <c r="D7" s="182"/>
      <c r="E7" s="182"/>
    </row>
    <row r="8" spans="2:14" x14ac:dyDescent="0.25">
      <c r="C8" s="182" t="s">
        <v>354</v>
      </c>
      <c r="D8" s="182"/>
      <c r="E8" s="182"/>
    </row>
    <row r="9" spans="2:14" hidden="1" x14ac:dyDescent="0.25">
      <c r="C9" s="182"/>
      <c r="D9" s="182"/>
      <c r="E9" s="182"/>
    </row>
    <row r="10" spans="2:14" x14ac:dyDescent="0.25">
      <c r="E10" s="182"/>
      <c r="F10" s="182"/>
      <c r="G10" s="2449" t="s">
        <v>335</v>
      </c>
      <c r="H10" s="2449"/>
    </row>
    <row r="11" spans="2:14" ht="14.5" customHeight="1" x14ac:dyDescent="0.25">
      <c r="C11" s="2442" t="s">
        <v>279</v>
      </c>
      <c r="D11" s="1761" t="s">
        <v>1745</v>
      </c>
      <c r="E11" s="2444" t="s">
        <v>428</v>
      </c>
      <c r="F11" s="2445"/>
      <c r="G11" s="2203" t="s">
        <v>429</v>
      </c>
      <c r="H11" s="2204"/>
    </row>
    <row r="12" spans="2:14" ht="29" x14ac:dyDescent="0.25">
      <c r="C12" s="2443"/>
      <c r="D12" s="1650" t="s">
        <v>1837</v>
      </c>
      <c r="E12" s="303" t="s">
        <v>885</v>
      </c>
      <c r="F12" s="333" t="s">
        <v>824</v>
      </c>
      <c r="G12" s="316" t="s">
        <v>885</v>
      </c>
      <c r="H12" s="333" t="s">
        <v>824</v>
      </c>
    </row>
    <row r="13" spans="2:14" ht="14.5" x14ac:dyDescent="0.25">
      <c r="C13" s="177" t="s">
        <v>293</v>
      </c>
      <c r="D13" s="177"/>
      <c r="E13" s="1231"/>
      <c r="F13" s="1232"/>
      <c r="G13" s="1231"/>
      <c r="H13" s="1232"/>
    </row>
    <row r="14" spans="2:14" ht="15.5" x14ac:dyDescent="0.35">
      <c r="C14" s="367" t="s">
        <v>953</v>
      </c>
      <c r="D14" s="1763">
        <f ca="1">F13.1!V61</f>
        <v>0.70432653834675218</v>
      </c>
      <c r="E14" s="1407">
        <v>0.98</v>
      </c>
      <c r="F14" s="1408">
        <f ca="1">F14.1!U14</f>
        <v>0.78594492983592001</v>
      </c>
      <c r="G14" s="1407">
        <v>0.94</v>
      </c>
      <c r="H14" s="1408">
        <f ca="1">F14.2!U14</f>
        <v>0.93141622129064272</v>
      </c>
      <c r="J14" s="1759"/>
    </row>
    <row r="15" spans="2:14" ht="15.5" x14ac:dyDescent="0.35">
      <c r="C15" s="367" t="s">
        <v>954</v>
      </c>
      <c r="D15" s="1763">
        <f ca="1">F13.1!V62</f>
        <v>0.82150570210775054</v>
      </c>
      <c r="E15" s="1407">
        <v>1.0900000000000001</v>
      </c>
      <c r="F15" s="1408">
        <f ca="1">F14.1!U15</f>
        <v>0.91245541197211621</v>
      </c>
      <c r="G15" s="1409">
        <v>1.04</v>
      </c>
      <c r="H15" s="1408">
        <f ca="1">F14.2!U15</f>
        <v>1.0834406313999425</v>
      </c>
      <c r="J15" s="1759"/>
    </row>
    <row r="16" spans="2:14" ht="15.5" x14ac:dyDescent="0.35">
      <c r="C16" s="367" t="s">
        <v>955</v>
      </c>
      <c r="D16" s="1763">
        <f ca="1">F13.1!V63</f>
        <v>0.69287752417069903</v>
      </c>
      <c r="E16" s="1407">
        <v>1</v>
      </c>
      <c r="F16" s="1408">
        <f ca="1">F14.1!U16</f>
        <v>0.78996364143658027</v>
      </c>
      <c r="G16" s="1409">
        <v>0.97</v>
      </c>
      <c r="H16" s="1408">
        <f ca="1">F14.2!U16</f>
        <v>0.93801350768551128</v>
      </c>
      <c r="J16" s="1759"/>
    </row>
    <row r="17" spans="3:10" ht="15.5" x14ac:dyDescent="0.35">
      <c r="C17" s="367" t="s">
        <v>956</v>
      </c>
      <c r="D17" s="1763">
        <f ca="1">F13.1!V64</f>
        <v>0.96403923103968903</v>
      </c>
      <c r="E17" s="1407">
        <v>1.07</v>
      </c>
      <c r="F17" s="1408">
        <f ca="1">F14.1!U17</f>
        <v>1.1737754782621721</v>
      </c>
      <c r="G17" s="1409">
        <v>1.04</v>
      </c>
      <c r="H17" s="1408">
        <f ca="1">F14.2!U17</f>
        <v>1.4037983482737904</v>
      </c>
      <c r="J17" s="1759"/>
    </row>
    <row r="18" spans="3:10" ht="15.5" x14ac:dyDescent="0.35">
      <c r="C18" s="367" t="s">
        <v>957</v>
      </c>
      <c r="D18" s="1763">
        <f ca="1">F13.1!V65</f>
        <v>0.68211998496665471</v>
      </c>
      <c r="E18" s="1407">
        <v>0.96</v>
      </c>
      <c r="F18" s="1408">
        <f ca="1">F14.1!U18</f>
        <v>0.76687991748229001</v>
      </c>
      <c r="G18" s="1409">
        <v>0.93</v>
      </c>
      <c r="H18" s="1408">
        <f ca="1">F14.2!U18</f>
        <v>0.91404768017612537</v>
      </c>
      <c r="J18" s="1759"/>
    </row>
    <row r="19" spans="3:10" ht="15.5" x14ac:dyDescent="0.35">
      <c r="C19" s="367" t="s">
        <v>958</v>
      </c>
      <c r="D19" s="1763">
        <f ca="1">F13.1!V66</f>
        <v>0.74562732810034227</v>
      </c>
      <c r="E19" s="1407">
        <v>1.07</v>
      </c>
      <c r="F19" s="1408">
        <f ca="1">F14.1!U19</f>
        <v>0.85098284428650173</v>
      </c>
      <c r="G19" s="1409">
        <v>1.05</v>
      </c>
      <c r="H19" s="1408">
        <f ca="1">F14.2!U19</f>
        <v>1.0092150194886929</v>
      </c>
      <c r="J19" s="1759"/>
    </row>
    <row r="20" spans="3:10" ht="15.5" x14ac:dyDescent="0.35">
      <c r="C20" s="367" t="s">
        <v>959</v>
      </c>
      <c r="D20" s="1763">
        <f>F13.1!V67</f>
        <v>0</v>
      </c>
      <c r="E20" s="1407">
        <v>0</v>
      </c>
      <c r="F20" s="1408">
        <f ca="1">F14.1!U20</f>
        <v>0</v>
      </c>
      <c r="G20" s="1409">
        <v>0</v>
      </c>
      <c r="H20" s="1408">
        <f ca="1">F14.2!U20</f>
        <v>0</v>
      </c>
      <c r="J20" s="1759"/>
    </row>
    <row r="21" spans="3:10" x14ac:dyDescent="0.25">
      <c r="C21" s="366"/>
      <c r="D21" s="366"/>
      <c r="E21" s="1407"/>
      <c r="F21" s="1407"/>
      <c r="G21" s="1407"/>
      <c r="H21" s="1407"/>
    </row>
    <row r="22" spans="3:10" x14ac:dyDescent="0.25">
      <c r="C22" s="177" t="s">
        <v>972</v>
      </c>
      <c r="D22" s="177"/>
      <c r="E22" s="1407"/>
      <c r="F22" s="1407"/>
      <c r="G22" s="1407"/>
      <c r="H22" s="1407"/>
    </row>
    <row r="23" spans="3:10" x14ac:dyDescent="0.25">
      <c r="C23" s="76"/>
      <c r="D23" s="76"/>
      <c r="E23" s="1407"/>
      <c r="F23" s="1407"/>
      <c r="G23" s="1407"/>
      <c r="H23" s="1407"/>
    </row>
    <row r="24" spans="3:10" x14ac:dyDescent="0.25">
      <c r="C24" s="177" t="s">
        <v>294</v>
      </c>
      <c r="D24" s="177"/>
      <c r="E24" s="1407"/>
      <c r="F24" s="1407"/>
      <c r="G24" s="1407"/>
      <c r="H24" s="1407"/>
    </row>
    <row r="25" spans="3:10" x14ac:dyDescent="0.25">
      <c r="C25" s="76"/>
      <c r="D25" s="76"/>
      <c r="E25" s="1407"/>
      <c r="F25" s="1407"/>
      <c r="G25" s="1407"/>
      <c r="H25" s="1407"/>
    </row>
    <row r="26" spans="3:10" ht="15.5" x14ac:dyDescent="0.25">
      <c r="C26" s="368" t="s">
        <v>960</v>
      </c>
      <c r="D26" s="1764">
        <f ca="1">F13.1!$V$72</f>
        <v>0.32621942709091056</v>
      </c>
      <c r="E26" s="1407">
        <v>0.39131036814721032</v>
      </c>
      <c r="F26" s="1408">
        <f ca="1">F14.1!U26</f>
        <v>0.33461325736304892</v>
      </c>
      <c r="G26" s="1409">
        <v>0.38005818108323342</v>
      </c>
      <c r="H26" s="1408">
        <f ca="1">F14.2!U26</f>
        <v>0.41449585273761297</v>
      </c>
      <c r="J26" s="1759"/>
    </row>
    <row r="27" spans="3:10" ht="15.5" x14ac:dyDescent="0.35">
      <c r="C27" s="367" t="s">
        <v>1567</v>
      </c>
      <c r="D27" s="2446">
        <f ca="1">F13.1!V74</f>
        <v>0.65062189179252516</v>
      </c>
      <c r="E27" s="1407">
        <v>0.91307287315446117</v>
      </c>
      <c r="F27" s="1408">
        <f ca="1">F14.1!U28</f>
        <v>0.42752622388197015</v>
      </c>
      <c r="G27" s="1409">
        <v>0.89007352669561124</v>
      </c>
      <c r="H27" s="1408">
        <f ca="1">F14.2!U28</f>
        <v>0.5262678103216003</v>
      </c>
      <c r="J27" s="1795"/>
    </row>
    <row r="28" spans="3:10" ht="15.5" x14ac:dyDescent="0.35">
      <c r="C28" s="367" t="s">
        <v>1543</v>
      </c>
      <c r="D28" s="2447"/>
      <c r="E28" s="1407">
        <v>0.51112799633876604</v>
      </c>
      <c r="F28" s="1408">
        <f ca="1">F14.1!U29</f>
        <v>0.72281725591203916</v>
      </c>
      <c r="G28" s="1409">
        <v>0.50004652612108846</v>
      </c>
      <c r="H28" s="1408">
        <f ca="1">F14.2!U29</f>
        <v>0.87050588851468258</v>
      </c>
      <c r="J28" s="1795"/>
    </row>
    <row r="29" spans="3:10" ht="15.5" x14ac:dyDescent="0.35">
      <c r="C29" s="367" t="s">
        <v>1544</v>
      </c>
      <c r="D29" s="2447"/>
      <c r="E29" s="1407">
        <v>0.93035787999995567</v>
      </c>
      <c r="F29" s="1408">
        <f ca="1">F14.1!U30</f>
        <v>0.95057890719776195</v>
      </c>
      <c r="G29" s="1409">
        <v>0.90798998650201512</v>
      </c>
      <c r="H29" s="1408">
        <f ca="1">F14.2!U30</f>
        <v>1.1340404558405579</v>
      </c>
      <c r="J29" s="1795"/>
    </row>
    <row r="30" spans="3:10" ht="15.5" x14ac:dyDescent="0.35">
      <c r="C30" s="367" t="s">
        <v>1545</v>
      </c>
      <c r="D30" s="2448"/>
      <c r="E30" s="1407">
        <v>1.270966789008624</v>
      </c>
      <c r="F30" s="1408">
        <f ca="1">F14.1!U31</f>
        <v>1.0829555551826928</v>
      </c>
      <c r="G30" s="1409">
        <v>1.2363665309991971</v>
      </c>
      <c r="H30" s="1408">
        <f ca="1">F14.2!U31</f>
        <v>1.2873267391173335</v>
      </c>
      <c r="J30" s="1796"/>
    </row>
    <row r="31" spans="3:10" ht="15.5" x14ac:dyDescent="0.35">
      <c r="C31" s="367" t="s">
        <v>973</v>
      </c>
      <c r="D31" s="1762">
        <f ca="1">F13.1!V78</f>
        <v>0.78643201300417942</v>
      </c>
      <c r="E31" s="1407">
        <v>1.4620615844027529</v>
      </c>
      <c r="F31" s="1408">
        <f ca="1">F14.1!U32</f>
        <v>0.86489449659150053</v>
      </c>
      <c r="G31" s="1409">
        <v>1.4212847909097535</v>
      </c>
      <c r="H31" s="1408">
        <f ca="1">F14.2!U32</f>
        <v>1.0371260979507391</v>
      </c>
      <c r="J31" s="1795"/>
    </row>
    <row r="32" spans="3:10" ht="15.5" x14ac:dyDescent="0.35">
      <c r="C32" s="367" t="s">
        <v>974</v>
      </c>
      <c r="D32" s="1762">
        <f ca="1">F13.1!V79</f>
        <v>0.99553792371443217</v>
      </c>
      <c r="E32" s="1407">
        <v>1.1027511981026317</v>
      </c>
      <c r="F32" s="1408">
        <f ca="1">F14.1!U33</f>
        <v>1.2974052357762074</v>
      </c>
      <c r="G32" s="1409">
        <v>1.0705454214447241</v>
      </c>
      <c r="H32" s="1408">
        <f ca="1">F14.2!U33</f>
        <v>1.5827320457328062</v>
      </c>
      <c r="J32" s="1795"/>
    </row>
    <row r="33" spans="2:12" ht="15.5" x14ac:dyDescent="0.35">
      <c r="C33" s="367" t="s">
        <v>975</v>
      </c>
      <c r="D33" s="1762">
        <f ca="1">F13.1!V80</f>
        <v>1.0117706879982258</v>
      </c>
      <c r="E33" s="1407">
        <v>1.2571620450624936</v>
      </c>
      <c r="F33" s="1408">
        <f ca="1">F14.1!U34</f>
        <v>1.3126265241249342</v>
      </c>
      <c r="G33" s="1409">
        <v>1.2432832718226154</v>
      </c>
      <c r="H33" s="1408">
        <f ca="1">F14.2!U34</f>
        <v>1.5911671664286648</v>
      </c>
      <c r="J33" s="1795"/>
    </row>
    <row r="34" spans="2:12" ht="15.5" x14ac:dyDescent="0.35">
      <c r="C34" s="367" t="s">
        <v>965</v>
      </c>
      <c r="D34" s="1762">
        <f ca="1">F13.1!V81</f>
        <v>0.64801166424111123</v>
      </c>
      <c r="E34" s="1407">
        <v>0.96836098123024561</v>
      </c>
      <c r="F34" s="1408">
        <f ca="1">F14.1!U35</f>
        <v>0.68498554884742469</v>
      </c>
      <c r="G34" s="1409">
        <v>0.94050499403564358</v>
      </c>
      <c r="H34" s="1408">
        <f ca="1">F14.2!U35</f>
        <v>0.82622295113744482</v>
      </c>
      <c r="J34" s="1795"/>
    </row>
    <row r="35" spans="2:12" ht="15.5" x14ac:dyDescent="0.35">
      <c r="C35" s="367" t="s">
        <v>976</v>
      </c>
      <c r="D35" s="1762">
        <f ca="1">F13.1!V82</f>
        <v>0.85972702058647388</v>
      </c>
      <c r="E35" s="1407">
        <v>1.1550217035591535</v>
      </c>
      <c r="F35" s="1408">
        <f ca="1">F14.1!U36</f>
        <v>1.0694780881997077</v>
      </c>
      <c r="G35" s="1409">
        <v>1.132338120709969</v>
      </c>
      <c r="H35" s="1408">
        <f ca="1">F14.2!U36</f>
        <v>1.3001557880018646</v>
      </c>
      <c r="J35" s="1795"/>
    </row>
    <row r="36" spans="2:12" ht="15.5" x14ac:dyDescent="0.35">
      <c r="C36" s="367" t="s">
        <v>967</v>
      </c>
      <c r="D36" s="1762">
        <f ca="1">F13.1!V83</f>
        <v>0.65319537956524221</v>
      </c>
      <c r="E36" s="1407">
        <v>0.91718281717364425</v>
      </c>
      <c r="F36" s="1408">
        <f ca="1">F14.1!U37</f>
        <v>0.70573744331549815</v>
      </c>
      <c r="G36" s="1409">
        <v>0.88291838474415096</v>
      </c>
      <c r="H36" s="1408">
        <f ca="1">F14.2!U37</f>
        <v>0.85337848089267809</v>
      </c>
      <c r="J36" s="1795"/>
    </row>
    <row r="37" spans="2:12" ht="15.5" x14ac:dyDescent="0.35">
      <c r="C37" s="367" t="s">
        <v>968</v>
      </c>
      <c r="D37" s="1762">
        <f ca="1">F13.1!V84</f>
        <v>0.66569234084408235</v>
      </c>
      <c r="E37" s="1407">
        <v>0.93358513836129919</v>
      </c>
      <c r="F37" s="1408">
        <f ca="1">F14.1!U38</f>
        <v>0.72338251044818624</v>
      </c>
      <c r="G37" s="1409">
        <v>0.90041270829578268</v>
      </c>
      <c r="H37" s="1408">
        <f ca="1">F14.2!U38</f>
        <v>0.86900021026336849</v>
      </c>
      <c r="J37" s="1795"/>
    </row>
    <row r="38" spans="2:12" ht="15.5" x14ac:dyDescent="0.35">
      <c r="C38" s="367" t="s">
        <v>1546</v>
      </c>
      <c r="D38" s="367"/>
      <c r="E38" s="1407">
        <v>0</v>
      </c>
      <c r="F38" s="1408">
        <f ca="1">F14.1!U39</f>
        <v>0</v>
      </c>
      <c r="G38" s="1409">
        <v>0</v>
      </c>
      <c r="H38" s="1408">
        <f ca="1">F14.2!U39</f>
        <v>0</v>
      </c>
      <c r="J38" s="1797"/>
    </row>
    <row r="39" spans="2:12" ht="15.5" x14ac:dyDescent="0.35">
      <c r="C39" s="367" t="s">
        <v>991</v>
      </c>
      <c r="D39" s="1762">
        <f ca="1">F13.1!V86</f>
        <v>0.53497658890508015</v>
      </c>
      <c r="E39" s="1407">
        <v>0</v>
      </c>
      <c r="F39" s="1408">
        <f ca="1">F14.1!U40</f>
        <v>0.54713600729900946</v>
      </c>
      <c r="G39" s="1409">
        <v>0</v>
      </c>
      <c r="H39" s="1408">
        <f ca="1">F14.2!U40</f>
        <v>0.65863013295776895</v>
      </c>
      <c r="J39" s="1795"/>
    </row>
    <row r="40" spans="2:12" ht="15.5" x14ac:dyDescent="0.35">
      <c r="C40" s="370" t="s">
        <v>977</v>
      </c>
      <c r="D40" s="1765">
        <f ca="1">F13.1!V87</f>
        <v>0.55953378290036093</v>
      </c>
      <c r="E40" s="1407">
        <v>0.77636821143659351</v>
      </c>
      <c r="F40" s="1408">
        <f ca="1">F14.1!U41</f>
        <v>0.56917535931666685</v>
      </c>
      <c r="G40" s="1409">
        <v>0.75400692804879488</v>
      </c>
      <c r="H40" s="1408">
        <f ca="1">F14.2!U41</f>
        <v>0.68307340589270571</v>
      </c>
      <c r="J40" s="1796"/>
    </row>
    <row r="41" spans="2:12" ht="14.5" x14ac:dyDescent="0.25">
      <c r="C41" s="183" t="s">
        <v>593</v>
      </c>
      <c r="D41" s="183"/>
      <c r="E41" s="223"/>
      <c r="F41" s="184"/>
      <c r="G41" s="184"/>
      <c r="H41" s="184"/>
      <c r="I41" s="184"/>
    </row>
    <row r="42" spans="2:12" ht="14.5" x14ac:dyDescent="0.25">
      <c r="C42" s="183"/>
      <c r="D42" s="223"/>
      <c r="E42" s="184"/>
      <c r="F42" s="184"/>
      <c r="G42" s="184"/>
      <c r="H42" s="184"/>
    </row>
    <row r="44" spans="2:12" x14ac:dyDescent="0.25">
      <c r="B44" s="45" t="s">
        <v>428</v>
      </c>
    </row>
    <row r="45" spans="2:12" ht="33" customHeight="1" x14ac:dyDescent="0.25">
      <c r="B45" s="2451" t="s">
        <v>279</v>
      </c>
      <c r="C45" s="2450" t="s">
        <v>379</v>
      </c>
      <c r="D45" s="2450" t="s">
        <v>371</v>
      </c>
      <c r="E45" s="2450"/>
      <c r="F45" s="2450"/>
      <c r="G45" s="2450" t="s">
        <v>380</v>
      </c>
      <c r="H45" s="2450"/>
      <c r="I45" s="2450"/>
      <c r="J45" s="2450" t="s">
        <v>381</v>
      </c>
      <c r="K45" s="2450" t="s">
        <v>382</v>
      </c>
    </row>
    <row r="46" spans="2:12" ht="28" x14ac:dyDescent="0.25">
      <c r="B46" s="2451"/>
      <c r="C46" s="2450"/>
      <c r="D46" s="303" t="s">
        <v>383</v>
      </c>
      <c r="E46" s="303" t="s">
        <v>384</v>
      </c>
      <c r="F46" s="303" t="s">
        <v>385</v>
      </c>
      <c r="G46" s="303" t="s">
        <v>383</v>
      </c>
      <c r="H46" s="303" t="s">
        <v>384</v>
      </c>
      <c r="I46" s="303" t="s">
        <v>385</v>
      </c>
      <c r="J46" s="2450"/>
      <c r="K46" s="2450"/>
    </row>
    <row r="47" spans="2:12" x14ac:dyDescent="0.25">
      <c r="B47" s="304" t="s">
        <v>293</v>
      </c>
      <c r="C47" s="1184"/>
      <c r="D47" s="390">
        <f ca="1">F13.2!U22</f>
        <v>7.7733813300340504</v>
      </c>
      <c r="E47" s="438"/>
      <c r="F47" s="438">
        <f ca="1">F14.1!T22</f>
        <v>9.3540014251076968</v>
      </c>
      <c r="G47" s="399">
        <f ca="1">F13.2!V22</f>
        <v>0.86186858432486635</v>
      </c>
      <c r="H47" s="399"/>
      <c r="I47" s="399">
        <f ca="1">F14.1!U22</f>
        <v>0.8462942632634326</v>
      </c>
      <c r="J47" s="2439" t="s">
        <v>1570</v>
      </c>
      <c r="K47" s="1760">
        <f ca="1">F47/D47-1</f>
        <v>0.20333752172514652</v>
      </c>
      <c r="L47" s="496"/>
    </row>
    <row r="48" spans="2:12" x14ac:dyDescent="0.25">
      <c r="B48" s="305" t="s">
        <v>294</v>
      </c>
      <c r="C48" s="353"/>
      <c r="D48" s="353">
        <f ca="1">F13.2!U43</f>
        <v>7.6190028869471762</v>
      </c>
      <c r="E48" s="353"/>
      <c r="F48" s="353">
        <f ca="1">F14.1!T43</f>
        <v>9.1735123223761601</v>
      </c>
      <c r="G48" s="399">
        <f ca="1">F13.2!V43</f>
        <v>0.84475197514997868</v>
      </c>
      <c r="H48" s="399"/>
      <c r="I48" s="399">
        <f ca="1">F14.1!U43</f>
        <v>0.82996468565472425</v>
      </c>
      <c r="J48" s="2440"/>
      <c r="K48" s="1760">
        <f ca="1">F48/D48-1</f>
        <v>0.20403056128147146</v>
      </c>
      <c r="L48" s="496"/>
    </row>
    <row r="49" spans="1:12" x14ac:dyDescent="0.25">
      <c r="B49" s="304" t="s">
        <v>396</v>
      </c>
      <c r="C49" s="1353">
        <f ca="1">F14.1!U54</f>
        <v>11.05289475676855</v>
      </c>
      <c r="D49" s="390">
        <f ca="1">F13.2!U45</f>
        <v>7.640764366602375</v>
      </c>
      <c r="E49" s="438"/>
      <c r="F49" s="353">
        <f ca="1">F14.1!T45</f>
        <v>9.1989544103940268</v>
      </c>
      <c r="G49" s="399">
        <f ca="1">F13.2!V45</f>
        <v>0.84716476501155091</v>
      </c>
      <c r="H49" s="399"/>
      <c r="I49" s="399">
        <f ca="1">F14.1!U45</f>
        <v>0.83226653404627682</v>
      </c>
      <c r="J49" s="2441"/>
      <c r="K49" s="1760">
        <f ca="1">F49/D49-1</f>
        <v>0.20393117350961232</v>
      </c>
      <c r="L49" s="496"/>
    </row>
    <row r="50" spans="1:12" x14ac:dyDescent="0.25">
      <c r="C50" s="496"/>
      <c r="D50" s="496"/>
      <c r="E50" s="496"/>
      <c r="F50" s="496"/>
      <c r="G50" s="496"/>
      <c r="H50" s="496"/>
      <c r="I50" s="496"/>
      <c r="J50" s="496"/>
      <c r="K50" s="496"/>
    </row>
    <row r="51" spans="1:12" x14ac:dyDescent="0.25">
      <c r="C51" s="496"/>
      <c r="D51" s="496"/>
      <c r="E51" s="496"/>
      <c r="F51" s="496"/>
      <c r="G51" s="496"/>
      <c r="H51" s="496"/>
      <c r="I51" s="496"/>
      <c r="J51" s="496"/>
      <c r="K51" s="496"/>
    </row>
    <row r="52" spans="1:12" ht="14.5" x14ac:dyDescent="0.25">
      <c r="A52" s="790"/>
      <c r="C52" s="496"/>
      <c r="D52" s="496"/>
      <c r="E52" s="496"/>
      <c r="F52" s="496"/>
      <c r="G52" s="496"/>
      <c r="H52" s="496"/>
      <c r="I52" s="496"/>
      <c r="J52" s="496"/>
      <c r="K52" s="496"/>
    </row>
    <row r="53" spans="1:12" x14ac:dyDescent="0.25">
      <c r="B53" s="45" t="s">
        <v>429</v>
      </c>
      <c r="C53" s="496"/>
      <c r="D53" s="496"/>
      <c r="E53" s="496"/>
      <c r="F53" s="496"/>
      <c r="G53" s="496"/>
      <c r="H53" s="496"/>
      <c r="I53" s="496"/>
      <c r="J53" s="496"/>
      <c r="K53" s="496"/>
    </row>
    <row r="54" spans="1:12" x14ac:dyDescent="0.25">
      <c r="B54" s="2451" t="s">
        <v>279</v>
      </c>
      <c r="C54" s="2438" t="s">
        <v>379</v>
      </c>
      <c r="D54" s="2438" t="s">
        <v>371</v>
      </c>
      <c r="E54" s="2438"/>
      <c r="F54" s="2438"/>
      <c r="G54" s="2438" t="s">
        <v>380</v>
      </c>
      <c r="H54" s="2438"/>
      <c r="I54" s="2438"/>
      <c r="J54" s="2438" t="s">
        <v>381</v>
      </c>
      <c r="K54" s="2438" t="s">
        <v>382</v>
      </c>
    </row>
    <row r="55" spans="1:12" ht="28" x14ac:dyDescent="0.25">
      <c r="B55" s="2451"/>
      <c r="C55" s="2438"/>
      <c r="D55" s="1410" t="s">
        <v>383</v>
      </c>
      <c r="E55" s="1410" t="s">
        <v>384</v>
      </c>
      <c r="F55" s="1410" t="s">
        <v>385</v>
      </c>
      <c r="G55" s="1410" t="s">
        <v>383</v>
      </c>
      <c r="H55" s="1410" t="s">
        <v>384</v>
      </c>
      <c r="I55" s="1410" t="s">
        <v>385</v>
      </c>
      <c r="J55" s="2438"/>
      <c r="K55" s="2438"/>
    </row>
    <row r="56" spans="1:12" x14ac:dyDescent="0.25">
      <c r="B56" s="304" t="s">
        <v>293</v>
      </c>
      <c r="C56" s="1353"/>
      <c r="D56" s="438">
        <f>F13.3!U22</f>
        <v>7.7703541904797016</v>
      </c>
      <c r="E56" s="438"/>
      <c r="F56" s="438">
        <f ca="1">F14.2!T22</f>
        <v>9.5703397950249656</v>
      </c>
      <c r="G56" s="1412">
        <f ca="1">F13.3!V22</f>
        <v>1.0099503816064341</v>
      </c>
      <c r="H56" s="1412"/>
      <c r="I56" s="1412">
        <f ca="1">F14.2!U22</f>
        <v>1.0041850383007991</v>
      </c>
      <c r="J56" s="2439" t="s">
        <v>1570</v>
      </c>
      <c r="K56" s="1760">
        <f ca="1">F56/D56-1</f>
        <v>0.23164781944568502</v>
      </c>
    </row>
    <row r="57" spans="1:12" x14ac:dyDescent="0.25">
      <c r="B57" s="305" t="s">
        <v>294</v>
      </c>
      <c r="C57" s="353"/>
      <c r="D57" s="353">
        <f>F13.3!U43</f>
        <v>7.6724720637318971</v>
      </c>
      <c r="E57" s="353"/>
      <c r="F57" s="353">
        <f ca="1">F14.2!T43</f>
        <v>9.5233192892531697</v>
      </c>
      <c r="G57" s="399">
        <f ca="1">F13.3!V43</f>
        <v>0.99722816987218477</v>
      </c>
      <c r="H57" s="399"/>
      <c r="I57" s="399">
        <f ca="1">F14.2!U43</f>
        <v>0.9992513275443724</v>
      </c>
      <c r="J57" s="2440"/>
      <c r="K57" s="1760">
        <f ca="1">F57/D57-1</f>
        <v>0.24123218828913129</v>
      </c>
    </row>
    <row r="58" spans="1:12" x14ac:dyDescent="0.25">
      <c r="B58" s="304" t="s">
        <v>396</v>
      </c>
      <c r="C58" s="1353">
        <f ca="1">F14.2!U54</f>
        <v>9.5304544780104692</v>
      </c>
      <c r="D58" s="353">
        <f>F13.3!U45</f>
        <v>7.6861410827949586</v>
      </c>
      <c r="E58" s="438"/>
      <c r="F58" s="353">
        <f ca="1">F14.2!T45</f>
        <v>9.5298855972309831</v>
      </c>
      <c r="G58" s="399">
        <f ca="1">F13.3!V45</f>
        <v>0.99900479815456589</v>
      </c>
      <c r="H58" s="1412"/>
      <c r="I58" s="399">
        <f ca="1">F14.2!U45</f>
        <v>0.99994030916565435</v>
      </c>
      <c r="J58" s="2441"/>
      <c r="K58" s="1760">
        <f ca="1">F58/D58-1</f>
        <v>0.23987908816338988</v>
      </c>
    </row>
    <row r="60" spans="1:12" x14ac:dyDescent="0.25">
      <c r="I60" s="1759"/>
    </row>
    <row r="61" spans="1:12" x14ac:dyDescent="0.25">
      <c r="I61" s="1759"/>
    </row>
    <row r="62" spans="1:12" x14ac:dyDescent="0.25">
      <c r="I62" s="1759"/>
    </row>
  </sheetData>
  <mergeCells count="19">
    <mergeCell ref="B54:B55"/>
    <mergeCell ref="C54:C55"/>
    <mergeCell ref="D54:F54"/>
    <mergeCell ref="G54:I54"/>
    <mergeCell ref="J54:J55"/>
    <mergeCell ref="G10:H10"/>
    <mergeCell ref="K45:K46"/>
    <mergeCell ref="G45:I45"/>
    <mergeCell ref="J45:J46"/>
    <mergeCell ref="B45:B46"/>
    <mergeCell ref="C45:C46"/>
    <mergeCell ref="D45:F45"/>
    <mergeCell ref="K54:K55"/>
    <mergeCell ref="J47:J49"/>
    <mergeCell ref="J56:J58"/>
    <mergeCell ref="G11:H11"/>
    <mergeCell ref="C11:C12"/>
    <mergeCell ref="E11:F11"/>
    <mergeCell ref="D27:D30"/>
  </mergeCells>
  <conditionalFormatting sqref="I14:I40">
    <cfRule type="containsText" dxfId="0" priority="1" operator="containsText" text="NO">
      <formula>NOT(ISERROR(SEARCH("NO",I14)))</formula>
    </cfRule>
  </conditionalFormatting>
  <pageMargins left="1.0236220472440944" right="0.23622047244094491" top="0.98425196850393704" bottom="0.98425196850393704" header="0.23622047244094491" footer="0.23622047244094491"/>
  <pageSetup paperSize="9" scale="47" orientation="landscape" r:id="rId1"/>
  <headerFooter alignWithMargins="0">
    <oddHeader>&amp;F</oddHeader>
  </headerFooter>
  <colBreaks count="1" manualBreakCount="1">
    <brk id="12"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2"/>
  <sheetViews>
    <sheetView showGridLines="0" view="pageBreakPreview" topLeftCell="W75" zoomScale="81" zoomScaleNormal="70" zoomScaleSheetLayoutView="81" workbookViewId="0">
      <selection activeCell="AF141" sqref="AF141"/>
    </sheetView>
  </sheetViews>
  <sheetFormatPr defaultColWidth="9.1796875" defaultRowHeight="14" x14ac:dyDescent="0.25"/>
  <cols>
    <col min="1" max="1" width="6.81640625" style="375" customWidth="1"/>
    <col min="2" max="2" width="28.453125" style="375" customWidth="1"/>
    <col min="3" max="3" width="26" style="606" bestFit="1" customWidth="1"/>
    <col min="4" max="4" width="13.54296875" style="606" customWidth="1"/>
    <col min="5" max="5" width="17.36328125" style="606" bestFit="1" customWidth="1"/>
    <col min="6" max="6" width="12.26953125" style="606" customWidth="1"/>
    <col min="7" max="7" width="15.6328125" style="375" customWidth="1"/>
    <col min="8" max="8" width="10.26953125" style="375" customWidth="1"/>
    <col min="9" max="9" width="9.7265625" style="375" customWidth="1"/>
    <col min="10" max="10" width="11.81640625" style="375" customWidth="1"/>
    <col min="11" max="11" width="13" style="375" customWidth="1"/>
    <col min="12" max="12" width="10.36328125" style="375" customWidth="1"/>
    <col min="13" max="13" width="11.453125" style="375" customWidth="1"/>
    <col min="14" max="14" width="10" style="375" customWidth="1"/>
    <col min="15" max="15" width="9.54296875" style="375" customWidth="1"/>
    <col min="16" max="16" width="12" style="375" customWidth="1"/>
    <col min="17" max="17" width="9.1796875" style="375" customWidth="1"/>
    <col min="18" max="18" width="10.81640625" style="375" customWidth="1"/>
    <col min="19" max="19" width="11.36328125" style="375" customWidth="1"/>
    <col min="20" max="26" width="17.7265625" style="375" customWidth="1"/>
    <col min="27" max="32" width="17.7265625" style="635" customWidth="1"/>
    <col min="33" max="16384" width="9.1796875" style="375"/>
  </cols>
  <sheetData>
    <row r="1" spans="2:32" x14ac:dyDescent="0.25">
      <c r="C1" s="892"/>
    </row>
    <row r="2" spans="2:32" x14ac:dyDescent="0.25">
      <c r="B2" s="398"/>
      <c r="C2" s="893"/>
      <c r="E2" s="893"/>
      <c r="F2" s="893"/>
      <c r="G2" s="565" t="s">
        <v>1027</v>
      </c>
      <c r="H2" s="565"/>
      <c r="I2" s="565"/>
      <c r="J2" s="590"/>
      <c r="K2" s="590"/>
      <c r="L2" s="590"/>
    </row>
    <row r="3" spans="2:32" s="426" customFormat="1" x14ac:dyDescent="0.3">
      <c r="B3" s="894"/>
      <c r="C3" s="895"/>
      <c r="E3" s="895"/>
      <c r="F3" s="895"/>
      <c r="G3" s="523" t="s">
        <v>826</v>
      </c>
      <c r="H3" s="523"/>
      <c r="I3" s="523"/>
      <c r="J3" s="602"/>
      <c r="K3" s="602"/>
      <c r="L3" s="602"/>
      <c r="M3" s="576"/>
      <c r="AA3" s="901"/>
      <c r="AB3" s="901"/>
      <c r="AC3" s="901"/>
      <c r="AD3" s="901"/>
      <c r="AE3" s="901"/>
      <c r="AF3" s="901"/>
    </row>
    <row r="4" spans="2:32" s="426" customFormat="1" x14ac:dyDescent="0.3">
      <c r="B4" s="894"/>
      <c r="C4" s="895"/>
      <c r="E4" s="895"/>
      <c r="F4" s="895"/>
      <c r="G4" s="896" t="s">
        <v>499</v>
      </c>
      <c r="H4" s="896"/>
      <c r="I4" s="896"/>
      <c r="J4" s="602"/>
      <c r="K4" s="602"/>
      <c r="L4" s="602"/>
      <c r="M4" s="603"/>
      <c r="AA4" s="901"/>
      <c r="AB4" s="901"/>
      <c r="AC4" s="901"/>
      <c r="AD4" s="901"/>
      <c r="AE4" s="901"/>
      <c r="AF4" s="901"/>
    </row>
    <row r="5" spans="2:32" x14ac:dyDescent="0.25">
      <c r="D5" s="896"/>
    </row>
    <row r="6" spans="2:32" x14ac:dyDescent="0.25">
      <c r="B6" s="897" t="s">
        <v>378</v>
      </c>
    </row>
    <row r="7" spans="2:32" x14ac:dyDescent="0.25">
      <c r="B7" s="897"/>
    </row>
    <row r="8" spans="2:32" x14ac:dyDescent="0.25">
      <c r="B8" s="2478" t="s">
        <v>279</v>
      </c>
      <c r="C8" s="2468" t="s">
        <v>483</v>
      </c>
      <c r="D8" s="2469"/>
      <c r="E8" s="2470"/>
      <c r="F8" s="2481" t="s">
        <v>484</v>
      </c>
      <c r="G8" s="2468" t="s">
        <v>485</v>
      </c>
      <c r="H8" s="2469"/>
      <c r="I8" s="2469"/>
      <c r="J8" s="2469"/>
      <c r="K8" s="2470"/>
      <c r="L8" s="2477" t="s">
        <v>486</v>
      </c>
      <c r="M8" s="2477"/>
      <c r="N8" s="2477"/>
      <c r="O8" s="2477" t="s">
        <v>487</v>
      </c>
      <c r="P8" s="2477"/>
      <c r="Q8" s="2477"/>
      <c r="R8" s="2477" t="s">
        <v>597</v>
      </c>
      <c r="S8" s="2477"/>
      <c r="T8" s="2477"/>
      <c r="U8" s="2477" t="s">
        <v>595</v>
      </c>
      <c r="V8" s="2477"/>
      <c r="W8" s="2477"/>
      <c r="X8" s="2477" t="s">
        <v>596</v>
      </c>
      <c r="Y8" s="2477"/>
      <c r="Z8" s="2477"/>
      <c r="AA8" s="2476" t="s">
        <v>500</v>
      </c>
      <c r="AB8" s="2476"/>
      <c r="AC8" s="2476"/>
      <c r="AD8" s="2476" t="s">
        <v>501</v>
      </c>
      <c r="AE8" s="2476"/>
      <c r="AF8" s="2476"/>
    </row>
    <row r="9" spans="2:32" x14ac:dyDescent="0.25">
      <c r="B9" s="2479"/>
      <c r="C9" s="2474" t="s">
        <v>488</v>
      </c>
      <c r="D9" s="2474" t="s">
        <v>489</v>
      </c>
      <c r="E9" s="2474" t="s">
        <v>145</v>
      </c>
      <c r="F9" s="2482"/>
      <c r="G9" s="2468" t="s">
        <v>502</v>
      </c>
      <c r="H9" s="2469"/>
      <c r="I9" s="2470"/>
      <c r="J9" s="2474" t="s">
        <v>492</v>
      </c>
      <c r="K9" s="2474" t="s">
        <v>594</v>
      </c>
      <c r="L9" s="2474" t="s">
        <v>490</v>
      </c>
      <c r="M9" s="2474" t="s">
        <v>491</v>
      </c>
      <c r="N9" s="2474" t="s">
        <v>145</v>
      </c>
      <c r="O9" s="2474" t="s">
        <v>490</v>
      </c>
      <c r="P9" s="2474" t="s">
        <v>491</v>
      </c>
      <c r="Q9" s="2474" t="s">
        <v>145</v>
      </c>
      <c r="R9" s="2474" t="s">
        <v>490</v>
      </c>
      <c r="S9" s="2474" t="s">
        <v>491</v>
      </c>
      <c r="T9" s="2474" t="s">
        <v>145</v>
      </c>
      <c r="U9" s="2474" t="s">
        <v>490</v>
      </c>
      <c r="V9" s="2474" t="s">
        <v>491</v>
      </c>
      <c r="W9" s="2474" t="s">
        <v>145</v>
      </c>
      <c r="X9" s="2474" t="s">
        <v>490</v>
      </c>
      <c r="Y9" s="2474" t="s">
        <v>491</v>
      </c>
      <c r="Z9" s="2474" t="s">
        <v>145</v>
      </c>
      <c r="AA9" s="2472" t="s">
        <v>490</v>
      </c>
      <c r="AB9" s="2472" t="s">
        <v>491</v>
      </c>
      <c r="AC9" s="2472" t="s">
        <v>145</v>
      </c>
      <c r="AD9" s="2472" t="s">
        <v>490</v>
      </c>
      <c r="AE9" s="2472" t="s">
        <v>491</v>
      </c>
      <c r="AF9" s="2472" t="s">
        <v>145</v>
      </c>
    </row>
    <row r="10" spans="2:32" ht="28" x14ac:dyDescent="0.25">
      <c r="B10" s="2480"/>
      <c r="C10" s="2475"/>
      <c r="D10" s="2475"/>
      <c r="E10" s="2475"/>
      <c r="F10" s="2483"/>
      <c r="G10" s="898" t="s">
        <v>772</v>
      </c>
      <c r="H10" s="898" t="s">
        <v>517</v>
      </c>
      <c r="I10" s="898" t="s">
        <v>145</v>
      </c>
      <c r="J10" s="2475"/>
      <c r="K10" s="2475"/>
      <c r="L10" s="2475"/>
      <c r="M10" s="2475"/>
      <c r="N10" s="2475"/>
      <c r="O10" s="2475"/>
      <c r="P10" s="2475"/>
      <c r="Q10" s="2475"/>
      <c r="R10" s="2475"/>
      <c r="S10" s="2475"/>
      <c r="T10" s="2475"/>
      <c r="U10" s="2475"/>
      <c r="V10" s="2475"/>
      <c r="W10" s="2475"/>
      <c r="X10" s="2475"/>
      <c r="Y10" s="2475"/>
      <c r="Z10" s="2475"/>
      <c r="AA10" s="2473"/>
      <c r="AB10" s="2473"/>
      <c r="AC10" s="2473"/>
      <c r="AD10" s="2473"/>
      <c r="AE10" s="2473"/>
      <c r="AF10" s="2473"/>
    </row>
    <row r="11" spans="2:32" x14ac:dyDescent="0.25">
      <c r="B11" s="379" t="s">
        <v>293</v>
      </c>
      <c r="C11" s="390"/>
      <c r="D11" s="390"/>
      <c r="E11" s="390"/>
      <c r="F11" s="2215">
        <v>4790.6296540000003</v>
      </c>
      <c r="G11" s="353"/>
      <c r="H11" s="353"/>
      <c r="I11" s="353"/>
      <c r="J11" s="353"/>
      <c r="K11" s="353"/>
      <c r="L11" s="353"/>
      <c r="M11" s="353"/>
      <c r="N11" s="353"/>
      <c r="O11" s="353"/>
      <c r="P11" s="353"/>
      <c r="Q11" s="353"/>
      <c r="R11" s="353"/>
      <c r="S11" s="353"/>
      <c r="T11" s="353"/>
      <c r="U11" s="353"/>
      <c r="V11" s="353"/>
      <c r="W11" s="353"/>
      <c r="X11" s="353"/>
      <c r="Y11" s="353"/>
      <c r="Z11" s="353"/>
      <c r="AA11" s="459"/>
      <c r="AB11" s="459"/>
      <c r="AC11" s="459"/>
      <c r="AD11" s="459"/>
      <c r="AE11" s="459"/>
      <c r="AF11" s="459"/>
    </row>
    <row r="12" spans="2:32" x14ac:dyDescent="0.25">
      <c r="B12" s="379"/>
      <c r="C12" s="390"/>
      <c r="D12" s="390"/>
      <c r="E12" s="390"/>
      <c r="F12" s="2216"/>
      <c r="G12" s="353"/>
      <c r="H12" s="353"/>
      <c r="I12" s="353"/>
      <c r="J12" s="353"/>
      <c r="K12" s="353"/>
      <c r="L12" s="353"/>
      <c r="M12" s="354"/>
      <c r="N12" s="354"/>
      <c r="O12" s="354"/>
      <c r="P12" s="354"/>
      <c r="Q12" s="354"/>
      <c r="R12" s="354"/>
      <c r="S12" s="354"/>
      <c r="T12" s="354"/>
      <c r="U12" s="354"/>
      <c r="V12" s="354"/>
      <c r="W12" s="353"/>
      <c r="X12" s="353"/>
      <c r="Y12" s="353"/>
      <c r="Z12" s="353"/>
      <c r="AA12" s="459"/>
      <c r="AB12" s="459"/>
      <c r="AC12" s="400"/>
      <c r="AD12" s="400"/>
      <c r="AE12" s="400"/>
      <c r="AF12" s="400"/>
    </row>
    <row r="13" spans="2:32" x14ac:dyDescent="0.25">
      <c r="B13" s="374" t="s">
        <v>953</v>
      </c>
      <c r="C13" s="395">
        <v>40</v>
      </c>
      <c r="D13" s="395">
        <v>0</v>
      </c>
      <c r="E13" s="395">
        <f>SUM(C13,D13)</f>
        <v>40</v>
      </c>
      <c r="F13" s="2216"/>
      <c r="G13" s="374">
        <v>178.86294299999997</v>
      </c>
      <c r="H13" s="374">
        <v>0</v>
      </c>
      <c r="I13" s="374">
        <f>SUM(G13,H13)</f>
        <v>178.86294299999997</v>
      </c>
      <c r="J13" s="374">
        <v>0</v>
      </c>
      <c r="K13" s="374">
        <f>SUM(I13,J13)</f>
        <v>178.86294299999997</v>
      </c>
      <c r="L13" s="374">
        <v>155.738632</v>
      </c>
      <c r="M13" s="374">
        <v>0</v>
      </c>
      <c r="N13" s="374">
        <f>SUM(L13,M13)</f>
        <v>155.738632</v>
      </c>
      <c r="O13" s="374">
        <v>152.15442400000001</v>
      </c>
      <c r="P13" s="374">
        <v>0</v>
      </c>
      <c r="Q13" s="374">
        <f>SUM(O13,P13)</f>
        <v>152.15442400000001</v>
      </c>
      <c r="R13" s="374">
        <v>0</v>
      </c>
      <c r="S13" s="374">
        <v>0</v>
      </c>
      <c r="T13" s="374">
        <f>SUM(R13,S13)</f>
        <v>0</v>
      </c>
      <c r="U13" s="374">
        <v>11.541088</v>
      </c>
      <c r="V13" s="374">
        <v>0</v>
      </c>
      <c r="W13" s="374">
        <f>SUM(U13,V13)</f>
        <v>11.541088</v>
      </c>
      <c r="X13" s="374">
        <v>14.858744</v>
      </c>
      <c r="Y13" s="374">
        <v>0</v>
      </c>
      <c r="Z13" s="374">
        <f>SUM(X13,Y13)</f>
        <v>14.858744</v>
      </c>
      <c r="AA13" s="353"/>
      <c r="AB13" s="353"/>
      <c r="AC13" s="459"/>
      <c r="AD13" s="459">
        <f>O13/L13</f>
        <v>0.97698574878967737</v>
      </c>
      <c r="AE13" s="459"/>
      <c r="AF13" s="459">
        <f>Q13/N13</f>
        <v>0.97698574878967737</v>
      </c>
    </row>
    <row r="14" spans="2:32" x14ac:dyDescent="0.25">
      <c r="B14" s="374" t="s">
        <v>954</v>
      </c>
      <c r="C14" s="395">
        <v>78</v>
      </c>
      <c r="D14" s="395">
        <v>0</v>
      </c>
      <c r="E14" s="395">
        <f t="shared" ref="E14:E20" si="0">SUM(C14,D14)</f>
        <v>78</v>
      </c>
      <c r="F14" s="2216"/>
      <c r="G14" s="374">
        <v>225.828046</v>
      </c>
      <c r="H14" s="374">
        <v>0</v>
      </c>
      <c r="I14" s="374">
        <f t="shared" ref="I14:I20" si="1">SUM(G14,H14)</f>
        <v>225.828046</v>
      </c>
      <c r="J14" s="374">
        <v>0</v>
      </c>
      <c r="K14" s="374">
        <f t="shared" ref="K14:K20" si="2">SUM(I14,J14)</f>
        <v>225.828046</v>
      </c>
      <c r="L14" s="374">
        <v>248.03036599999999</v>
      </c>
      <c r="M14" s="374">
        <v>0</v>
      </c>
      <c r="N14" s="374">
        <f t="shared" ref="N14:N20" si="3">SUM(L14,M14)</f>
        <v>248.03036599999999</v>
      </c>
      <c r="O14" s="374">
        <v>244.055396</v>
      </c>
      <c r="P14" s="374">
        <v>0</v>
      </c>
      <c r="Q14" s="374">
        <f t="shared" ref="Q14:Q20" si="4">SUM(O14,P14)</f>
        <v>244.055396</v>
      </c>
      <c r="R14" s="374">
        <v>0</v>
      </c>
      <c r="S14" s="374">
        <v>0</v>
      </c>
      <c r="T14" s="374">
        <f t="shared" ref="T14:T20" si="5">SUM(R14,S14)</f>
        <v>0</v>
      </c>
      <c r="U14" s="374">
        <v>20.486495999999999</v>
      </c>
      <c r="V14" s="374">
        <v>0</v>
      </c>
      <c r="W14" s="374">
        <f t="shared" ref="W14:W20" si="6">SUM(U14,V14)</f>
        <v>20.486495999999999</v>
      </c>
      <c r="X14" s="374">
        <v>23.527643999999999</v>
      </c>
      <c r="Y14" s="374">
        <v>0</v>
      </c>
      <c r="Z14" s="374">
        <f t="shared" ref="Z14:Z20" si="7">SUM(X14,Y14)</f>
        <v>23.527643999999999</v>
      </c>
      <c r="AA14" s="459"/>
      <c r="AB14" s="459"/>
      <c r="AC14" s="459"/>
      <c r="AD14" s="459">
        <f t="shared" ref="AD14:AD45" si="8">O14/L14</f>
        <v>0.98397385745905008</v>
      </c>
      <c r="AE14" s="459"/>
      <c r="AF14" s="459">
        <f t="shared" ref="AF14:AF45" si="9">Q14/N14</f>
        <v>0.98397385745905008</v>
      </c>
    </row>
    <row r="15" spans="2:32" x14ac:dyDescent="0.25">
      <c r="B15" s="374" t="s">
        <v>955</v>
      </c>
      <c r="C15" s="395">
        <v>8</v>
      </c>
      <c r="D15" s="395">
        <v>0</v>
      </c>
      <c r="E15" s="395">
        <f t="shared" si="0"/>
        <v>8</v>
      </c>
      <c r="F15" s="2216"/>
      <c r="G15" s="374">
        <v>30.026651999999999</v>
      </c>
      <c r="H15" s="374">
        <v>0</v>
      </c>
      <c r="I15" s="374">
        <f t="shared" si="1"/>
        <v>30.026651999999999</v>
      </c>
      <c r="J15" s="374">
        <v>0</v>
      </c>
      <c r="K15" s="374">
        <f t="shared" si="2"/>
        <v>30.026651999999999</v>
      </c>
      <c r="L15" s="374">
        <v>24.430637000000001</v>
      </c>
      <c r="M15" s="374">
        <v>0</v>
      </c>
      <c r="N15" s="374">
        <f t="shared" si="3"/>
        <v>24.430637000000001</v>
      </c>
      <c r="O15" s="374">
        <v>24.211848</v>
      </c>
      <c r="P15" s="374">
        <v>0</v>
      </c>
      <c r="Q15" s="374">
        <f t="shared" si="4"/>
        <v>24.211848</v>
      </c>
      <c r="R15" s="374">
        <v>0</v>
      </c>
      <c r="S15" s="374">
        <v>0</v>
      </c>
      <c r="T15" s="374">
        <f t="shared" si="5"/>
        <v>0</v>
      </c>
      <c r="U15" s="374">
        <v>1.395014</v>
      </c>
      <c r="V15" s="374">
        <v>0</v>
      </c>
      <c r="W15" s="374">
        <f t="shared" si="6"/>
        <v>1.395014</v>
      </c>
      <c r="X15" s="374">
        <v>1.6138049999999999</v>
      </c>
      <c r="Y15" s="374">
        <v>0</v>
      </c>
      <c r="Z15" s="374">
        <f t="shared" si="7"/>
        <v>1.6138049999999999</v>
      </c>
      <c r="AA15" s="459"/>
      <c r="AB15" s="459"/>
      <c r="AC15" s="459"/>
      <c r="AD15" s="459">
        <f t="shared" si="8"/>
        <v>0.99104448238496601</v>
      </c>
      <c r="AE15" s="459"/>
      <c r="AF15" s="459">
        <f t="shared" si="9"/>
        <v>0.99104448238496601</v>
      </c>
    </row>
    <row r="16" spans="2:32" x14ac:dyDescent="0.25">
      <c r="B16" s="374" t="s">
        <v>993</v>
      </c>
      <c r="C16" s="395">
        <v>12</v>
      </c>
      <c r="D16" s="395">
        <v>0</v>
      </c>
      <c r="E16" s="395">
        <f t="shared" si="0"/>
        <v>12</v>
      </c>
      <c r="F16" s="2216"/>
      <c r="G16" s="374">
        <v>37.338343999999999</v>
      </c>
      <c r="H16" s="374">
        <v>0</v>
      </c>
      <c r="I16" s="374">
        <f t="shared" si="1"/>
        <v>37.338343999999999</v>
      </c>
      <c r="J16" s="374">
        <v>0</v>
      </c>
      <c r="K16" s="374">
        <f t="shared" si="2"/>
        <v>37.338343999999999</v>
      </c>
      <c r="L16" s="374">
        <v>30.025061000000001</v>
      </c>
      <c r="M16" s="374">
        <v>0</v>
      </c>
      <c r="N16" s="374">
        <f t="shared" si="3"/>
        <v>30.025061000000001</v>
      </c>
      <c r="O16" s="374">
        <v>29.888399</v>
      </c>
      <c r="P16" s="374">
        <v>0</v>
      </c>
      <c r="Q16" s="374">
        <f t="shared" si="4"/>
        <v>29.888399</v>
      </c>
      <c r="R16" s="374">
        <v>0</v>
      </c>
      <c r="S16" s="374">
        <v>0</v>
      </c>
      <c r="T16" s="374">
        <f t="shared" si="5"/>
        <v>0</v>
      </c>
      <c r="U16" s="374">
        <v>1.9489719999999999</v>
      </c>
      <c r="V16" s="374">
        <v>0</v>
      </c>
      <c r="W16" s="374">
        <f t="shared" si="6"/>
        <v>1.9489719999999999</v>
      </c>
      <c r="X16" s="374">
        <v>2.028327</v>
      </c>
      <c r="Y16" s="374">
        <v>0</v>
      </c>
      <c r="Z16" s="374">
        <f t="shared" si="7"/>
        <v>2.028327</v>
      </c>
      <c r="AA16" s="459"/>
      <c r="AB16" s="459"/>
      <c r="AC16" s="459"/>
      <c r="AD16" s="459">
        <f t="shared" si="8"/>
        <v>0.99544840225303788</v>
      </c>
      <c r="AE16" s="459"/>
      <c r="AF16" s="459">
        <f t="shared" si="9"/>
        <v>0.99544840225303788</v>
      </c>
    </row>
    <row r="17" spans="2:32" x14ac:dyDescent="0.25">
      <c r="B17" s="374" t="s">
        <v>994</v>
      </c>
      <c r="C17" s="395">
        <v>3</v>
      </c>
      <c r="D17" s="395">
        <v>0</v>
      </c>
      <c r="E17" s="395">
        <f t="shared" si="0"/>
        <v>3</v>
      </c>
      <c r="F17" s="2216"/>
      <c r="G17" s="374">
        <v>2.2195319999999996</v>
      </c>
      <c r="H17" s="374">
        <v>0</v>
      </c>
      <c r="I17" s="374">
        <f t="shared" si="1"/>
        <v>2.2195319999999996</v>
      </c>
      <c r="J17" s="374">
        <v>0</v>
      </c>
      <c r="K17" s="374">
        <f t="shared" si="2"/>
        <v>2.2195319999999996</v>
      </c>
      <c r="L17" s="374">
        <v>1.8706179999999999</v>
      </c>
      <c r="M17" s="374">
        <v>0</v>
      </c>
      <c r="N17" s="374">
        <f t="shared" si="3"/>
        <v>1.8706179999999999</v>
      </c>
      <c r="O17" s="374">
        <v>1.5854269999999999</v>
      </c>
      <c r="P17" s="374">
        <v>0</v>
      </c>
      <c r="Q17" s="374">
        <f t="shared" si="4"/>
        <v>1.5854269999999999</v>
      </c>
      <c r="R17" s="374">
        <v>0</v>
      </c>
      <c r="S17" s="374">
        <v>0</v>
      </c>
      <c r="T17" s="374">
        <f t="shared" si="5"/>
        <v>0</v>
      </c>
      <c r="U17" s="374">
        <v>0.126551</v>
      </c>
      <c r="V17" s="374">
        <v>0</v>
      </c>
      <c r="W17" s="374">
        <f t="shared" si="6"/>
        <v>0.126551</v>
      </c>
      <c r="X17" s="374">
        <v>0.411742</v>
      </c>
      <c r="Y17" s="374">
        <v>0</v>
      </c>
      <c r="Z17" s="374">
        <f t="shared" si="7"/>
        <v>0.411742</v>
      </c>
      <c r="AA17" s="459"/>
      <c r="AB17" s="459"/>
      <c r="AC17" s="459"/>
      <c r="AD17" s="459">
        <f t="shared" si="8"/>
        <v>0.8475418284224786</v>
      </c>
      <c r="AE17" s="459"/>
      <c r="AF17" s="459">
        <f t="shared" si="9"/>
        <v>0.8475418284224786</v>
      </c>
    </row>
    <row r="18" spans="2:32" x14ac:dyDescent="0.25">
      <c r="B18" s="374" t="s">
        <v>995</v>
      </c>
      <c r="C18" s="395">
        <v>4</v>
      </c>
      <c r="D18" s="395">
        <v>0</v>
      </c>
      <c r="E18" s="395">
        <f t="shared" si="0"/>
        <v>4</v>
      </c>
      <c r="F18" s="2216"/>
      <c r="G18" s="374">
        <v>25.843350000000001</v>
      </c>
      <c r="H18" s="374">
        <v>0</v>
      </c>
      <c r="I18" s="374">
        <f t="shared" si="1"/>
        <v>25.843350000000001</v>
      </c>
      <c r="J18" s="374">
        <v>0</v>
      </c>
      <c r="K18" s="374">
        <f t="shared" si="2"/>
        <v>25.843350000000001</v>
      </c>
      <c r="L18" s="374">
        <v>20.231984000000001</v>
      </c>
      <c r="M18" s="374">
        <v>0</v>
      </c>
      <c r="N18" s="374">
        <f t="shared" si="3"/>
        <v>20.231984000000001</v>
      </c>
      <c r="O18" s="374">
        <v>20.510811</v>
      </c>
      <c r="P18" s="374">
        <v>0</v>
      </c>
      <c r="Q18" s="374">
        <f t="shared" si="4"/>
        <v>20.510811</v>
      </c>
      <c r="R18" s="374">
        <v>0</v>
      </c>
      <c r="S18" s="374">
        <v>0</v>
      </c>
      <c r="T18" s="374">
        <f t="shared" si="5"/>
        <v>0</v>
      </c>
      <c r="U18" s="374">
        <v>1.6701410000000001</v>
      </c>
      <c r="V18" s="374">
        <v>0</v>
      </c>
      <c r="W18" s="374">
        <f t="shared" si="6"/>
        <v>1.6701410000000001</v>
      </c>
      <c r="X18" s="374">
        <v>1.391313</v>
      </c>
      <c r="Y18" s="374">
        <v>0</v>
      </c>
      <c r="Z18" s="374">
        <f t="shared" si="7"/>
        <v>1.391313</v>
      </c>
      <c r="AA18" s="459"/>
      <c r="AB18" s="459"/>
      <c r="AC18" s="459"/>
      <c r="AD18" s="459">
        <f t="shared" si="8"/>
        <v>1.0137814956753624</v>
      </c>
      <c r="AE18" s="459"/>
      <c r="AF18" s="459">
        <f t="shared" si="9"/>
        <v>1.0137814956753624</v>
      </c>
    </row>
    <row r="19" spans="2:32" x14ac:dyDescent="0.25">
      <c r="B19" s="374" t="s">
        <v>996</v>
      </c>
      <c r="C19" s="395">
        <v>31</v>
      </c>
      <c r="D19" s="395">
        <v>0</v>
      </c>
      <c r="E19" s="395">
        <f t="shared" si="0"/>
        <v>31</v>
      </c>
      <c r="F19" s="2216"/>
      <c r="G19" s="374">
        <v>159.866131</v>
      </c>
      <c r="H19" s="374">
        <v>0</v>
      </c>
      <c r="I19" s="374">
        <f t="shared" si="1"/>
        <v>159.866131</v>
      </c>
      <c r="J19" s="374">
        <v>0</v>
      </c>
      <c r="K19" s="374">
        <f t="shared" si="2"/>
        <v>159.866131</v>
      </c>
      <c r="L19" s="374">
        <v>150.74785800000001</v>
      </c>
      <c r="M19" s="374">
        <v>0</v>
      </c>
      <c r="N19" s="374">
        <f t="shared" si="3"/>
        <v>150.74785800000001</v>
      </c>
      <c r="O19" s="374">
        <v>149.26099099999999</v>
      </c>
      <c r="P19" s="374">
        <v>0</v>
      </c>
      <c r="Q19" s="374">
        <f t="shared" si="4"/>
        <v>149.26099099999999</v>
      </c>
      <c r="R19" s="374">
        <v>0</v>
      </c>
      <c r="S19" s="374">
        <v>0</v>
      </c>
      <c r="T19" s="374">
        <f t="shared" si="5"/>
        <v>0</v>
      </c>
      <c r="U19" s="374">
        <v>8.6733279999999997</v>
      </c>
      <c r="V19" s="374">
        <v>0</v>
      </c>
      <c r="W19" s="374">
        <f t="shared" si="6"/>
        <v>8.6733279999999997</v>
      </c>
      <c r="X19" s="374">
        <v>10.026913</v>
      </c>
      <c r="Y19" s="374">
        <v>0</v>
      </c>
      <c r="Z19" s="374">
        <f t="shared" si="7"/>
        <v>10.026913</v>
      </c>
      <c r="AA19" s="459"/>
      <c r="AB19" s="459"/>
      <c r="AC19" s="459"/>
      <c r="AD19" s="459">
        <f t="shared" si="8"/>
        <v>0.99013672884161297</v>
      </c>
      <c r="AE19" s="459"/>
      <c r="AF19" s="459">
        <f t="shared" si="9"/>
        <v>0.99013672884161297</v>
      </c>
    </row>
    <row r="20" spans="2:32" x14ac:dyDescent="0.25">
      <c r="B20" s="374" t="s">
        <v>997</v>
      </c>
      <c r="C20" s="395">
        <v>9</v>
      </c>
      <c r="D20" s="395">
        <v>0</v>
      </c>
      <c r="E20" s="395">
        <f t="shared" si="0"/>
        <v>9</v>
      </c>
      <c r="F20" s="2216"/>
      <c r="G20" s="374">
        <v>20.814780000000006</v>
      </c>
      <c r="H20" s="374">
        <v>0</v>
      </c>
      <c r="I20" s="374">
        <f t="shared" si="1"/>
        <v>20.814780000000006</v>
      </c>
      <c r="J20" s="374">
        <v>0</v>
      </c>
      <c r="K20" s="374">
        <f t="shared" si="2"/>
        <v>20.814780000000006</v>
      </c>
      <c r="L20" s="374">
        <v>26.238647</v>
      </c>
      <c r="M20" s="374">
        <v>0</v>
      </c>
      <c r="N20" s="374">
        <f t="shared" si="3"/>
        <v>26.238647</v>
      </c>
      <c r="O20" s="374">
        <v>25.515391000000001</v>
      </c>
      <c r="P20" s="374">
        <v>0</v>
      </c>
      <c r="Q20" s="374">
        <f t="shared" si="4"/>
        <v>25.515391000000001</v>
      </c>
      <c r="R20" s="374">
        <v>0</v>
      </c>
      <c r="S20" s="374">
        <v>0</v>
      </c>
      <c r="T20" s="374">
        <f t="shared" si="5"/>
        <v>0</v>
      </c>
      <c r="U20" s="374">
        <v>1.548546</v>
      </c>
      <c r="V20" s="374">
        <v>0</v>
      </c>
      <c r="W20" s="374">
        <f t="shared" si="6"/>
        <v>1.548546</v>
      </c>
      <c r="X20" s="374">
        <v>1.940035</v>
      </c>
      <c r="Y20" s="374">
        <v>0</v>
      </c>
      <c r="Z20" s="374">
        <f t="shared" si="7"/>
        <v>1.940035</v>
      </c>
      <c r="AA20" s="459"/>
      <c r="AB20" s="459"/>
      <c r="AC20" s="459"/>
      <c r="AD20" s="459">
        <f t="shared" si="8"/>
        <v>0.97243546894777011</v>
      </c>
      <c r="AE20" s="459"/>
      <c r="AF20" s="459">
        <f t="shared" si="9"/>
        <v>0.97243546894777011</v>
      </c>
    </row>
    <row r="21" spans="2:32" x14ac:dyDescent="0.25">
      <c r="B21" s="374"/>
      <c r="C21" s="395"/>
      <c r="D21" s="395"/>
      <c r="E21" s="395"/>
      <c r="F21" s="2216"/>
      <c r="G21" s="374"/>
      <c r="H21" s="374"/>
      <c r="I21" s="374"/>
      <c r="J21" s="374"/>
      <c r="K21" s="374"/>
      <c r="L21" s="374"/>
      <c r="M21" s="354"/>
      <c r="N21" s="354"/>
      <c r="O21" s="354"/>
      <c r="P21" s="354"/>
      <c r="Q21" s="354"/>
      <c r="R21" s="354"/>
      <c r="S21" s="354"/>
      <c r="T21" s="354"/>
      <c r="U21" s="354"/>
      <c r="V21" s="354"/>
      <c r="W21" s="353"/>
      <c r="X21" s="353"/>
      <c r="Y21" s="353"/>
      <c r="Z21" s="353"/>
      <c r="AA21" s="459"/>
      <c r="AB21" s="459"/>
      <c r="AC21" s="400"/>
      <c r="AD21" s="400"/>
      <c r="AE21" s="400"/>
      <c r="AF21" s="459"/>
    </row>
    <row r="22" spans="2:32" s="398" customFormat="1" x14ac:dyDescent="0.25">
      <c r="B22" s="379" t="s">
        <v>998</v>
      </c>
      <c r="C22" s="397">
        <f>SUM(C13:C20)</f>
        <v>185</v>
      </c>
      <c r="D22" s="397">
        <f>SUM(D13:D20)</f>
        <v>0</v>
      </c>
      <c r="E22" s="397">
        <f>SUM(E13:E20)</f>
        <v>185</v>
      </c>
      <c r="F22" s="2216"/>
      <c r="G22" s="379">
        <f>SUM(G13:G20)</f>
        <v>680.79977799999995</v>
      </c>
      <c r="H22" s="379">
        <f t="shared" ref="H22:Z22" si="10">SUM(H13:H20)</f>
        <v>0</v>
      </c>
      <c r="I22" s="379">
        <f t="shared" si="10"/>
        <v>680.79977799999995</v>
      </c>
      <c r="J22" s="379">
        <f t="shared" si="10"/>
        <v>0</v>
      </c>
      <c r="K22" s="379">
        <f t="shared" si="10"/>
        <v>680.79977799999995</v>
      </c>
      <c r="L22" s="379">
        <f t="shared" si="10"/>
        <v>657.31380300000001</v>
      </c>
      <c r="M22" s="379">
        <f t="shared" si="10"/>
        <v>0</v>
      </c>
      <c r="N22" s="379">
        <f t="shared" si="10"/>
        <v>657.31380300000001</v>
      </c>
      <c r="O22" s="379">
        <f t="shared" si="10"/>
        <v>647.18268699999999</v>
      </c>
      <c r="P22" s="379">
        <f t="shared" si="10"/>
        <v>0</v>
      </c>
      <c r="Q22" s="379">
        <f t="shared" si="10"/>
        <v>647.18268699999999</v>
      </c>
      <c r="R22" s="374">
        <f t="shared" si="10"/>
        <v>0</v>
      </c>
      <c r="S22" s="374">
        <f t="shared" si="10"/>
        <v>0</v>
      </c>
      <c r="T22" s="374">
        <f t="shared" si="10"/>
        <v>0</v>
      </c>
      <c r="U22" s="379">
        <f t="shared" si="10"/>
        <v>47.390135999999998</v>
      </c>
      <c r="V22" s="374">
        <f t="shared" si="10"/>
        <v>0</v>
      </c>
      <c r="W22" s="379">
        <f t="shared" si="10"/>
        <v>47.390135999999998</v>
      </c>
      <c r="X22" s="379">
        <f t="shared" si="10"/>
        <v>55.798522999999989</v>
      </c>
      <c r="Y22" s="379">
        <f t="shared" si="10"/>
        <v>0</v>
      </c>
      <c r="Z22" s="379">
        <f t="shared" si="10"/>
        <v>55.798522999999989</v>
      </c>
      <c r="AA22" s="400"/>
      <c r="AB22" s="400"/>
      <c r="AC22" s="400"/>
      <c r="AD22" s="400">
        <f t="shared" si="8"/>
        <v>0.98458709378418452</v>
      </c>
      <c r="AE22" s="400"/>
      <c r="AF22" s="400">
        <f t="shared" si="9"/>
        <v>0.98458709378418452</v>
      </c>
    </row>
    <row r="23" spans="2:32" x14ac:dyDescent="0.25">
      <c r="B23" s="374"/>
      <c r="C23" s="395"/>
      <c r="D23" s="395"/>
      <c r="E23" s="395"/>
      <c r="F23" s="2216"/>
      <c r="G23" s="374"/>
      <c r="H23" s="374"/>
      <c r="I23" s="374"/>
      <c r="J23" s="374"/>
      <c r="K23" s="374"/>
      <c r="L23" s="374"/>
      <c r="M23" s="354"/>
      <c r="N23" s="354"/>
      <c r="O23" s="354"/>
      <c r="P23" s="354"/>
      <c r="Q23" s="354"/>
      <c r="R23" s="354"/>
      <c r="S23" s="354"/>
      <c r="T23" s="354"/>
      <c r="U23" s="354"/>
      <c r="V23" s="354"/>
      <c r="W23" s="353"/>
      <c r="X23" s="353"/>
      <c r="Y23" s="353"/>
      <c r="Z23" s="353"/>
      <c r="AA23" s="459"/>
      <c r="AB23" s="459"/>
      <c r="AC23" s="400"/>
      <c r="AD23" s="400"/>
      <c r="AE23" s="400"/>
      <c r="AF23" s="459"/>
    </row>
    <row r="24" spans="2:32" x14ac:dyDescent="0.25">
      <c r="B24" s="379" t="s">
        <v>294</v>
      </c>
      <c r="C24" s="395"/>
      <c r="D24" s="395"/>
      <c r="E24" s="395"/>
      <c r="F24" s="2216"/>
      <c r="G24" s="374"/>
      <c r="H24" s="374"/>
      <c r="I24" s="374"/>
      <c r="J24" s="374"/>
      <c r="K24" s="374"/>
      <c r="L24" s="374"/>
      <c r="M24" s="354"/>
      <c r="N24" s="354"/>
      <c r="O24" s="354"/>
      <c r="P24" s="354"/>
      <c r="Q24" s="354"/>
      <c r="R24" s="354"/>
      <c r="S24" s="354"/>
      <c r="T24" s="354"/>
      <c r="U24" s="354"/>
      <c r="V24" s="354"/>
      <c r="W24" s="353"/>
      <c r="X24" s="353"/>
      <c r="Y24" s="353"/>
      <c r="Z24" s="353"/>
      <c r="AA24" s="459"/>
      <c r="AB24" s="459"/>
      <c r="AC24" s="400"/>
      <c r="AD24" s="400"/>
      <c r="AE24" s="400"/>
      <c r="AF24" s="459"/>
    </row>
    <row r="25" spans="2:32" x14ac:dyDescent="0.25">
      <c r="B25" s="374"/>
      <c r="C25" s="395"/>
      <c r="D25" s="395"/>
      <c r="E25" s="395"/>
      <c r="F25" s="2216"/>
      <c r="G25" s="374"/>
      <c r="H25" s="374"/>
      <c r="I25" s="374"/>
      <c r="J25" s="374"/>
      <c r="K25" s="374"/>
      <c r="L25" s="374"/>
      <c r="M25" s="354"/>
      <c r="N25" s="354"/>
      <c r="O25" s="354"/>
      <c r="P25" s="354"/>
      <c r="Q25" s="354"/>
      <c r="R25" s="354"/>
      <c r="S25" s="354"/>
      <c r="T25" s="354"/>
      <c r="U25" s="354"/>
      <c r="V25" s="354"/>
      <c r="W25" s="353"/>
      <c r="X25" s="353"/>
      <c r="Y25" s="353"/>
      <c r="Z25" s="353"/>
      <c r="AA25" s="459"/>
      <c r="AB25" s="459"/>
      <c r="AC25" s="400"/>
      <c r="AD25" s="400"/>
      <c r="AE25" s="400"/>
      <c r="AF25" s="459"/>
    </row>
    <row r="26" spans="2:32" x14ac:dyDescent="0.25">
      <c r="B26" s="374" t="s">
        <v>999</v>
      </c>
      <c r="C26" s="395">
        <v>58</v>
      </c>
      <c r="D26" s="395">
        <v>0</v>
      </c>
      <c r="E26" s="395">
        <f>SUM(C26,D26)</f>
        <v>58</v>
      </c>
      <c r="F26" s="2216"/>
      <c r="G26" s="374">
        <v>3.2233999999999999E-2</v>
      </c>
      <c r="H26" s="374">
        <v>0</v>
      </c>
      <c r="I26" s="374">
        <f>SUM(G26,H26)</f>
        <v>3.2233999999999999E-2</v>
      </c>
      <c r="J26" s="374">
        <v>0</v>
      </c>
      <c r="K26" s="374">
        <f>SUM(I26,J26)</f>
        <v>3.2233999999999999E-2</v>
      </c>
      <c r="L26" s="374">
        <v>1.2050999999999999E-2</v>
      </c>
      <c r="M26" s="374">
        <v>0</v>
      </c>
      <c r="N26" s="374">
        <f>SUM(L26,M26)</f>
        <v>1.2050999999999999E-2</v>
      </c>
      <c r="O26" s="374">
        <v>1.0388E-2</v>
      </c>
      <c r="P26" s="374">
        <v>0</v>
      </c>
      <c r="Q26" s="374">
        <f>SUM(O26,P26)</f>
        <v>1.0388E-2</v>
      </c>
      <c r="R26" s="374">
        <v>0</v>
      </c>
      <c r="S26" s="374">
        <v>0</v>
      </c>
      <c r="T26" s="374">
        <f>SUM(R26,S26)</f>
        <v>0</v>
      </c>
      <c r="U26" s="374">
        <v>1.404E-2</v>
      </c>
      <c r="V26" s="374">
        <v>0</v>
      </c>
      <c r="W26" s="374">
        <f>SUM(U26,V26)</f>
        <v>1.404E-2</v>
      </c>
      <c r="X26" s="374">
        <v>1.539E-3</v>
      </c>
      <c r="Y26" s="374">
        <v>0</v>
      </c>
      <c r="Z26" s="374">
        <f>SUM(X26,Y26)</f>
        <v>1.539E-3</v>
      </c>
      <c r="AA26" s="459"/>
      <c r="AB26" s="459"/>
      <c r="AC26" s="400"/>
      <c r="AD26" s="459">
        <f t="shared" si="8"/>
        <v>0.8620031532652892</v>
      </c>
      <c r="AE26" s="400"/>
      <c r="AF26" s="459">
        <f t="shared" si="9"/>
        <v>0.8620031532652892</v>
      </c>
    </row>
    <row r="27" spans="2:32" x14ac:dyDescent="0.25">
      <c r="B27" s="374" t="s">
        <v>1000</v>
      </c>
      <c r="C27" s="395">
        <v>759935</v>
      </c>
      <c r="D27" s="395">
        <v>0</v>
      </c>
      <c r="E27" s="395">
        <f t="shared" ref="E27:E41" si="11">SUM(C27,D27)</f>
        <v>759935</v>
      </c>
      <c r="F27" s="2216"/>
      <c r="G27" s="374">
        <v>2014.6959979999995</v>
      </c>
      <c r="H27" s="374">
        <v>20</v>
      </c>
      <c r="I27" s="374">
        <f t="shared" ref="I27:I41" si="12">SUM(G27,H27)</f>
        <v>2034.6959979999995</v>
      </c>
      <c r="J27" s="374">
        <v>0</v>
      </c>
      <c r="K27" s="374">
        <f t="shared" ref="K27:K41" si="13">SUM(I27,J27)</f>
        <v>2034.6959979999995</v>
      </c>
      <c r="L27" s="374">
        <v>1528.817976</v>
      </c>
      <c r="M27" s="374">
        <v>0</v>
      </c>
      <c r="N27" s="374">
        <f t="shared" ref="N27:N41" si="14">SUM(L27,M27)</f>
        <v>1528.817976</v>
      </c>
      <c r="O27" s="374">
        <v>1492.7523839999999</v>
      </c>
      <c r="P27" s="374">
        <v>0</v>
      </c>
      <c r="Q27" s="374">
        <f t="shared" ref="Q27:Q41" si="15">SUM(O27,P27)</f>
        <v>1492.7523839999999</v>
      </c>
      <c r="R27" s="374">
        <v>0</v>
      </c>
      <c r="S27" s="374">
        <v>0</v>
      </c>
      <c r="T27" s="374">
        <f t="shared" ref="T27:T41" si="16">SUM(R27,S27)</f>
        <v>0</v>
      </c>
      <c r="U27" s="374">
        <v>26.081130000000002</v>
      </c>
      <c r="V27" s="374">
        <v>0</v>
      </c>
      <c r="W27" s="374">
        <f t="shared" ref="W27:W41" si="17">SUM(U27,V27)</f>
        <v>26.081130000000002</v>
      </c>
      <c r="X27" s="374">
        <v>29.074263999999999</v>
      </c>
      <c r="Y27" s="374">
        <v>0</v>
      </c>
      <c r="Z27" s="374">
        <f t="shared" ref="Z27:Z41" si="18">SUM(X27,Y27)</f>
        <v>29.074263999999999</v>
      </c>
      <c r="AA27" s="459"/>
      <c r="AB27" s="459"/>
      <c r="AC27" s="400"/>
      <c r="AD27" s="459">
        <f t="shared" si="8"/>
        <v>0.97640949245353448</v>
      </c>
      <c r="AE27" s="400"/>
      <c r="AF27" s="459">
        <f t="shared" si="9"/>
        <v>0.97640949245353448</v>
      </c>
    </row>
    <row r="28" spans="2:32" x14ac:dyDescent="0.25">
      <c r="B28" s="374" t="s">
        <v>1001</v>
      </c>
      <c r="C28" s="395">
        <v>253151</v>
      </c>
      <c r="D28" s="395">
        <v>0</v>
      </c>
      <c r="E28" s="395">
        <f t="shared" si="11"/>
        <v>253151</v>
      </c>
      <c r="F28" s="2216"/>
      <c r="G28" s="374">
        <v>873.73634699999991</v>
      </c>
      <c r="H28" s="374">
        <v>12</v>
      </c>
      <c r="I28" s="374">
        <f t="shared" si="12"/>
        <v>885.73634699999991</v>
      </c>
      <c r="J28" s="374">
        <v>0</v>
      </c>
      <c r="K28" s="374">
        <f t="shared" si="13"/>
        <v>885.73634699999991</v>
      </c>
      <c r="L28" s="374">
        <v>927.27333099999998</v>
      </c>
      <c r="M28" s="374">
        <v>0</v>
      </c>
      <c r="N28" s="374">
        <f t="shared" si="14"/>
        <v>927.27333099999998</v>
      </c>
      <c r="O28" s="374">
        <v>909.152287</v>
      </c>
      <c r="P28" s="374">
        <v>0</v>
      </c>
      <c r="Q28" s="374">
        <f t="shared" si="15"/>
        <v>909.152287</v>
      </c>
      <c r="R28" s="374">
        <v>0</v>
      </c>
      <c r="S28" s="374">
        <v>0</v>
      </c>
      <c r="T28" s="374">
        <f t="shared" si="16"/>
        <v>0</v>
      </c>
      <c r="U28" s="374">
        <v>17.271759000000003</v>
      </c>
      <c r="V28" s="374">
        <v>0</v>
      </c>
      <c r="W28" s="374">
        <f t="shared" si="17"/>
        <v>17.271759000000003</v>
      </c>
      <c r="X28" s="374">
        <v>20.069797999999999</v>
      </c>
      <c r="Y28" s="374">
        <v>0</v>
      </c>
      <c r="Z28" s="374">
        <f t="shared" si="18"/>
        <v>20.069797999999999</v>
      </c>
      <c r="AA28" s="459"/>
      <c r="AB28" s="459"/>
      <c r="AC28" s="459"/>
      <c r="AD28" s="459">
        <f t="shared" si="8"/>
        <v>0.98045771037062213</v>
      </c>
      <c r="AE28" s="459"/>
      <c r="AF28" s="459">
        <f t="shared" si="9"/>
        <v>0.98045771037062213</v>
      </c>
    </row>
    <row r="29" spans="2:32" x14ac:dyDescent="0.25">
      <c r="B29" s="374" t="s">
        <v>1002</v>
      </c>
      <c r="C29" s="395">
        <v>6075</v>
      </c>
      <c r="D29" s="395">
        <v>0</v>
      </c>
      <c r="E29" s="395">
        <f t="shared" si="11"/>
        <v>6075</v>
      </c>
      <c r="F29" s="2216"/>
      <c r="G29" s="374">
        <v>209.245994</v>
      </c>
      <c r="H29" s="374">
        <v>0</v>
      </c>
      <c r="I29" s="374">
        <f t="shared" si="12"/>
        <v>209.245994</v>
      </c>
      <c r="J29" s="374">
        <v>0</v>
      </c>
      <c r="K29" s="374">
        <f t="shared" si="13"/>
        <v>209.245994</v>
      </c>
      <c r="L29" s="374">
        <v>240.85175599999999</v>
      </c>
      <c r="M29" s="374">
        <v>0</v>
      </c>
      <c r="N29" s="374">
        <f t="shared" si="14"/>
        <v>240.85175599999999</v>
      </c>
      <c r="O29" s="374">
        <v>236.683255</v>
      </c>
      <c r="P29" s="374">
        <v>0</v>
      </c>
      <c r="Q29" s="374">
        <f t="shared" si="15"/>
        <v>236.683255</v>
      </c>
      <c r="R29" s="374">
        <v>0</v>
      </c>
      <c r="S29" s="374">
        <v>0</v>
      </c>
      <c r="T29" s="374">
        <f t="shared" si="16"/>
        <v>0</v>
      </c>
      <c r="U29" s="374">
        <v>13.639932</v>
      </c>
      <c r="V29" s="374">
        <v>0</v>
      </c>
      <c r="W29" s="374">
        <f t="shared" si="17"/>
        <v>13.639932</v>
      </c>
      <c r="X29" s="374">
        <v>16.220355999999999</v>
      </c>
      <c r="Y29" s="374">
        <v>0</v>
      </c>
      <c r="Z29" s="374">
        <f t="shared" si="18"/>
        <v>16.220355999999999</v>
      </c>
      <c r="AA29" s="459"/>
      <c r="AB29" s="459"/>
      <c r="AC29" s="459"/>
      <c r="AD29" s="459">
        <f t="shared" si="8"/>
        <v>0.98269266926166821</v>
      </c>
      <c r="AE29" s="459"/>
      <c r="AF29" s="459">
        <f t="shared" si="9"/>
        <v>0.98269266926166821</v>
      </c>
    </row>
    <row r="30" spans="2:32" x14ac:dyDescent="0.25">
      <c r="B30" s="374" t="s">
        <v>1003</v>
      </c>
      <c r="C30" s="395">
        <v>2923</v>
      </c>
      <c r="D30" s="395">
        <v>0</v>
      </c>
      <c r="E30" s="395">
        <f t="shared" si="11"/>
        <v>2923</v>
      </c>
      <c r="F30" s="2216"/>
      <c r="G30" s="374">
        <v>369.40714899999995</v>
      </c>
      <c r="H30" s="374">
        <v>0</v>
      </c>
      <c r="I30" s="374">
        <f t="shared" si="12"/>
        <v>369.40714899999995</v>
      </c>
      <c r="J30" s="374">
        <v>0</v>
      </c>
      <c r="K30" s="374">
        <f t="shared" si="13"/>
        <v>369.40714899999995</v>
      </c>
      <c r="L30" s="374">
        <v>427.65941800000002</v>
      </c>
      <c r="M30" s="374">
        <v>0</v>
      </c>
      <c r="N30" s="374">
        <f t="shared" si="14"/>
        <v>427.65941800000002</v>
      </c>
      <c r="O30" s="374">
        <v>420.566575</v>
      </c>
      <c r="P30" s="374">
        <v>0</v>
      </c>
      <c r="Q30" s="374">
        <f t="shared" si="15"/>
        <v>420.566575</v>
      </c>
      <c r="R30" s="374">
        <v>0</v>
      </c>
      <c r="S30" s="374">
        <v>0</v>
      </c>
      <c r="T30" s="374">
        <f t="shared" si="16"/>
        <v>0</v>
      </c>
      <c r="U30" s="374">
        <v>31.138784000000001</v>
      </c>
      <c r="V30" s="374">
        <v>0</v>
      </c>
      <c r="W30" s="374">
        <f t="shared" si="17"/>
        <v>31.138784000000001</v>
      </c>
      <c r="X30" s="374">
        <v>36.41722</v>
      </c>
      <c r="Y30" s="374">
        <v>0</v>
      </c>
      <c r="Z30" s="374">
        <f t="shared" si="18"/>
        <v>36.41722</v>
      </c>
      <c r="AA30" s="459"/>
      <c r="AB30" s="459"/>
      <c r="AC30" s="400"/>
      <c r="AD30" s="459">
        <f t="shared" si="8"/>
        <v>0.98341473915582045</v>
      </c>
      <c r="AE30" s="400"/>
      <c r="AF30" s="459">
        <f t="shared" si="9"/>
        <v>0.98341473915582045</v>
      </c>
    </row>
    <row r="31" spans="2:32" x14ac:dyDescent="0.25">
      <c r="B31" s="374" t="s">
        <v>1004</v>
      </c>
      <c r="C31" s="395">
        <v>6893</v>
      </c>
      <c r="D31" s="395">
        <v>0</v>
      </c>
      <c r="E31" s="395">
        <f t="shared" si="11"/>
        <v>6893</v>
      </c>
      <c r="F31" s="2216"/>
      <c r="G31" s="374">
        <v>46.877509999999994</v>
      </c>
      <c r="H31" s="374">
        <v>0</v>
      </c>
      <c r="I31" s="374">
        <f t="shared" si="12"/>
        <v>46.877509999999994</v>
      </c>
      <c r="J31" s="374">
        <v>0</v>
      </c>
      <c r="K31" s="374">
        <f t="shared" si="13"/>
        <v>46.877509999999994</v>
      </c>
      <c r="L31" s="374">
        <v>31.284952999999998</v>
      </c>
      <c r="M31" s="374">
        <v>0</v>
      </c>
      <c r="N31" s="374">
        <f t="shared" si="14"/>
        <v>31.284952999999998</v>
      </c>
      <c r="O31" s="374">
        <v>30.697376999999999</v>
      </c>
      <c r="P31" s="374">
        <v>0</v>
      </c>
      <c r="Q31" s="374">
        <f t="shared" si="15"/>
        <v>30.697376999999999</v>
      </c>
      <c r="R31" s="374">
        <v>0</v>
      </c>
      <c r="S31" s="374">
        <v>0</v>
      </c>
      <c r="T31" s="374">
        <f t="shared" si="16"/>
        <v>0</v>
      </c>
      <c r="U31" s="374">
        <v>1.823116</v>
      </c>
      <c r="V31" s="374">
        <v>0</v>
      </c>
      <c r="W31" s="374">
        <f t="shared" si="17"/>
        <v>1.823116</v>
      </c>
      <c r="X31" s="374">
        <v>2.5337510000000001</v>
      </c>
      <c r="Y31" s="374">
        <v>0</v>
      </c>
      <c r="Z31" s="374">
        <f t="shared" si="18"/>
        <v>2.5337510000000001</v>
      </c>
      <c r="AA31" s="459"/>
      <c r="AB31" s="459"/>
      <c r="AC31" s="459"/>
      <c r="AD31" s="459">
        <f t="shared" si="8"/>
        <v>0.98121857494879416</v>
      </c>
      <c r="AE31" s="459"/>
      <c r="AF31" s="459">
        <f t="shared" si="9"/>
        <v>0.98121857494879416</v>
      </c>
    </row>
    <row r="32" spans="2:32" x14ac:dyDescent="0.25">
      <c r="B32" s="374" t="s">
        <v>1005</v>
      </c>
      <c r="C32" s="395">
        <v>1007</v>
      </c>
      <c r="D32" s="395">
        <v>0</v>
      </c>
      <c r="E32" s="395">
        <f t="shared" si="11"/>
        <v>1007</v>
      </c>
      <c r="F32" s="2216"/>
      <c r="G32" s="374">
        <v>84.487307000000001</v>
      </c>
      <c r="H32" s="374">
        <v>0</v>
      </c>
      <c r="I32" s="374">
        <f t="shared" si="12"/>
        <v>84.487307000000001</v>
      </c>
      <c r="J32" s="374">
        <v>0</v>
      </c>
      <c r="K32" s="374">
        <f t="shared" si="13"/>
        <v>84.487307000000001</v>
      </c>
      <c r="L32" s="374">
        <v>78.235894000000002</v>
      </c>
      <c r="M32" s="374">
        <v>0</v>
      </c>
      <c r="N32" s="374">
        <f t="shared" si="14"/>
        <v>78.235894000000002</v>
      </c>
      <c r="O32" s="374">
        <v>76.526139000000001</v>
      </c>
      <c r="P32" s="374">
        <v>0</v>
      </c>
      <c r="Q32" s="374">
        <f t="shared" si="15"/>
        <v>76.526139000000001</v>
      </c>
      <c r="R32" s="374">
        <v>0</v>
      </c>
      <c r="S32" s="374">
        <v>0</v>
      </c>
      <c r="T32" s="374">
        <f t="shared" si="16"/>
        <v>0</v>
      </c>
      <c r="U32" s="374">
        <v>5.8929790000000004</v>
      </c>
      <c r="V32" s="374">
        <v>0</v>
      </c>
      <c r="W32" s="374">
        <f t="shared" si="17"/>
        <v>5.8929790000000004</v>
      </c>
      <c r="X32" s="374">
        <v>7.45486</v>
      </c>
      <c r="Y32" s="374">
        <v>0</v>
      </c>
      <c r="Z32" s="374">
        <f t="shared" si="18"/>
        <v>7.45486</v>
      </c>
      <c r="AA32" s="459"/>
      <c r="AB32" s="459"/>
      <c r="AC32" s="459"/>
      <c r="AD32" s="459">
        <f t="shared" si="8"/>
        <v>0.97814615628984825</v>
      </c>
      <c r="AE32" s="459"/>
      <c r="AF32" s="459">
        <f t="shared" si="9"/>
        <v>0.97814615628984825</v>
      </c>
    </row>
    <row r="33" spans="1:16384" ht="14.5" x14ac:dyDescent="0.25">
      <c r="A33" s="784"/>
      <c r="B33" s="374" t="s">
        <v>1006</v>
      </c>
      <c r="C33" s="395">
        <v>63</v>
      </c>
      <c r="D33" s="395">
        <v>0</v>
      </c>
      <c r="E33" s="395">
        <f t="shared" si="11"/>
        <v>63</v>
      </c>
      <c r="F33" s="2216"/>
      <c r="G33" s="374">
        <v>5.4476820000000012</v>
      </c>
      <c r="H33" s="374">
        <v>0</v>
      </c>
      <c r="I33" s="374">
        <f t="shared" si="12"/>
        <v>5.4476820000000012</v>
      </c>
      <c r="J33" s="374">
        <v>0</v>
      </c>
      <c r="K33" s="374">
        <f t="shared" si="13"/>
        <v>5.4476820000000012</v>
      </c>
      <c r="L33" s="374">
        <v>4.6880259999999998</v>
      </c>
      <c r="M33" s="374">
        <v>0</v>
      </c>
      <c r="N33" s="374">
        <f t="shared" si="14"/>
        <v>4.6880259999999998</v>
      </c>
      <c r="O33" s="374">
        <v>4.4493619999999998</v>
      </c>
      <c r="P33" s="374">
        <v>0</v>
      </c>
      <c r="Q33" s="374">
        <f t="shared" si="15"/>
        <v>4.4493619999999998</v>
      </c>
      <c r="R33" s="374">
        <v>0</v>
      </c>
      <c r="S33" s="374">
        <v>0</v>
      </c>
      <c r="T33" s="374">
        <f t="shared" si="16"/>
        <v>0</v>
      </c>
      <c r="U33" s="374">
        <v>0.14343</v>
      </c>
      <c r="V33" s="374">
        <v>0</v>
      </c>
      <c r="W33" s="374">
        <f t="shared" si="17"/>
        <v>0.14343</v>
      </c>
      <c r="X33" s="374">
        <v>0.379774</v>
      </c>
      <c r="Y33" s="374">
        <v>0</v>
      </c>
      <c r="Z33" s="374">
        <f t="shared" si="18"/>
        <v>0.379774</v>
      </c>
      <c r="AA33" s="459"/>
      <c r="AB33" s="459"/>
      <c r="AC33" s="459"/>
      <c r="AD33" s="459">
        <f t="shared" si="8"/>
        <v>0.94909072603266276</v>
      </c>
      <c r="AE33" s="459"/>
      <c r="AF33" s="459">
        <f t="shared" si="9"/>
        <v>0.94909072603266276</v>
      </c>
    </row>
    <row r="34" spans="1:16384" x14ac:dyDescent="0.25">
      <c r="B34" s="374" t="s">
        <v>1007</v>
      </c>
      <c r="C34" s="395">
        <v>780</v>
      </c>
      <c r="D34" s="395">
        <v>0</v>
      </c>
      <c r="E34" s="395">
        <f t="shared" si="11"/>
        <v>780</v>
      </c>
      <c r="F34" s="2216"/>
      <c r="G34" s="374">
        <v>1.4289839999999998</v>
      </c>
      <c r="H34" s="374">
        <v>0</v>
      </c>
      <c r="I34" s="374">
        <f t="shared" si="12"/>
        <v>1.4289839999999998</v>
      </c>
      <c r="J34" s="374">
        <v>0</v>
      </c>
      <c r="K34" s="374">
        <f t="shared" si="13"/>
        <v>1.4289839999999998</v>
      </c>
      <c r="L34" s="374">
        <v>2.2025459999999999</v>
      </c>
      <c r="M34" s="374">
        <v>0</v>
      </c>
      <c r="N34" s="374">
        <f t="shared" si="14"/>
        <v>2.2025459999999999</v>
      </c>
      <c r="O34" s="374">
        <v>2.1863299999999999</v>
      </c>
      <c r="P34" s="374">
        <v>0</v>
      </c>
      <c r="Q34" s="374">
        <f t="shared" si="15"/>
        <v>2.1863299999999999</v>
      </c>
      <c r="R34" s="374">
        <v>0</v>
      </c>
      <c r="S34" s="374">
        <v>0</v>
      </c>
      <c r="T34" s="374">
        <f t="shared" si="16"/>
        <v>0</v>
      </c>
      <c r="U34" s="374">
        <v>0.11577900000000001</v>
      </c>
      <c r="V34" s="374">
        <v>0</v>
      </c>
      <c r="W34" s="374">
        <f t="shared" si="17"/>
        <v>0.11577900000000001</v>
      </c>
      <c r="X34" s="374">
        <v>0.12501899999999999</v>
      </c>
      <c r="Y34" s="374">
        <v>0</v>
      </c>
      <c r="Z34" s="374">
        <f t="shared" si="18"/>
        <v>0.12501899999999999</v>
      </c>
      <c r="AA34" s="459"/>
      <c r="AB34" s="459"/>
      <c r="AC34" s="459"/>
      <c r="AD34" s="459">
        <f t="shared" si="8"/>
        <v>0.9926376112008557</v>
      </c>
      <c r="AE34" s="459"/>
      <c r="AF34" s="459">
        <f t="shared" si="9"/>
        <v>0.9926376112008557</v>
      </c>
    </row>
    <row r="35" spans="1:16384" x14ac:dyDescent="0.25">
      <c r="B35" s="374" t="s">
        <v>1008</v>
      </c>
      <c r="C35" s="395">
        <v>688</v>
      </c>
      <c r="D35" s="395">
        <v>0</v>
      </c>
      <c r="E35" s="395">
        <f t="shared" si="11"/>
        <v>688</v>
      </c>
      <c r="F35" s="2216"/>
      <c r="G35" s="374">
        <v>2.9721380000000002</v>
      </c>
      <c r="H35" s="374">
        <v>0</v>
      </c>
      <c r="I35" s="374">
        <f t="shared" si="12"/>
        <v>2.9721380000000002</v>
      </c>
      <c r="J35" s="374">
        <v>0</v>
      </c>
      <c r="K35" s="374">
        <f t="shared" si="13"/>
        <v>2.9721380000000002</v>
      </c>
      <c r="L35" s="374">
        <v>2.7429549999999998</v>
      </c>
      <c r="M35" s="374">
        <v>0</v>
      </c>
      <c r="N35" s="374">
        <f t="shared" si="14"/>
        <v>2.7429549999999998</v>
      </c>
      <c r="O35" s="374">
        <v>2.9254259999999999</v>
      </c>
      <c r="P35" s="374">
        <v>0</v>
      </c>
      <c r="Q35" s="374">
        <f t="shared" si="15"/>
        <v>2.9254259999999999</v>
      </c>
      <c r="R35" s="374">
        <v>0</v>
      </c>
      <c r="S35" s="374">
        <v>0</v>
      </c>
      <c r="T35" s="374">
        <f t="shared" si="16"/>
        <v>0</v>
      </c>
      <c r="U35" s="374">
        <v>1.3700699999999999</v>
      </c>
      <c r="V35" s="374">
        <v>0</v>
      </c>
      <c r="W35" s="374">
        <f t="shared" si="17"/>
        <v>1.3700699999999999</v>
      </c>
      <c r="X35" s="374">
        <v>1.1703429999999999</v>
      </c>
      <c r="Y35" s="374">
        <v>0</v>
      </c>
      <c r="Z35" s="374">
        <f t="shared" si="18"/>
        <v>1.1703429999999999</v>
      </c>
      <c r="AA35" s="459"/>
      <c r="AB35" s="459"/>
      <c r="AC35" s="459"/>
      <c r="AD35" s="459">
        <f t="shared" si="8"/>
        <v>1.0665235120517835</v>
      </c>
      <c r="AE35" s="459"/>
      <c r="AF35" s="459">
        <f t="shared" si="9"/>
        <v>1.0665235120517835</v>
      </c>
    </row>
    <row r="36" spans="1:16384" x14ac:dyDescent="0.25">
      <c r="B36" s="374" t="s">
        <v>1009</v>
      </c>
      <c r="C36" s="395">
        <v>61</v>
      </c>
      <c r="D36" s="395">
        <v>0</v>
      </c>
      <c r="E36" s="395">
        <f t="shared" si="11"/>
        <v>61</v>
      </c>
      <c r="F36" s="2216"/>
      <c r="G36" s="374">
        <v>0.165577</v>
      </c>
      <c r="H36" s="374">
        <v>0</v>
      </c>
      <c r="I36" s="374">
        <f t="shared" si="12"/>
        <v>0.165577</v>
      </c>
      <c r="J36" s="374">
        <v>0</v>
      </c>
      <c r="K36" s="374">
        <f t="shared" si="13"/>
        <v>0.165577</v>
      </c>
      <c r="L36" s="374">
        <v>0.121782</v>
      </c>
      <c r="M36" s="374">
        <v>0</v>
      </c>
      <c r="N36" s="374">
        <f t="shared" si="14"/>
        <v>0.121782</v>
      </c>
      <c r="O36" s="374">
        <v>6.6478999999999996E-2</v>
      </c>
      <c r="P36" s="374">
        <v>0</v>
      </c>
      <c r="Q36" s="374">
        <f t="shared" si="15"/>
        <v>6.6478999999999996E-2</v>
      </c>
      <c r="R36" s="374">
        <v>0</v>
      </c>
      <c r="S36" s="374">
        <v>0</v>
      </c>
      <c r="T36" s="374">
        <f t="shared" si="16"/>
        <v>0</v>
      </c>
      <c r="U36" s="374">
        <v>1.6695000000000002E-2</v>
      </c>
      <c r="V36" s="374">
        <v>0</v>
      </c>
      <c r="W36" s="374">
        <f t="shared" si="17"/>
        <v>1.6695000000000002E-2</v>
      </c>
      <c r="X36" s="374">
        <v>6.0009999999999994E-3</v>
      </c>
      <c r="Y36" s="374">
        <v>0</v>
      </c>
      <c r="Z36" s="374">
        <f t="shared" si="18"/>
        <v>6.0009999999999994E-3</v>
      </c>
      <c r="AA36" s="459"/>
      <c r="AB36" s="459"/>
      <c r="AC36" s="459"/>
      <c r="AD36" s="459">
        <f t="shared" si="8"/>
        <v>0.54588527040120871</v>
      </c>
      <c r="AE36" s="459"/>
      <c r="AF36" s="459">
        <f t="shared" si="9"/>
        <v>0.54588527040120871</v>
      </c>
    </row>
    <row r="37" spans="1:16384" x14ac:dyDescent="0.25">
      <c r="B37" s="374" t="s">
        <v>1010</v>
      </c>
      <c r="C37" s="395">
        <v>662</v>
      </c>
      <c r="D37" s="395">
        <v>0</v>
      </c>
      <c r="E37" s="395">
        <f t="shared" si="11"/>
        <v>662</v>
      </c>
      <c r="F37" s="2216"/>
      <c r="G37" s="374">
        <v>10.751319999999998</v>
      </c>
      <c r="H37" s="374">
        <v>0</v>
      </c>
      <c r="I37" s="374">
        <f t="shared" si="12"/>
        <v>10.751319999999998</v>
      </c>
      <c r="J37" s="374">
        <v>0</v>
      </c>
      <c r="K37" s="374">
        <f t="shared" si="13"/>
        <v>10.751319999999998</v>
      </c>
      <c r="L37" s="374">
        <v>14.153773999999999</v>
      </c>
      <c r="M37" s="374">
        <v>0</v>
      </c>
      <c r="N37" s="374">
        <f t="shared" si="14"/>
        <v>14.153773999999999</v>
      </c>
      <c r="O37" s="374">
        <v>12.462493</v>
      </c>
      <c r="P37" s="374">
        <v>0</v>
      </c>
      <c r="Q37" s="374">
        <f t="shared" si="15"/>
        <v>12.462493</v>
      </c>
      <c r="R37" s="374">
        <v>0</v>
      </c>
      <c r="S37" s="374">
        <v>0</v>
      </c>
      <c r="T37" s="374">
        <f t="shared" si="16"/>
        <v>0</v>
      </c>
      <c r="U37" s="374">
        <v>1.305822</v>
      </c>
      <c r="V37" s="374">
        <v>0</v>
      </c>
      <c r="W37" s="374">
        <f t="shared" si="17"/>
        <v>1.305822</v>
      </c>
      <c r="X37" s="374">
        <v>1.396555</v>
      </c>
      <c r="Y37" s="374">
        <v>0</v>
      </c>
      <c r="Z37" s="374">
        <f t="shared" si="18"/>
        <v>1.396555</v>
      </c>
      <c r="AA37" s="459"/>
      <c r="AB37" s="459"/>
      <c r="AC37" s="459"/>
      <c r="AD37" s="459">
        <f t="shared" si="8"/>
        <v>0.88050671149617066</v>
      </c>
      <c r="AE37" s="459"/>
      <c r="AF37" s="459">
        <f t="shared" si="9"/>
        <v>0.88050671149617066</v>
      </c>
    </row>
    <row r="38" spans="1:16384" ht="14.5" x14ac:dyDescent="0.25">
      <c r="B38" s="865" t="s">
        <v>1011</v>
      </c>
      <c r="C38" s="395">
        <v>45</v>
      </c>
      <c r="D38" s="395">
        <v>0</v>
      </c>
      <c r="E38" s="395">
        <f t="shared" si="11"/>
        <v>45</v>
      </c>
      <c r="F38" s="2216"/>
      <c r="G38" s="374">
        <v>1.4703660000000001</v>
      </c>
      <c r="H38" s="374">
        <v>0</v>
      </c>
      <c r="I38" s="374">
        <f t="shared" si="12"/>
        <v>1.4703660000000001</v>
      </c>
      <c r="J38" s="374">
        <v>0</v>
      </c>
      <c r="K38" s="374">
        <f t="shared" si="13"/>
        <v>1.4703660000000001</v>
      </c>
      <c r="L38" s="374">
        <v>0.92433900000000002</v>
      </c>
      <c r="M38" s="374">
        <v>0</v>
      </c>
      <c r="N38" s="374">
        <f t="shared" si="14"/>
        <v>0.92433900000000002</v>
      </c>
      <c r="O38" s="374">
        <v>0.92875799999999997</v>
      </c>
      <c r="P38" s="374">
        <v>0</v>
      </c>
      <c r="Q38" s="374">
        <f t="shared" si="15"/>
        <v>0.92875799999999997</v>
      </c>
      <c r="R38" s="374">
        <v>0</v>
      </c>
      <c r="S38" s="374">
        <v>0</v>
      </c>
      <c r="T38" s="374">
        <f t="shared" si="16"/>
        <v>0</v>
      </c>
      <c r="U38" s="374">
        <v>7.5506000000000004E-2</v>
      </c>
      <c r="V38" s="374">
        <v>0</v>
      </c>
      <c r="W38" s="374">
        <f t="shared" si="17"/>
        <v>7.5506000000000004E-2</v>
      </c>
      <c r="X38" s="374">
        <v>7.2503999999999999E-2</v>
      </c>
      <c r="Y38" s="374">
        <v>0</v>
      </c>
      <c r="Z38" s="374">
        <f t="shared" si="18"/>
        <v>7.2503999999999999E-2</v>
      </c>
      <c r="AA38" s="459"/>
      <c r="AB38" s="459"/>
      <c r="AC38" s="459"/>
      <c r="AD38" s="459">
        <f t="shared" si="8"/>
        <v>1.0047807135693723</v>
      </c>
      <c r="AE38" s="459"/>
      <c r="AF38" s="459">
        <f t="shared" si="9"/>
        <v>1.0047807135693723</v>
      </c>
    </row>
    <row r="39" spans="1:16384" x14ac:dyDescent="0.25">
      <c r="B39" s="374" t="s">
        <v>1012</v>
      </c>
      <c r="C39" s="395">
        <v>637</v>
      </c>
      <c r="D39" s="395">
        <v>0</v>
      </c>
      <c r="E39" s="395">
        <f t="shared" si="11"/>
        <v>637</v>
      </c>
      <c r="F39" s="2216"/>
      <c r="G39" s="374">
        <v>56.793369999999996</v>
      </c>
      <c r="H39" s="374">
        <v>0</v>
      </c>
      <c r="I39" s="374">
        <f t="shared" si="12"/>
        <v>56.793369999999996</v>
      </c>
      <c r="J39" s="374">
        <v>0</v>
      </c>
      <c r="K39" s="374">
        <f t="shared" si="13"/>
        <v>56.793369999999996</v>
      </c>
      <c r="L39" s="374">
        <v>47.513971999999995</v>
      </c>
      <c r="M39" s="374">
        <v>0</v>
      </c>
      <c r="N39" s="374">
        <f t="shared" si="14"/>
        <v>47.513971999999995</v>
      </c>
      <c r="O39" s="374">
        <v>47.422943999999994</v>
      </c>
      <c r="P39" s="374">
        <v>0</v>
      </c>
      <c r="Q39" s="374">
        <f t="shared" si="15"/>
        <v>47.422943999999994</v>
      </c>
      <c r="R39" s="374">
        <v>0</v>
      </c>
      <c r="S39" s="374">
        <v>0</v>
      </c>
      <c r="T39" s="374">
        <f t="shared" si="16"/>
        <v>0</v>
      </c>
      <c r="U39" s="374">
        <v>4.6257029999999997</v>
      </c>
      <c r="V39" s="374">
        <v>0</v>
      </c>
      <c r="W39" s="374">
        <f t="shared" si="17"/>
        <v>4.6257029999999997</v>
      </c>
      <c r="X39" s="374">
        <v>4.6189039999999997</v>
      </c>
      <c r="Y39" s="374">
        <v>0</v>
      </c>
      <c r="Z39" s="374">
        <f t="shared" si="18"/>
        <v>4.6189039999999997</v>
      </c>
      <c r="AA39" s="459"/>
      <c r="AB39" s="459"/>
      <c r="AC39" s="459"/>
      <c r="AD39" s="459">
        <f t="shared" si="8"/>
        <v>0.99808418458469439</v>
      </c>
      <c r="AE39" s="459"/>
      <c r="AF39" s="459">
        <f t="shared" si="9"/>
        <v>0.99808418458469439</v>
      </c>
    </row>
    <row r="40" spans="1:16384" x14ac:dyDescent="0.25">
      <c r="B40" s="374" t="s">
        <v>1013</v>
      </c>
      <c r="C40" s="395">
        <v>6269</v>
      </c>
      <c r="D40" s="395">
        <v>0</v>
      </c>
      <c r="E40" s="395">
        <f t="shared" si="11"/>
        <v>6269</v>
      </c>
      <c r="F40" s="2216"/>
      <c r="G40" s="374">
        <v>162.42448399999998</v>
      </c>
      <c r="H40" s="374">
        <v>0</v>
      </c>
      <c r="I40" s="374">
        <f t="shared" si="12"/>
        <v>162.42448399999998</v>
      </c>
      <c r="J40" s="374">
        <v>0</v>
      </c>
      <c r="K40" s="374">
        <f t="shared" si="13"/>
        <v>162.42448399999998</v>
      </c>
      <c r="L40" s="374">
        <v>151.28273099999998</v>
      </c>
      <c r="M40" s="374">
        <v>0</v>
      </c>
      <c r="N40" s="374">
        <f t="shared" si="14"/>
        <v>151.28273099999998</v>
      </c>
      <c r="O40" s="374">
        <v>148.63621700000002</v>
      </c>
      <c r="P40" s="374">
        <v>0</v>
      </c>
      <c r="Q40" s="374">
        <f t="shared" si="15"/>
        <v>148.63621700000002</v>
      </c>
      <c r="R40" s="374">
        <v>0</v>
      </c>
      <c r="S40" s="374">
        <v>0</v>
      </c>
      <c r="T40" s="374">
        <f t="shared" si="16"/>
        <v>0</v>
      </c>
      <c r="U40" s="374">
        <v>15.391404000000001</v>
      </c>
      <c r="V40" s="374">
        <v>0</v>
      </c>
      <c r="W40" s="374">
        <f t="shared" si="17"/>
        <v>15.391404000000001</v>
      </c>
      <c r="X40" s="374">
        <v>17.924440000000001</v>
      </c>
      <c r="Y40" s="374">
        <v>0</v>
      </c>
      <c r="Z40" s="374">
        <f t="shared" si="18"/>
        <v>17.924440000000001</v>
      </c>
      <c r="AA40" s="459"/>
      <c r="AB40" s="459"/>
      <c r="AC40" s="459"/>
      <c r="AD40" s="459">
        <f t="shared" si="8"/>
        <v>0.98250617249896177</v>
      </c>
      <c r="AE40" s="459"/>
      <c r="AF40" s="459">
        <f t="shared" si="9"/>
        <v>0.98250617249896177</v>
      </c>
    </row>
    <row r="41" spans="1:16384" x14ac:dyDescent="0.25">
      <c r="B41" s="374" t="s">
        <v>1014</v>
      </c>
      <c r="C41" s="395">
        <v>7</v>
      </c>
      <c r="D41" s="395">
        <v>0</v>
      </c>
      <c r="E41" s="395">
        <f t="shared" si="11"/>
        <v>7</v>
      </c>
      <c r="F41" s="2216"/>
      <c r="G41" s="374">
        <v>0.62017299999999986</v>
      </c>
      <c r="H41" s="374">
        <v>0</v>
      </c>
      <c r="I41" s="374">
        <f t="shared" si="12"/>
        <v>0.62017299999999986</v>
      </c>
      <c r="J41" s="374">
        <v>0</v>
      </c>
      <c r="K41" s="374">
        <f t="shared" si="13"/>
        <v>0.62017299999999986</v>
      </c>
      <c r="L41" s="374">
        <v>0.50849699999999998</v>
      </c>
      <c r="M41" s="374">
        <v>0</v>
      </c>
      <c r="N41" s="374">
        <f t="shared" si="14"/>
        <v>0.50849699999999998</v>
      </c>
      <c r="O41" s="374">
        <v>0.38817499999999999</v>
      </c>
      <c r="P41" s="374">
        <v>0</v>
      </c>
      <c r="Q41" s="374">
        <f t="shared" si="15"/>
        <v>0.38817499999999999</v>
      </c>
      <c r="R41" s="374">
        <v>0</v>
      </c>
      <c r="S41" s="374">
        <v>0</v>
      </c>
      <c r="T41" s="374">
        <f t="shared" si="16"/>
        <v>0</v>
      </c>
      <c r="U41" s="374">
        <v>0.20010900000000001</v>
      </c>
      <c r="V41" s="374">
        <v>0</v>
      </c>
      <c r="W41" s="374">
        <f t="shared" si="17"/>
        <v>0.20010900000000001</v>
      </c>
      <c r="X41" s="374">
        <v>0.46214499999999997</v>
      </c>
      <c r="Y41" s="374">
        <v>0</v>
      </c>
      <c r="Z41" s="374">
        <f t="shared" si="18"/>
        <v>0.46214499999999997</v>
      </c>
      <c r="AA41" s="459"/>
      <c r="AB41" s="459"/>
      <c r="AC41" s="459"/>
      <c r="AD41" s="459">
        <f t="shared" si="8"/>
        <v>0.76337716840020686</v>
      </c>
      <c r="AE41" s="459"/>
      <c r="AF41" s="459">
        <f t="shared" si="9"/>
        <v>0.76337716840020686</v>
      </c>
    </row>
    <row r="42" spans="1:16384" x14ac:dyDescent="0.25">
      <c r="B42" s="374"/>
      <c r="C42" s="395"/>
      <c r="D42" s="395"/>
      <c r="E42" s="395"/>
      <c r="F42" s="2216"/>
      <c r="G42" s="374"/>
      <c r="H42" s="374"/>
      <c r="I42" s="374"/>
      <c r="J42" s="374"/>
      <c r="K42" s="374"/>
      <c r="L42" s="374"/>
      <c r="M42" s="353"/>
      <c r="N42" s="353"/>
      <c r="O42" s="353"/>
      <c r="P42" s="353"/>
      <c r="Q42" s="353"/>
      <c r="R42" s="353"/>
      <c r="S42" s="353"/>
      <c r="T42" s="353"/>
      <c r="U42" s="353"/>
      <c r="V42" s="353"/>
      <c r="W42" s="353"/>
      <c r="X42" s="353"/>
      <c r="Y42" s="353"/>
      <c r="Z42" s="353"/>
      <c r="AA42" s="459"/>
      <c r="AB42" s="459"/>
      <c r="AC42" s="459"/>
      <c r="AD42" s="400"/>
      <c r="AE42" s="459"/>
      <c r="AF42" s="459"/>
    </row>
    <row r="43" spans="1:16384" s="398" customFormat="1" x14ac:dyDescent="0.25">
      <c r="B43" s="379" t="s">
        <v>1015</v>
      </c>
      <c r="C43" s="397">
        <f>SUM(C26:C41)</f>
        <v>1039254</v>
      </c>
      <c r="D43" s="397">
        <f>SUM(D26:D41)</f>
        <v>0</v>
      </c>
      <c r="E43" s="397">
        <f>SUM(E26:E41)</f>
        <v>1039254</v>
      </c>
      <c r="F43" s="2216"/>
      <c r="G43" s="379">
        <f>SUM(G26:G42)</f>
        <v>3840.5566329999992</v>
      </c>
      <c r="H43" s="379">
        <f t="shared" ref="H43:Z43" si="19">SUM(H26:H42)</f>
        <v>32</v>
      </c>
      <c r="I43" s="379">
        <f t="shared" si="19"/>
        <v>3872.5566329999992</v>
      </c>
      <c r="J43" s="379">
        <f t="shared" si="19"/>
        <v>0</v>
      </c>
      <c r="K43" s="379">
        <f t="shared" si="19"/>
        <v>3872.5566329999992</v>
      </c>
      <c r="L43" s="379">
        <f t="shared" si="19"/>
        <v>3458.2740009999998</v>
      </c>
      <c r="M43" s="379">
        <f t="shared" si="19"/>
        <v>0</v>
      </c>
      <c r="N43" s="379">
        <f t="shared" si="19"/>
        <v>3458.2740009999998</v>
      </c>
      <c r="O43" s="379">
        <f t="shared" si="19"/>
        <v>3385.8545889999996</v>
      </c>
      <c r="P43" s="379">
        <f t="shared" si="19"/>
        <v>0</v>
      </c>
      <c r="Q43" s="379">
        <f t="shared" si="19"/>
        <v>3385.8545889999996</v>
      </c>
      <c r="R43" s="379">
        <f t="shared" si="19"/>
        <v>0</v>
      </c>
      <c r="S43" s="379">
        <f t="shared" si="19"/>
        <v>0</v>
      </c>
      <c r="T43" s="379">
        <f t="shared" si="19"/>
        <v>0</v>
      </c>
      <c r="U43" s="379">
        <f t="shared" si="19"/>
        <v>119.106258</v>
      </c>
      <c r="V43" s="379">
        <f t="shared" si="19"/>
        <v>0</v>
      </c>
      <c r="W43" s="379">
        <f t="shared" si="19"/>
        <v>119.106258</v>
      </c>
      <c r="X43" s="379">
        <f t="shared" si="19"/>
        <v>137.92747299999996</v>
      </c>
      <c r="Y43" s="379">
        <f t="shared" si="19"/>
        <v>0</v>
      </c>
      <c r="Z43" s="379">
        <f t="shared" si="19"/>
        <v>137.92747299999996</v>
      </c>
      <c r="AA43" s="400"/>
      <c r="AB43" s="400"/>
      <c r="AC43" s="400"/>
      <c r="AD43" s="400">
        <f t="shared" si="8"/>
        <v>0.97905908786317708</v>
      </c>
      <c r="AE43" s="400"/>
      <c r="AF43" s="400">
        <f t="shared" si="9"/>
        <v>0.97905908786317708</v>
      </c>
    </row>
    <row r="44" spans="1:16384" x14ac:dyDescent="0.25">
      <c r="B44" s="376"/>
      <c r="C44" s="396"/>
      <c r="D44" s="396"/>
      <c r="E44" s="396"/>
      <c r="F44" s="2217"/>
      <c r="G44" s="396"/>
      <c r="H44" s="396"/>
      <c r="I44" s="396"/>
      <c r="J44" s="396"/>
      <c r="K44" s="396"/>
      <c r="L44" s="396"/>
      <c r="M44" s="396"/>
      <c r="N44" s="396"/>
      <c r="O44" s="396"/>
      <c r="P44" s="396"/>
      <c r="Q44" s="396"/>
      <c r="R44" s="396"/>
      <c r="S44" s="396"/>
      <c r="T44" s="396"/>
      <c r="U44" s="396"/>
      <c r="V44" s="396"/>
      <c r="W44" s="396"/>
      <c r="X44" s="396"/>
      <c r="Y44" s="396"/>
      <c r="Z44" s="396"/>
      <c r="AA44" s="902"/>
      <c r="AB44" s="902"/>
      <c r="AC44" s="902"/>
      <c r="AD44" s="400"/>
      <c r="AE44" s="902"/>
      <c r="AF44" s="459"/>
    </row>
    <row r="45" spans="1:16384" s="354" customFormat="1" x14ac:dyDescent="0.25">
      <c r="B45" s="379" t="s">
        <v>1016</v>
      </c>
      <c r="C45" s="397">
        <f>SUM(C43,C22)</f>
        <v>1039439</v>
      </c>
      <c r="D45" s="397">
        <f t="shared" ref="D45:Z45" si="20">SUM(D43,D22)</f>
        <v>0</v>
      </c>
      <c r="E45" s="397">
        <f t="shared" si="20"/>
        <v>1039439</v>
      </c>
      <c r="F45" s="397">
        <f>F11</f>
        <v>4790.6296540000003</v>
      </c>
      <c r="G45" s="397">
        <f t="shared" si="20"/>
        <v>4521.3564109999988</v>
      </c>
      <c r="H45" s="397">
        <f t="shared" si="20"/>
        <v>32</v>
      </c>
      <c r="I45" s="397">
        <f t="shared" si="20"/>
        <v>4553.3564109999988</v>
      </c>
      <c r="J45" s="397">
        <f t="shared" si="20"/>
        <v>0</v>
      </c>
      <c r="K45" s="397">
        <f t="shared" si="20"/>
        <v>4553.3564109999988</v>
      </c>
      <c r="L45" s="397">
        <f t="shared" si="20"/>
        <v>4115.5878039999998</v>
      </c>
      <c r="M45" s="397">
        <f t="shared" si="20"/>
        <v>0</v>
      </c>
      <c r="N45" s="397">
        <f t="shared" si="20"/>
        <v>4115.5878039999998</v>
      </c>
      <c r="O45" s="397">
        <f t="shared" si="20"/>
        <v>4033.0372759999996</v>
      </c>
      <c r="P45" s="397">
        <f t="shared" si="20"/>
        <v>0</v>
      </c>
      <c r="Q45" s="397">
        <f t="shared" si="20"/>
        <v>4033.0372759999996</v>
      </c>
      <c r="R45" s="397">
        <f t="shared" si="20"/>
        <v>0</v>
      </c>
      <c r="S45" s="397">
        <f t="shared" si="20"/>
        <v>0</v>
      </c>
      <c r="T45" s="397">
        <f t="shared" si="20"/>
        <v>0</v>
      </c>
      <c r="U45" s="397">
        <f t="shared" si="20"/>
        <v>166.49639400000001</v>
      </c>
      <c r="V45" s="397">
        <f t="shared" si="20"/>
        <v>0</v>
      </c>
      <c r="W45" s="397">
        <f t="shared" si="20"/>
        <v>166.49639400000001</v>
      </c>
      <c r="X45" s="397">
        <f t="shared" si="20"/>
        <v>193.72599599999995</v>
      </c>
      <c r="Y45" s="397">
        <f t="shared" si="20"/>
        <v>0</v>
      </c>
      <c r="Z45" s="397">
        <f t="shared" si="20"/>
        <v>193.72599599999995</v>
      </c>
      <c r="AA45" s="400">
        <f>I45/F45</f>
        <v>0.95047138682450916</v>
      </c>
      <c r="AB45" s="400"/>
      <c r="AC45" s="400">
        <f>K45/F45</f>
        <v>0.95047138682450916</v>
      </c>
      <c r="AD45" s="400">
        <f t="shared" si="8"/>
        <v>0.9799419835193971</v>
      </c>
      <c r="AE45" s="400"/>
      <c r="AF45" s="400">
        <f t="shared" si="9"/>
        <v>0.9799419835193971</v>
      </c>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375"/>
      <c r="CG45" s="375"/>
      <c r="CH45" s="375"/>
      <c r="CI45" s="375"/>
      <c r="CJ45" s="375"/>
      <c r="CK45" s="375"/>
      <c r="CL45" s="375"/>
      <c r="CM45" s="375"/>
      <c r="CN45" s="375"/>
      <c r="CO45" s="375"/>
      <c r="CP45" s="375"/>
      <c r="CQ45" s="375"/>
      <c r="CR45" s="375"/>
      <c r="CS45" s="375"/>
      <c r="CT45" s="375"/>
      <c r="CU45" s="375"/>
      <c r="CV45" s="375"/>
      <c r="CW45" s="375"/>
      <c r="CX45" s="375"/>
      <c r="CY45" s="375"/>
      <c r="CZ45" s="375"/>
      <c r="DA45" s="375"/>
      <c r="DB45" s="375"/>
      <c r="DC45" s="375"/>
      <c r="DD45" s="375"/>
      <c r="DE45" s="375"/>
      <c r="DF45" s="375"/>
      <c r="DG45" s="375"/>
      <c r="DH45" s="375"/>
      <c r="DI45" s="375"/>
      <c r="DJ45" s="375"/>
      <c r="DK45" s="375"/>
      <c r="DL45" s="375"/>
      <c r="DM45" s="375"/>
      <c r="DN45" s="375"/>
      <c r="DO45" s="375"/>
      <c r="DP45" s="375"/>
      <c r="DQ45" s="375"/>
      <c r="DR45" s="375"/>
      <c r="DS45" s="375"/>
      <c r="DT45" s="375"/>
      <c r="DU45" s="375"/>
      <c r="DV45" s="375"/>
      <c r="DW45" s="375"/>
      <c r="DX45" s="375"/>
      <c r="DY45" s="375"/>
      <c r="DZ45" s="375"/>
      <c r="EA45" s="375"/>
      <c r="EB45" s="375"/>
      <c r="EC45" s="375"/>
      <c r="ED45" s="375"/>
      <c r="EE45" s="375"/>
      <c r="EF45" s="375"/>
      <c r="EG45" s="375"/>
      <c r="EH45" s="375"/>
      <c r="EI45" s="375"/>
      <c r="EJ45" s="375"/>
      <c r="EK45" s="375"/>
      <c r="EL45" s="375"/>
      <c r="EM45" s="375"/>
      <c r="EN45" s="375"/>
      <c r="EO45" s="375"/>
      <c r="EP45" s="375"/>
      <c r="EQ45" s="375"/>
      <c r="ER45" s="375"/>
      <c r="ES45" s="375"/>
      <c r="ET45" s="375"/>
      <c r="EU45" s="375"/>
      <c r="EV45" s="375"/>
      <c r="EW45" s="375"/>
      <c r="EX45" s="375"/>
      <c r="EY45" s="375"/>
      <c r="EZ45" s="375"/>
      <c r="FA45" s="375"/>
      <c r="FB45" s="375"/>
      <c r="FC45" s="375"/>
      <c r="FD45" s="375"/>
      <c r="FE45" s="375"/>
      <c r="FF45" s="375"/>
      <c r="FG45" s="375"/>
      <c r="FH45" s="375"/>
      <c r="FI45" s="375"/>
      <c r="FJ45" s="375"/>
      <c r="FK45" s="375"/>
      <c r="FL45" s="375"/>
      <c r="FM45" s="375"/>
      <c r="FN45" s="375"/>
      <c r="FO45" s="375"/>
      <c r="FP45" s="375"/>
      <c r="FQ45" s="375"/>
      <c r="FR45" s="375"/>
      <c r="FS45" s="375"/>
      <c r="FT45" s="375"/>
      <c r="FU45" s="375"/>
      <c r="FV45" s="375"/>
      <c r="FW45" s="375"/>
      <c r="FX45" s="375"/>
      <c r="FY45" s="375"/>
      <c r="FZ45" s="375"/>
      <c r="GA45" s="375"/>
      <c r="GB45" s="375"/>
      <c r="GC45" s="375"/>
      <c r="GD45" s="375"/>
      <c r="GE45" s="375"/>
      <c r="GF45" s="375"/>
      <c r="GG45" s="375"/>
      <c r="GH45" s="375"/>
      <c r="GI45" s="375"/>
      <c r="GJ45" s="375"/>
      <c r="GK45" s="375"/>
      <c r="GL45" s="375"/>
      <c r="GM45" s="375"/>
      <c r="GN45" s="375"/>
      <c r="GO45" s="375"/>
      <c r="GP45" s="375"/>
      <c r="GQ45" s="375"/>
      <c r="GR45" s="375"/>
      <c r="GS45" s="375"/>
      <c r="GT45" s="375"/>
      <c r="GU45" s="375"/>
      <c r="GV45" s="375"/>
      <c r="GW45" s="375"/>
      <c r="GX45" s="375"/>
      <c r="GY45" s="375"/>
      <c r="GZ45" s="375"/>
      <c r="HA45" s="375"/>
      <c r="HB45" s="375"/>
      <c r="HC45" s="375"/>
      <c r="HD45" s="375"/>
      <c r="HE45" s="375"/>
      <c r="HF45" s="375"/>
      <c r="HG45" s="375"/>
      <c r="HH45" s="375"/>
      <c r="HI45" s="375"/>
      <c r="HJ45" s="375"/>
      <c r="HK45" s="375"/>
      <c r="HL45" s="375"/>
      <c r="HM45" s="375"/>
      <c r="HN45" s="375"/>
      <c r="HO45" s="375"/>
      <c r="HP45" s="375"/>
      <c r="HQ45" s="375"/>
      <c r="HR45" s="375"/>
      <c r="HS45" s="375"/>
      <c r="HT45" s="375"/>
      <c r="HU45" s="375"/>
      <c r="HV45" s="375"/>
      <c r="HW45" s="375"/>
      <c r="HX45" s="375"/>
      <c r="HY45" s="375"/>
      <c r="HZ45" s="375"/>
      <c r="IA45" s="375"/>
      <c r="IB45" s="375"/>
      <c r="IC45" s="375"/>
      <c r="ID45" s="375"/>
      <c r="IE45" s="375"/>
      <c r="IF45" s="375"/>
      <c r="IG45" s="375"/>
      <c r="IH45" s="375"/>
      <c r="II45" s="375"/>
      <c r="IJ45" s="375"/>
      <c r="IK45" s="375"/>
      <c r="IL45" s="375"/>
      <c r="IM45" s="375"/>
      <c r="IN45" s="375"/>
      <c r="IO45" s="375"/>
      <c r="IP45" s="375"/>
      <c r="IQ45" s="375"/>
      <c r="IR45" s="375"/>
      <c r="IS45" s="375"/>
      <c r="IT45" s="375"/>
      <c r="IU45" s="375"/>
      <c r="IV45" s="375"/>
      <c r="IW45" s="375"/>
      <c r="IX45" s="375"/>
      <c r="IY45" s="375"/>
      <c r="IZ45" s="375"/>
      <c r="JA45" s="375"/>
      <c r="JB45" s="375"/>
      <c r="JC45" s="375"/>
      <c r="JD45" s="375"/>
      <c r="JE45" s="375"/>
      <c r="JF45" s="375"/>
      <c r="JG45" s="375"/>
      <c r="JH45" s="375"/>
      <c r="JI45" s="375"/>
      <c r="JJ45" s="375"/>
      <c r="JK45" s="375"/>
      <c r="JL45" s="375"/>
      <c r="JM45" s="375"/>
      <c r="JN45" s="375"/>
      <c r="JO45" s="375"/>
      <c r="JP45" s="375"/>
      <c r="JQ45" s="375"/>
      <c r="JR45" s="375"/>
      <c r="JS45" s="375"/>
      <c r="JT45" s="375"/>
      <c r="JU45" s="375"/>
      <c r="JV45" s="375"/>
      <c r="JW45" s="375"/>
      <c r="JX45" s="375"/>
      <c r="JY45" s="375"/>
      <c r="JZ45" s="375"/>
      <c r="KA45" s="375"/>
      <c r="KB45" s="375"/>
      <c r="KC45" s="375"/>
      <c r="KD45" s="375"/>
      <c r="KE45" s="375"/>
      <c r="KF45" s="375"/>
      <c r="KG45" s="375"/>
      <c r="KH45" s="375"/>
      <c r="KI45" s="375"/>
      <c r="KJ45" s="375"/>
      <c r="KK45" s="375"/>
      <c r="KL45" s="375"/>
      <c r="KM45" s="375"/>
      <c r="KN45" s="375"/>
      <c r="KO45" s="375"/>
      <c r="KP45" s="375"/>
      <c r="KQ45" s="375"/>
      <c r="KR45" s="375"/>
      <c r="KS45" s="375"/>
      <c r="KT45" s="375"/>
      <c r="KU45" s="375"/>
      <c r="KV45" s="375"/>
      <c r="KW45" s="375"/>
      <c r="KX45" s="375"/>
      <c r="KY45" s="375"/>
      <c r="KZ45" s="375"/>
      <c r="LA45" s="375"/>
      <c r="LB45" s="375"/>
      <c r="LC45" s="375"/>
      <c r="LD45" s="375"/>
      <c r="LE45" s="375"/>
      <c r="LF45" s="375"/>
      <c r="LG45" s="375"/>
      <c r="LH45" s="375"/>
      <c r="LI45" s="375"/>
      <c r="LJ45" s="375"/>
      <c r="LK45" s="375"/>
      <c r="LL45" s="375"/>
      <c r="LM45" s="375"/>
      <c r="LN45" s="375"/>
      <c r="LO45" s="375"/>
      <c r="LP45" s="375"/>
      <c r="LQ45" s="375"/>
      <c r="LR45" s="375"/>
      <c r="LS45" s="375"/>
      <c r="LT45" s="375"/>
      <c r="LU45" s="375"/>
      <c r="LV45" s="375"/>
      <c r="LW45" s="375"/>
      <c r="LX45" s="375"/>
      <c r="LY45" s="375"/>
      <c r="LZ45" s="375"/>
      <c r="MA45" s="375"/>
      <c r="MB45" s="375"/>
      <c r="MC45" s="375"/>
      <c r="MD45" s="375"/>
      <c r="ME45" s="375"/>
      <c r="MF45" s="375"/>
      <c r="MG45" s="375"/>
      <c r="MH45" s="375"/>
      <c r="MI45" s="375"/>
      <c r="MJ45" s="375"/>
      <c r="MK45" s="375"/>
      <c r="ML45" s="375"/>
      <c r="MM45" s="375"/>
      <c r="MN45" s="375"/>
      <c r="MO45" s="375"/>
      <c r="MP45" s="375"/>
      <c r="MQ45" s="375"/>
      <c r="MR45" s="375"/>
      <c r="MS45" s="375"/>
      <c r="MT45" s="375"/>
      <c r="MU45" s="375"/>
      <c r="MV45" s="375"/>
      <c r="MW45" s="375"/>
      <c r="MX45" s="375"/>
      <c r="MY45" s="375"/>
      <c r="MZ45" s="375"/>
      <c r="NA45" s="375"/>
      <c r="NB45" s="375"/>
      <c r="NC45" s="375"/>
      <c r="ND45" s="375"/>
      <c r="NE45" s="375"/>
      <c r="NF45" s="375"/>
      <c r="NG45" s="375"/>
      <c r="NH45" s="375"/>
      <c r="NI45" s="375"/>
      <c r="NJ45" s="375"/>
      <c r="NK45" s="375"/>
      <c r="NL45" s="375"/>
      <c r="NM45" s="375"/>
      <c r="NN45" s="375"/>
      <c r="NO45" s="375"/>
      <c r="NP45" s="375"/>
      <c r="NQ45" s="375"/>
      <c r="NR45" s="375"/>
      <c r="NS45" s="375"/>
      <c r="NT45" s="375"/>
      <c r="NU45" s="375"/>
      <c r="NV45" s="375"/>
      <c r="NW45" s="375"/>
      <c r="NX45" s="375"/>
      <c r="NY45" s="375"/>
      <c r="NZ45" s="375"/>
      <c r="OA45" s="375"/>
      <c r="OB45" s="375"/>
      <c r="OC45" s="375"/>
      <c r="OD45" s="375"/>
      <c r="OE45" s="375"/>
      <c r="OF45" s="375"/>
      <c r="OG45" s="375"/>
      <c r="OH45" s="375"/>
      <c r="OI45" s="375"/>
      <c r="OJ45" s="375"/>
      <c r="OK45" s="375"/>
      <c r="OL45" s="375"/>
      <c r="OM45" s="375"/>
      <c r="ON45" s="375"/>
      <c r="OO45" s="375"/>
      <c r="OP45" s="375"/>
      <c r="OQ45" s="375"/>
      <c r="OR45" s="375"/>
      <c r="OS45" s="375"/>
      <c r="OT45" s="375"/>
      <c r="OU45" s="375"/>
      <c r="OV45" s="375"/>
      <c r="OW45" s="375"/>
      <c r="OX45" s="375"/>
      <c r="OY45" s="375"/>
      <c r="OZ45" s="375"/>
      <c r="PA45" s="375"/>
      <c r="PB45" s="375"/>
      <c r="PC45" s="375"/>
      <c r="PD45" s="375"/>
      <c r="PE45" s="375"/>
      <c r="PF45" s="375"/>
      <c r="PG45" s="375"/>
      <c r="PH45" s="375"/>
      <c r="PI45" s="375"/>
      <c r="PJ45" s="375"/>
      <c r="PK45" s="375"/>
      <c r="PL45" s="375"/>
      <c r="PM45" s="375"/>
      <c r="PN45" s="375"/>
      <c r="PO45" s="375"/>
      <c r="PP45" s="375"/>
      <c r="PQ45" s="375"/>
      <c r="PR45" s="375"/>
      <c r="PS45" s="375"/>
      <c r="PT45" s="375"/>
      <c r="PU45" s="375"/>
      <c r="PV45" s="375"/>
      <c r="PW45" s="375"/>
      <c r="PX45" s="375"/>
      <c r="PY45" s="375"/>
      <c r="PZ45" s="375"/>
      <c r="QA45" s="375"/>
      <c r="QB45" s="375"/>
      <c r="QC45" s="375"/>
      <c r="QD45" s="375"/>
      <c r="QE45" s="375"/>
      <c r="QF45" s="375"/>
      <c r="QG45" s="375"/>
      <c r="QH45" s="375"/>
      <c r="QI45" s="375"/>
      <c r="QJ45" s="375"/>
      <c r="QK45" s="375"/>
      <c r="QL45" s="375"/>
      <c r="QM45" s="375"/>
      <c r="QN45" s="375"/>
      <c r="QO45" s="375"/>
      <c r="QP45" s="375"/>
      <c r="QQ45" s="375"/>
      <c r="QR45" s="375"/>
      <c r="QS45" s="375"/>
      <c r="QT45" s="375"/>
      <c r="QU45" s="375"/>
      <c r="QV45" s="375"/>
      <c r="QW45" s="375"/>
      <c r="QX45" s="375"/>
      <c r="QY45" s="375"/>
      <c r="QZ45" s="375"/>
      <c r="RA45" s="375"/>
      <c r="RB45" s="375"/>
      <c r="RC45" s="375"/>
      <c r="RD45" s="375"/>
      <c r="RE45" s="375"/>
      <c r="RF45" s="375"/>
      <c r="RG45" s="375"/>
      <c r="RH45" s="375"/>
      <c r="RI45" s="375"/>
      <c r="RJ45" s="375"/>
      <c r="RK45" s="375"/>
      <c r="RL45" s="375"/>
      <c r="RM45" s="375"/>
      <c r="RN45" s="375"/>
      <c r="RO45" s="375"/>
      <c r="RP45" s="375"/>
      <c r="RQ45" s="375"/>
      <c r="RR45" s="375"/>
      <c r="RS45" s="375"/>
      <c r="RT45" s="375"/>
      <c r="RU45" s="375"/>
      <c r="RV45" s="375"/>
      <c r="RW45" s="375"/>
      <c r="RX45" s="375"/>
      <c r="RY45" s="375"/>
      <c r="RZ45" s="375"/>
      <c r="SA45" s="375"/>
      <c r="SB45" s="375"/>
      <c r="SC45" s="375"/>
      <c r="SD45" s="375"/>
      <c r="SE45" s="375"/>
      <c r="SF45" s="375"/>
      <c r="SG45" s="375"/>
      <c r="SH45" s="375"/>
      <c r="SI45" s="375"/>
      <c r="SJ45" s="375"/>
      <c r="SK45" s="375"/>
      <c r="SL45" s="375"/>
      <c r="SM45" s="375"/>
      <c r="SN45" s="375"/>
      <c r="SO45" s="375"/>
      <c r="SP45" s="375"/>
      <c r="SQ45" s="375"/>
      <c r="SR45" s="375"/>
      <c r="SS45" s="375"/>
      <c r="ST45" s="375"/>
      <c r="SU45" s="375"/>
      <c r="SV45" s="375"/>
      <c r="SW45" s="375"/>
      <c r="SX45" s="375"/>
      <c r="SY45" s="375"/>
      <c r="SZ45" s="375"/>
      <c r="TA45" s="375"/>
      <c r="TB45" s="375"/>
      <c r="TC45" s="375"/>
      <c r="TD45" s="375"/>
      <c r="TE45" s="375"/>
      <c r="TF45" s="375"/>
      <c r="TG45" s="375"/>
      <c r="TH45" s="375"/>
      <c r="TI45" s="375"/>
      <c r="TJ45" s="375"/>
      <c r="TK45" s="375"/>
      <c r="TL45" s="375"/>
      <c r="TM45" s="375"/>
      <c r="TN45" s="375"/>
      <c r="TO45" s="375"/>
      <c r="TP45" s="375"/>
      <c r="TQ45" s="375"/>
      <c r="TR45" s="375"/>
      <c r="TS45" s="375"/>
      <c r="TT45" s="375"/>
      <c r="TU45" s="375"/>
      <c r="TV45" s="375"/>
      <c r="TW45" s="375"/>
      <c r="TX45" s="375"/>
      <c r="TY45" s="375"/>
      <c r="TZ45" s="375"/>
      <c r="UA45" s="375"/>
      <c r="UB45" s="375"/>
      <c r="UC45" s="375"/>
      <c r="UD45" s="375"/>
      <c r="UE45" s="375"/>
      <c r="UF45" s="375"/>
      <c r="UG45" s="375"/>
      <c r="UH45" s="375"/>
      <c r="UI45" s="375"/>
      <c r="UJ45" s="375"/>
      <c r="UK45" s="375"/>
      <c r="UL45" s="375"/>
      <c r="UM45" s="375"/>
      <c r="UN45" s="375"/>
      <c r="UO45" s="375"/>
      <c r="UP45" s="375"/>
      <c r="UQ45" s="375"/>
      <c r="UR45" s="375"/>
      <c r="US45" s="375"/>
      <c r="UT45" s="375"/>
      <c r="UU45" s="375"/>
      <c r="UV45" s="375"/>
      <c r="UW45" s="375"/>
      <c r="UX45" s="375"/>
      <c r="UY45" s="375"/>
      <c r="UZ45" s="375"/>
      <c r="VA45" s="375"/>
      <c r="VB45" s="375"/>
      <c r="VC45" s="375"/>
      <c r="VD45" s="375"/>
      <c r="VE45" s="375"/>
      <c r="VF45" s="375"/>
      <c r="VG45" s="375"/>
      <c r="VH45" s="375"/>
      <c r="VI45" s="375"/>
      <c r="VJ45" s="375"/>
      <c r="VK45" s="375"/>
      <c r="VL45" s="375"/>
      <c r="VM45" s="375"/>
      <c r="VN45" s="375"/>
      <c r="VO45" s="375"/>
      <c r="VP45" s="375"/>
      <c r="VQ45" s="375"/>
      <c r="VR45" s="375"/>
      <c r="VS45" s="375"/>
      <c r="VT45" s="375"/>
      <c r="VU45" s="375"/>
      <c r="VV45" s="375"/>
      <c r="VW45" s="375"/>
      <c r="VX45" s="375"/>
      <c r="VY45" s="375"/>
      <c r="VZ45" s="375"/>
      <c r="WA45" s="375"/>
      <c r="WB45" s="375"/>
      <c r="WC45" s="375"/>
      <c r="WD45" s="375"/>
      <c r="WE45" s="375"/>
      <c r="WF45" s="375"/>
      <c r="WG45" s="375"/>
      <c r="WH45" s="375"/>
      <c r="WI45" s="375"/>
      <c r="WJ45" s="375"/>
      <c r="WK45" s="375"/>
      <c r="WL45" s="375"/>
      <c r="WM45" s="375"/>
      <c r="WN45" s="375"/>
      <c r="WO45" s="375"/>
      <c r="WP45" s="375"/>
      <c r="WQ45" s="375"/>
      <c r="WR45" s="375"/>
      <c r="WS45" s="375"/>
      <c r="WT45" s="375"/>
      <c r="WU45" s="375"/>
      <c r="WV45" s="375"/>
      <c r="WW45" s="375"/>
      <c r="WX45" s="375"/>
      <c r="WY45" s="375"/>
      <c r="WZ45" s="375"/>
      <c r="XA45" s="375"/>
      <c r="XB45" s="375"/>
      <c r="XC45" s="375"/>
      <c r="XD45" s="375"/>
      <c r="XE45" s="375"/>
      <c r="XF45" s="375"/>
      <c r="XG45" s="375"/>
      <c r="XH45" s="375"/>
      <c r="XI45" s="375"/>
      <c r="XJ45" s="375"/>
      <c r="XK45" s="375"/>
      <c r="XL45" s="375"/>
      <c r="XM45" s="375"/>
      <c r="XN45" s="375"/>
      <c r="XO45" s="375"/>
      <c r="XP45" s="375"/>
      <c r="XQ45" s="375"/>
      <c r="XR45" s="375"/>
      <c r="XS45" s="375"/>
      <c r="XT45" s="375"/>
      <c r="XU45" s="375"/>
      <c r="XV45" s="375"/>
      <c r="XW45" s="375"/>
      <c r="XX45" s="375"/>
      <c r="XY45" s="375"/>
      <c r="XZ45" s="375"/>
      <c r="YA45" s="375"/>
      <c r="YB45" s="375"/>
      <c r="YC45" s="375"/>
      <c r="YD45" s="375"/>
      <c r="YE45" s="375"/>
      <c r="YF45" s="375"/>
      <c r="YG45" s="375"/>
      <c r="YH45" s="375"/>
      <c r="YI45" s="375"/>
      <c r="YJ45" s="375"/>
      <c r="YK45" s="375"/>
      <c r="YL45" s="375"/>
      <c r="YM45" s="375"/>
      <c r="YN45" s="375"/>
      <c r="YO45" s="375"/>
      <c r="YP45" s="375"/>
      <c r="YQ45" s="375"/>
      <c r="YR45" s="375"/>
      <c r="YS45" s="375"/>
      <c r="YT45" s="375"/>
      <c r="YU45" s="375"/>
      <c r="YV45" s="375"/>
      <c r="YW45" s="375"/>
      <c r="YX45" s="375"/>
      <c r="YY45" s="375"/>
      <c r="YZ45" s="375"/>
      <c r="ZA45" s="375"/>
      <c r="ZB45" s="375"/>
      <c r="ZC45" s="375"/>
      <c r="ZD45" s="375"/>
      <c r="ZE45" s="375"/>
      <c r="ZF45" s="375"/>
      <c r="ZG45" s="375"/>
      <c r="ZH45" s="375"/>
      <c r="ZI45" s="375"/>
      <c r="ZJ45" s="375"/>
      <c r="ZK45" s="375"/>
      <c r="ZL45" s="375"/>
      <c r="ZM45" s="375"/>
      <c r="ZN45" s="375"/>
      <c r="ZO45" s="375"/>
      <c r="ZP45" s="375"/>
      <c r="ZQ45" s="375"/>
      <c r="ZR45" s="375"/>
      <c r="ZS45" s="375"/>
      <c r="ZT45" s="375"/>
      <c r="ZU45" s="375"/>
      <c r="ZV45" s="375"/>
      <c r="ZW45" s="375"/>
      <c r="ZX45" s="375"/>
      <c r="ZY45" s="375"/>
      <c r="ZZ45" s="375"/>
      <c r="AAA45" s="375"/>
      <c r="AAB45" s="375"/>
      <c r="AAC45" s="375"/>
      <c r="AAD45" s="375"/>
      <c r="AAE45" s="375"/>
      <c r="AAF45" s="375"/>
      <c r="AAG45" s="375"/>
      <c r="AAH45" s="375"/>
      <c r="AAI45" s="375"/>
      <c r="AAJ45" s="375"/>
      <c r="AAK45" s="375"/>
      <c r="AAL45" s="375"/>
      <c r="AAM45" s="375"/>
      <c r="AAN45" s="375"/>
      <c r="AAO45" s="375"/>
      <c r="AAP45" s="375"/>
      <c r="AAQ45" s="375"/>
      <c r="AAR45" s="375"/>
      <c r="AAS45" s="375"/>
      <c r="AAT45" s="375"/>
      <c r="AAU45" s="375"/>
      <c r="AAV45" s="375"/>
      <c r="AAW45" s="375"/>
      <c r="AAX45" s="375"/>
      <c r="AAY45" s="375"/>
      <c r="AAZ45" s="375"/>
      <c r="ABA45" s="375"/>
      <c r="ABB45" s="375"/>
      <c r="ABC45" s="375"/>
      <c r="ABD45" s="375"/>
      <c r="ABE45" s="375"/>
      <c r="ABF45" s="375"/>
      <c r="ABG45" s="375"/>
      <c r="ABH45" s="375"/>
      <c r="ABI45" s="375"/>
      <c r="ABJ45" s="375"/>
      <c r="ABK45" s="375"/>
      <c r="ABL45" s="375"/>
      <c r="ABM45" s="375"/>
      <c r="ABN45" s="375"/>
      <c r="ABO45" s="375"/>
      <c r="ABP45" s="375"/>
      <c r="ABQ45" s="375"/>
      <c r="ABR45" s="375"/>
      <c r="ABS45" s="375"/>
      <c r="ABT45" s="375"/>
      <c r="ABU45" s="375"/>
      <c r="ABV45" s="375"/>
      <c r="ABW45" s="375"/>
      <c r="ABX45" s="375"/>
      <c r="ABY45" s="375"/>
      <c r="ABZ45" s="375"/>
      <c r="ACA45" s="375"/>
      <c r="ACB45" s="375"/>
      <c r="ACC45" s="375"/>
      <c r="ACD45" s="375"/>
      <c r="ACE45" s="375"/>
      <c r="ACF45" s="375"/>
      <c r="ACG45" s="375"/>
      <c r="ACH45" s="375"/>
      <c r="ACI45" s="375"/>
      <c r="ACJ45" s="375"/>
      <c r="ACK45" s="375"/>
      <c r="ACL45" s="375"/>
      <c r="ACM45" s="375"/>
      <c r="ACN45" s="375"/>
      <c r="ACO45" s="375"/>
      <c r="ACP45" s="375"/>
      <c r="ACQ45" s="375"/>
      <c r="ACR45" s="375"/>
      <c r="ACS45" s="375"/>
      <c r="ACT45" s="375"/>
      <c r="ACU45" s="375"/>
      <c r="ACV45" s="375"/>
      <c r="ACW45" s="375"/>
      <c r="ACX45" s="375"/>
      <c r="ACY45" s="375"/>
      <c r="ACZ45" s="375"/>
      <c r="ADA45" s="375"/>
      <c r="ADB45" s="375"/>
      <c r="ADC45" s="375"/>
      <c r="ADD45" s="375"/>
      <c r="ADE45" s="375"/>
      <c r="ADF45" s="375"/>
      <c r="ADG45" s="375"/>
      <c r="ADH45" s="375"/>
      <c r="ADI45" s="375"/>
      <c r="ADJ45" s="375"/>
      <c r="ADK45" s="375"/>
      <c r="ADL45" s="375"/>
      <c r="ADM45" s="375"/>
      <c r="ADN45" s="375"/>
      <c r="ADO45" s="375"/>
      <c r="ADP45" s="375"/>
      <c r="ADQ45" s="375"/>
      <c r="ADR45" s="375"/>
      <c r="ADS45" s="375"/>
      <c r="ADT45" s="375"/>
      <c r="ADU45" s="375"/>
      <c r="ADV45" s="375"/>
      <c r="ADW45" s="375"/>
      <c r="ADX45" s="375"/>
      <c r="ADY45" s="375"/>
      <c r="ADZ45" s="375"/>
      <c r="AEA45" s="375"/>
      <c r="AEB45" s="375"/>
      <c r="AEC45" s="375"/>
      <c r="AED45" s="375"/>
      <c r="AEE45" s="375"/>
      <c r="AEF45" s="375"/>
      <c r="AEG45" s="375"/>
      <c r="AEH45" s="375"/>
      <c r="AEI45" s="375"/>
      <c r="AEJ45" s="375"/>
      <c r="AEK45" s="375"/>
      <c r="AEL45" s="375"/>
      <c r="AEM45" s="375"/>
      <c r="AEN45" s="375"/>
      <c r="AEO45" s="375"/>
      <c r="AEP45" s="375"/>
      <c r="AEQ45" s="375"/>
      <c r="AER45" s="375"/>
      <c r="AES45" s="375"/>
      <c r="AET45" s="375"/>
      <c r="AEU45" s="375"/>
      <c r="AEV45" s="375"/>
      <c r="AEW45" s="375"/>
      <c r="AEX45" s="375"/>
      <c r="AEY45" s="375"/>
      <c r="AEZ45" s="375"/>
      <c r="AFA45" s="375"/>
      <c r="AFB45" s="375"/>
      <c r="AFC45" s="375"/>
      <c r="AFD45" s="375"/>
      <c r="AFE45" s="375"/>
      <c r="AFF45" s="375"/>
      <c r="AFG45" s="375"/>
      <c r="AFH45" s="375"/>
      <c r="AFI45" s="375"/>
      <c r="AFJ45" s="375"/>
      <c r="AFK45" s="375"/>
      <c r="AFL45" s="375"/>
      <c r="AFM45" s="375"/>
      <c r="AFN45" s="375"/>
      <c r="AFO45" s="375"/>
      <c r="AFP45" s="375"/>
      <c r="AFQ45" s="375"/>
      <c r="AFR45" s="375"/>
      <c r="AFS45" s="375"/>
      <c r="AFT45" s="375"/>
      <c r="AFU45" s="375"/>
      <c r="AFV45" s="375"/>
      <c r="AFW45" s="375"/>
      <c r="AFX45" s="375"/>
      <c r="AFY45" s="375"/>
      <c r="AFZ45" s="375"/>
      <c r="AGA45" s="375"/>
      <c r="AGB45" s="375"/>
      <c r="AGC45" s="375"/>
      <c r="AGD45" s="375"/>
      <c r="AGE45" s="375"/>
      <c r="AGF45" s="375"/>
      <c r="AGG45" s="375"/>
      <c r="AGH45" s="375"/>
      <c r="AGI45" s="375"/>
      <c r="AGJ45" s="375"/>
      <c r="AGK45" s="375"/>
      <c r="AGL45" s="375"/>
      <c r="AGM45" s="375"/>
      <c r="AGN45" s="375"/>
      <c r="AGO45" s="375"/>
      <c r="AGP45" s="375"/>
      <c r="AGQ45" s="375"/>
      <c r="AGR45" s="375"/>
      <c r="AGS45" s="375"/>
      <c r="AGT45" s="375"/>
      <c r="AGU45" s="375"/>
      <c r="AGV45" s="375"/>
      <c r="AGW45" s="375"/>
      <c r="AGX45" s="375"/>
      <c r="AGY45" s="375"/>
      <c r="AGZ45" s="375"/>
      <c r="AHA45" s="375"/>
      <c r="AHB45" s="375"/>
      <c r="AHC45" s="375"/>
      <c r="AHD45" s="375"/>
      <c r="AHE45" s="375"/>
      <c r="AHF45" s="375"/>
      <c r="AHG45" s="375"/>
      <c r="AHH45" s="375"/>
      <c r="AHI45" s="375"/>
      <c r="AHJ45" s="375"/>
      <c r="AHK45" s="375"/>
      <c r="AHL45" s="375"/>
      <c r="AHM45" s="375"/>
      <c r="AHN45" s="375"/>
      <c r="AHO45" s="375"/>
      <c r="AHP45" s="375"/>
      <c r="AHQ45" s="375"/>
      <c r="AHR45" s="375"/>
      <c r="AHS45" s="375"/>
      <c r="AHT45" s="375"/>
      <c r="AHU45" s="375"/>
      <c r="AHV45" s="375"/>
      <c r="AHW45" s="375"/>
      <c r="AHX45" s="375"/>
      <c r="AHY45" s="375"/>
      <c r="AHZ45" s="375"/>
      <c r="AIA45" s="375"/>
      <c r="AIB45" s="375"/>
      <c r="AIC45" s="375"/>
      <c r="AID45" s="375"/>
      <c r="AIE45" s="375"/>
      <c r="AIF45" s="375"/>
      <c r="AIG45" s="375"/>
      <c r="AIH45" s="375"/>
      <c r="AII45" s="375"/>
      <c r="AIJ45" s="375"/>
      <c r="AIK45" s="375"/>
      <c r="AIL45" s="375"/>
      <c r="AIM45" s="375"/>
      <c r="AIN45" s="375"/>
      <c r="AIO45" s="375"/>
      <c r="AIP45" s="375"/>
      <c r="AIQ45" s="375"/>
      <c r="AIR45" s="375"/>
      <c r="AIS45" s="375"/>
      <c r="AIT45" s="375"/>
      <c r="AIU45" s="375"/>
      <c r="AIV45" s="375"/>
      <c r="AIW45" s="375"/>
      <c r="AIX45" s="375"/>
      <c r="AIY45" s="375"/>
      <c r="AIZ45" s="375"/>
      <c r="AJA45" s="375"/>
      <c r="AJB45" s="375"/>
      <c r="AJC45" s="375"/>
      <c r="AJD45" s="375"/>
      <c r="AJE45" s="375"/>
      <c r="AJF45" s="375"/>
      <c r="AJG45" s="375"/>
      <c r="AJH45" s="375"/>
      <c r="AJI45" s="375"/>
      <c r="AJJ45" s="375"/>
      <c r="AJK45" s="375"/>
      <c r="AJL45" s="375"/>
      <c r="AJM45" s="375"/>
      <c r="AJN45" s="375"/>
      <c r="AJO45" s="375"/>
      <c r="AJP45" s="375"/>
      <c r="AJQ45" s="375"/>
      <c r="AJR45" s="375"/>
      <c r="AJS45" s="375"/>
      <c r="AJT45" s="375"/>
      <c r="AJU45" s="375"/>
      <c r="AJV45" s="375"/>
      <c r="AJW45" s="375"/>
      <c r="AJX45" s="375"/>
      <c r="AJY45" s="375"/>
      <c r="AJZ45" s="375"/>
      <c r="AKA45" s="375"/>
      <c r="AKB45" s="375"/>
      <c r="AKC45" s="375"/>
      <c r="AKD45" s="375"/>
      <c r="AKE45" s="375"/>
      <c r="AKF45" s="375"/>
      <c r="AKG45" s="375"/>
      <c r="AKH45" s="375"/>
      <c r="AKI45" s="375"/>
      <c r="AKJ45" s="375"/>
      <c r="AKK45" s="375"/>
      <c r="AKL45" s="375"/>
      <c r="AKM45" s="375"/>
      <c r="AKN45" s="375"/>
      <c r="AKO45" s="375"/>
      <c r="AKP45" s="375"/>
      <c r="AKQ45" s="375"/>
      <c r="AKR45" s="375"/>
      <c r="AKS45" s="375"/>
      <c r="AKT45" s="375"/>
      <c r="AKU45" s="375"/>
      <c r="AKV45" s="375"/>
      <c r="AKW45" s="375"/>
      <c r="AKX45" s="375"/>
      <c r="AKY45" s="375"/>
      <c r="AKZ45" s="375"/>
      <c r="ALA45" s="375"/>
      <c r="ALB45" s="375"/>
      <c r="ALC45" s="375"/>
      <c r="ALD45" s="375"/>
      <c r="ALE45" s="375"/>
      <c r="ALF45" s="375"/>
      <c r="ALG45" s="375"/>
      <c r="ALH45" s="375"/>
      <c r="ALI45" s="375"/>
      <c r="ALJ45" s="375"/>
      <c r="ALK45" s="375"/>
      <c r="ALL45" s="375"/>
      <c r="ALM45" s="375"/>
      <c r="ALN45" s="375"/>
      <c r="ALO45" s="375"/>
      <c r="ALP45" s="375"/>
      <c r="ALQ45" s="375"/>
      <c r="ALR45" s="375"/>
      <c r="ALS45" s="375"/>
      <c r="ALT45" s="375"/>
      <c r="ALU45" s="375"/>
      <c r="ALV45" s="375"/>
      <c r="ALW45" s="375"/>
      <c r="ALX45" s="375"/>
      <c r="ALY45" s="375"/>
      <c r="ALZ45" s="375"/>
      <c r="AMA45" s="375"/>
      <c r="AMB45" s="375"/>
      <c r="AMC45" s="375"/>
      <c r="AMD45" s="375"/>
      <c r="AME45" s="375"/>
      <c r="AMF45" s="375"/>
      <c r="AMG45" s="375"/>
      <c r="AMH45" s="375"/>
      <c r="AMI45" s="375"/>
      <c r="AMJ45" s="375"/>
      <c r="AMK45" s="375"/>
      <c r="AML45" s="375"/>
      <c r="AMM45" s="375"/>
      <c r="AMN45" s="375"/>
      <c r="AMO45" s="375"/>
      <c r="AMP45" s="375"/>
      <c r="AMQ45" s="375"/>
      <c r="AMR45" s="375"/>
      <c r="AMS45" s="375"/>
      <c r="AMT45" s="375"/>
      <c r="AMU45" s="375"/>
      <c r="AMV45" s="375"/>
      <c r="AMW45" s="375"/>
      <c r="AMX45" s="375"/>
      <c r="AMY45" s="375"/>
      <c r="AMZ45" s="375"/>
      <c r="ANA45" s="375"/>
      <c r="ANB45" s="375"/>
      <c r="ANC45" s="375"/>
      <c r="AND45" s="375"/>
      <c r="ANE45" s="375"/>
      <c r="ANF45" s="375"/>
      <c r="ANG45" s="375"/>
      <c r="ANH45" s="375"/>
      <c r="ANI45" s="375"/>
      <c r="ANJ45" s="375"/>
      <c r="ANK45" s="375"/>
      <c r="ANL45" s="375"/>
      <c r="ANM45" s="375"/>
      <c r="ANN45" s="375"/>
      <c r="ANO45" s="375"/>
      <c r="ANP45" s="375"/>
      <c r="ANQ45" s="375"/>
      <c r="ANR45" s="375"/>
      <c r="ANS45" s="375"/>
      <c r="ANT45" s="375"/>
      <c r="ANU45" s="375"/>
      <c r="ANV45" s="375"/>
      <c r="ANW45" s="375"/>
      <c r="ANX45" s="375"/>
      <c r="ANY45" s="375"/>
      <c r="ANZ45" s="375"/>
      <c r="AOA45" s="375"/>
      <c r="AOB45" s="375"/>
      <c r="AOC45" s="375"/>
      <c r="AOD45" s="375"/>
      <c r="AOE45" s="375"/>
      <c r="AOF45" s="375"/>
      <c r="AOG45" s="375"/>
      <c r="AOH45" s="375"/>
      <c r="AOI45" s="375"/>
      <c r="AOJ45" s="375"/>
      <c r="AOK45" s="375"/>
      <c r="AOL45" s="375"/>
      <c r="AOM45" s="375"/>
      <c r="AON45" s="375"/>
      <c r="AOO45" s="375"/>
      <c r="AOP45" s="375"/>
      <c r="AOQ45" s="375"/>
      <c r="AOR45" s="375"/>
      <c r="AOS45" s="375"/>
      <c r="AOT45" s="375"/>
      <c r="AOU45" s="375"/>
      <c r="AOV45" s="375"/>
      <c r="AOW45" s="375"/>
      <c r="AOX45" s="375"/>
      <c r="AOY45" s="375"/>
      <c r="AOZ45" s="375"/>
      <c r="APA45" s="375"/>
      <c r="APB45" s="375"/>
      <c r="APC45" s="375"/>
      <c r="APD45" s="375"/>
      <c r="APE45" s="375"/>
      <c r="APF45" s="375"/>
      <c r="APG45" s="375"/>
      <c r="APH45" s="375"/>
      <c r="API45" s="375"/>
      <c r="APJ45" s="375"/>
      <c r="APK45" s="375"/>
      <c r="APL45" s="375"/>
      <c r="APM45" s="375"/>
      <c r="APN45" s="375"/>
      <c r="APO45" s="375"/>
      <c r="APP45" s="375"/>
      <c r="APQ45" s="375"/>
      <c r="APR45" s="375"/>
      <c r="APS45" s="375"/>
      <c r="APT45" s="375"/>
      <c r="APU45" s="375"/>
      <c r="APV45" s="375"/>
      <c r="APW45" s="375"/>
      <c r="APX45" s="375"/>
      <c r="APY45" s="375"/>
      <c r="APZ45" s="375"/>
      <c r="AQA45" s="375"/>
      <c r="AQB45" s="375"/>
      <c r="AQC45" s="375"/>
      <c r="AQD45" s="375"/>
      <c r="AQE45" s="375"/>
      <c r="AQF45" s="375"/>
      <c r="AQG45" s="375"/>
      <c r="AQH45" s="375"/>
      <c r="AQI45" s="375"/>
      <c r="AQJ45" s="375"/>
      <c r="AQK45" s="375"/>
      <c r="AQL45" s="375"/>
      <c r="AQM45" s="375"/>
      <c r="AQN45" s="375"/>
      <c r="AQO45" s="375"/>
      <c r="AQP45" s="375"/>
      <c r="AQQ45" s="375"/>
      <c r="AQR45" s="375"/>
      <c r="AQS45" s="375"/>
      <c r="AQT45" s="375"/>
      <c r="AQU45" s="375"/>
      <c r="AQV45" s="375"/>
      <c r="AQW45" s="375"/>
      <c r="AQX45" s="375"/>
      <c r="AQY45" s="375"/>
      <c r="AQZ45" s="375"/>
      <c r="ARA45" s="375"/>
      <c r="ARB45" s="375"/>
      <c r="ARC45" s="375"/>
      <c r="ARD45" s="375"/>
      <c r="ARE45" s="375"/>
      <c r="ARF45" s="375"/>
      <c r="ARG45" s="375"/>
      <c r="ARH45" s="375"/>
      <c r="ARI45" s="375"/>
      <c r="ARJ45" s="375"/>
      <c r="ARK45" s="375"/>
      <c r="ARL45" s="375"/>
      <c r="ARM45" s="375"/>
      <c r="ARN45" s="375"/>
      <c r="ARO45" s="375"/>
      <c r="ARP45" s="375"/>
      <c r="ARQ45" s="375"/>
      <c r="ARR45" s="375"/>
      <c r="ARS45" s="375"/>
      <c r="ART45" s="375"/>
      <c r="ARU45" s="375"/>
      <c r="ARV45" s="375"/>
      <c r="ARW45" s="375"/>
      <c r="ARX45" s="375"/>
      <c r="ARY45" s="375"/>
      <c r="ARZ45" s="375"/>
      <c r="ASA45" s="375"/>
      <c r="ASB45" s="375"/>
      <c r="ASC45" s="375"/>
      <c r="ASD45" s="375"/>
      <c r="ASE45" s="375"/>
      <c r="ASF45" s="375"/>
      <c r="ASG45" s="375"/>
      <c r="ASH45" s="375"/>
      <c r="ASI45" s="375"/>
      <c r="ASJ45" s="375"/>
      <c r="ASK45" s="375"/>
      <c r="ASL45" s="375"/>
      <c r="ASM45" s="375"/>
      <c r="ASN45" s="375"/>
      <c r="ASO45" s="375"/>
      <c r="ASP45" s="375"/>
      <c r="ASQ45" s="375"/>
      <c r="ASR45" s="375"/>
      <c r="ASS45" s="375"/>
      <c r="AST45" s="375"/>
      <c r="ASU45" s="375"/>
      <c r="ASV45" s="375"/>
      <c r="ASW45" s="375"/>
      <c r="ASX45" s="375"/>
      <c r="ASY45" s="375"/>
      <c r="ASZ45" s="375"/>
      <c r="ATA45" s="375"/>
      <c r="ATB45" s="375"/>
      <c r="ATC45" s="375"/>
      <c r="ATD45" s="375"/>
      <c r="ATE45" s="375"/>
      <c r="ATF45" s="375"/>
      <c r="ATG45" s="375"/>
      <c r="ATH45" s="375"/>
      <c r="ATI45" s="375"/>
      <c r="ATJ45" s="375"/>
      <c r="ATK45" s="375"/>
      <c r="ATL45" s="375"/>
      <c r="ATM45" s="375"/>
      <c r="ATN45" s="375"/>
      <c r="ATO45" s="375"/>
      <c r="ATP45" s="375"/>
      <c r="ATQ45" s="375"/>
      <c r="ATR45" s="375"/>
      <c r="ATS45" s="375"/>
      <c r="ATT45" s="375"/>
      <c r="ATU45" s="375"/>
      <c r="ATV45" s="375"/>
      <c r="ATW45" s="375"/>
      <c r="ATX45" s="375"/>
      <c r="ATY45" s="375"/>
      <c r="ATZ45" s="375"/>
      <c r="AUA45" s="375"/>
      <c r="AUB45" s="375"/>
      <c r="AUC45" s="375"/>
      <c r="AUD45" s="375"/>
      <c r="AUE45" s="375"/>
      <c r="AUF45" s="375"/>
      <c r="AUG45" s="375"/>
      <c r="AUH45" s="375"/>
      <c r="AUI45" s="375"/>
      <c r="AUJ45" s="375"/>
      <c r="AUK45" s="375"/>
      <c r="AUL45" s="375"/>
      <c r="AUM45" s="375"/>
      <c r="AUN45" s="375"/>
      <c r="AUO45" s="375"/>
      <c r="AUP45" s="375"/>
      <c r="AUQ45" s="375"/>
      <c r="AUR45" s="375"/>
      <c r="AUS45" s="375"/>
      <c r="AUT45" s="375"/>
      <c r="AUU45" s="375"/>
      <c r="AUV45" s="375"/>
      <c r="AUW45" s="375"/>
      <c r="AUX45" s="375"/>
      <c r="AUY45" s="375"/>
      <c r="AUZ45" s="375"/>
      <c r="AVA45" s="375"/>
      <c r="AVB45" s="375"/>
      <c r="AVC45" s="375"/>
      <c r="AVD45" s="375"/>
      <c r="AVE45" s="375"/>
      <c r="AVF45" s="375"/>
      <c r="AVG45" s="375"/>
      <c r="AVH45" s="375"/>
      <c r="AVI45" s="375"/>
      <c r="AVJ45" s="375"/>
      <c r="AVK45" s="375"/>
      <c r="AVL45" s="375"/>
      <c r="AVM45" s="375"/>
      <c r="AVN45" s="375"/>
      <c r="AVO45" s="375"/>
      <c r="AVP45" s="375"/>
      <c r="AVQ45" s="375"/>
      <c r="AVR45" s="375"/>
      <c r="AVS45" s="375"/>
      <c r="AVT45" s="375"/>
      <c r="AVU45" s="375"/>
      <c r="AVV45" s="375"/>
      <c r="AVW45" s="375"/>
      <c r="AVX45" s="375"/>
      <c r="AVY45" s="375"/>
      <c r="AVZ45" s="375"/>
      <c r="AWA45" s="375"/>
      <c r="AWB45" s="375"/>
      <c r="AWC45" s="375"/>
      <c r="AWD45" s="375"/>
      <c r="AWE45" s="375"/>
      <c r="AWF45" s="375"/>
      <c r="AWG45" s="375"/>
      <c r="AWH45" s="375"/>
      <c r="AWI45" s="375"/>
      <c r="AWJ45" s="375"/>
      <c r="AWK45" s="375"/>
      <c r="AWL45" s="375"/>
      <c r="AWM45" s="375"/>
      <c r="AWN45" s="375"/>
      <c r="AWO45" s="375"/>
      <c r="AWP45" s="375"/>
      <c r="AWQ45" s="375"/>
      <c r="AWR45" s="375"/>
      <c r="AWS45" s="375"/>
      <c r="AWT45" s="375"/>
      <c r="AWU45" s="375"/>
      <c r="AWV45" s="375"/>
      <c r="AWW45" s="375"/>
      <c r="AWX45" s="375"/>
      <c r="AWY45" s="375"/>
      <c r="AWZ45" s="375"/>
      <c r="AXA45" s="375"/>
      <c r="AXB45" s="375"/>
      <c r="AXC45" s="375"/>
      <c r="AXD45" s="375"/>
      <c r="AXE45" s="375"/>
      <c r="AXF45" s="375"/>
      <c r="AXG45" s="375"/>
      <c r="AXH45" s="375"/>
      <c r="AXI45" s="375"/>
      <c r="AXJ45" s="375"/>
      <c r="AXK45" s="375"/>
      <c r="AXL45" s="375"/>
      <c r="AXM45" s="375"/>
      <c r="AXN45" s="375"/>
      <c r="AXO45" s="375"/>
      <c r="AXP45" s="375"/>
      <c r="AXQ45" s="375"/>
      <c r="AXR45" s="375"/>
      <c r="AXS45" s="375"/>
      <c r="AXT45" s="375"/>
      <c r="AXU45" s="375"/>
      <c r="AXV45" s="375"/>
      <c r="AXW45" s="375"/>
      <c r="AXX45" s="375"/>
      <c r="AXY45" s="375"/>
      <c r="AXZ45" s="375"/>
      <c r="AYA45" s="375"/>
      <c r="AYB45" s="375"/>
      <c r="AYC45" s="375"/>
      <c r="AYD45" s="375"/>
      <c r="AYE45" s="375"/>
      <c r="AYF45" s="375"/>
      <c r="AYG45" s="375"/>
      <c r="AYH45" s="375"/>
      <c r="AYI45" s="375"/>
      <c r="AYJ45" s="375"/>
      <c r="AYK45" s="375"/>
      <c r="AYL45" s="375"/>
      <c r="AYM45" s="375"/>
      <c r="AYN45" s="375"/>
      <c r="AYO45" s="375"/>
      <c r="AYP45" s="375"/>
      <c r="AYQ45" s="375"/>
      <c r="AYR45" s="375"/>
      <c r="AYS45" s="375"/>
      <c r="AYT45" s="375"/>
      <c r="AYU45" s="375"/>
      <c r="AYV45" s="375"/>
      <c r="AYW45" s="375"/>
      <c r="AYX45" s="375"/>
      <c r="AYY45" s="375"/>
      <c r="AYZ45" s="375"/>
      <c r="AZA45" s="375"/>
      <c r="AZB45" s="375"/>
      <c r="AZC45" s="375"/>
      <c r="AZD45" s="375"/>
      <c r="AZE45" s="375"/>
      <c r="AZF45" s="375"/>
      <c r="AZG45" s="375"/>
      <c r="AZH45" s="375"/>
      <c r="AZI45" s="375"/>
      <c r="AZJ45" s="375"/>
      <c r="AZK45" s="375"/>
      <c r="AZL45" s="375"/>
      <c r="AZM45" s="375"/>
      <c r="AZN45" s="375"/>
      <c r="AZO45" s="375"/>
      <c r="AZP45" s="375"/>
      <c r="AZQ45" s="375"/>
      <c r="AZR45" s="375"/>
      <c r="AZS45" s="375"/>
      <c r="AZT45" s="375"/>
      <c r="AZU45" s="375"/>
      <c r="AZV45" s="375"/>
      <c r="AZW45" s="375"/>
      <c r="AZX45" s="375"/>
      <c r="AZY45" s="375"/>
      <c r="AZZ45" s="375"/>
      <c r="BAA45" s="375"/>
      <c r="BAB45" s="375"/>
      <c r="BAC45" s="375"/>
      <c r="BAD45" s="375"/>
      <c r="BAE45" s="375"/>
      <c r="BAF45" s="375"/>
      <c r="BAG45" s="375"/>
      <c r="BAH45" s="375"/>
      <c r="BAI45" s="375"/>
      <c r="BAJ45" s="375"/>
      <c r="BAK45" s="375"/>
      <c r="BAL45" s="375"/>
      <c r="BAM45" s="375"/>
      <c r="BAN45" s="375"/>
      <c r="BAO45" s="375"/>
      <c r="BAP45" s="375"/>
      <c r="BAQ45" s="375"/>
      <c r="BAR45" s="375"/>
      <c r="BAS45" s="375"/>
      <c r="BAT45" s="375"/>
      <c r="BAU45" s="375"/>
      <c r="BAV45" s="375"/>
      <c r="BAW45" s="375"/>
      <c r="BAX45" s="375"/>
      <c r="BAY45" s="375"/>
      <c r="BAZ45" s="375"/>
      <c r="BBA45" s="375"/>
      <c r="BBB45" s="375"/>
      <c r="BBC45" s="375"/>
      <c r="BBD45" s="375"/>
      <c r="BBE45" s="375"/>
      <c r="BBF45" s="375"/>
      <c r="BBG45" s="375"/>
      <c r="BBH45" s="375"/>
      <c r="BBI45" s="375"/>
      <c r="BBJ45" s="375"/>
      <c r="BBK45" s="375"/>
      <c r="BBL45" s="375"/>
      <c r="BBM45" s="375"/>
      <c r="BBN45" s="375"/>
      <c r="BBO45" s="375"/>
      <c r="BBP45" s="375"/>
      <c r="BBQ45" s="375"/>
      <c r="BBR45" s="375"/>
      <c r="BBS45" s="375"/>
      <c r="BBT45" s="375"/>
      <c r="BBU45" s="375"/>
      <c r="BBV45" s="375"/>
      <c r="BBW45" s="375"/>
      <c r="BBX45" s="375"/>
      <c r="BBY45" s="375"/>
      <c r="BBZ45" s="375"/>
      <c r="BCA45" s="375"/>
      <c r="BCB45" s="375"/>
      <c r="BCC45" s="375"/>
      <c r="BCD45" s="375"/>
      <c r="BCE45" s="375"/>
      <c r="BCF45" s="375"/>
      <c r="BCG45" s="375"/>
      <c r="BCH45" s="375"/>
      <c r="BCI45" s="375"/>
      <c r="BCJ45" s="375"/>
      <c r="BCK45" s="375"/>
      <c r="BCL45" s="375"/>
      <c r="BCM45" s="375"/>
      <c r="BCN45" s="375"/>
      <c r="BCO45" s="375"/>
      <c r="BCP45" s="375"/>
      <c r="BCQ45" s="375"/>
      <c r="BCR45" s="375"/>
      <c r="BCS45" s="375"/>
      <c r="BCT45" s="375"/>
      <c r="BCU45" s="375"/>
      <c r="BCV45" s="375"/>
      <c r="BCW45" s="375"/>
      <c r="BCX45" s="375"/>
      <c r="BCY45" s="375"/>
      <c r="BCZ45" s="375"/>
      <c r="BDA45" s="375"/>
      <c r="BDB45" s="375"/>
      <c r="BDC45" s="375"/>
      <c r="BDD45" s="375"/>
      <c r="BDE45" s="375"/>
      <c r="BDF45" s="375"/>
      <c r="BDG45" s="375"/>
      <c r="BDH45" s="375"/>
      <c r="BDI45" s="375"/>
      <c r="BDJ45" s="375"/>
      <c r="BDK45" s="375"/>
      <c r="BDL45" s="375"/>
      <c r="BDM45" s="375"/>
      <c r="BDN45" s="375"/>
      <c r="BDO45" s="375"/>
      <c r="BDP45" s="375"/>
      <c r="BDQ45" s="375"/>
      <c r="BDR45" s="375"/>
      <c r="BDS45" s="375"/>
      <c r="BDT45" s="375"/>
      <c r="BDU45" s="375"/>
      <c r="BDV45" s="375"/>
      <c r="BDW45" s="375"/>
      <c r="BDX45" s="375"/>
      <c r="BDY45" s="375"/>
      <c r="BDZ45" s="375"/>
      <c r="BEA45" s="375"/>
      <c r="BEB45" s="375"/>
      <c r="BEC45" s="375"/>
      <c r="BED45" s="375"/>
      <c r="BEE45" s="375"/>
      <c r="BEF45" s="375"/>
      <c r="BEG45" s="375"/>
      <c r="BEH45" s="375"/>
      <c r="BEI45" s="375"/>
      <c r="BEJ45" s="375"/>
      <c r="BEK45" s="375"/>
      <c r="BEL45" s="375"/>
      <c r="BEM45" s="375"/>
      <c r="BEN45" s="375"/>
      <c r="BEO45" s="375"/>
      <c r="BEP45" s="375"/>
      <c r="BEQ45" s="375"/>
      <c r="BER45" s="375"/>
      <c r="BES45" s="375"/>
      <c r="BET45" s="375"/>
      <c r="BEU45" s="375"/>
      <c r="BEV45" s="375"/>
      <c r="BEW45" s="375"/>
      <c r="BEX45" s="375"/>
      <c r="BEY45" s="375"/>
      <c r="BEZ45" s="375"/>
      <c r="BFA45" s="375"/>
      <c r="BFB45" s="375"/>
      <c r="BFC45" s="375"/>
      <c r="BFD45" s="375"/>
      <c r="BFE45" s="375"/>
      <c r="BFF45" s="375"/>
      <c r="BFG45" s="375"/>
      <c r="BFH45" s="375"/>
      <c r="BFI45" s="375"/>
      <c r="BFJ45" s="375"/>
      <c r="BFK45" s="375"/>
      <c r="BFL45" s="375"/>
      <c r="BFM45" s="375"/>
      <c r="BFN45" s="375"/>
      <c r="BFO45" s="375"/>
      <c r="BFP45" s="375"/>
      <c r="BFQ45" s="375"/>
      <c r="BFR45" s="375"/>
      <c r="BFS45" s="375"/>
      <c r="BFT45" s="375"/>
      <c r="BFU45" s="375"/>
      <c r="BFV45" s="375"/>
      <c r="BFW45" s="375"/>
      <c r="BFX45" s="375"/>
      <c r="BFY45" s="375"/>
      <c r="BFZ45" s="375"/>
      <c r="BGA45" s="375"/>
      <c r="BGB45" s="375"/>
      <c r="BGC45" s="375"/>
      <c r="BGD45" s="375"/>
      <c r="BGE45" s="375"/>
      <c r="BGF45" s="375"/>
      <c r="BGG45" s="375"/>
      <c r="BGH45" s="375"/>
      <c r="BGI45" s="375"/>
      <c r="BGJ45" s="375"/>
      <c r="BGK45" s="375"/>
      <c r="BGL45" s="375"/>
      <c r="BGM45" s="375"/>
      <c r="BGN45" s="375"/>
      <c r="BGO45" s="375"/>
      <c r="BGP45" s="375"/>
      <c r="BGQ45" s="375"/>
      <c r="BGR45" s="375"/>
      <c r="BGS45" s="375"/>
      <c r="BGT45" s="375"/>
      <c r="BGU45" s="375"/>
      <c r="BGV45" s="375"/>
      <c r="BGW45" s="375"/>
      <c r="BGX45" s="375"/>
      <c r="BGY45" s="375"/>
      <c r="BGZ45" s="375"/>
      <c r="BHA45" s="375"/>
      <c r="BHB45" s="375"/>
      <c r="BHC45" s="375"/>
      <c r="BHD45" s="375"/>
      <c r="BHE45" s="375"/>
      <c r="BHF45" s="375"/>
      <c r="BHG45" s="375"/>
      <c r="BHH45" s="375"/>
      <c r="BHI45" s="375"/>
      <c r="BHJ45" s="375"/>
      <c r="BHK45" s="375"/>
      <c r="BHL45" s="375"/>
      <c r="BHM45" s="375"/>
      <c r="BHN45" s="375"/>
      <c r="BHO45" s="375"/>
      <c r="BHP45" s="375"/>
      <c r="BHQ45" s="375"/>
      <c r="BHR45" s="375"/>
      <c r="BHS45" s="375"/>
      <c r="BHT45" s="375"/>
      <c r="BHU45" s="375"/>
      <c r="BHV45" s="375"/>
      <c r="BHW45" s="375"/>
      <c r="BHX45" s="375"/>
      <c r="BHY45" s="375"/>
      <c r="BHZ45" s="375"/>
      <c r="BIA45" s="375"/>
      <c r="BIB45" s="375"/>
      <c r="BIC45" s="375"/>
      <c r="BID45" s="375"/>
      <c r="BIE45" s="375"/>
      <c r="BIF45" s="375"/>
      <c r="BIG45" s="375"/>
      <c r="BIH45" s="375"/>
      <c r="BII45" s="375"/>
      <c r="BIJ45" s="375"/>
      <c r="BIK45" s="375"/>
      <c r="BIL45" s="375"/>
      <c r="BIM45" s="375"/>
      <c r="BIN45" s="375"/>
      <c r="BIO45" s="375"/>
      <c r="BIP45" s="375"/>
      <c r="BIQ45" s="375"/>
      <c r="BIR45" s="375"/>
      <c r="BIS45" s="375"/>
      <c r="BIT45" s="375"/>
      <c r="BIU45" s="375"/>
      <c r="BIV45" s="375"/>
      <c r="BIW45" s="375"/>
      <c r="BIX45" s="375"/>
      <c r="BIY45" s="375"/>
      <c r="BIZ45" s="375"/>
      <c r="BJA45" s="375"/>
      <c r="BJB45" s="375"/>
      <c r="BJC45" s="375"/>
      <c r="BJD45" s="375"/>
      <c r="BJE45" s="375"/>
      <c r="BJF45" s="375"/>
      <c r="BJG45" s="375"/>
      <c r="BJH45" s="375"/>
      <c r="BJI45" s="375"/>
      <c r="BJJ45" s="375"/>
      <c r="BJK45" s="375"/>
      <c r="BJL45" s="375"/>
      <c r="BJM45" s="375"/>
      <c r="BJN45" s="375"/>
      <c r="BJO45" s="375"/>
      <c r="BJP45" s="375"/>
      <c r="BJQ45" s="375"/>
      <c r="BJR45" s="375"/>
      <c r="BJS45" s="375"/>
      <c r="BJT45" s="375"/>
      <c r="BJU45" s="375"/>
      <c r="BJV45" s="375"/>
      <c r="BJW45" s="375"/>
      <c r="BJX45" s="375"/>
      <c r="BJY45" s="375"/>
      <c r="BJZ45" s="375"/>
      <c r="BKA45" s="375"/>
      <c r="BKB45" s="375"/>
      <c r="BKC45" s="375"/>
      <c r="BKD45" s="375"/>
      <c r="BKE45" s="375"/>
      <c r="BKF45" s="375"/>
      <c r="BKG45" s="375"/>
      <c r="BKH45" s="375"/>
      <c r="BKI45" s="375"/>
      <c r="BKJ45" s="375"/>
      <c r="BKK45" s="375"/>
      <c r="BKL45" s="375"/>
      <c r="BKM45" s="375"/>
      <c r="BKN45" s="375"/>
      <c r="BKO45" s="375"/>
      <c r="BKP45" s="375"/>
      <c r="BKQ45" s="375"/>
      <c r="BKR45" s="375"/>
      <c r="BKS45" s="375"/>
      <c r="BKT45" s="375"/>
      <c r="BKU45" s="375"/>
      <c r="BKV45" s="375"/>
      <c r="BKW45" s="375"/>
      <c r="BKX45" s="375"/>
      <c r="BKY45" s="375"/>
      <c r="BKZ45" s="375"/>
      <c r="BLA45" s="375"/>
      <c r="BLB45" s="375"/>
      <c r="BLC45" s="375"/>
      <c r="BLD45" s="375"/>
      <c r="BLE45" s="375"/>
      <c r="BLF45" s="375"/>
      <c r="BLG45" s="375"/>
      <c r="BLH45" s="375"/>
      <c r="BLI45" s="375"/>
      <c r="BLJ45" s="375"/>
      <c r="BLK45" s="375"/>
      <c r="BLL45" s="375"/>
      <c r="BLM45" s="375"/>
      <c r="BLN45" s="375"/>
      <c r="BLO45" s="375"/>
      <c r="BLP45" s="375"/>
      <c r="BLQ45" s="375"/>
      <c r="BLR45" s="375"/>
      <c r="BLS45" s="375"/>
      <c r="BLT45" s="375"/>
      <c r="BLU45" s="375"/>
      <c r="BLV45" s="375"/>
      <c r="BLW45" s="375"/>
      <c r="BLX45" s="375"/>
      <c r="BLY45" s="375"/>
      <c r="BLZ45" s="375"/>
      <c r="BMA45" s="375"/>
      <c r="BMB45" s="375"/>
      <c r="BMC45" s="375"/>
      <c r="BMD45" s="375"/>
      <c r="BME45" s="375"/>
      <c r="BMF45" s="375"/>
      <c r="BMG45" s="375"/>
      <c r="BMH45" s="375"/>
      <c r="BMI45" s="375"/>
      <c r="BMJ45" s="375"/>
      <c r="BMK45" s="375"/>
      <c r="BML45" s="375"/>
      <c r="BMM45" s="375"/>
      <c r="BMN45" s="375"/>
      <c r="BMO45" s="375"/>
      <c r="BMP45" s="375"/>
      <c r="BMQ45" s="375"/>
      <c r="BMR45" s="375"/>
      <c r="BMS45" s="375"/>
      <c r="BMT45" s="375"/>
      <c r="BMU45" s="375"/>
      <c r="BMV45" s="375"/>
      <c r="BMW45" s="375"/>
      <c r="BMX45" s="375"/>
      <c r="BMY45" s="375"/>
      <c r="BMZ45" s="375"/>
      <c r="BNA45" s="375"/>
      <c r="BNB45" s="375"/>
      <c r="BNC45" s="375"/>
      <c r="BND45" s="375"/>
      <c r="BNE45" s="375"/>
      <c r="BNF45" s="375"/>
      <c r="BNG45" s="375"/>
      <c r="BNH45" s="375"/>
      <c r="BNI45" s="375"/>
      <c r="BNJ45" s="375"/>
      <c r="BNK45" s="375"/>
      <c r="BNL45" s="375"/>
      <c r="BNM45" s="375"/>
      <c r="BNN45" s="375"/>
      <c r="BNO45" s="375"/>
      <c r="BNP45" s="375"/>
      <c r="BNQ45" s="375"/>
      <c r="BNR45" s="375"/>
      <c r="BNS45" s="375"/>
      <c r="BNT45" s="375"/>
      <c r="BNU45" s="375"/>
      <c r="BNV45" s="375"/>
      <c r="BNW45" s="375"/>
      <c r="BNX45" s="375"/>
      <c r="BNY45" s="375"/>
      <c r="BNZ45" s="375"/>
      <c r="BOA45" s="375"/>
      <c r="BOB45" s="375"/>
      <c r="BOC45" s="375"/>
      <c r="BOD45" s="375"/>
      <c r="BOE45" s="375"/>
      <c r="BOF45" s="375"/>
      <c r="BOG45" s="375"/>
      <c r="BOH45" s="375"/>
      <c r="BOI45" s="375"/>
      <c r="BOJ45" s="375"/>
      <c r="BOK45" s="375"/>
      <c r="BOL45" s="375"/>
      <c r="BOM45" s="375"/>
      <c r="BON45" s="375"/>
      <c r="BOO45" s="375"/>
      <c r="BOP45" s="375"/>
      <c r="BOQ45" s="375"/>
      <c r="BOR45" s="375"/>
      <c r="BOS45" s="375"/>
      <c r="BOT45" s="375"/>
      <c r="BOU45" s="375"/>
      <c r="BOV45" s="375"/>
      <c r="BOW45" s="375"/>
      <c r="BOX45" s="375"/>
      <c r="BOY45" s="375"/>
      <c r="BOZ45" s="375"/>
      <c r="BPA45" s="375"/>
      <c r="BPB45" s="375"/>
      <c r="BPC45" s="375"/>
      <c r="BPD45" s="375"/>
      <c r="BPE45" s="375"/>
      <c r="BPF45" s="375"/>
      <c r="BPG45" s="375"/>
      <c r="BPH45" s="375"/>
      <c r="BPI45" s="375"/>
      <c r="BPJ45" s="375"/>
      <c r="BPK45" s="375"/>
      <c r="BPL45" s="375"/>
      <c r="BPM45" s="375"/>
      <c r="BPN45" s="375"/>
      <c r="BPO45" s="375"/>
      <c r="BPP45" s="375"/>
      <c r="BPQ45" s="375"/>
      <c r="BPR45" s="375"/>
      <c r="BPS45" s="375"/>
      <c r="BPT45" s="375"/>
      <c r="BPU45" s="375"/>
      <c r="BPV45" s="375"/>
      <c r="BPW45" s="375"/>
      <c r="BPX45" s="375"/>
      <c r="BPY45" s="375"/>
      <c r="BPZ45" s="375"/>
      <c r="BQA45" s="375"/>
      <c r="BQB45" s="375"/>
      <c r="BQC45" s="375"/>
      <c r="BQD45" s="375"/>
      <c r="BQE45" s="375"/>
      <c r="BQF45" s="375"/>
      <c r="BQG45" s="375"/>
      <c r="BQH45" s="375"/>
      <c r="BQI45" s="375"/>
      <c r="BQJ45" s="375"/>
      <c r="BQK45" s="375"/>
      <c r="BQL45" s="375"/>
      <c r="BQM45" s="375"/>
      <c r="BQN45" s="375"/>
      <c r="BQO45" s="375"/>
      <c r="BQP45" s="375"/>
      <c r="BQQ45" s="375"/>
      <c r="BQR45" s="375"/>
      <c r="BQS45" s="375"/>
      <c r="BQT45" s="375"/>
      <c r="BQU45" s="375"/>
      <c r="BQV45" s="375"/>
      <c r="BQW45" s="375"/>
      <c r="BQX45" s="375"/>
      <c r="BQY45" s="375"/>
      <c r="BQZ45" s="375"/>
      <c r="BRA45" s="375"/>
      <c r="BRB45" s="375"/>
      <c r="BRC45" s="375"/>
      <c r="BRD45" s="375"/>
      <c r="BRE45" s="375"/>
      <c r="BRF45" s="375"/>
      <c r="BRG45" s="375"/>
      <c r="BRH45" s="375"/>
      <c r="BRI45" s="375"/>
      <c r="BRJ45" s="375"/>
      <c r="BRK45" s="375"/>
      <c r="BRL45" s="375"/>
      <c r="BRM45" s="375"/>
      <c r="BRN45" s="375"/>
      <c r="BRO45" s="375"/>
      <c r="BRP45" s="375"/>
      <c r="BRQ45" s="375"/>
      <c r="BRR45" s="375"/>
      <c r="BRS45" s="375"/>
      <c r="BRT45" s="375"/>
      <c r="BRU45" s="375"/>
      <c r="BRV45" s="375"/>
      <c r="BRW45" s="375"/>
      <c r="BRX45" s="375"/>
      <c r="BRY45" s="375"/>
      <c r="BRZ45" s="375"/>
      <c r="BSA45" s="375"/>
      <c r="BSB45" s="375"/>
      <c r="BSC45" s="375"/>
      <c r="BSD45" s="375"/>
      <c r="BSE45" s="375"/>
      <c r="BSF45" s="375"/>
      <c r="BSG45" s="375"/>
      <c r="BSH45" s="375"/>
      <c r="BSI45" s="375"/>
      <c r="BSJ45" s="375"/>
      <c r="BSK45" s="375"/>
      <c r="BSL45" s="375"/>
      <c r="BSM45" s="375"/>
      <c r="BSN45" s="375"/>
      <c r="BSO45" s="375"/>
      <c r="BSP45" s="375"/>
      <c r="BSQ45" s="375"/>
      <c r="BSR45" s="375"/>
      <c r="BSS45" s="375"/>
      <c r="BST45" s="375"/>
      <c r="BSU45" s="375"/>
      <c r="BSV45" s="375"/>
      <c r="BSW45" s="375"/>
      <c r="BSX45" s="375"/>
      <c r="BSY45" s="375"/>
      <c r="BSZ45" s="375"/>
      <c r="BTA45" s="375"/>
      <c r="BTB45" s="375"/>
      <c r="BTC45" s="375"/>
      <c r="BTD45" s="375"/>
      <c r="BTE45" s="375"/>
      <c r="BTF45" s="375"/>
      <c r="BTG45" s="375"/>
      <c r="BTH45" s="375"/>
      <c r="BTI45" s="375"/>
      <c r="BTJ45" s="375"/>
      <c r="BTK45" s="375"/>
      <c r="BTL45" s="375"/>
      <c r="BTM45" s="375"/>
      <c r="BTN45" s="375"/>
      <c r="BTO45" s="375"/>
      <c r="BTP45" s="375"/>
      <c r="BTQ45" s="375"/>
      <c r="BTR45" s="375"/>
      <c r="BTS45" s="375"/>
      <c r="BTT45" s="375"/>
      <c r="BTU45" s="375"/>
      <c r="BTV45" s="375"/>
      <c r="BTW45" s="375"/>
      <c r="BTX45" s="375"/>
      <c r="BTY45" s="375"/>
      <c r="BTZ45" s="375"/>
      <c r="BUA45" s="375"/>
      <c r="BUB45" s="375"/>
      <c r="BUC45" s="375"/>
      <c r="BUD45" s="375"/>
      <c r="BUE45" s="375"/>
      <c r="BUF45" s="375"/>
      <c r="BUG45" s="375"/>
      <c r="BUH45" s="375"/>
      <c r="BUI45" s="375"/>
      <c r="BUJ45" s="375"/>
      <c r="BUK45" s="375"/>
      <c r="BUL45" s="375"/>
      <c r="BUM45" s="375"/>
      <c r="BUN45" s="375"/>
      <c r="BUO45" s="375"/>
      <c r="BUP45" s="375"/>
      <c r="BUQ45" s="375"/>
      <c r="BUR45" s="375"/>
      <c r="BUS45" s="375"/>
      <c r="BUT45" s="375"/>
      <c r="BUU45" s="375"/>
      <c r="BUV45" s="375"/>
      <c r="BUW45" s="375"/>
      <c r="BUX45" s="375"/>
      <c r="BUY45" s="375"/>
      <c r="BUZ45" s="375"/>
      <c r="BVA45" s="375"/>
      <c r="BVB45" s="375"/>
      <c r="BVC45" s="375"/>
      <c r="BVD45" s="375"/>
      <c r="BVE45" s="375"/>
      <c r="BVF45" s="375"/>
      <c r="BVG45" s="375"/>
      <c r="BVH45" s="375"/>
      <c r="BVI45" s="375"/>
      <c r="BVJ45" s="375"/>
      <c r="BVK45" s="375"/>
      <c r="BVL45" s="375"/>
      <c r="BVM45" s="375"/>
      <c r="BVN45" s="375"/>
      <c r="BVO45" s="375"/>
      <c r="BVP45" s="375"/>
      <c r="BVQ45" s="375"/>
      <c r="BVR45" s="375"/>
      <c r="BVS45" s="375"/>
      <c r="BVT45" s="375"/>
      <c r="BVU45" s="375"/>
      <c r="BVV45" s="375"/>
      <c r="BVW45" s="375"/>
      <c r="BVX45" s="375"/>
      <c r="BVY45" s="375"/>
      <c r="BVZ45" s="375"/>
      <c r="BWA45" s="375"/>
      <c r="BWB45" s="375"/>
      <c r="BWC45" s="375"/>
      <c r="BWD45" s="375"/>
      <c r="BWE45" s="375"/>
      <c r="BWF45" s="375"/>
      <c r="BWG45" s="375"/>
      <c r="BWH45" s="375"/>
      <c r="BWI45" s="375"/>
      <c r="BWJ45" s="375"/>
      <c r="BWK45" s="375"/>
      <c r="BWL45" s="375"/>
      <c r="BWM45" s="375"/>
      <c r="BWN45" s="375"/>
      <c r="BWO45" s="375"/>
      <c r="BWP45" s="375"/>
      <c r="BWQ45" s="375"/>
      <c r="BWR45" s="375"/>
      <c r="BWS45" s="375"/>
      <c r="BWT45" s="375"/>
      <c r="BWU45" s="375"/>
      <c r="BWV45" s="375"/>
      <c r="BWW45" s="375"/>
      <c r="BWX45" s="375"/>
      <c r="BWY45" s="375"/>
      <c r="BWZ45" s="375"/>
      <c r="BXA45" s="375"/>
      <c r="BXB45" s="375"/>
      <c r="BXC45" s="375"/>
      <c r="BXD45" s="375"/>
      <c r="BXE45" s="375"/>
      <c r="BXF45" s="375"/>
      <c r="BXG45" s="375"/>
      <c r="BXH45" s="375"/>
      <c r="BXI45" s="375"/>
      <c r="BXJ45" s="375"/>
      <c r="BXK45" s="375"/>
      <c r="BXL45" s="375"/>
      <c r="BXM45" s="375"/>
      <c r="BXN45" s="375"/>
      <c r="BXO45" s="375"/>
      <c r="BXP45" s="375"/>
      <c r="BXQ45" s="375"/>
      <c r="BXR45" s="375"/>
      <c r="BXS45" s="375"/>
      <c r="BXT45" s="375"/>
      <c r="BXU45" s="375"/>
      <c r="BXV45" s="375"/>
      <c r="BXW45" s="375"/>
      <c r="BXX45" s="375"/>
      <c r="BXY45" s="375"/>
      <c r="BXZ45" s="375"/>
      <c r="BYA45" s="375"/>
      <c r="BYB45" s="375"/>
      <c r="BYC45" s="375"/>
      <c r="BYD45" s="375"/>
      <c r="BYE45" s="375"/>
      <c r="BYF45" s="375"/>
      <c r="BYG45" s="375"/>
      <c r="BYH45" s="375"/>
      <c r="BYI45" s="375"/>
      <c r="BYJ45" s="375"/>
      <c r="BYK45" s="375"/>
      <c r="BYL45" s="375"/>
      <c r="BYM45" s="375"/>
      <c r="BYN45" s="375"/>
      <c r="BYO45" s="375"/>
      <c r="BYP45" s="375"/>
      <c r="BYQ45" s="375"/>
      <c r="BYR45" s="375"/>
      <c r="BYS45" s="375"/>
      <c r="BYT45" s="375"/>
      <c r="BYU45" s="375"/>
      <c r="BYV45" s="375"/>
      <c r="BYW45" s="375"/>
      <c r="BYX45" s="375"/>
      <c r="BYY45" s="375"/>
      <c r="BYZ45" s="375"/>
      <c r="BZA45" s="375"/>
      <c r="BZB45" s="375"/>
      <c r="BZC45" s="375"/>
      <c r="BZD45" s="375"/>
      <c r="BZE45" s="375"/>
      <c r="BZF45" s="375"/>
      <c r="BZG45" s="375"/>
      <c r="BZH45" s="375"/>
      <c r="BZI45" s="375"/>
      <c r="BZJ45" s="375"/>
      <c r="BZK45" s="375"/>
      <c r="BZL45" s="375"/>
      <c r="BZM45" s="375"/>
      <c r="BZN45" s="375"/>
      <c r="BZO45" s="375"/>
      <c r="BZP45" s="375"/>
      <c r="BZQ45" s="375"/>
      <c r="BZR45" s="375"/>
      <c r="BZS45" s="375"/>
      <c r="BZT45" s="375"/>
      <c r="BZU45" s="375"/>
      <c r="BZV45" s="375"/>
      <c r="BZW45" s="375"/>
      <c r="BZX45" s="375"/>
      <c r="BZY45" s="375"/>
      <c r="BZZ45" s="375"/>
      <c r="CAA45" s="375"/>
      <c r="CAB45" s="375"/>
      <c r="CAC45" s="375"/>
      <c r="CAD45" s="375"/>
      <c r="CAE45" s="375"/>
      <c r="CAF45" s="375"/>
      <c r="CAG45" s="375"/>
      <c r="CAH45" s="375"/>
      <c r="CAI45" s="375"/>
      <c r="CAJ45" s="375"/>
      <c r="CAK45" s="375"/>
      <c r="CAL45" s="375"/>
      <c r="CAM45" s="375"/>
      <c r="CAN45" s="375"/>
      <c r="CAO45" s="375"/>
      <c r="CAP45" s="375"/>
      <c r="CAQ45" s="375"/>
      <c r="CAR45" s="375"/>
      <c r="CAS45" s="375"/>
      <c r="CAT45" s="375"/>
      <c r="CAU45" s="375"/>
      <c r="CAV45" s="375"/>
      <c r="CAW45" s="375"/>
      <c r="CAX45" s="375"/>
      <c r="CAY45" s="375"/>
      <c r="CAZ45" s="375"/>
      <c r="CBA45" s="375"/>
      <c r="CBB45" s="375"/>
      <c r="CBC45" s="375"/>
      <c r="CBD45" s="375"/>
      <c r="CBE45" s="375"/>
      <c r="CBF45" s="375"/>
      <c r="CBG45" s="375"/>
      <c r="CBH45" s="375"/>
      <c r="CBI45" s="375"/>
      <c r="CBJ45" s="375"/>
      <c r="CBK45" s="375"/>
      <c r="CBL45" s="375"/>
      <c r="CBM45" s="375"/>
      <c r="CBN45" s="375"/>
      <c r="CBO45" s="375"/>
      <c r="CBP45" s="375"/>
      <c r="CBQ45" s="375"/>
      <c r="CBR45" s="375"/>
      <c r="CBS45" s="375"/>
      <c r="CBT45" s="375"/>
      <c r="CBU45" s="375"/>
      <c r="CBV45" s="375"/>
      <c r="CBW45" s="375"/>
      <c r="CBX45" s="375"/>
      <c r="CBY45" s="375"/>
      <c r="CBZ45" s="375"/>
      <c r="CCA45" s="375"/>
      <c r="CCB45" s="375"/>
      <c r="CCC45" s="375"/>
      <c r="CCD45" s="375"/>
      <c r="CCE45" s="375"/>
      <c r="CCF45" s="375"/>
      <c r="CCG45" s="375"/>
      <c r="CCH45" s="375"/>
      <c r="CCI45" s="375"/>
      <c r="CCJ45" s="375"/>
      <c r="CCK45" s="375"/>
      <c r="CCL45" s="375"/>
      <c r="CCM45" s="375"/>
      <c r="CCN45" s="375"/>
      <c r="CCO45" s="375"/>
      <c r="CCP45" s="375"/>
      <c r="CCQ45" s="375"/>
      <c r="CCR45" s="375"/>
      <c r="CCS45" s="375"/>
      <c r="CCT45" s="375"/>
      <c r="CCU45" s="375"/>
      <c r="CCV45" s="375"/>
      <c r="CCW45" s="375"/>
      <c r="CCX45" s="375"/>
      <c r="CCY45" s="375"/>
      <c r="CCZ45" s="375"/>
      <c r="CDA45" s="375"/>
      <c r="CDB45" s="375"/>
      <c r="CDC45" s="375"/>
      <c r="CDD45" s="375"/>
      <c r="CDE45" s="375"/>
      <c r="CDF45" s="375"/>
      <c r="CDG45" s="375"/>
      <c r="CDH45" s="375"/>
      <c r="CDI45" s="375"/>
      <c r="CDJ45" s="375"/>
      <c r="CDK45" s="375"/>
      <c r="CDL45" s="375"/>
      <c r="CDM45" s="375"/>
      <c r="CDN45" s="375"/>
      <c r="CDO45" s="375"/>
      <c r="CDP45" s="375"/>
      <c r="CDQ45" s="375"/>
      <c r="CDR45" s="375"/>
      <c r="CDS45" s="375"/>
      <c r="CDT45" s="375"/>
      <c r="CDU45" s="375"/>
      <c r="CDV45" s="375"/>
      <c r="CDW45" s="375"/>
      <c r="CDX45" s="375"/>
      <c r="CDY45" s="375"/>
      <c r="CDZ45" s="375"/>
      <c r="CEA45" s="375"/>
      <c r="CEB45" s="375"/>
      <c r="CEC45" s="375"/>
      <c r="CED45" s="375"/>
      <c r="CEE45" s="375"/>
      <c r="CEF45" s="375"/>
      <c r="CEG45" s="375"/>
      <c r="CEH45" s="375"/>
      <c r="CEI45" s="375"/>
      <c r="CEJ45" s="375"/>
      <c r="CEK45" s="375"/>
      <c r="CEL45" s="375"/>
      <c r="CEM45" s="375"/>
      <c r="CEN45" s="375"/>
      <c r="CEO45" s="375"/>
      <c r="CEP45" s="375"/>
      <c r="CEQ45" s="375"/>
      <c r="CER45" s="375"/>
      <c r="CES45" s="375"/>
      <c r="CET45" s="375"/>
      <c r="CEU45" s="375"/>
      <c r="CEV45" s="375"/>
      <c r="CEW45" s="375"/>
      <c r="CEX45" s="375"/>
      <c r="CEY45" s="375"/>
      <c r="CEZ45" s="375"/>
      <c r="CFA45" s="375"/>
      <c r="CFB45" s="375"/>
      <c r="CFC45" s="375"/>
      <c r="CFD45" s="375"/>
      <c r="CFE45" s="375"/>
      <c r="CFF45" s="375"/>
      <c r="CFG45" s="375"/>
      <c r="CFH45" s="375"/>
      <c r="CFI45" s="375"/>
      <c r="CFJ45" s="375"/>
      <c r="CFK45" s="375"/>
      <c r="CFL45" s="375"/>
      <c r="CFM45" s="375"/>
      <c r="CFN45" s="375"/>
      <c r="CFO45" s="375"/>
      <c r="CFP45" s="375"/>
      <c r="CFQ45" s="375"/>
      <c r="CFR45" s="375"/>
      <c r="CFS45" s="375"/>
      <c r="CFT45" s="375"/>
      <c r="CFU45" s="375"/>
      <c r="CFV45" s="375"/>
      <c r="CFW45" s="375"/>
      <c r="CFX45" s="375"/>
      <c r="CFY45" s="375"/>
      <c r="CFZ45" s="375"/>
      <c r="CGA45" s="375"/>
      <c r="CGB45" s="375"/>
      <c r="CGC45" s="375"/>
      <c r="CGD45" s="375"/>
      <c r="CGE45" s="375"/>
      <c r="CGF45" s="375"/>
      <c r="CGG45" s="375"/>
      <c r="CGH45" s="375"/>
      <c r="CGI45" s="375"/>
      <c r="CGJ45" s="375"/>
      <c r="CGK45" s="375"/>
      <c r="CGL45" s="375"/>
      <c r="CGM45" s="375"/>
      <c r="CGN45" s="375"/>
      <c r="CGO45" s="375"/>
      <c r="CGP45" s="375"/>
      <c r="CGQ45" s="375"/>
      <c r="CGR45" s="375"/>
      <c r="CGS45" s="375"/>
      <c r="CGT45" s="375"/>
      <c r="CGU45" s="375"/>
      <c r="CGV45" s="375"/>
      <c r="CGW45" s="375"/>
      <c r="CGX45" s="375"/>
      <c r="CGY45" s="375"/>
      <c r="CGZ45" s="375"/>
      <c r="CHA45" s="375"/>
      <c r="CHB45" s="375"/>
      <c r="CHC45" s="375"/>
      <c r="CHD45" s="375"/>
      <c r="CHE45" s="375"/>
      <c r="CHF45" s="375"/>
      <c r="CHG45" s="375"/>
      <c r="CHH45" s="375"/>
      <c r="CHI45" s="375"/>
      <c r="CHJ45" s="375"/>
      <c r="CHK45" s="375"/>
      <c r="CHL45" s="375"/>
      <c r="CHM45" s="375"/>
      <c r="CHN45" s="375"/>
      <c r="CHO45" s="375"/>
      <c r="CHP45" s="375"/>
      <c r="CHQ45" s="375"/>
      <c r="CHR45" s="375"/>
      <c r="CHS45" s="375"/>
      <c r="CHT45" s="375"/>
      <c r="CHU45" s="375"/>
      <c r="CHV45" s="375"/>
      <c r="CHW45" s="375"/>
      <c r="CHX45" s="375"/>
      <c r="CHY45" s="375"/>
      <c r="CHZ45" s="375"/>
      <c r="CIA45" s="375"/>
      <c r="CIB45" s="375"/>
      <c r="CIC45" s="375"/>
      <c r="CID45" s="375"/>
      <c r="CIE45" s="375"/>
      <c r="CIF45" s="375"/>
      <c r="CIG45" s="375"/>
      <c r="CIH45" s="375"/>
      <c r="CII45" s="375"/>
      <c r="CIJ45" s="375"/>
      <c r="CIK45" s="375"/>
      <c r="CIL45" s="375"/>
      <c r="CIM45" s="375"/>
      <c r="CIN45" s="375"/>
      <c r="CIO45" s="375"/>
      <c r="CIP45" s="375"/>
      <c r="CIQ45" s="375"/>
      <c r="CIR45" s="375"/>
      <c r="CIS45" s="375"/>
      <c r="CIT45" s="375"/>
      <c r="CIU45" s="375"/>
      <c r="CIV45" s="375"/>
      <c r="CIW45" s="375"/>
      <c r="CIX45" s="375"/>
      <c r="CIY45" s="375"/>
      <c r="CIZ45" s="375"/>
      <c r="CJA45" s="375"/>
      <c r="CJB45" s="375"/>
      <c r="CJC45" s="375"/>
      <c r="CJD45" s="375"/>
      <c r="CJE45" s="375"/>
      <c r="CJF45" s="375"/>
      <c r="CJG45" s="375"/>
      <c r="CJH45" s="375"/>
      <c r="CJI45" s="375"/>
      <c r="CJJ45" s="375"/>
      <c r="CJK45" s="375"/>
      <c r="CJL45" s="375"/>
      <c r="CJM45" s="375"/>
      <c r="CJN45" s="375"/>
      <c r="CJO45" s="375"/>
      <c r="CJP45" s="375"/>
      <c r="CJQ45" s="375"/>
      <c r="CJR45" s="375"/>
      <c r="CJS45" s="375"/>
      <c r="CJT45" s="375"/>
      <c r="CJU45" s="375"/>
      <c r="CJV45" s="375"/>
      <c r="CJW45" s="375"/>
      <c r="CJX45" s="375"/>
      <c r="CJY45" s="375"/>
      <c r="CJZ45" s="375"/>
      <c r="CKA45" s="375"/>
      <c r="CKB45" s="375"/>
      <c r="CKC45" s="375"/>
      <c r="CKD45" s="375"/>
      <c r="CKE45" s="375"/>
      <c r="CKF45" s="375"/>
      <c r="CKG45" s="375"/>
      <c r="CKH45" s="375"/>
      <c r="CKI45" s="375"/>
      <c r="CKJ45" s="375"/>
      <c r="CKK45" s="375"/>
      <c r="CKL45" s="375"/>
      <c r="CKM45" s="375"/>
      <c r="CKN45" s="375"/>
      <c r="CKO45" s="375"/>
      <c r="CKP45" s="375"/>
      <c r="CKQ45" s="375"/>
      <c r="CKR45" s="375"/>
      <c r="CKS45" s="375"/>
      <c r="CKT45" s="375"/>
      <c r="CKU45" s="375"/>
      <c r="CKV45" s="375"/>
      <c r="CKW45" s="375"/>
      <c r="CKX45" s="375"/>
      <c r="CKY45" s="375"/>
      <c r="CKZ45" s="375"/>
      <c r="CLA45" s="375"/>
      <c r="CLB45" s="375"/>
      <c r="CLC45" s="375"/>
      <c r="CLD45" s="375"/>
      <c r="CLE45" s="375"/>
      <c r="CLF45" s="375"/>
      <c r="CLG45" s="375"/>
      <c r="CLH45" s="375"/>
      <c r="CLI45" s="375"/>
      <c r="CLJ45" s="375"/>
      <c r="CLK45" s="375"/>
      <c r="CLL45" s="375"/>
      <c r="CLM45" s="375"/>
      <c r="CLN45" s="375"/>
      <c r="CLO45" s="375"/>
      <c r="CLP45" s="375"/>
      <c r="CLQ45" s="375"/>
      <c r="CLR45" s="375"/>
      <c r="CLS45" s="375"/>
      <c r="CLT45" s="375"/>
      <c r="CLU45" s="375"/>
      <c r="CLV45" s="375"/>
      <c r="CLW45" s="375"/>
      <c r="CLX45" s="375"/>
      <c r="CLY45" s="375"/>
      <c r="CLZ45" s="375"/>
      <c r="CMA45" s="375"/>
      <c r="CMB45" s="375"/>
      <c r="CMC45" s="375"/>
      <c r="CMD45" s="375"/>
      <c r="CME45" s="375"/>
      <c r="CMF45" s="375"/>
      <c r="CMG45" s="375"/>
      <c r="CMH45" s="375"/>
      <c r="CMI45" s="375"/>
      <c r="CMJ45" s="375"/>
      <c r="CMK45" s="375"/>
      <c r="CML45" s="375"/>
      <c r="CMM45" s="375"/>
      <c r="CMN45" s="375"/>
      <c r="CMO45" s="375"/>
      <c r="CMP45" s="375"/>
      <c r="CMQ45" s="375"/>
      <c r="CMR45" s="375"/>
      <c r="CMS45" s="375"/>
      <c r="CMT45" s="375"/>
      <c r="CMU45" s="375"/>
      <c r="CMV45" s="375"/>
      <c r="CMW45" s="375"/>
      <c r="CMX45" s="375"/>
      <c r="CMY45" s="375"/>
      <c r="CMZ45" s="375"/>
      <c r="CNA45" s="375"/>
      <c r="CNB45" s="375"/>
      <c r="CNC45" s="375"/>
      <c r="CND45" s="375"/>
      <c r="CNE45" s="375"/>
      <c r="CNF45" s="375"/>
      <c r="CNG45" s="375"/>
      <c r="CNH45" s="375"/>
      <c r="CNI45" s="375"/>
      <c r="CNJ45" s="375"/>
      <c r="CNK45" s="375"/>
      <c r="CNL45" s="375"/>
      <c r="CNM45" s="375"/>
      <c r="CNN45" s="375"/>
      <c r="CNO45" s="375"/>
      <c r="CNP45" s="375"/>
      <c r="CNQ45" s="375"/>
      <c r="CNR45" s="375"/>
      <c r="CNS45" s="375"/>
      <c r="CNT45" s="375"/>
      <c r="CNU45" s="375"/>
      <c r="CNV45" s="375"/>
      <c r="CNW45" s="375"/>
      <c r="CNX45" s="375"/>
      <c r="CNY45" s="375"/>
      <c r="CNZ45" s="375"/>
      <c r="COA45" s="375"/>
      <c r="COB45" s="375"/>
      <c r="COC45" s="375"/>
      <c r="COD45" s="375"/>
      <c r="COE45" s="375"/>
      <c r="COF45" s="375"/>
      <c r="COG45" s="375"/>
      <c r="COH45" s="375"/>
      <c r="COI45" s="375"/>
      <c r="COJ45" s="375"/>
      <c r="COK45" s="375"/>
      <c r="COL45" s="375"/>
      <c r="COM45" s="375"/>
      <c r="CON45" s="375"/>
      <c r="COO45" s="375"/>
      <c r="COP45" s="375"/>
      <c r="COQ45" s="375"/>
      <c r="COR45" s="375"/>
      <c r="COS45" s="375"/>
      <c r="COT45" s="375"/>
      <c r="COU45" s="375"/>
      <c r="COV45" s="375"/>
      <c r="COW45" s="375"/>
      <c r="COX45" s="375"/>
      <c r="COY45" s="375"/>
      <c r="COZ45" s="375"/>
      <c r="CPA45" s="375"/>
      <c r="CPB45" s="375"/>
      <c r="CPC45" s="375"/>
      <c r="CPD45" s="375"/>
      <c r="CPE45" s="375"/>
      <c r="CPF45" s="375"/>
      <c r="CPG45" s="375"/>
      <c r="CPH45" s="375"/>
      <c r="CPI45" s="375"/>
      <c r="CPJ45" s="375"/>
      <c r="CPK45" s="375"/>
      <c r="CPL45" s="375"/>
      <c r="CPM45" s="375"/>
      <c r="CPN45" s="375"/>
      <c r="CPO45" s="375"/>
      <c r="CPP45" s="375"/>
      <c r="CPQ45" s="375"/>
      <c r="CPR45" s="375"/>
      <c r="CPS45" s="375"/>
      <c r="CPT45" s="375"/>
      <c r="CPU45" s="375"/>
      <c r="CPV45" s="375"/>
      <c r="CPW45" s="375"/>
      <c r="CPX45" s="375"/>
      <c r="CPY45" s="375"/>
      <c r="CPZ45" s="375"/>
      <c r="CQA45" s="375"/>
      <c r="CQB45" s="375"/>
      <c r="CQC45" s="375"/>
      <c r="CQD45" s="375"/>
      <c r="CQE45" s="375"/>
      <c r="CQF45" s="375"/>
      <c r="CQG45" s="375"/>
      <c r="CQH45" s="375"/>
      <c r="CQI45" s="375"/>
      <c r="CQJ45" s="375"/>
      <c r="CQK45" s="375"/>
      <c r="CQL45" s="375"/>
      <c r="CQM45" s="375"/>
      <c r="CQN45" s="375"/>
      <c r="CQO45" s="375"/>
      <c r="CQP45" s="375"/>
      <c r="CQQ45" s="375"/>
      <c r="CQR45" s="375"/>
      <c r="CQS45" s="375"/>
      <c r="CQT45" s="375"/>
      <c r="CQU45" s="375"/>
      <c r="CQV45" s="375"/>
      <c r="CQW45" s="375"/>
      <c r="CQX45" s="375"/>
      <c r="CQY45" s="375"/>
      <c r="CQZ45" s="375"/>
      <c r="CRA45" s="375"/>
      <c r="CRB45" s="375"/>
      <c r="CRC45" s="375"/>
      <c r="CRD45" s="375"/>
      <c r="CRE45" s="375"/>
      <c r="CRF45" s="375"/>
      <c r="CRG45" s="375"/>
      <c r="CRH45" s="375"/>
      <c r="CRI45" s="375"/>
      <c r="CRJ45" s="375"/>
      <c r="CRK45" s="375"/>
      <c r="CRL45" s="375"/>
      <c r="CRM45" s="375"/>
      <c r="CRN45" s="375"/>
      <c r="CRO45" s="375"/>
      <c r="CRP45" s="375"/>
      <c r="CRQ45" s="375"/>
      <c r="CRR45" s="375"/>
      <c r="CRS45" s="375"/>
      <c r="CRT45" s="375"/>
      <c r="CRU45" s="375"/>
      <c r="CRV45" s="375"/>
      <c r="CRW45" s="375"/>
      <c r="CRX45" s="375"/>
      <c r="CRY45" s="375"/>
      <c r="CRZ45" s="375"/>
      <c r="CSA45" s="375"/>
      <c r="CSB45" s="375"/>
      <c r="CSC45" s="375"/>
      <c r="CSD45" s="375"/>
      <c r="CSE45" s="375"/>
      <c r="CSF45" s="375"/>
      <c r="CSG45" s="375"/>
      <c r="CSH45" s="375"/>
      <c r="CSI45" s="375"/>
      <c r="CSJ45" s="375"/>
      <c r="CSK45" s="375"/>
      <c r="CSL45" s="375"/>
      <c r="CSM45" s="375"/>
      <c r="CSN45" s="375"/>
      <c r="CSO45" s="375"/>
      <c r="CSP45" s="375"/>
      <c r="CSQ45" s="375"/>
      <c r="CSR45" s="375"/>
      <c r="CSS45" s="375"/>
      <c r="CST45" s="375"/>
      <c r="CSU45" s="375"/>
      <c r="CSV45" s="375"/>
      <c r="CSW45" s="375"/>
      <c r="CSX45" s="375"/>
      <c r="CSY45" s="375"/>
      <c r="CSZ45" s="375"/>
      <c r="CTA45" s="375"/>
      <c r="CTB45" s="375"/>
      <c r="CTC45" s="375"/>
      <c r="CTD45" s="375"/>
      <c r="CTE45" s="375"/>
      <c r="CTF45" s="375"/>
      <c r="CTG45" s="375"/>
      <c r="CTH45" s="375"/>
      <c r="CTI45" s="375"/>
      <c r="CTJ45" s="375"/>
      <c r="CTK45" s="375"/>
      <c r="CTL45" s="375"/>
      <c r="CTM45" s="375"/>
      <c r="CTN45" s="375"/>
      <c r="CTO45" s="375"/>
      <c r="CTP45" s="375"/>
      <c r="CTQ45" s="375"/>
      <c r="CTR45" s="375"/>
      <c r="CTS45" s="375"/>
      <c r="CTT45" s="375"/>
      <c r="CTU45" s="375"/>
      <c r="CTV45" s="375"/>
      <c r="CTW45" s="375"/>
      <c r="CTX45" s="375"/>
      <c r="CTY45" s="375"/>
      <c r="CTZ45" s="375"/>
      <c r="CUA45" s="375"/>
      <c r="CUB45" s="375"/>
      <c r="CUC45" s="375"/>
      <c r="CUD45" s="375"/>
      <c r="CUE45" s="375"/>
      <c r="CUF45" s="375"/>
      <c r="CUG45" s="375"/>
      <c r="CUH45" s="375"/>
      <c r="CUI45" s="375"/>
      <c r="CUJ45" s="375"/>
      <c r="CUK45" s="375"/>
      <c r="CUL45" s="375"/>
      <c r="CUM45" s="375"/>
      <c r="CUN45" s="375"/>
      <c r="CUO45" s="375"/>
      <c r="CUP45" s="375"/>
      <c r="CUQ45" s="375"/>
      <c r="CUR45" s="375"/>
      <c r="CUS45" s="375"/>
      <c r="CUT45" s="375"/>
      <c r="CUU45" s="375"/>
      <c r="CUV45" s="375"/>
      <c r="CUW45" s="375"/>
      <c r="CUX45" s="375"/>
      <c r="CUY45" s="375"/>
      <c r="CUZ45" s="375"/>
      <c r="CVA45" s="375"/>
      <c r="CVB45" s="375"/>
      <c r="CVC45" s="375"/>
      <c r="CVD45" s="375"/>
      <c r="CVE45" s="375"/>
      <c r="CVF45" s="375"/>
      <c r="CVG45" s="375"/>
      <c r="CVH45" s="375"/>
      <c r="CVI45" s="375"/>
      <c r="CVJ45" s="375"/>
      <c r="CVK45" s="375"/>
      <c r="CVL45" s="375"/>
      <c r="CVM45" s="375"/>
      <c r="CVN45" s="375"/>
      <c r="CVO45" s="375"/>
      <c r="CVP45" s="375"/>
      <c r="CVQ45" s="375"/>
      <c r="CVR45" s="375"/>
      <c r="CVS45" s="375"/>
      <c r="CVT45" s="375"/>
      <c r="CVU45" s="375"/>
      <c r="CVV45" s="375"/>
      <c r="CVW45" s="375"/>
      <c r="CVX45" s="375"/>
      <c r="CVY45" s="375"/>
      <c r="CVZ45" s="375"/>
      <c r="CWA45" s="375"/>
      <c r="CWB45" s="375"/>
      <c r="CWC45" s="375"/>
      <c r="CWD45" s="375"/>
      <c r="CWE45" s="375"/>
      <c r="CWF45" s="375"/>
      <c r="CWG45" s="375"/>
      <c r="CWH45" s="375"/>
      <c r="CWI45" s="375"/>
      <c r="CWJ45" s="375"/>
      <c r="CWK45" s="375"/>
      <c r="CWL45" s="375"/>
      <c r="CWM45" s="375"/>
      <c r="CWN45" s="375"/>
      <c r="CWO45" s="375"/>
      <c r="CWP45" s="375"/>
      <c r="CWQ45" s="375"/>
      <c r="CWR45" s="375"/>
      <c r="CWS45" s="375"/>
      <c r="CWT45" s="375"/>
      <c r="CWU45" s="375"/>
      <c r="CWV45" s="375"/>
      <c r="CWW45" s="375"/>
      <c r="CWX45" s="375"/>
      <c r="CWY45" s="375"/>
      <c r="CWZ45" s="375"/>
      <c r="CXA45" s="375"/>
      <c r="CXB45" s="375"/>
      <c r="CXC45" s="375"/>
      <c r="CXD45" s="375"/>
      <c r="CXE45" s="375"/>
      <c r="CXF45" s="375"/>
      <c r="CXG45" s="375"/>
      <c r="CXH45" s="375"/>
      <c r="CXI45" s="375"/>
      <c r="CXJ45" s="375"/>
      <c r="CXK45" s="375"/>
      <c r="CXL45" s="375"/>
      <c r="CXM45" s="375"/>
      <c r="CXN45" s="375"/>
      <c r="CXO45" s="375"/>
      <c r="CXP45" s="375"/>
      <c r="CXQ45" s="375"/>
      <c r="CXR45" s="375"/>
      <c r="CXS45" s="375"/>
      <c r="CXT45" s="375"/>
      <c r="CXU45" s="375"/>
      <c r="CXV45" s="375"/>
      <c r="CXW45" s="375"/>
      <c r="CXX45" s="375"/>
      <c r="CXY45" s="375"/>
      <c r="CXZ45" s="375"/>
      <c r="CYA45" s="375"/>
      <c r="CYB45" s="375"/>
      <c r="CYC45" s="375"/>
      <c r="CYD45" s="375"/>
      <c r="CYE45" s="375"/>
      <c r="CYF45" s="375"/>
      <c r="CYG45" s="375"/>
      <c r="CYH45" s="375"/>
      <c r="CYI45" s="375"/>
      <c r="CYJ45" s="375"/>
      <c r="CYK45" s="375"/>
      <c r="CYL45" s="375"/>
      <c r="CYM45" s="375"/>
      <c r="CYN45" s="375"/>
      <c r="CYO45" s="375"/>
      <c r="CYP45" s="375"/>
      <c r="CYQ45" s="375"/>
      <c r="CYR45" s="375"/>
      <c r="CYS45" s="375"/>
      <c r="CYT45" s="375"/>
      <c r="CYU45" s="375"/>
      <c r="CYV45" s="375"/>
      <c r="CYW45" s="375"/>
      <c r="CYX45" s="375"/>
      <c r="CYY45" s="375"/>
      <c r="CYZ45" s="375"/>
      <c r="CZA45" s="375"/>
      <c r="CZB45" s="375"/>
      <c r="CZC45" s="375"/>
      <c r="CZD45" s="375"/>
      <c r="CZE45" s="375"/>
      <c r="CZF45" s="375"/>
      <c r="CZG45" s="375"/>
      <c r="CZH45" s="375"/>
      <c r="CZI45" s="375"/>
      <c r="CZJ45" s="375"/>
      <c r="CZK45" s="375"/>
      <c r="CZL45" s="375"/>
      <c r="CZM45" s="375"/>
      <c r="CZN45" s="375"/>
      <c r="CZO45" s="375"/>
      <c r="CZP45" s="375"/>
      <c r="CZQ45" s="375"/>
      <c r="CZR45" s="375"/>
      <c r="CZS45" s="375"/>
      <c r="CZT45" s="375"/>
      <c r="CZU45" s="375"/>
      <c r="CZV45" s="375"/>
      <c r="CZW45" s="375"/>
      <c r="CZX45" s="375"/>
      <c r="CZY45" s="375"/>
      <c r="CZZ45" s="375"/>
      <c r="DAA45" s="375"/>
      <c r="DAB45" s="375"/>
      <c r="DAC45" s="375"/>
      <c r="DAD45" s="375"/>
      <c r="DAE45" s="375"/>
      <c r="DAF45" s="375"/>
      <c r="DAG45" s="375"/>
      <c r="DAH45" s="375"/>
      <c r="DAI45" s="375"/>
      <c r="DAJ45" s="375"/>
      <c r="DAK45" s="375"/>
      <c r="DAL45" s="375"/>
      <c r="DAM45" s="375"/>
      <c r="DAN45" s="375"/>
      <c r="DAO45" s="375"/>
      <c r="DAP45" s="375"/>
      <c r="DAQ45" s="375"/>
      <c r="DAR45" s="375"/>
      <c r="DAS45" s="375"/>
      <c r="DAT45" s="375"/>
      <c r="DAU45" s="375"/>
      <c r="DAV45" s="375"/>
      <c r="DAW45" s="375"/>
      <c r="DAX45" s="375"/>
      <c r="DAY45" s="375"/>
      <c r="DAZ45" s="375"/>
      <c r="DBA45" s="375"/>
      <c r="DBB45" s="375"/>
      <c r="DBC45" s="375"/>
      <c r="DBD45" s="375"/>
      <c r="DBE45" s="375"/>
      <c r="DBF45" s="375"/>
      <c r="DBG45" s="375"/>
      <c r="DBH45" s="375"/>
      <c r="DBI45" s="375"/>
      <c r="DBJ45" s="375"/>
      <c r="DBK45" s="375"/>
      <c r="DBL45" s="375"/>
      <c r="DBM45" s="375"/>
      <c r="DBN45" s="375"/>
      <c r="DBO45" s="375"/>
      <c r="DBP45" s="375"/>
      <c r="DBQ45" s="375"/>
      <c r="DBR45" s="375"/>
      <c r="DBS45" s="375"/>
      <c r="DBT45" s="375"/>
      <c r="DBU45" s="375"/>
      <c r="DBV45" s="375"/>
      <c r="DBW45" s="375"/>
      <c r="DBX45" s="375"/>
      <c r="DBY45" s="375"/>
      <c r="DBZ45" s="375"/>
      <c r="DCA45" s="375"/>
      <c r="DCB45" s="375"/>
      <c r="DCC45" s="375"/>
      <c r="DCD45" s="375"/>
      <c r="DCE45" s="375"/>
      <c r="DCF45" s="375"/>
      <c r="DCG45" s="375"/>
      <c r="DCH45" s="375"/>
      <c r="DCI45" s="375"/>
      <c r="DCJ45" s="375"/>
      <c r="DCK45" s="375"/>
      <c r="DCL45" s="375"/>
      <c r="DCM45" s="375"/>
      <c r="DCN45" s="375"/>
      <c r="DCO45" s="375"/>
      <c r="DCP45" s="375"/>
      <c r="DCQ45" s="375"/>
      <c r="DCR45" s="375"/>
      <c r="DCS45" s="375"/>
      <c r="DCT45" s="375"/>
      <c r="DCU45" s="375"/>
      <c r="DCV45" s="375"/>
      <c r="DCW45" s="375"/>
      <c r="DCX45" s="375"/>
      <c r="DCY45" s="375"/>
      <c r="DCZ45" s="375"/>
      <c r="DDA45" s="375"/>
      <c r="DDB45" s="375"/>
      <c r="DDC45" s="375"/>
      <c r="DDD45" s="375"/>
      <c r="DDE45" s="375"/>
      <c r="DDF45" s="375"/>
      <c r="DDG45" s="375"/>
      <c r="DDH45" s="375"/>
      <c r="DDI45" s="375"/>
      <c r="DDJ45" s="375"/>
      <c r="DDK45" s="375"/>
      <c r="DDL45" s="375"/>
      <c r="DDM45" s="375"/>
      <c r="DDN45" s="375"/>
      <c r="DDO45" s="375"/>
      <c r="DDP45" s="375"/>
      <c r="DDQ45" s="375"/>
      <c r="DDR45" s="375"/>
      <c r="DDS45" s="375"/>
      <c r="DDT45" s="375"/>
      <c r="DDU45" s="375"/>
      <c r="DDV45" s="375"/>
      <c r="DDW45" s="375"/>
      <c r="DDX45" s="375"/>
      <c r="DDY45" s="375"/>
      <c r="DDZ45" s="375"/>
      <c r="DEA45" s="375"/>
      <c r="DEB45" s="375"/>
      <c r="DEC45" s="375"/>
      <c r="DED45" s="375"/>
      <c r="DEE45" s="375"/>
      <c r="DEF45" s="375"/>
      <c r="DEG45" s="375"/>
      <c r="DEH45" s="375"/>
      <c r="DEI45" s="375"/>
      <c r="DEJ45" s="375"/>
      <c r="DEK45" s="375"/>
      <c r="DEL45" s="375"/>
      <c r="DEM45" s="375"/>
      <c r="DEN45" s="375"/>
      <c r="DEO45" s="375"/>
      <c r="DEP45" s="375"/>
      <c r="DEQ45" s="375"/>
      <c r="DER45" s="375"/>
      <c r="DES45" s="375"/>
      <c r="DET45" s="375"/>
      <c r="DEU45" s="375"/>
      <c r="DEV45" s="375"/>
      <c r="DEW45" s="375"/>
      <c r="DEX45" s="375"/>
      <c r="DEY45" s="375"/>
      <c r="DEZ45" s="375"/>
      <c r="DFA45" s="375"/>
      <c r="DFB45" s="375"/>
      <c r="DFC45" s="375"/>
      <c r="DFD45" s="375"/>
      <c r="DFE45" s="375"/>
      <c r="DFF45" s="375"/>
      <c r="DFG45" s="375"/>
      <c r="DFH45" s="375"/>
      <c r="DFI45" s="375"/>
      <c r="DFJ45" s="375"/>
      <c r="DFK45" s="375"/>
      <c r="DFL45" s="375"/>
      <c r="DFM45" s="375"/>
      <c r="DFN45" s="375"/>
      <c r="DFO45" s="375"/>
      <c r="DFP45" s="375"/>
      <c r="DFQ45" s="375"/>
      <c r="DFR45" s="375"/>
      <c r="DFS45" s="375"/>
      <c r="DFT45" s="375"/>
      <c r="DFU45" s="375"/>
      <c r="DFV45" s="375"/>
      <c r="DFW45" s="375"/>
      <c r="DFX45" s="375"/>
      <c r="DFY45" s="375"/>
      <c r="DFZ45" s="375"/>
      <c r="DGA45" s="375"/>
      <c r="DGB45" s="375"/>
      <c r="DGC45" s="375"/>
      <c r="DGD45" s="375"/>
      <c r="DGE45" s="375"/>
      <c r="DGF45" s="375"/>
      <c r="DGG45" s="375"/>
      <c r="DGH45" s="375"/>
      <c r="DGI45" s="375"/>
      <c r="DGJ45" s="375"/>
      <c r="DGK45" s="375"/>
      <c r="DGL45" s="375"/>
      <c r="DGM45" s="375"/>
      <c r="DGN45" s="375"/>
      <c r="DGO45" s="375"/>
      <c r="DGP45" s="375"/>
      <c r="DGQ45" s="375"/>
      <c r="DGR45" s="375"/>
      <c r="DGS45" s="375"/>
      <c r="DGT45" s="375"/>
      <c r="DGU45" s="375"/>
      <c r="DGV45" s="375"/>
      <c r="DGW45" s="375"/>
      <c r="DGX45" s="375"/>
      <c r="DGY45" s="375"/>
      <c r="DGZ45" s="375"/>
      <c r="DHA45" s="375"/>
      <c r="DHB45" s="375"/>
      <c r="DHC45" s="375"/>
      <c r="DHD45" s="375"/>
      <c r="DHE45" s="375"/>
      <c r="DHF45" s="375"/>
      <c r="DHG45" s="375"/>
      <c r="DHH45" s="375"/>
      <c r="DHI45" s="375"/>
      <c r="DHJ45" s="375"/>
      <c r="DHK45" s="375"/>
      <c r="DHL45" s="375"/>
      <c r="DHM45" s="375"/>
      <c r="DHN45" s="375"/>
      <c r="DHO45" s="375"/>
      <c r="DHP45" s="375"/>
      <c r="DHQ45" s="375"/>
      <c r="DHR45" s="375"/>
      <c r="DHS45" s="375"/>
      <c r="DHT45" s="375"/>
      <c r="DHU45" s="375"/>
      <c r="DHV45" s="375"/>
      <c r="DHW45" s="375"/>
      <c r="DHX45" s="375"/>
      <c r="DHY45" s="375"/>
      <c r="DHZ45" s="375"/>
      <c r="DIA45" s="375"/>
      <c r="DIB45" s="375"/>
      <c r="DIC45" s="375"/>
      <c r="DID45" s="375"/>
      <c r="DIE45" s="375"/>
      <c r="DIF45" s="375"/>
      <c r="DIG45" s="375"/>
      <c r="DIH45" s="375"/>
      <c r="DII45" s="375"/>
      <c r="DIJ45" s="375"/>
      <c r="DIK45" s="375"/>
      <c r="DIL45" s="375"/>
      <c r="DIM45" s="375"/>
      <c r="DIN45" s="375"/>
      <c r="DIO45" s="375"/>
      <c r="DIP45" s="375"/>
      <c r="DIQ45" s="375"/>
      <c r="DIR45" s="375"/>
      <c r="DIS45" s="375"/>
      <c r="DIT45" s="375"/>
      <c r="DIU45" s="375"/>
      <c r="DIV45" s="375"/>
      <c r="DIW45" s="375"/>
      <c r="DIX45" s="375"/>
      <c r="DIY45" s="375"/>
      <c r="DIZ45" s="375"/>
      <c r="DJA45" s="375"/>
      <c r="DJB45" s="375"/>
      <c r="DJC45" s="375"/>
      <c r="DJD45" s="375"/>
      <c r="DJE45" s="375"/>
      <c r="DJF45" s="375"/>
      <c r="DJG45" s="375"/>
      <c r="DJH45" s="375"/>
      <c r="DJI45" s="375"/>
      <c r="DJJ45" s="375"/>
      <c r="DJK45" s="375"/>
      <c r="DJL45" s="375"/>
      <c r="DJM45" s="375"/>
      <c r="DJN45" s="375"/>
      <c r="DJO45" s="375"/>
      <c r="DJP45" s="375"/>
      <c r="DJQ45" s="375"/>
      <c r="DJR45" s="375"/>
      <c r="DJS45" s="375"/>
      <c r="DJT45" s="375"/>
      <c r="DJU45" s="375"/>
      <c r="DJV45" s="375"/>
      <c r="DJW45" s="375"/>
      <c r="DJX45" s="375"/>
      <c r="DJY45" s="375"/>
      <c r="DJZ45" s="375"/>
      <c r="DKA45" s="375"/>
      <c r="DKB45" s="375"/>
      <c r="DKC45" s="375"/>
      <c r="DKD45" s="375"/>
      <c r="DKE45" s="375"/>
      <c r="DKF45" s="375"/>
      <c r="DKG45" s="375"/>
      <c r="DKH45" s="375"/>
      <c r="DKI45" s="375"/>
      <c r="DKJ45" s="375"/>
      <c r="DKK45" s="375"/>
      <c r="DKL45" s="375"/>
      <c r="DKM45" s="375"/>
      <c r="DKN45" s="375"/>
      <c r="DKO45" s="375"/>
      <c r="DKP45" s="375"/>
      <c r="DKQ45" s="375"/>
      <c r="DKR45" s="375"/>
      <c r="DKS45" s="375"/>
      <c r="DKT45" s="375"/>
      <c r="DKU45" s="375"/>
      <c r="DKV45" s="375"/>
      <c r="DKW45" s="375"/>
      <c r="DKX45" s="375"/>
      <c r="DKY45" s="375"/>
      <c r="DKZ45" s="375"/>
      <c r="DLA45" s="375"/>
      <c r="DLB45" s="375"/>
      <c r="DLC45" s="375"/>
      <c r="DLD45" s="375"/>
      <c r="DLE45" s="375"/>
      <c r="DLF45" s="375"/>
      <c r="DLG45" s="375"/>
      <c r="DLH45" s="375"/>
      <c r="DLI45" s="375"/>
      <c r="DLJ45" s="375"/>
      <c r="DLK45" s="375"/>
      <c r="DLL45" s="375"/>
      <c r="DLM45" s="375"/>
      <c r="DLN45" s="375"/>
      <c r="DLO45" s="375"/>
      <c r="DLP45" s="375"/>
      <c r="DLQ45" s="375"/>
      <c r="DLR45" s="375"/>
      <c r="DLS45" s="375"/>
      <c r="DLT45" s="375"/>
      <c r="DLU45" s="375"/>
      <c r="DLV45" s="375"/>
      <c r="DLW45" s="375"/>
      <c r="DLX45" s="375"/>
      <c r="DLY45" s="375"/>
      <c r="DLZ45" s="375"/>
      <c r="DMA45" s="375"/>
      <c r="DMB45" s="375"/>
      <c r="DMC45" s="375"/>
      <c r="DMD45" s="375"/>
      <c r="DME45" s="375"/>
      <c r="DMF45" s="375"/>
      <c r="DMG45" s="375"/>
      <c r="DMH45" s="375"/>
      <c r="DMI45" s="375"/>
      <c r="DMJ45" s="375"/>
      <c r="DMK45" s="375"/>
      <c r="DML45" s="375"/>
      <c r="DMM45" s="375"/>
      <c r="DMN45" s="375"/>
      <c r="DMO45" s="375"/>
      <c r="DMP45" s="375"/>
      <c r="DMQ45" s="375"/>
      <c r="DMR45" s="375"/>
      <c r="DMS45" s="375"/>
      <c r="DMT45" s="375"/>
      <c r="DMU45" s="375"/>
      <c r="DMV45" s="375"/>
      <c r="DMW45" s="375"/>
      <c r="DMX45" s="375"/>
      <c r="DMY45" s="375"/>
      <c r="DMZ45" s="375"/>
      <c r="DNA45" s="375"/>
      <c r="DNB45" s="375"/>
      <c r="DNC45" s="375"/>
      <c r="DND45" s="375"/>
      <c r="DNE45" s="375"/>
      <c r="DNF45" s="375"/>
      <c r="DNG45" s="375"/>
      <c r="DNH45" s="375"/>
      <c r="DNI45" s="375"/>
      <c r="DNJ45" s="375"/>
      <c r="DNK45" s="375"/>
      <c r="DNL45" s="375"/>
      <c r="DNM45" s="375"/>
      <c r="DNN45" s="375"/>
      <c r="DNO45" s="375"/>
      <c r="DNP45" s="375"/>
      <c r="DNQ45" s="375"/>
      <c r="DNR45" s="375"/>
      <c r="DNS45" s="375"/>
      <c r="DNT45" s="375"/>
      <c r="DNU45" s="375"/>
      <c r="DNV45" s="375"/>
      <c r="DNW45" s="375"/>
      <c r="DNX45" s="375"/>
      <c r="DNY45" s="375"/>
      <c r="DNZ45" s="375"/>
      <c r="DOA45" s="375"/>
      <c r="DOB45" s="375"/>
      <c r="DOC45" s="375"/>
      <c r="DOD45" s="375"/>
      <c r="DOE45" s="375"/>
      <c r="DOF45" s="375"/>
      <c r="DOG45" s="375"/>
      <c r="DOH45" s="375"/>
      <c r="DOI45" s="375"/>
      <c r="DOJ45" s="375"/>
      <c r="DOK45" s="375"/>
      <c r="DOL45" s="375"/>
      <c r="DOM45" s="375"/>
      <c r="DON45" s="375"/>
      <c r="DOO45" s="375"/>
      <c r="DOP45" s="375"/>
      <c r="DOQ45" s="375"/>
      <c r="DOR45" s="375"/>
      <c r="DOS45" s="375"/>
      <c r="DOT45" s="375"/>
      <c r="DOU45" s="375"/>
      <c r="DOV45" s="375"/>
      <c r="DOW45" s="375"/>
      <c r="DOX45" s="375"/>
      <c r="DOY45" s="375"/>
      <c r="DOZ45" s="375"/>
      <c r="DPA45" s="375"/>
      <c r="DPB45" s="375"/>
      <c r="DPC45" s="375"/>
      <c r="DPD45" s="375"/>
      <c r="DPE45" s="375"/>
      <c r="DPF45" s="375"/>
      <c r="DPG45" s="375"/>
      <c r="DPH45" s="375"/>
      <c r="DPI45" s="375"/>
      <c r="DPJ45" s="375"/>
      <c r="DPK45" s="375"/>
      <c r="DPL45" s="375"/>
      <c r="DPM45" s="375"/>
      <c r="DPN45" s="375"/>
      <c r="DPO45" s="375"/>
      <c r="DPP45" s="375"/>
      <c r="DPQ45" s="375"/>
      <c r="DPR45" s="375"/>
      <c r="DPS45" s="375"/>
      <c r="DPT45" s="375"/>
      <c r="DPU45" s="375"/>
      <c r="DPV45" s="375"/>
      <c r="DPW45" s="375"/>
      <c r="DPX45" s="375"/>
      <c r="DPY45" s="375"/>
      <c r="DPZ45" s="375"/>
      <c r="DQA45" s="375"/>
      <c r="DQB45" s="375"/>
      <c r="DQC45" s="375"/>
      <c r="DQD45" s="375"/>
      <c r="DQE45" s="375"/>
      <c r="DQF45" s="375"/>
      <c r="DQG45" s="375"/>
      <c r="DQH45" s="375"/>
      <c r="DQI45" s="375"/>
      <c r="DQJ45" s="375"/>
      <c r="DQK45" s="375"/>
      <c r="DQL45" s="375"/>
      <c r="DQM45" s="375"/>
      <c r="DQN45" s="375"/>
      <c r="DQO45" s="375"/>
      <c r="DQP45" s="375"/>
      <c r="DQQ45" s="375"/>
      <c r="DQR45" s="375"/>
      <c r="DQS45" s="375"/>
      <c r="DQT45" s="375"/>
      <c r="DQU45" s="375"/>
      <c r="DQV45" s="375"/>
      <c r="DQW45" s="375"/>
      <c r="DQX45" s="375"/>
      <c r="DQY45" s="375"/>
      <c r="DQZ45" s="375"/>
      <c r="DRA45" s="375"/>
      <c r="DRB45" s="375"/>
      <c r="DRC45" s="375"/>
      <c r="DRD45" s="375"/>
      <c r="DRE45" s="375"/>
      <c r="DRF45" s="375"/>
      <c r="DRG45" s="375"/>
      <c r="DRH45" s="375"/>
      <c r="DRI45" s="375"/>
      <c r="DRJ45" s="375"/>
      <c r="DRK45" s="375"/>
      <c r="DRL45" s="375"/>
      <c r="DRM45" s="375"/>
      <c r="DRN45" s="375"/>
      <c r="DRO45" s="375"/>
      <c r="DRP45" s="375"/>
      <c r="DRQ45" s="375"/>
      <c r="DRR45" s="375"/>
      <c r="DRS45" s="375"/>
      <c r="DRT45" s="375"/>
      <c r="DRU45" s="375"/>
      <c r="DRV45" s="375"/>
      <c r="DRW45" s="375"/>
      <c r="DRX45" s="375"/>
      <c r="DRY45" s="375"/>
      <c r="DRZ45" s="375"/>
      <c r="DSA45" s="375"/>
      <c r="DSB45" s="375"/>
      <c r="DSC45" s="375"/>
      <c r="DSD45" s="375"/>
      <c r="DSE45" s="375"/>
      <c r="DSF45" s="375"/>
      <c r="DSG45" s="375"/>
      <c r="DSH45" s="375"/>
      <c r="DSI45" s="375"/>
      <c r="DSJ45" s="375"/>
      <c r="DSK45" s="375"/>
      <c r="DSL45" s="375"/>
      <c r="DSM45" s="375"/>
      <c r="DSN45" s="375"/>
      <c r="DSO45" s="375"/>
      <c r="DSP45" s="375"/>
      <c r="DSQ45" s="375"/>
      <c r="DSR45" s="375"/>
      <c r="DSS45" s="375"/>
      <c r="DST45" s="375"/>
      <c r="DSU45" s="375"/>
      <c r="DSV45" s="375"/>
      <c r="DSW45" s="375"/>
      <c r="DSX45" s="375"/>
      <c r="DSY45" s="375"/>
      <c r="DSZ45" s="375"/>
      <c r="DTA45" s="375"/>
      <c r="DTB45" s="375"/>
      <c r="DTC45" s="375"/>
      <c r="DTD45" s="375"/>
      <c r="DTE45" s="375"/>
      <c r="DTF45" s="375"/>
      <c r="DTG45" s="375"/>
      <c r="DTH45" s="375"/>
      <c r="DTI45" s="375"/>
      <c r="DTJ45" s="375"/>
      <c r="DTK45" s="375"/>
      <c r="DTL45" s="375"/>
      <c r="DTM45" s="375"/>
      <c r="DTN45" s="375"/>
      <c r="DTO45" s="375"/>
      <c r="DTP45" s="375"/>
      <c r="DTQ45" s="375"/>
      <c r="DTR45" s="375"/>
      <c r="DTS45" s="375"/>
      <c r="DTT45" s="375"/>
      <c r="DTU45" s="375"/>
      <c r="DTV45" s="375"/>
      <c r="DTW45" s="375"/>
      <c r="DTX45" s="375"/>
      <c r="DTY45" s="375"/>
      <c r="DTZ45" s="375"/>
      <c r="DUA45" s="375"/>
      <c r="DUB45" s="375"/>
      <c r="DUC45" s="375"/>
      <c r="DUD45" s="375"/>
      <c r="DUE45" s="375"/>
      <c r="DUF45" s="375"/>
      <c r="DUG45" s="375"/>
      <c r="DUH45" s="375"/>
      <c r="DUI45" s="375"/>
      <c r="DUJ45" s="375"/>
      <c r="DUK45" s="375"/>
      <c r="DUL45" s="375"/>
      <c r="DUM45" s="375"/>
      <c r="DUN45" s="375"/>
      <c r="DUO45" s="375"/>
      <c r="DUP45" s="375"/>
      <c r="DUQ45" s="375"/>
      <c r="DUR45" s="375"/>
      <c r="DUS45" s="375"/>
      <c r="DUT45" s="375"/>
      <c r="DUU45" s="375"/>
      <c r="DUV45" s="375"/>
      <c r="DUW45" s="375"/>
      <c r="DUX45" s="375"/>
      <c r="DUY45" s="375"/>
      <c r="DUZ45" s="375"/>
      <c r="DVA45" s="375"/>
      <c r="DVB45" s="375"/>
      <c r="DVC45" s="375"/>
      <c r="DVD45" s="375"/>
      <c r="DVE45" s="375"/>
      <c r="DVF45" s="375"/>
      <c r="DVG45" s="375"/>
      <c r="DVH45" s="375"/>
      <c r="DVI45" s="375"/>
      <c r="DVJ45" s="375"/>
      <c r="DVK45" s="375"/>
      <c r="DVL45" s="375"/>
      <c r="DVM45" s="375"/>
      <c r="DVN45" s="375"/>
      <c r="DVO45" s="375"/>
      <c r="DVP45" s="375"/>
      <c r="DVQ45" s="375"/>
      <c r="DVR45" s="375"/>
      <c r="DVS45" s="375"/>
      <c r="DVT45" s="375"/>
      <c r="DVU45" s="375"/>
      <c r="DVV45" s="375"/>
      <c r="DVW45" s="375"/>
      <c r="DVX45" s="375"/>
      <c r="DVY45" s="375"/>
      <c r="DVZ45" s="375"/>
      <c r="DWA45" s="375"/>
      <c r="DWB45" s="375"/>
      <c r="DWC45" s="375"/>
      <c r="DWD45" s="375"/>
      <c r="DWE45" s="375"/>
      <c r="DWF45" s="375"/>
      <c r="DWG45" s="375"/>
      <c r="DWH45" s="375"/>
      <c r="DWI45" s="375"/>
      <c r="DWJ45" s="375"/>
      <c r="DWK45" s="375"/>
      <c r="DWL45" s="375"/>
      <c r="DWM45" s="375"/>
      <c r="DWN45" s="375"/>
      <c r="DWO45" s="375"/>
      <c r="DWP45" s="375"/>
      <c r="DWQ45" s="375"/>
      <c r="DWR45" s="375"/>
      <c r="DWS45" s="375"/>
      <c r="DWT45" s="375"/>
      <c r="DWU45" s="375"/>
      <c r="DWV45" s="375"/>
      <c r="DWW45" s="375"/>
      <c r="DWX45" s="375"/>
      <c r="DWY45" s="375"/>
      <c r="DWZ45" s="375"/>
      <c r="DXA45" s="375"/>
      <c r="DXB45" s="375"/>
      <c r="DXC45" s="375"/>
      <c r="DXD45" s="375"/>
      <c r="DXE45" s="375"/>
      <c r="DXF45" s="375"/>
      <c r="DXG45" s="375"/>
      <c r="DXH45" s="375"/>
      <c r="DXI45" s="375"/>
      <c r="DXJ45" s="375"/>
      <c r="DXK45" s="375"/>
      <c r="DXL45" s="375"/>
      <c r="DXM45" s="375"/>
      <c r="DXN45" s="375"/>
      <c r="DXO45" s="375"/>
      <c r="DXP45" s="375"/>
      <c r="DXQ45" s="375"/>
      <c r="DXR45" s="375"/>
      <c r="DXS45" s="375"/>
      <c r="DXT45" s="375"/>
      <c r="DXU45" s="375"/>
      <c r="DXV45" s="375"/>
      <c r="DXW45" s="375"/>
      <c r="DXX45" s="375"/>
      <c r="DXY45" s="375"/>
      <c r="DXZ45" s="375"/>
      <c r="DYA45" s="375"/>
      <c r="DYB45" s="375"/>
      <c r="DYC45" s="375"/>
      <c r="DYD45" s="375"/>
      <c r="DYE45" s="375"/>
      <c r="DYF45" s="375"/>
      <c r="DYG45" s="375"/>
      <c r="DYH45" s="375"/>
      <c r="DYI45" s="375"/>
      <c r="DYJ45" s="375"/>
      <c r="DYK45" s="375"/>
      <c r="DYL45" s="375"/>
      <c r="DYM45" s="375"/>
      <c r="DYN45" s="375"/>
      <c r="DYO45" s="375"/>
      <c r="DYP45" s="375"/>
      <c r="DYQ45" s="375"/>
      <c r="DYR45" s="375"/>
      <c r="DYS45" s="375"/>
      <c r="DYT45" s="375"/>
      <c r="DYU45" s="375"/>
      <c r="DYV45" s="375"/>
      <c r="DYW45" s="375"/>
      <c r="DYX45" s="375"/>
      <c r="DYY45" s="375"/>
      <c r="DYZ45" s="375"/>
      <c r="DZA45" s="375"/>
      <c r="DZB45" s="375"/>
      <c r="DZC45" s="375"/>
      <c r="DZD45" s="375"/>
      <c r="DZE45" s="375"/>
      <c r="DZF45" s="375"/>
      <c r="DZG45" s="375"/>
      <c r="DZH45" s="375"/>
      <c r="DZI45" s="375"/>
      <c r="DZJ45" s="375"/>
      <c r="DZK45" s="375"/>
      <c r="DZL45" s="375"/>
      <c r="DZM45" s="375"/>
      <c r="DZN45" s="375"/>
      <c r="DZO45" s="375"/>
      <c r="DZP45" s="375"/>
      <c r="DZQ45" s="375"/>
      <c r="DZR45" s="375"/>
      <c r="DZS45" s="375"/>
      <c r="DZT45" s="375"/>
      <c r="DZU45" s="375"/>
      <c r="DZV45" s="375"/>
      <c r="DZW45" s="375"/>
      <c r="DZX45" s="375"/>
      <c r="DZY45" s="375"/>
      <c r="DZZ45" s="375"/>
      <c r="EAA45" s="375"/>
      <c r="EAB45" s="375"/>
      <c r="EAC45" s="375"/>
      <c r="EAD45" s="375"/>
      <c r="EAE45" s="375"/>
      <c r="EAF45" s="375"/>
      <c r="EAG45" s="375"/>
      <c r="EAH45" s="375"/>
      <c r="EAI45" s="375"/>
      <c r="EAJ45" s="375"/>
      <c r="EAK45" s="375"/>
      <c r="EAL45" s="375"/>
      <c r="EAM45" s="375"/>
      <c r="EAN45" s="375"/>
      <c r="EAO45" s="375"/>
      <c r="EAP45" s="375"/>
      <c r="EAQ45" s="375"/>
      <c r="EAR45" s="375"/>
      <c r="EAS45" s="375"/>
      <c r="EAT45" s="375"/>
      <c r="EAU45" s="375"/>
      <c r="EAV45" s="375"/>
      <c r="EAW45" s="375"/>
      <c r="EAX45" s="375"/>
      <c r="EAY45" s="375"/>
      <c r="EAZ45" s="375"/>
      <c r="EBA45" s="375"/>
      <c r="EBB45" s="375"/>
      <c r="EBC45" s="375"/>
      <c r="EBD45" s="375"/>
      <c r="EBE45" s="375"/>
      <c r="EBF45" s="375"/>
      <c r="EBG45" s="375"/>
      <c r="EBH45" s="375"/>
      <c r="EBI45" s="375"/>
      <c r="EBJ45" s="375"/>
      <c r="EBK45" s="375"/>
      <c r="EBL45" s="375"/>
      <c r="EBM45" s="375"/>
      <c r="EBN45" s="375"/>
      <c r="EBO45" s="375"/>
      <c r="EBP45" s="375"/>
      <c r="EBQ45" s="375"/>
      <c r="EBR45" s="375"/>
      <c r="EBS45" s="375"/>
      <c r="EBT45" s="375"/>
      <c r="EBU45" s="375"/>
      <c r="EBV45" s="375"/>
      <c r="EBW45" s="375"/>
      <c r="EBX45" s="375"/>
      <c r="EBY45" s="375"/>
      <c r="EBZ45" s="375"/>
      <c r="ECA45" s="375"/>
      <c r="ECB45" s="375"/>
      <c r="ECC45" s="375"/>
      <c r="ECD45" s="375"/>
      <c r="ECE45" s="375"/>
      <c r="ECF45" s="375"/>
      <c r="ECG45" s="375"/>
      <c r="ECH45" s="375"/>
      <c r="ECI45" s="375"/>
      <c r="ECJ45" s="375"/>
      <c r="ECK45" s="375"/>
      <c r="ECL45" s="375"/>
      <c r="ECM45" s="375"/>
      <c r="ECN45" s="375"/>
      <c r="ECO45" s="375"/>
      <c r="ECP45" s="375"/>
      <c r="ECQ45" s="375"/>
      <c r="ECR45" s="375"/>
      <c r="ECS45" s="375"/>
      <c r="ECT45" s="375"/>
      <c r="ECU45" s="375"/>
      <c r="ECV45" s="375"/>
      <c r="ECW45" s="375"/>
      <c r="ECX45" s="375"/>
      <c r="ECY45" s="375"/>
      <c r="ECZ45" s="375"/>
      <c r="EDA45" s="375"/>
      <c r="EDB45" s="375"/>
      <c r="EDC45" s="375"/>
      <c r="EDD45" s="375"/>
      <c r="EDE45" s="375"/>
      <c r="EDF45" s="375"/>
      <c r="EDG45" s="375"/>
      <c r="EDH45" s="375"/>
      <c r="EDI45" s="375"/>
      <c r="EDJ45" s="375"/>
      <c r="EDK45" s="375"/>
      <c r="EDL45" s="375"/>
      <c r="EDM45" s="375"/>
      <c r="EDN45" s="375"/>
      <c r="EDO45" s="375"/>
      <c r="EDP45" s="375"/>
      <c r="EDQ45" s="375"/>
      <c r="EDR45" s="375"/>
      <c r="EDS45" s="375"/>
      <c r="EDT45" s="375"/>
      <c r="EDU45" s="375"/>
      <c r="EDV45" s="375"/>
      <c r="EDW45" s="375"/>
      <c r="EDX45" s="375"/>
      <c r="EDY45" s="375"/>
      <c r="EDZ45" s="375"/>
      <c r="EEA45" s="375"/>
      <c r="EEB45" s="375"/>
      <c r="EEC45" s="375"/>
      <c r="EED45" s="375"/>
      <c r="EEE45" s="375"/>
      <c r="EEF45" s="375"/>
      <c r="EEG45" s="375"/>
      <c r="EEH45" s="375"/>
      <c r="EEI45" s="375"/>
      <c r="EEJ45" s="375"/>
      <c r="EEK45" s="375"/>
      <c r="EEL45" s="375"/>
      <c r="EEM45" s="375"/>
      <c r="EEN45" s="375"/>
      <c r="EEO45" s="375"/>
      <c r="EEP45" s="375"/>
      <c r="EEQ45" s="375"/>
      <c r="EER45" s="375"/>
      <c r="EES45" s="375"/>
      <c r="EET45" s="375"/>
      <c r="EEU45" s="375"/>
      <c r="EEV45" s="375"/>
      <c r="EEW45" s="375"/>
      <c r="EEX45" s="375"/>
      <c r="EEY45" s="375"/>
      <c r="EEZ45" s="375"/>
      <c r="EFA45" s="375"/>
      <c r="EFB45" s="375"/>
      <c r="EFC45" s="375"/>
      <c r="EFD45" s="375"/>
      <c r="EFE45" s="375"/>
      <c r="EFF45" s="375"/>
      <c r="EFG45" s="375"/>
      <c r="EFH45" s="375"/>
      <c r="EFI45" s="375"/>
      <c r="EFJ45" s="375"/>
      <c r="EFK45" s="375"/>
      <c r="EFL45" s="375"/>
      <c r="EFM45" s="375"/>
      <c r="EFN45" s="375"/>
      <c r="EFO45" s="375"/>
      <c r="EFP45" s="375"/>
      <c r="EFQ45" s="375"/>
      <c r="EFR45" s="375"/>
      <c r="EFS45" s="375"/>
      <c r="EFT45" s="375"/>
      <c r="EFU45" s="375"/>
      <c r="EFV45" s="375"/>
      <c r="EFW45" s="375"/>
      <c r="EFX45" s="375"/>
      <c r="EFY45" s="375"/>
      <c r="EFZ45" s="375"/>
      <c r="EGA45" s="375"/>
      <c r="EGB45" s="375"/>
      <c r="EGC45" s="375"/>
      <c r="EGD45" s="375"/>
      <c r="EGE45" s="375"/>
      <c r="EGF45" s="375"/>
      <c r="EGG45" s="375"/>
      <c r="EGH45" s="375"/>
      <c r="EGI45" s="375"/>
      <c r="EGJ45" s="375"/>
      <c r="EGK45" s="375"/>
      <c r="EGL45" s="375"/>
      <c r="EGM45" s="375"/>
      <c r="EGN45" s="375"/>
      <c r="EGO45" s="375"/>
      <c r="EGP45" s="375"/>
      <c r="EGQ45" s="375"/>
      <c r="EGR45" s="375"/>
      <c r="EGS45" s="375"/>
      <c r="EGT45" s="375"/>
      <c r="EGU45" s="375"/>
      <c r="EGV45" s="375"/>
      <c r="EGW45" s="375"/>
      <c r="EGX45" s="375"/>
      <c r="EGY45" s="375"/>
      <c r="EGZ45" s="375"/>
      <c r="EHA45" s="375"/>
      <c r="EHB45" s="375"/>
      <c r="EHC45" s="375"/>
      <c r="EHD45" s="375"/>
      <c r="EHE45" s="375"/>
      <c r="EHF45" s="375"/>
      <c r="EHG45" s="375"/>
      <c r="EHH45" s="375"/>
      <c r="EHI45" s="375"/>
      <c r="EHJ45" s="375"/>
      <c r="EHK45" s="375"/>
      <c r="EHL45" s="375"/>
      <c r="EHM45" s="375"/>
      <c r="EHN45" s="375"/>
      <c r="EHO45" s="375"/>
      <c r="EHP45" s="375"/>
      <c r="EHQ45" s="375"/>
      <c r="EHR45" s="375"/>
      <c r="EHS45" s="375"/>
      <c r="EHT45" s="375"/>
      <c r="EHU45" s="375"/>
      <c r="EHV45" s="375"/>
      <c r="EHW45" s="375"/>
      <c r="EHX45" s="375"/>
      <c r="EHY45" s="375"/>
      <c r="EHZ45" s="375"/>
      <c r="EIA45" s="375"/>
      <c r="EIB45" s="375"/>
      <c r="EIC45" s="375"/>
      <c r="EID45" s="375"/>
      <c r="EIE45" s="375"/>
      <c r="EIF45" s="375"/>
      <c r="EIG45" s="375"/>
      <c r="EIH45" s="375"/>
      <c r="EII45" s="375"/>
      <c r="EIJ45" s="375"/>
      <c r="EIK45" s="375"/>
      <c r="EIL45" s="375"/>
      <c r="EIM45" s="375"/>
      <c r="EIN45" s="375"/>
      <c r="EIO45" s="375"/>
      <c r="EIP45" s="375"/>
      <c r="EIQ45" s="375"/>
      <c r="EIR45" s="375"/>
      <c r="EIS45" s="375"/>
      <c r="EIT45" s="375"/>
      <c r="EIU45" s="375"/>
      <c r="EIV45" s="375"/>
      <c r="EIW45" s="375"/>
      <c r="EIX45" s="375"/>
      <c r="EIY45" s="375"/>
      <c r="EIZ45" s="375"/>
      <c r="EJA45" s="375"/>
      <c r="EJB45" s="375"/>
      <c r="EJC45" s="375"/>
      <c r="EJD45" s="375"/>
      <c r="EJE45" s="375"/>
      <c r="EJF45" s="375"/>
      <c r="EJG45" s="375"/>
      <c r="EJH45" s="375"/>
      <c r="EJI45" s="375"/>
      <c r="EJJ45" s="375"/>
      <c r="EJK45" s="375"/>
      <c r="EJL45" s="375"/>
      <c r="EJM45" s="375"/>
      <c r="EJN45" s="375"/>
      <c r="EJO45" s="375"/>
      <c r="EJP45" s="375"/>
      <c r="EJQ45" s="375"/>
      <c r="EJR45" s="375"/>
      <c r="EJS45" s="375"/>
      <c r="EJT45" s="375"/>
      <c r="EJU45" s="375"/>
      <c r="EJV45" s="375"/>
      <c r="EJW45" s="375"/>
      <c r="EJX45" s="375"/>
      <c r="EJY45" s="375"/>
      <c r="EJZ45" s="375"/>
      <c r="EKA45" s="375"/>
      <c r="EKB45" s="375"/>
      <c r="EKC45" s="375"/>
      <c r="EKD45" s="375"/>
      <c r="EKE45" s="375"/>
      <c r="EKF45" s="375"/>
      <c r="EKG45" s="375"/>
      <c r="EKH45" s="375"/>
      <c r="EKI45" s="375"/>
      <c r="EKJ45" s="375"/>
      <c r="EKK45" s="375"/>
      <c r="EKL45" s="375"/>
      <c r="EKM45" s="375"/>
      <c r="EKN45" s="375"/>
      <c r="EKO45" s="375"/>
      <c r="EKP45" s="375"/>
      <c r="EKQ45" s="375"/>
      <c r="EKR45" s="375"/>
      <c r="EKS45" s="375"/>
      <c r="EKT45" s="375"/>
      <c r="EKU45" s="375"/>
      <c r="EKV45" s="375"/>
      <c r="EKW45" s="375"/>
      <c r="EKX45" s="375"/>
      <c r="EKY45" s="375"/>
      <c r="EKZ45" s="375"/>
      <c r="ELA45" s="375"/>
      <c r="ELB45" s="375"/>
      <c r="ELC45" s="375"/>
      <c r="ELD45" s="375"/>
      <c r="ELE45" s="375"/>
      <c r="ELF45" s="375"/>
      <c r="ELG45" s="375"/>
      <c r="ELH45" s="375"/>
      <c r="ELI45" s="375"/>
      <c r="ELJ45" s="375"/>
      <c r="ELK45" s="375"/>
      <c r="ELL45" s="375"/>
      <c r="ELM45" s="375"/>
      <c r="ELN45" s="375"/>
      <c r="ELO45" s="375"/>
      <c r="ELP45" s="375"/>
      <c r="ELQ45" s="375"/>
      <c r="ELR45" s="375"/>
      <c r="ELS45" s="375"/>
      <c r="ELT45" s="375"/>
      <c r="ELU45" s="375"/>
      <c r="ELV45" s="375"/>
      <c r="ELW45" s="375"/>
      <c r="ELX45" s="375"/>
      <c r="ELY45" s="375"/>
      <c r="ELZ45" s="375"/>
      <c r="EMA45" s="375"/>
      <c r="EMB45" s="375"/>
      <c r="EMC45" s="375"/>
      <c r="EMD45" s="375"/>
      <c r="EME45" s="375"/>
      <c r="EMF45" s="375"/>
      <c r="EMG45" s="375"/>
      <c r="EMH45" s="375"/>
      <c r="EMI45" s="375"/>
      <c r="EMJ45" s="375"/>
      <c r="EMK45" s="375"/>
      <c r="EML45" s="375"/>
      <c r="EMM45" s="375"/>
      <c r="EMN45" s="375"/>
      <c r="EMO45" s="375"/>
      <c r="EMP45" s="375"/>
      <c r="EMQ45" s="375"/>
      <c r="EMR45" s="375"/>
      <c r="EMS45" s="375"/>
      <c r="EMT45" s="375"/>
      <c r="EMU45" s="375"/>
      <c r="EMV45" s="375"/>
      <c r="EMW45" s="375"/>
      <c r="EMX45" s="375"/>
      <c r="EMY45" s="375"/>
      <c r="EMZ45" s="375"/>
      <c r="ENA45" s="375"/>
      <c r="ENB45" s="375"/>
      <c r="ENC45" s="375"/>
      <c r="END45" s="375"/>
      <c r="ENE45" s="375"/>
      <c r="ENF45" s="375"/>
      <c r="ENG45" s="375"/>
      <c r="ENH45" s="375"/>
      <c r="ENI45" s="375"/>
      <c r="ENJ45" s="375"/>
      <c r="ENK45" s="375"/>
      <c r="ENL45" s="375"/>
      <c r="ENM45" s="375"/>
      <c r="ENN45" s="375"/>
      <c r="ENO45" s="375"/>
      <c r="ENP45" s="375"/>
      <c r="ENQ45" s="375"/>
      <c r="ENR45" s="375"/>
      <c r="ENS45" s="375"/>
      <c r="ENT45" s="375"/>
      <c r="ENU45" s="375"/>
      <c r="ENV45" s="375"/>
      <c r="ENW45" s="375"/>
      <c r="ENX45" s="375"/>
      <c r="ENY45" s="375"/>
      <c r="ENZ45" s="375"/>
      <c r="EOA45" s="375"/>
      <c r="EOB45" s="375"/>
      <c r="EOC45" s="375"/>
      <c r="EOD45" s="375"/>
      <c r="EOE45" s="375"/>
      <c r="EOF45" s="375"/>
      <c r="EOG45" s="375"/>
      <c r="EOH45" s="375"/>
      <c r="EOI45" s="375"/>
      <c r="EOJ45" s="375"/>
      <c r="EOK45" s="375"/>
      <c r="EOL45" s="375"/>
      <c r="EOM45" s="375"/>
      <c r="EON45" s="375"/>
      <c r="EOO45" s="375"/>
      <c r="EOP45" s="375"/>
      <c r="EOQ45" s="375"/>
      <c r="EOR45" s="375"/>
      <c r="EOS45" s="375"/>
      <c r="EOT45" s="375"/>
      <c r="EOU45" s="375"/>
      <c r="EOV45" s="375"/>
      <c r="EOW45" s="375"/>
      <c r="EOX45" s="375"/>
      <c r="EOY45" s="375"/>
      <c r="EOZ45" s="375"/>
      <c r="EPA45" s="375"/>
      <c r="EPB45" s="375"/>
      <c r="EPC45" s="375"/>
      <c r="EPD45" s="375"/>
      <c r="EPE45" s="375"/>
      <c r="EPF45" s="375"/>
      <c r="EPG45" s="375"/>
      <c r="EPH45" s="375"/>
      <c r="EPI45" s="375"/>
      <c r="EPJ45" s="375"/>
      <c r="EPK45" s="375"/>
      <c r="EPL45" s="375"/>
      <c r="EPM45" s="375"/>
      <c r="EPN45" s="375"/>
      <c r="EPO45" s="375"/>
      <c r="EPP45" s="375"/>
      <c r="EPQ45" s="375"/>
      <c r="EPR45" s="375"/>
      <c r="EPS45" s="375"/>
      <c r="EPT45" s="375"/>
      <c r="EPU45" s="375"/>
      <c r="EPV45" s="375"/>
      <c r="EPW45" s="375"/>
      <c r="EPX45" s="375"/>
      <c r="EPY45" s="375"/>
      <c r="EPZ45" s="375"/>
      <c r="EQA45" s="375"/>
      <c r="EQB45" s="375"/>
      <c r="EQC45" s="375"/>
      <c r="EQD45" s="375"/>
      <c r="EQE45" s="375"/>
      <c r="EQF45" s="375"/>
      <c r="EQG45" s="375"/>
      <c r="EQH45" s="375"/>
      <c r="EQI45" s="375"/>
      <c r="EQJ45" s="375"/>
      <c r="EQK45" s="375"/>
      <c r="EQL45" s="375"/>
      <c r="EQM45" s="375"/>
      <c r="EQN45" s="375"/>
      <c r="EQO45" s="375"/>
      <c r="EQP45" s="375"/>
      <c r="EQQ45" s="375"/>
      <c r="EQR45" s="375"/>
      <c r="EQS45" s="375"/>
      <c r="EQT45" s="375"/>
      <c r="EQU45" s="375"/>
      <c r="EQV45" s="375"/>
      <c r="EQW45" s="375"/>
      <c r="EQX45" s="375"/>
      <c r="EQY45" s="375"/>
      <c r="EQZ45" s="375"/>
      <c r="ERA45" s="375"/>
      <c r="ERB45" s="375"/>
      <c r="ERC45" s="375"/>
      <c r="ERD45" s="375"/>
      <c r="ERE45" s="375"/>
      <c r="ERF45" s="375"/>
      <c r="ERG45" s="375"/>
      <c r="ERH45" s="375"/>
      <c r="ERI45" s="375"/>
      <c r="ERJ45" s="375"/>
      <c r="ERK45" s="375"/>
      <c r="ERL45" s="375"/>
      <c r="ERM45" s="375"/>
      <c r="ERN45" s="375"/>
      <c r="ERO45" s="375"/>
      <c r="ERP45" s="375"/>
      <c r="ERQ45" s="375"/>
      <c r="ERR45" s="375"/>
      <c r="ERS45" s="375"/>
      <c r="ERT45" s="375"/>
      <c r="ERU45" s="375"/>
      <c r="ERV45" s="375"/>
      <c r="ERW45" s="375"/>
      <c r="ERX45" s="375"/>
      <c r="ERY45" s="375"/>
      <c r="ERZ45" s="375"/>
      <c r="ESA45" s="375"/>
      <c r="ESB45" s="375"/>
      <c r="ESC45" s="375"/>
      <c r="ESD45" s="375"/>
      <c r="ESE45" s="375"/>
      <c r="ESF45" s="375"/>
      <c r="ESG45" s="375"/>
      <c r="ESH45" s="375"/>
      <c r="ESI45" s="375"/>
      <c r="ESJ45" s="375"/>
      <c r="ESK45" s="375"/>
      <c r="ESL45" s="375"/>
      <c r="ESM45" s="375"/>
      <c r="ESN45" s="375"/>
      <c r="ESO45" s="375"/>
      <c r="ESP45" s="375"/>
      <c r="ESQ45" s="375"/>
      <c r="ESR45" s="375"/>
      <c r="ESS45" s="375"/>
      <c r="EST45" s="375"/>
      <c r="ESU45" s="375"/>
      <c r="ESV45" s="375"/>
      <c r="ESW45" s="375"/>
      <c r="ESX45" s="375"/>
      <c r="ESY45" s="375"/>
      <c r="ESZ45" s="375"/>
      <c r="ETA45" s="375"/>
      <c r="ETB45" s="375"/>
      <c r="ETC45" s="375"/>
      <c r="ETD45" s="375"/>
      <c r="ETE45" s="375"/>
      <c r="ETF45" s="375"/>
      <c r="ETG45" s="375"/>
      <c r="ETH45" s="375"/>
      <c r="ETI45" s="375"/>
      <c r="ETJ45" s="375"/>
      <c r="ETK45" s="375"/>
      <c r="ETL45" s="375"/>
      <c r="ETM45" s="375"/>
      <c r="ETN45" s="375"/>
      <c r="ETO45" s="375"/>
      <c r="ETP45" s="375"/>
      <c r="ETQ45" s="375"/>
      <c r="ETR45" s="375"/>
      <c r="ETS45" s="375"/>
      <c r="ETT45" s="375"/>
      <c r="ETU45" s="375"/>
      <c r="ETV45" s="375"/>
      <c r="ETW45" s="375"/>
      <c r="ETX45" s="375"/>
      <c r="ETY45" s="375"/>
      <c r="ETZ45" s="375"/>
      <c r="EUA45" s="375"/>
      <c r="EUB45" s="375"/>
      <c r="EUC45" s="375"/>
      <c r="EUD45" s="375"/>
      <c r="EUE45" s="375"/>
      <c r="EUF45" s="375"/>
      <c r="EUG45" s="375"/>
      <c r="EUH45" s="375"/>
      <c r="EUI45" s="375"/>
      <c r="EUJ45" s="375"/>
      <c r="EUK45" s="375"/>
      <c r="EUL45" s="375"/>
      <c r="EUM45" s="375"/>
      <c r="EUN45" s="375"/>
      <c r="EUO45" s="375"/>
      <c r="EUP45" s="375"/>
      <c r="EUQ45" s="375"/>
      <c r="EUR45" s="375"/>
      <c r="EUS45" s="375"/>
      <c r="EUT45" s="375"/>
      <c r="EUU45" s="375"/>
      <c r="EUV45" s="375"/>
      <c r="EUW45" s="375"/>
      <c r="EUX45" s="375"/>
      <c r="EUY45" s="375"/>
      <c r="EUZ45" s="375"/>
      <c r="EVA45" s="375"/>
      <c r="EVB45" s="375"/>
      <c r="EVC45" s="375"/>
      <c r="EVD45" s="375"/>
      <c r="EVE45" s="375"/>
      <c r="EVF45" s="375"/>
      <c r="EVG45" s="375"/>
      <c r="EVH45" s="375"/>
      <c r="EVI45" s="375"/>
      <c r="EVJ45" s="375"/>
      <c r="EVK45" s="375"/>
      <c r="EVL45" s="375"/>
      <c r="EVM45" s="375"/>
      <c r="EVN45" s="375"/>
      <c r="EVO45" s="375"/>
      <c r="EVP45" s="375"/>
      <c r="EVQ45" s="375"/>
      <c r="EVR45" s="375"/>
      <c r="EVS45" s="375"/>
      <c r="EVT45" s="375"/>
      <c r="EVU45" s="375"/>
      <c r="EVV45" s="375"/>
      <c r="EVW45" s="375"/>
      <c r="EVX45" s="375"/>
      <c r="EVY45" s="375"/>
      <c r="EVZ45" s="375"/>
      <c r="EWA45" s="375"/>
      <c r="EWB45" s="375"/>
      <c r="EWC45" s="375"/>
      <c r="EWD45" s="375"/>
      <c r="EWE45" s="375"/>
      <c r="EWF45" s="375"/>
      <c r="EWG45" s="375"/>
      <c r="EWH45" s="375"/>
      <c r="EWI45" s="375"/>
      <c r="EWJ45" s="375"/>
      <c r="EWK45" s="375"/>
      <c r="EWL45" s="375"/>
      <c r="EWM45" s="375"/>
      <c r="EWN45" s="375"/>
      <c r="EWO45" s="375"/>
      <c r="EWP45" s="375"/>
      <c r="EWQ45" s="375"/>
      <c r="EWR45" s="375"/>
      <c r="EWS45" s="375"/>
      <c r="EWT45" s="375"/>
      <c r="EWU45" s="375"/>
      <c r="EWV45" s="375"/>
      <c r="EWW45" s="375"/>
      <c r="EWX45" s="375"/>
      <c r="EWY45" s="375"/>
      <c r="EWZ45" s="375"/>
      <c r="EXA45" s="375"/>
      <c r="EXB45" s="375"/>
      <c r="EXC45" s="375"/>
      <c r="EXD45" s="375"/>
      <c r="EXE45" s="375"/>
      <c r="EXF45" s="375"/>
      <c r="EXG45" s="375"/>
      <c r="EXH45" s="375"/>
      <c r="EXI45" s="375"/>
      <c r="EXJ45" s="375"/>
      <c r="EXK45" s="375"/>
      <c r="EXL45" s="375"/>
      <c r="EXM45" s="375"/>
      <c r="EXN45" s="375"/>
      <c r="EXO45" s="375"/>
      <c r="EXP45" s="375"/>
      <c r="EXQ45" s="375"/>
      <c r="EXR45" s="375"/>
      <c r="EXS45" s="375"/>
      <c r="EXT45" s="375"/>
      <c r="EXU45" s="375"/>
      <c r="EXV45" s="375"/>
      <c r="EXW45" s="375"/>
      <c r="EXX45" s="375"/>
      <c r="EXY45" s="375"/>
      <c r="EXZ45" s="375"/>
      <c r="EYA45" s="375"/>
      <c r="EYB45" s="375"/>
      <c r="EYC45" s="375"/>
      <c r="EYD45" s="375"/>
      <c r="EYE45" s="375"/>
      <c r="EYF45" s="375"/>
      <c r="EYG45" s="375"/>
      <c r="EYH45" s="375"/>
      <c r="EYI45" s="375"/>
      <c r="EYJ45" s="375"/>
      <c r="EYK45" s="375"/>
      <c r="EYL45" s="375"/>
      <c r="EYM45" s="375"/>
      <c r="EYN45" s="375"/>
      <c r="EYO45" s="375"/>
      <c r="EYP45" s="375"/>
      <c r="EYQ45" s="375"/>
      <c r="EYR45" s="375"/>
      <c r="EYS45" s="375"/>
      <c r="EYT45" s="375"/>
      <c r="EYU45" s="375"/>
      <c r="EYV45" s="375"/>
      <c r="EYW45" s="375"/>
      <c r="EYX45" s="375"/>
      <c r="EYY45" s="375"/>
      <c r="EYZ45" s="375"/>
      <c r="EZA45" s="375"/>
      <c r="EZB45" s="375"/>
      <c r="EZC45" s="375"/>
      <c r="EZD45" s="375"/>
      <c r="EZE45" s="375"/>
      <c r="EZF45" s="375"/>
      <c r="EZG45" s="375"/>
      <c r="EZH45" s="375"/>
      <c r="EZI45" s="375"/>
      <c r="EZJ45" s="375"/>
      <c r="EZK45" s="375"/>
      <c r="EZL45" s="375"/>
      <c r="EZM45" s="375"/>
      <c r="EZN45" s="375"/>
      <c r="EZO45" s="375"/>
      <c r="EZP45" s="375"/>
      <c r="EZQ45" s="375"/>
      <c r="EZR45" s="375"/>
      <c r="EZS45" s="375"/>
      <c r="EZT45" s="375"/>
      <c r="EZU45" s="375"/>
      <c r="EZV45" s="375"/>
      <c r="EZW45" s="375"/>
      <c r="EZX45" s="375"/>
      <c r="EZY45" s="375"/>
      <c r="EZZ45" s="375"/>
      <c r="FAA45" s="375"/>
      <c r="FAB45" s="375"/>
      <c r="FAC45" s="375"/>
      <c r="FAD45" s="375"/>
      <c r="FAE45" s="375"/>
      <c r="FAF45" s="375"/>
      <c r="FAG45" s="375"/>
      <c r="FAH45" s="375"/>
      <c r="FAI45" s="375"/>
      <c r="FAJ45" s="375"/>
      <c r="FAK45" s="375"/>
      <c r="FAL45" s="375"/>
      <c r="FAM45" s="375"/>
      <c r="FAN45" s="375"/>
      <c r="FAO45" s="375"/>
      <c r="FAP45" s="375"/>
      <c r="FAQ45" s="375"/>
      <c r="FAR45" s="375"/>
      <c r="FAS45" s="375"/>
      <c r="FAT45" s="375"/>
      <c r="FAU45" s="375"/>
      <c r="FAV45" s="375"/>
      <c r="FAW45" s="375"/>
      <c r="FAX45" s="375"/>
      <c r="FAY45" s="375"/>
      <c r="FAZ45" s="375"/>
      <c r="FBA45" s="375"/>
      <c r="FBB45" s="375"/>
      <c r="FBC45" s="375"/>
      <c r="FBD45" s="375"/>
      <c r="FBE45" s="375"/>
      <c r="FBF45" s="375"/>
      <c r="FBG45" s="375"/>
      <c r="FBH45" s="375"/>
      <c r="FBI45" s="375"/>
      <c r="FBJ45" s="375"/>
      <c r="FBK45" s="375"/>
      <c r="FBL45" s="375"/>
      <c r="FBM45" s="375"/>
      <c r="FBN45" s="375"/>
      <c r="FBO45" s="375"/>
      <c r="FBP45" s="375"/>
      <c r="FBQ45" s="375"/>
      <c r="FBR45" s="375"/>
      <c r="FBS45" s="375"/>
      <c r="FBT45" s="375"/>
      <c r="FBU45" s="375"/>
      <c r="FBV45" s="375"/>
      <c r="FBW45" s="375"/>
      <c r="FBX45" s="375"/>
      <c r="FBY45" s="375"/>
      <c r="FBZ45" s="375"/>
      <c r="FCA45" s="375"/>
      <c r="FCB45" s="375"/>
      <c r="FCC45" s="375"/>
      <c r="FCD45" s="375"/>
      <c r="FCE45" s="375"/>
      <c r="FCF45" s="375"/>
      <c r="FCG45" s="375"/>
      <c r="FCH45" s="375"/>
      <c r="FCI45" s="375"/>
      <c r="FCJ45" s="375"/>
      <c r="FCK45" s="375"/>
      <c r="FCL45" s="375"/>
      <c r="FCM45" s="375"/>
      <c r="FCN45" s="375"/>
      <c r="FCO45" s="375"/>
      <c r="FCP45" s="375"/>
      <c r="FCQ45" s="375"/>
      <c r="FCR45" s="375"/>
      <c r="FCS45" s="375"/>
      <c r="FCT45" s="375"/>
      <c r="FCU45" s="375"/>
      <c r="FCV45" s="375"/>
      <c r="FCW45" s="375"/>
      <c r="FCX45" s="375"/>
      <c r="FCY45" s="375"/>
      <c r="FCZ45" s="375"/>
      <c r="FDA45" s="375"/>
      <c r="FDB45" s="375"/>
      <c r="FDC45" s="375"/>
      <c r="FDD45" s="375"/>
      <c r="FDE45" s="375"/>
      <c r="FDF45" s="375"/>
      <c r="FDG45" s="375"/>
      <c r="FDH45" s="375"/>
      <c r="FDI45" s="375"/>
      <c r="FDJ45" s="375"/>
      <c r="FDK45" s="375"/>
      <c r="FDL45" s="375"/>
      <c r="FDM45" s="375"/>
      <c r="FDN45" s="375"/>
      <c r="FDO45" s="375"/>
      <c r="FDP45" s="375"/>
      <c r="FDQ45" s="375"/>
      <c r="FDR45" s="375"/>
      <c r="FDS45" s="375"/>
      <c r="FDT45" s="375"/>
      <c r="FDU45" s="375"/>
      <c r="FDV45" s="375"/>
      <c r="FDW45" s="375"/>
      <c r="FDX45" s="375"/>
      <c r="FDY45" s="375"/>
      <c r="FDZ45" s="375"/>
      <c r="FEA45" s="375"/>
      <c r="FEB45" s="375"/>
      <c r="FEC45" s="375"/>
      <c r="FED45" s="375"/>
      <c r="FEE45" s="375"/>
      <c r="FEF45" s="375"/>
      <c r="FEG45" s="375"/>
      <c r="FEH45" s="375"/>
      <c r="FEI45" s="375"/>
      <c r="FEJ45" s="375"/>
      <c r="FEK45" s="375"/>
      <c r="FEL45" s="375"/>
      <c r="FEM45" s="375"/>
      <c r="FEN45" s="375"/>
      <c r="FEO45" s="375"/>
      <c r="FEP45" s="375"/>
      <c r="FEQ45" s="375"/>
      <c r="FER45" s="375"/>
      <c r="FES45" s="375"/>
      <c r="FET45" s="375"/>
      <c r="FEU45" s="375"/>
      <c r="FEV45" s="375"/>
      <c r="FEW45" s="375"/>
      <c r="FEX45" s="375"/>
      <c r="FEY45" s="375"/>
      <c r="FEZ45" s="375"/>
      <c r="FFA45" s="375"/>
      <c r="FFB45" s="375"/>
      <c r="FFC45" s="375"/>
      <c r="FFD45" s="375"/>
      <c r="FFE45" s="375"/>
      <c r="FFF45" s="375"/>
      <c r="FFG45" s="375"/>
      <c r="FFH45" s="375"/>
      <c r="FFI45" s="375"/>
      <c r="FFJ45" s="375"/>
      <c r="FFK45" s="375"/>
      <c r="FFL45" s="375"/>
      <c r="FFM45" s="375"/>
      <c r="FFN45" s="375"/>
      <c r="FFO45" s="375"/>
      <c r="FFP45" s="375"/>
      <c r="FFQ45" s="375"/>
      <c r="FFR45" s="375"/>
      <c r="FFS45" s="375"/>
      <c r="FFT45" s="375"/>
      <c r="FFU45" s="375"/>
      <c r="FFV45" s="375"/>
      <c r="FFW45" s="375"/>
      <c r="FFX45" s="375"/>
      <c r="FFY45" s="375"/>
      <c r="FFZ45" s="375"/>
      <c r="FGA45" s="375"/>
      <c r="FGB45" s="375"/>
      <c r="FGC45" s="375"/>
      <c r="FGD45" s="375"/>
      <c r="FGE45" s="375"/>
      <c r="FGF45" s="375"/>
      <c r="FGG45" s="375"/>
      <c r="FGH45" s="375"/>
      <c r="FGI45" s="375"/>
      <c r="FGJ45" s="375"/>
      <c r="FGK45" s="375"/>
      <c r="FGL45" s="375"/>
      <c r="FGM45" s="375"/>
      <c r="FGN45" s="375"/>
      <c r="FGO45" s="375"/>
      <c r="FGP45" s="375"/>
      <c r="FGQ45" s="375"/>
      <c r="FGR45" s="375"/>
      <c r="FGS45" s="375"/>
      <c r="FGT45" s="375"/>
      <c r="FGU45" s="375"/>
      <c r="FGV45" s="375"/>
      <c r="FGW45" s="375"/>
      <c r="FGX45" s="375"/>
      <c r="FGY45" s="375"/>
      <c r="FGZ45" s="375"/>
      <c r="FHA45" s="375"/>
      <c r="FHB45" s="375"/>
      <c r="FHC45" s="375"/>
      <c r="FHD45" s="375"/>
      <c r="FHE45" s="375"/>
      <c r="FHF45" s="375"/>
      <c r="FHG45" s="375"/>
      <c r="FHH45" s="375"/>
      <c r="FHI45" s="375"/>
      <c r="FHJ45" s="375"/>
      <c r="FHK45" s="375"/>
      <c r="FHL45" s="375"/>
      <c r="FHM45" s="375"/>
      <c r="FHN45" s="375"/>
      <c r="FHO45" s="375"/>
      <c r="FHP45" s="375"/>
      <c r="FHQ45" s="375"/>
      <c r="FHR45" s="375"/>
      <c r="FHS45" s="375"/>
      <c r="FHT45" s="375"/>
      <c r="FHU45" s="375"/>
      <c r="FHV45" s="375"/>
      <c r="FHW45" s="375"/>
      <c r="FHX45" s="375"/>
      <c r="FHY45" s="375"/>
      <c r="FHZ45" s="375"/>
      <c r="FIA45" s="375"/>
      <c r="FIB45" s="375"/>
      <c r="FIC45" s="375"/>
      <c r="FID45" s="375"/>
      <c r="FIE45" s="375"/>
      <c r="FIF45" s="375"/>
      <c r="FIG45" s="375"/>
      <c r="FIH45" s="375"/>
      <c r="FII45" s="375"/>
      <c r="FIJ45" s="375"/>
      <c r="FIK45" s="375"/>
      <c r="FIL45" s="375"/>
      <c r="FIM45" s="375"/>
      <c r="FIN45" s="375"/>
      <c r="FIO45" s="375"/>
      <c r="FIP45" s="375"/>
      <c r="FIQ45" s="375"/>
      <c r="FIR45" s="375"/>
      <c r="FIS45" s="375"/>
      <c r="FIT45" s="375"/>
      <c r="FIU45" s="375"/>
      <c r="FIV45" s="375"/>
      <c r="FIW45" s="375"/>
      <c r="FIX45" s="375"/>
      <c r="FIY45" s="375"/>
      <c r="FIZ45" s="375"/>
      <c r="FJA45" s="375"/>
      <c r="FJB45" s="375"/>
      <c r="FJC45" s="375"/>
      <c r="FJD45" s="375"/>
      <c r="FJE45" s="375"/>
      <c r="FJF45" s="375"/>
      <c r="FJG45" s="375"/>
      <c r="FJH45" s="375"/>
      <c r="FJI45" s="375"/>
      <c r="FJJ45" s="375"/>
      <c r="FJK45" s="375"/>
      <c r="FJL45" s="375"/>
      <c r="FJM45" s="375"/>
      <c r="FJN45" s="375"/>
      <c r="FJO45" s="375"/>
      <c r="FJP45" s="375"/>
      <c r="FJQ45" s="375"/>
      <c r="FJR45" s="375"/>
      <c r="FJS45" s="375"/>
      <c r="FJT45" s="375"/>
      <c r="FJU45" s="375"/>
      <c r="FJV45" s="375"/>
      <c r="FJW45" s="375"/>
      <c r="FJX45" s="375"/>
      <c r="FJY45" s="375"/>
      <c r="FJZ45" s="375"/>
      <c r="FKA45" s="375"/>
      <c r="FKB45" s="375"/>
      <c r="FKC45" s="375"/>
      <c r="FKD45" s="375"/>
      <c r="FKE45" s="375"/>
      <c r="FKF45" s="375"/>
      <c r="FKG45" s="375"/>
      <c r="FKH45" s="375"/>
      <c r="FKI45" s="375"/>
      <c r="FKJ45" s="375"/>
      <c r="FKK45" s="375"/>
      <c r="FKL45" s="375"/>
      <c r="FKM45" s="375"/>
      <c r="FKN45" s="375"/>
      <c r="FKO45" s="375"/>
      <c r="FKP45" s="375"/>
      <c r="FKQ45" s="375"/>
      <c r="FKR45" s="375"/>
      <c r="FKS45" s="375"/>
      <c r="FKT45" s="375"/>
      <c r="FKU45" s="375"/>
      <c r="FKV45" s="375"/>
      <c r="FKW45" s="375"/>
      <c r="FKX45" s="375"/>
      <c r="FKY45" s="375"/>
      <c r="FKZ45" s="375"/>
      <c r="FLA45" s="375"/>
      <c r="FLB45" s="375"/>
      <c r="FLC45" s="375"/>
      <c r="FLD45" s="375"/>
      <c r="FLE45" s="375"/>
      <c r="FLF45" s="375"/>
      <c r="FLG45" s="375"/>
      <c r="FLH45" s="375"/>
      <c r="FLI45" s="375"/>
      <c r="FLJ45" s="375"/>
      <c r="FLK45" s="375"/>
      <c r="FLL45" s="375"/>
      <c r="FLM45" s="375"/>
      <c r="FLN45" s="375"/>
      <c r="FLO45" s="375"/>
      <c r="FLP45" s="375"/>
      <c r="FLQ45" s="375"/>
      <c r="FLR45" s="375"/>
      <c r="FLS45" s="375"/>
      <c r="FLT45" s="375"/>
      <c r="FLU45" s="375"/>
      <c r="FLV45" s="375"/>
      <c r="FLW45" s="375"/>
      <c r="FLX45" s="375"/>
      <c r="FLY45" s="375"/>
      <c r="FLZ45" s="375"/>
      <c r="FMA45" s="375"/>
      <c r="FMB45" s="375"/>
      <c r="FMC45" s="375"/>
      <c r="FMD45" s="375"/>
      <c r="FME45" s="375"/>
      <c r="FMF45" s="375"/>
      <c r="FMG45" s="375"/>
      <c r="FMH45" s="375"/>
      <c r="FMI45" s="375"/>
      <c r="FMJ45" s="375"/>
      <c r="FMK45" s="375"/>
      <c r="FML45" s="375"/>
      <c r="FMM45" s="375"/>
      <c r="FMN45" s="375"/>
      <c r="FMO45" s="375"/>
      <c r="FMP45" s="375"/>
      <c r="FMQ45" s="375"/>
      <c r="FMR45" s="375"/>
      <c r="FMS45" s="375"/>
      <c r="FMT45" s="375"/>
      <c r="FMU45" s="375"/>
      <c r="FMV45" s="375"/>
      <c r="FMW45" s="375"/>
      <c r="FMX45" s="375"/>
      <c r="FMY45" s="375"/>
      <c r="FMZ45" s="375"/>
      <c r="FNA45" s="375"/>
      <c r="FNB45" s="375"/>
      <c r="FNC45" s="375"/>
      <c r="FND45" s="375"/>
      <c r="FNE45" s="375"/>
      <c r="FNF45" s="375"/>
      <c r="FNG45" s="375"/>
      <c r="FNH45" s="375"/>
      <c r="FNI45" s="375"/>
      <c r="FNJ45" s="375"/>
      <c r="FNK45" s="375"/>
      <c r="FNL45" s="375"/>
      <c r="FNM45" s="375"/>
      <c r="FNN45" s="375"/>
      <c r="FNO45" s="375"/>
      <c r="FNP45" s="375"/>
      <c r="FNQ45" s="375"/>
      <c r="FNR45" s="375"/>
      <c r="FNS45" s="375"/>
      <c r="FNT45" s="375"/>
      <c r="FNU45" s="375"/>
      <c r="FNV45" s="375"/>
      <c r="FNW45" s="375"/>
      <c r="FNX45" s="375"/>
      <c r="FNY45" s="375"/>
      <c r="FNZ45" s="375"/>
      <c r="FOA45" s="375"/>
      <c r="FOB45" s="375"/>
      <c r="FOC45" s="375"/>
      <c r="FOD45" s="375"/>
      <c r="FOE45" s="375"/>
      <c r="FOF45" s="375"/>
      <c r="FOG45" s="375"/>
      <c r="FOH45" s="375"/>
      <c r="FOI45" s="375"/>
      <c r="FOJ45" s="375"/>
      <c r="FOK45" s="375"/>
      <c r="FOL45" s="375"/>
      <c r="FOM45" s="375"/>
      <c r="FON45" s="375"/>
      <c r="FOO45" s="375"/>
      <c r="FOP45" s="375"/>
      <c r="FOQ45" s="375"/>
      <c r="FOR45" s="375"/>
      <c r="FOS45" s="375"/>
      <c r="FOT45" s="375"/>
      <c r="FOU45" s="375"/>
      <c r="FOV45" s="375"/>
      <c r="FOW45" s="375"/>
      <c r="FOX45" s="375"/>
      <c r="FOY45" s="375"/>
      <c r="FOZ45" s="375"/>
      <c r="FPA45" s="375"/>
      <c r="FPB45" s="375"/>
      <c r="FPC45" s="375"/>
      <c r="FPD45" s="375"/>
      <c r="FPE45" s="375"/>
      <c r="FPF45" s="375"/>
      <c r="FPG45" s="375"/>
      <c r="FPH45" s="375"/>
      <c r="FPI45" s="375"/>
      <c r="FPJ45" s="375"/>
      <c r="FPK45" s="375"/>
      <c r="FPL45" s="375"/>
      <c r="FPM45" s="375"/>
      <c r="FPN45" s="375"/>
      <c r="FPO45" s="375"/>
      <c r="FPP45" s="375"/>
      <c r="FPQ45" s="375"/>
      <c r="FPR45" s="375"/>
      <c r="FPS45" s="375"/>
      <c r="FPT45" s="375"/>
      <c r="FPU45" s="375"/>
      <c r="FPV45" s="375"/>
      <c r="FPW45" s="375"/>
      <c r="FPX45" s="375"/>
      <c r="FPY45" s="375"/>
      <c r="FPZ45" s="375"/>
      <c r="FQA45" s="375"/>
      <c r="FQB45" s="375"/>
      <c r="FQC45" s="375"/>
      <c r="FQD45" s="375"/>
      <c r="FQE45" s="375"/>
      <c r="FQF45" s="375"/>
      <c r="FQG45" s="375"/>
      <c r="FQH45" s="375"/>
      <c r="FQI45" s="375"/>
      <c r="FQJ45" s="375"/>
      <c r="FQK45" s="375"/>
      <c r="FQL45" s="375"/>
      <c r="FQM45" s="375"/>
      <c r="FQN45" s="375"/>
      <c r="FQO45" s="375"/>
      <c r="FQP45" s="375"/>
      <c r="FQQ45" s="375"/>
      <c r="FQR45" s="375"/>
      <c r="FQS45" s="375"/>
      <c r="FQT45" s="375"/>
      <c r="FQU45" s="375"/>
      <c r="FQV45" s="375"/>
      <c r="FQW45" s="375"/>
      <c r="FQX45" s="375"/>
      <c r="FQY45" s="375"/>
      <c r="FQZ45" s="375"/>
      <c r="FRA45" s="375"/>
      <c r="FRB45" s="375"/>
      <c r="FRC45" s="375"/>
      <c r="FRD45" s="375"/>
      <c r="FRE45" s="375"/>
      <c r="FRF45" s="375"/>
      <c r="FRG45" s="375"/>
      <c r="FRH45" s="375"/>
      <c r="FRI45" s="375"/>
      <c r="FRJ45" s="375"/>
      <c r="FRK45" s="375"/>
      <c r="FRL45" s="375"/>
      <c r="FRM45" s="375"/>
      <c r="FRN45" s="375"/>
      <c r="FRO45" s="375"/>
      <c r="FRP45" s="375"/>
      <c r="FRQ45" s="375"/>
      <c r="FRR45" s="375"/>
      <c r="FRS45" s="375"/>
      <c r="FRT45" s="375"/>
      <c r="FRU45" s="375"/>
      <c r="FRV45" s="375"/>
      <c r="FRW45" s="375"/>
      <c r="FRX45" s="375"/>
      <c r="FRY45" s="375"/>
      <c r="FRZ45" s="375"/>
      <c r="FSA45" s="375"/>
      <c r="FSB45" s="375"/>
      <c r="FSC45" s="375"/>
      <c r="FSD45" s="375"/>
      <c r="FSE45" s="375"/>
      <c r="FSF45" s="375"/>
      <c r="FSG45" s="375"/>
      <c r="FSH45" s="375"/>
      <c r="FSI45" s="375"/>
      <c r="FSJ45" s="375"/>
      <c r="FSK45" s="375"/>
      <c r="FSL45" s="375"/>
      <c r="FSM45" s="375"/>
      <c r="FSN45" s="375"/>
      <c r="FSO45" s="375"/>
      <c r="FSP45" s="375"/>
      <c r="FSQ45" s="375"/>
      <c r="FSR45" s="375"/>
      <c r="FSS45" s="375"/>
      <c r="FST45" s="375"/>
      <c r="FSU45" s="375"/>
      <c r="FSV45" s="375"/>
      <c r="FSW45" s="375"/>
      <c r="FSX45" s="375"/>
      <c r="FSY45" s="375"/>
      <c r="FSZ45" s="375"/>
      <c r="FTA45" s="375"/>
      <c r="FTB45" s="375"/>
      <c r="FTC45" s="375"/>
      <c r="FTD45" s="375"/>
      <c r="FTE45" s="375"/>
      <c r="FTF45" s="375"/>
      <c r="FTG45" s="375"/>
      <c r="FTH45" s="375"/>
      <c r="FTI45" s="375"/>
      <c r="FTJ45" s="375"/>
      <c r="FTK45" s="375"/>
      <c r="FTL45" s="375"/>
      <c r="FTM45" s="375"/>
      <c r="FTN45" s="375"/>
      <c r="FTO45" s="375"/>
      <c r="FTP45" s="375"/>
      <c r="FTQ45" s="375"/>
      <c r="FTR45" s="375"/>
      <c r="FTS45" s="375"/>
      <c r="FTT45" s="375"/>
      <c r="FTU45" s="375"/>
      <c r="FTV45" s="375"/>
      <c r="FTW45" s="375"/>
      <c r="FTX45" s="375"/>
      <c r="FTY45" s="375"/>
      <c r="FTZ45" s="375"/>
      <c r="FUA45" s="375"/>
      <c r="FUB45" s="375"/>
      <c r="FUC45" s="375"/>
      <c r="FUD45" s="375"/>
      <c r="FUE45" s="375"/>
      <c r="FUF45" s="375"/>
      <c r="FUG45" s="375"/>
      <c r="FUH45" s="375"/>
      <c r="FUI45" s="375"/>
      <c r="FUJ45" s="375"/>
      <c r="FUK45" s="375"/>
      <c r="FUL45" s="375"/>
      <c r="FUM45" s="375"/>
      <c r="FUN45" s="375"/>
      <c r="FUO45" s="375"/>
      <c r="FUP45" s="375"/>
      <c r="FUQ45" s="375"/>
      <c r="FUR45" s="375"/>
      <c r="FUS45" s="375"/>
      <c r="FUT45" s="375"/>
      <c r="FUU45" s="375"/>
      <c r="FUV45" s="375"/>
      <c r="FUW45" s="375"/>
      <c r="FUX45" s="375"/>
      <c r="FUY45" s="375"/>
      <c r="FUZ45" s="375"/>
      <c r="FVA45" s="375"/>
      <c r="FVB45" s="375"/>
      <c r="FVC45" s="375"/>
      <c r="FVD45" s="375"/>
      <c r="FVE45" s="375"/>
      <c r="FVF45" s="375"/>
      <c r="FVG45" s="375"/>
      <c r="FVH45" s="375"/>
      <c r="FVI45" s="375"/>
      <c r="FVJ45" s="375"/>
      <c r="FVK45" s="375"/>
      <c r="FVL45" s="375"/>
      <c r="FVM45" s="375"/>
      <c r="FVN45" s="375"/>
      <c r="FVO45" s="375"/>
      <c r="FVP45" s="375"/>
      <c r="FVQ45" s="375"/>
      <c r="FVR45" s="375"/>
      <c r="FVS45" s="375"/>
      <c r="FVT45" s="375"/>
      <c r="FVU45" s="375"/>
      <c r="FVV45" s="375"/>
      <c r="FVW45" s="375"/>
      <c r="FVX45" s="375"/>
      <c r="FVY45" s="375"/>
      <c r="FVZ45" s="375"/>
      <c r="FWA45" s="375"/>
      <c r="FWB45" s="375"/>
      <c r="FWC45" s="375"/>
      <c r="FWD45" s="375"/>
      <c r="FWE45" s="375"/>
      <c r="FWF45" s="375"/>
      <c r="FWG45" s="375"/>
      <c r="FWH45" s="375"/>
      <c r="FWI45" s="375"/>
      <c r="FWJ45" s="375"/>
      <c r="FWK45" s="375"/>
      <c r="FWL45" s="375"/>
      <c r="FWM45" s="375"/>
      <c r="FWN45" s="375"/>
      <c r="FWO45" s="375"/>
      <c r="FWP45" s="375"/>
      <c r="FWQ45" s="375"/>
      <c r="FWR45" s="375"/>
      <c r="FWS45" s="375"/>
      <c r="FWT45" s="375"/>
      <c r="FWU45" s="375"/>
      <c r="FWV45" s="375"/>
      <c r="FWW45" s="375"/>
      <c r="FWX45" s="375"/>
      <c r="FWY45" s="375"/>
      <c r="FWZ45" s="375"/>
      <c r="FXA45" s="375"/>
      <c r="FXB45" s="375"/>
      <c r="FXC45" s="375"/>
      <c r="FXD45" s="375"/>
      <c r="FXE45" s="375"/>
      <c r="FXF45" s="375"/>
      <c r="FXG45" s="375"/>
      <c r="FXH45" s="375"/>
      <c r="FXI45" s="375"/>
      <c r="FXJ45" s="375"/>
      <c r="FXK45" s="375"/>
      <c r="FXL45" s="375"/>
      <c r="FXM45" s="375"/>
      <c r="FXN45" s="375"/>
      <c r="FXO45" s="375"/>
      <c r="FXP45" s="375"/>
      <c r="FXQ45" s="375"/>
      <c r="FXR45" s="375"/>
      <c r="FXS45" s="375"/>
      <c r="FXT45" s="375"/>
      <c r="FXU45" s="375"/>
      <c r="FXV45" s="375"/>
      <c r="FXW45" s="375"/>
      <c r="FXX45" s="375"/>
      <c r="FXY45" s="375"/>
      <c r="FXZ45" s="375"/>
      <c r="FYA45" s="375"/>
      <c r="FYB45" s="375"/>
      <c r="FYC45" s="375"/>
      <c r="FYD45" s="375"/>
      <c r="FYE45" s="375"/>
      <c r="FYF45" s="375"/>
      <c r="FYG45" s="375"/>
      <c r="FYH45" s="375"/>
      <c r="FYI45" s="375"/>
      <c r="FYJ45" s="375"/>
      <c r="FYK45" s="375"/>
      <c r="FYL45" s="375"/>
      <c r="FYM45" s="375"/>
      <c r="FYN45" s="375"/>
      <c r="FYO45" s="375"/>
      <c r="FYP45" s="375"/>
      <c r="FYQ45" s="375"/>
      <c r="FYR45" s="375"/>
      <c r="FYS45" s="375"/>
      <c r="FYT45" s="375"/>
      <c r="FYU45" s="375"/>
      <c r="FYV45" s="375"/>
      <c r="FYW45" s="375"/>
      <c r="FYX45" s="375"/>
      <c r="FYY45" s="375"/>
      <c r="FYZ45" s="375"/>
      <c r="FZA45" s="375"/>
      <c r="FZB45" s="375"/>
      <c r="FZC45" s="375"/>
      <c r="FZD45" s="375"/>
      <c r="FZE45" s="375"/>
      <c r="FZF45" s="375"/>
      <c r="FZG45" s="375"/>
      <c r="FZH45" s="375"/>
      <c r="FZI45" s="375"/>
      <c r="FZJ45" s="375"/>
      <c r="FZK45" s="375"/>
      <c r="FZL45" s="375"/>
      <c r="FZM45" s="375"/>
      <c r="FZN45" s="375"/>
      <c r="FZO45" s="375"/>
      <c r="FZP45" s="375"/>
      <c r="FZQ45" s="375"/>
      <c r="FZR45" s="375"/>
      <c r="FZS45" s="375"/>
      <c r="FZT45" s="375"/>
      <c r="FZU45" s="375"/>
      <c r="FZV45" s="375"/>
      <c r="FZW45" s="375"/>
      <c r="FZX45" s="375"/>
      <c r="FZY45" s="375"/>
      <c r="FZZ45" s="375"/>
      <c r="GAA45" s="375"/>
      <c r="GAB45" s="375"/>
      <c r="GAC45" s="375"/>
      <c r="GAD45" s="375"/>
      <c r="GAE45" s="375"/>
      <c r="GAF45" s="375"/>
      <c r="GAG45" s="375"/>
      <c r="GAH45" s="375"/>
      <c r="GAI45" s="375"/>
      <c r="GAJ45" s="375"/>
      <c r="GAK45" s="375"/>
      <c r="GAL45" s="375"/>
      <c r="GAM45" s="375"/>
      <c r="GAN45" s="375"/>
      <c r="GAO45" s="375"/>
      <c r="GAP45" s="375"/>
      <c r="GAQ45" s="375"/>
      <c r="GAR45" s="375"/>
      <c r="GAS45" s="375"/>
      <c r="GAT45" s="375"/>
      <c r="GAU45" s="375"/>
      <c r="GAV45" s="375"/>
      <c r="GAW45" s="375"/>
      <c r="GAX45" s="375"/>
      <c r="GAY45" s="375"/>
      <c r="GAZ45" s="375"/>
      <c r="GBA45" s="375"/>
      <c r="GBB45" s="375"/>
      <c r="GBC45" s="375"/>
      <c r="GBD45" s="375"/>
      <c r="GBE45" s="375"/>
      <c r="GBF45" s="375"/>
      <c r="GBG45" s="375"/>
      <c r="GBH45" s="375"/>
      <c r="GBI45" s="375"/>
      <c r="GBJ45" s="375"/>
      <c r="GBK45" s="375"/>
      <c r="GBL45" s="375"/>
      <c r="GBM45" s="375"/>
      <c r="GBN45" s="375"/>
      <c r="GBO45" s="375"/>
      <c r="GBP45" s="375"/>
      <c r="GBQ45" s="375"/>
      <c r="GBR45" s="375"/>
      <c r="GBS45" s="375"/>
      <c r="GBT45" s="375"/>
      <c r="GBU45" s="375"/>
      <c r="GBV45" s="375"/>
      <c r="GBW45" s="375"/>
      <c r="GBX45" s="375"/>
      <c r="GBY45" s="375"/>
      <c r="GBZ45" s="375"/>
      <c r="GCA45" s="375"/>
      <c r="GCB45" s="375"/>
      <c r="GCC45" s="375"/>
      <c r="GCD45" s="375"/>
      <c r="GCE45" s="375"/>
      <c r="GCF45" s="375"/>
      <c r="GCG45" s="375"/>
      <c r="GCH45" s="375"/>
      <c r="GCI45" s="375"/>
      <c r="GCJ45" s="375"/>
      <c r="GCK45" s="375"/>
      <c r="GCL45" s="375"/>
      <c r="GCM45" s="375"/>
      <c r="GCN45" s="375"/>
      <c r="GCO45" s="375"/>
      <c r="GCP45" s="375"/>
      <c r="GCQ45" s="375"/>
      <c r="GCR45" s="375"/>
      <c r="GCS45" s="375"/>
      <c r="GCT45" s="375"/>
      <c r="GCU45" s="375"/>
      <c r="GCV45" s="375"/>
      <c r="GCW45" s="375"/>
      <c r="GCX45" s="375"/>
      <c r="GCY45" s="375"/>
      <c r="GCZ45" s="375"/>
      <c r="GDA45" s="375"/>
      <c r="GDB45" s="375"/>
      <c r="GDC45" s="375"/>
      <c r="GDD45" s="375"/>
      <c r="GDE45" s="375"/>
      <c r="GDF45" s="375"/>
      <c r="GDG45" s="375"/>
      <c r="GDH45" s="375"/>
      <c r="GDI45" s="375"/>
      <c r="GDJ45" s="375"/>
      <c r="GDK45" s="375"/>
      <c r="GDL45" s="375"/>
      <c r="GDM45" s="375"/>
      <c r="GDN45" s="375"/>
      <c r="GDO45" s="375"/>
      <c r="GDP45" s="375"/>
      <c r="GDQ45" s="375"/>
      <c r="GDR45" s="375"/>
      <c r="GDS45" s="375"/>
      <c r="GDT45" s="375"/>
      <c r="GDU45" s="375"/>
      <c r="GDV45" s="375"/>
      <c r="GDW45" s="375"/>
      <c r="GDX45" s="375"/>
      <c r="GDY45" s="375"/>
      <c r="GDZ45" s="375"/>
      <c r="GEA45" s="375"/>
      <c r="GEB45" s="375"/>
      <c r="GEC45" s="375"/>
      <c r="GED45" s="375"/>
      <c r="GEE45" s="375"/>
      <c r="GEF45" s="375"/>
      <c r="GEG45" s="375"/>
      <c r="GEH45" s="375"/>
      <c r="GEI45" s="375"/>
      <c r="GEJ45" s="375"/>
      <c r="GEK45" s="375"/>
      <c r="GEL45" s="375"/>
      <c r="GEM45" s="375"/>
      <c r="GEN45" s="375"/>
      <c r="GEO45" s="375"/>
      <c r="GEP45" s="375"/>
      <c r="GEQ45" s="375"/>
      <c r="GER45" s="375"/>
      <c r="GES45" s="375"/>
      <c r="GET45" s="375"/>
      <c r="GEU45" s="375"/>
      <c r="GEV45" s="375"/>
      <c r="GEW45" s="375"/>
      <c r="GEX45" s="375"/>
      <c r="GEY45" s="375"/>
      <c r="GEZ45" s="375"/>
      <c r="GFA45" s="375"/>
      <c r="GFB45" s="375"/>
      <c r="GFC45" s="375"/>
      <c r="GFD45" s="375"/>
      <c r="GFE45" s="375"/>
      <c r="GFF45" s="375"/>
      <c r="GFG45" s="375"/>
      <c r="GFH45" s="375"/>
      <c r="GFI45" s="375"/>
      <c r="GFJ45" s="375"/>
      <c r="GFK45" s="375"/>
      <c r="GFL45" s="375"/>
      <c r="GFM45" s="375"/>
      <c r="GFN45" s="375"/>
      <c r="GFO45" s="375"/>
      <c r="GFP45" s="375"/>
      <c r="GFQ45" s="375"/>
      <c r="GFR45" s="375"/>
      <c r="GFS45" s="375"/>
      <c r="GFT45" s="375"/>
      <c r="GFU45" s="375"/>
      <c r="GFV45" s="375"/>
      <c r="GFW45" s="375"/>
      <c r="GFX45" s="375"/>
      <c r="GFY45" s="375"/>
      <c r="GFZ45" s="375"/>
      <c r="GGA45" s="375"/>
      <c r="GGB45" s="375"/>
      <c r="GGC45" s="375"/>
      <c r="GGD45" s="375"/>
      <c r="GGE45" s="375"/>
      <c r="GGF45" s="375"/>
      <c r="GGG45" s="375"/>
      <c r="GGH45" s="375"/>
      <c r="GGI45" s="375"/>
      <c r="GGJ45" s="375"/>
      <c r="GGK45" s="375"/>
      <c r="GGL45" s="375"/>
      <c r="GGM45" s="375"/>
      <c r="GGN45" s="375"/>
      <c r="GGO45" s="375"/>
      <c r="GGP45" s="375"/>
      <c r="GGQ45" s="375"/>
      <c r="GGR45" s="375"/>
      <c r="GGS45" s="375"/>
      <c r="GGT45" s="375"/>
      <c r="GGU45" s="375"/>
      <c r="GGV45" s="375"/>
      <c r="GGW45" s="375"/>
      <c r="GGX45" s="375"/>
      <c r="GGY45" s="375"/>
      <c r="GGZ45" s="375"/>
      <c r="GHA45" s="375"/>
      <c r="GHB45" s="375"/>
      <c r="GHC45" s="375"/>
      <c r="GHD45" s="375"/>
      <c r="GHE45" s="375"/>
      <c r="GHF45" s="375"/>
      <c r="GHG45" s="375"/>
      <c r="GHH45" s="375"/>
      <c r="GHI45" s="375"/>
      <c r="GHJ45" s="375"/>
      <c r="GHK45" s="375"/>
      <c r="GHL45" s="375"/>
      <c r="GHM45" s="375"/>
      <c r="GHN45" s="375"/>
      <c r="GHO45" s="375"/>
      <c r="GHP45" s="375"/>
      <c r="GHQ45" s="375"/>
      <c r="GHR45" s="375"/>
      <c r="GHS45" s="375"/>
      <c r="GHT45" s="375"/>
      <c r="GHU45" s="375"/>
      <c r="GHV45" s="375"/>
      <c r="GHW45" s="375"/>
      <c r="GHX45" s="375"/>
      <c r="GHY45" s="375"/>
      <c r="GHZ45" s="375"/>
      <c r="GIA45" s="375"/>
      <c r="GIB45" s="375"/>
      <c r="GIC45" s="375"/>
      <c r="GID45" s="375"/>
      <c r="GIE45" s="375"/>
      <c r="GIF45" s="375"/>
      <c r="GIG45" s="375"/>
      <c r="GIH45" s="375"/>
      <c r="GII45" s="375"/>
      <c r="GIJ45" s="375"/>
      <c r="GIK45" s="375"/>
      <c r="GIL45" s="375"/>
      <c r="GIM45" s="375"/>
      <c r="GIN45" s="375"/>
      <c r="GIO45" s="375"/>
      <c r="GIP45" s="375"/>
      <c r="GIQ45" s="375"/>
      <c r="GIR45" s="375"/>
      <c r="GIS45" s="375"/>
      <c r="GIT45" s="375"/>
      <c r="GIU45" s="375"/>
      <c r="GIV45" s="375"/>
      <c r="GIW45" s="375"/>
      <c r="GIX45" s="375"/>
      <c r="GIY45" s="375"/>
      <c r="GIZ45" s="375"/>
      <c r="GJA45" s="375"/>
      <c r="GJB45" s="375"/>
      <c r="GJC45" s="375"/>
      <c r="GJD45" s="375"/>
      <c r="GJE45" s="375"/>
      <c r="GJF45" s="375"/>
      <c r="GJG45" s="375"/>
      <c r="GJH45" s="375"/>
      <c r="GJI45" s="375"/>
      <c r="GJJ45" s="375"/>
      <c r="GJK45" s="375"/>
      <c r="GJL45" s="375"/>
      <c r="GJM45" s="375"/>
      <c r="GJN45" s="375"/>
      <c r="GJO45" s="375"/>
      <c r="GJP45" s="375"/>
      <c r="GJQ45" s="375"/>
      <c r="GJR45" s="375"/>
      <c r="GJS45" s="375"/>
      <c r="GJT45" s="375"/>
      <c r="GJU45" s="375"/>
      <c r="GJV45" s="375"/>
      <c r="GJW45" s="375"/>
      <c r="GJX45" s="375"/>
      <c r="GJY45" s="375"/>
      <c r="GJZ45" s="375"/>
      <c r="GKA45" s="375"/>
      <c r="GKB45" s="375"/>
      <c r="GKC45" s="375"/>
      <c r="GKD45" s="375"/>
      <c r="GKE45" s="375"/>
      <c r="GKF45" s="375"/>
      <c r="GKG45" s="375"/>
      <c r="GKH45" s="375"/>
      <c r="GKI45" s="375"/>
      <c r="GKJ45" s="375"/>
      <c r="GKK45" s="375"/>
      <c r="GKL45" s="375"/>
      <c r="GKM45" s="375"/>
      <c r="GKN45" s="375"/>
      <c r="GKO45" s="375"/>
      <c r="GKP45" s="375"/>
      <c r="GKQ45" s="375"/>
      <c r="GKR45" s="375"/>
      <c r="GKS45" s="375"/>
      <c r="GKT45" s="375"/>
      <c r="GKU45" s="375"/>
      <c r="GKV45" s="375"/>
      <c r="GKW45" s="375"/>
      <c r="GKX45" s="375"/>
      <c r="GKY45" s="375"/>
      <c r="GKZ45" s="375"/>
      <c r="GLA45" s="375"/>
      <c r="GLB45" s="375"/>
      <c r="GLC45" s="375"/>
      <c r="GLD45" s="375"/>
      <c r="GLE45" s="375"/>
      <c r="GLF45" s="375"/>
      <c r="GLG45" s="375"/>
      <c r="GLH45" s="375"/>
      <c r="GLI45" s="375"/>
      <c r="GLJ45" s="375"/>
      <c r="GLK45" s="375"/>
      <c r="GLL45" s="375"/>
      <c r="GLM45" s="375"/>
      <c r="GLN45" s="375"/>
      <c r="GLO45" s="375"/>
      <c r="GLP45" s="375"/>
      <c r="GLQ45" s="375"/>
      <c r="GLR45" s="375"/>
      <c r="GLS45" s="375"/>
      <c r="GLT45" s="375"/>
      <c r="GLU45" s="375"/>
      <c r="GLV45" s="375"/>
      <c r="GLW45" s="375"/>
      <c r="GLX45" s="375"/>
      <c r="GLY45" s="375"/>
      <c r="GLZ45" s="375"/>
      <c r="GMA45" s="375"/>
      <c r="GMB45" s="375"/>
      <c r="GMC45" s="375"/>
      <c r="GMD45" s="375"/>
      <c r="GME45" s="375"/>
      <c r="GMF45" s="375"/>
      <c r="GMG45" s="375"/>
      <c r="GMH45" s="375"/>
      <c r="GMI45" s="375"/>
      <c r="GMJ45" s="375"/>
      <c r="GMK45" s="375"/>
      <c r="GML45" s="375"/>
      <c r="GMM45" s="375"/>
      <c r="GMN45" s="375"/>
      <c r="GMO45" s="375"/>
      <c r="GMP45" s="375"/>
      <c r="GMQ45" s="375"/>
      <c r="GMR45" s="375"/>
      <c r="GMS45" s="375"/>
      <c r="GMT45" s="375"/>
      <c r="GMU45" s="375"/>
      <c r="GMV45" s="375"/>
      <c r="GMW45" s="375"/>
      <c r="GMX45" s="375"/>
      <c r="GMY45" s="375"/>
      <c r="GMZ45" s="375"/>
      <c r="GNA45" s="375"/>
      <c r="GNB45" s="375"/>
      <c r="GNC45" s="375"/>
      <c r="GND45" s="375"/>
      <c r="GNE45" s="375"/>
      <c r="GNF45" s="375"/>
      <c r="GNG45" s="375"/>
      <c r="GNH45" s="375"/>
      <c r="GNI45" s="375"/>
      <c r="GNJ45" s="375"/>
      <c r="GNK45" s="375"/>
      <c r="GNL45" s="375"/>
      <c r="GNM45" s="375"/>
      <c r="GNN45" s="375"/>
      <c r="GNO45" s="375"/>
      <c r="GNP45" s="375"/>
      <c r="GNQ45" s="375"/>
      <c r="GNR45" s="375"/>
      <c r="GNS45" s="375"/>
      <c r="GNT45" s="375"/>
      <c r="GNU45" s="375"/>
      <c r="GNV45" s="375"/>
      <c r="GNW45" s="375"/>
      <c r="GNX45" s="375"/>
      <c r="GNY45" s="375"/>
      <c r="GNZ45" s="375"/>
      <c r="GOA45" s="375"/>
      <c r="GOB45" s="375"/>
      <c r="GOC45" s="375"/>
      <c r="GOD45" s="375"/>
      <c r="GOE45" s="375"/>
      <c r="GOF45" s="375"/>
      <c r="GOG45" s="375"/>
      <c r="GOH45" s="375"/>
      <c r="GOI45" s="375"/>
      <c r="GOJ45" s="375"/>
      <c r="GOK45" s="375"/>
      <c r="GOL45" s="375"/>
      <c r="GOM45" s="375"/>
      <c r="GON45" s="375"/>
      <c r="GOO45" s="375"/>
      <c r="GOP45" s="375"/>
      <c r="GOQ45" s="375"/>
      <c r="GOR45" s="375"/>
      <c r="GOS45" s="375"/>
      <c r="GOT45" s="375"/>
      <c r="GOU45" s="375"/>
      <c r="GOV45" s="375"/>
      <c r="GOW45" s="375"/>
      <c r="GOX45" s="375"/>
      <c r="GOY45" s="375"/>
      <c r="GOZ45" s="375"/>
      <c r="GPA45" s="375"/>
      <c r="GPB45" s="375"/>
      <c r="GPC45" s="375"/>
      <c r="GPD45" s="375"/>
      <c r="GPE45" s="375"/>
      <c r="GPF45" s="375"/>
      <c r="GPG45" s="375"/>
      <c r="GPH45" s="375"/>
      <c r="GPI45" s="375"/>
      <c r="GPJ45" s="375"/>
      <c r="GPK45" s="375"/>
      <c r="GPL45" s="375"/>
      <c r="GPM45" s="375"/>
      <c r="GPN45" s="375"/>
      <c r="GPO45" s="375"/>
      <c r="GPP45" s="375"/>
      <c r="GPQ45" s="375"/>
      <c r="GPR45" s="375"/>
      <c r="GPS45" s="375"/>
      <c r="GPT45" s="375"/>
      <c r="GPU45" s="375"/>
      <c r="GPV45" s="375"/>
      <c r="GPW45" s="375"/>
      <c r="GPX45" s="375"/>
      <c r="GPY45" s="375"/>
      <c r="GPZ45" s="375"/>
      <c r="GQA45" s="375"/>
      <c r="GQB45" s="375"/>
      <c r="GQC45" s="375"/>
      <c r="GQD45" s="375"/>
      <c r="GQE45" s="375"/>
      <c r="GQF45" s="375"/>
      <c r="GQG45" s="375"/>
      <c r="GQH45" s="375"/>
      <c r="GQI45" s="375"/>
      <c r="GQJ45" s="375"/>
      <c r="GQK45" s="375"/>
      <c r="GQL45" s="375"/>
      <c r="GQM45" s="375"/>
      <c r="GQN45" s="375"/>
      <c r="GQO45" s="375"/>
      <c r="GQP45" s="375"/>
      <c r="GQQ45" s="375"/>
      <c r="GQR45" s="375"/>
      <c r="GQS45" s="375"/>
      <c r="GQT45" s="375"/>
      <c r="GQU45" s="375"/>
      <c r="GQV45" s="375"/>
      <c r="GQW45" s="375"/>
      <c r="GQX45" s="375"/>
      <c r="GQY45" s="375"/>
      <c r="GQZ45" s="375"/>
      <c r="GRA45" s="375"/>
      <c r="GRB45" s="375"/>
      <c r="GRC45" s="375"/>
      <c r="GRD45" s="375"/>
      <c r="GRE45" s="375"/>
      <c r="GRF45" s="375"/>
      <c r="GRG45" s="375"/>
      <c r="GRH45" s="375"/>
      <c r="GRI45" s="375"/>
      <c r="GRJ45" s="375"/>
      <c r="GRK45" s="375"/>
      <c r="GRL45" s="375"/>
      <c r="GRM45" s="375"/>
      <c r="GRN45" s="375"/>
      <c r="GRO45" s="375"/>
      <c r="GRP45" s="375"/>
      <c r="GRQ45" s="375"/>
      <c r="GRR45" s="375"/>
      <c r="GRS45" s="375"/>
      <c r="GRT45" s="375"/>
      <c r="GRU45" s="375"/>
      <c r="GRV45" s="375"/>
      <c r="GRW45" s="375"/>
      <c r="GRX45" s="375"/>
      <c r="GRY45" s="375"/>
      <c r="GRZ45" s="375"/>
      <c r="GSA45" s="375"/>
      <c r="GSB45" s="375"/>
      <c r="GSC45" s="375"/>
      <c r="GSD45" s="375"/>
      <c r="GSE45" s="375"/>
      <c r="GSF45" s="375"/>
      <c r="GSG45" s="375"/>
      <c r="GSH45" s="375"/>
      <c r="GSI45" s="375"/>
      <c r="GSJ45" s="375"/>
      <c r="GSK45" s="375"/>
      <c r="GSL45" s="375"/>
      <c r="GSM45" s="375"/>
      <c r="GSN45" s="375"/>
      <c r="GSO45" s="375"/>
      <c r="GSP45" s="375"/>
      <c r="GSQ45" s="375"/>
      <c r="GSR45" s="375"/>
      <c r="GSS45" s="375"/>
      <c r="GST45" s="375"/>
      <c r="GSU45" s="375"/>
      <c r="GSV45" s="375"/>
      <c r="GSW45" s="375"/>
      <c r="GSX45" s="375"/>
      <c r="GSY45" s="375"/>
      <c r="GSZ45" s="375"/>
      <c r="GTA45" s="375"/>
      <c r="GTB45" s="375"/>
      <c r="GTC45" s="375"/>
      <c r="GTD45" s="375"/>
      <c r="GTE45" s="375"/>
      <c r="GTF45" s="375"/>
      <c r="GTG45" s="375"/>
      <c r="GTH45" s="375"/>
      <c r="GTI45" s="375"/>
      <c r="GTJ45" s="375"/>
      <c r="GTK45" s="375"/>
      <c r="GTL45" s="375"/>
      <c r="GTM45" s="375"/>
      <c r="GTN45" s="375"/>
      <c r="GTO45" s="375"/>
      <c r="GTP45" s="375"/>
      <c r="GTQ45" s="375"/>
      <c r="GTR45" s="375"/>
      <c r="GTS45" s="375"/>
      <c r="GTT45" s="375"/>
      <c r="GTU45" s="375"/>
      <c r="GTV45" s="375"/>
      <c r="GTW45" s="375"/>
      <c r="GTX45" s="375"/>
      <c r="GTY45" s="375"/>
      <c r="GTZ45" s="375"/>
      <c r="GUA45" s="375"/>
      <c r="GUB45" s="375"/>
      <c r="GUC45" s="375"/>
      <c r="GUD45" s="375"/>
      <c r="GUE45" s="375"/>
      <c r="GUF45" s="375"/>
      <c r="GUG45" s="375"/>
      <c r="GUH45" s="375"/>
      <c r="GUI45" s="375"/>
      <c r="GUJ45" s="375"/>
      <c r="GUK45" s="375"/>
      <c r="GUL45" s="375"/>
      <c r="GUM45" s="375"/>
      <c r="GUN45" s="375"/>
      <c r="GUO45" s="375"/>
      <c r="GUP45" s="375"/>
      <c r="GUQ45" s="375"/>
      <c r="GUR45" s="375"/>
      <c r="GUS45" s="375"/>
      <c r="GUT45" s="375"/>
      <c r="GUU45" s="375"/>
      <c r="GUV45" s="375"/>
      <c r="GUW45" s="375"/>
      <c r="GUX45" s="375"/>
      <c r="GUY45" s="375"/>
      <c r="GUZ45" s="375"/>
      <c r="GVA45" s="375"/>
      <c r="GVB45" s="375"/>
      <c r="GVC45" s="375"/>
      <c r="GVD45" s="375"/>
      <c r="GVE45" s="375"/>
      <c r="GVF45" s="375"/>
      <c r="GVG45" s="375"/>
      <c r="GVH45" s="375"/>
      <c r="GVI45" s="375"/>
      <c r="GVJ45" s="375"/>
      <c r="GVK45" s="375"/>
      <c r="GVL45" s="375"/>
      <c r="GVM45" s="375"/>
      <c r="GVN45" s="375"/>
      <c r="GVO45" s="375"/>
      <c r="GVP45" s="375"/>
      <c r="GVQ45" s="375"/>
      <c r="GVR45" s="375"/>
      <c r="GVS45" s="375"/>
      <c r="GVT45" s="375"/>
      <c r="GVU45" s="375"/>
      <c r="GVV45" s="375"/>
      <c r="GVW45" s="375"/>
      <c r="GVX45" s="375"/>
      <c r="GVY45" s="375"/>
      <c r="GVZ45" s="375"/>
      <c r="GWA45" s="375"/>
      <c r="GWB45" s="375"/>
      <c r="GWC45" s="375"/>
      <c r="GWD45" s="375"/>
      <c r="GWE45" s="375"/>
      <c r="GWF45" s="375"/>
      <c r="GWG45" s="375"/>
      <c r="GWH45" s="375"/>
      <c r="GWI45" s="375"/>
      <c r="GWJ45" s="375"/>
      <c r="GWK45" s="375"/>
      <c r="GWL45" s="375"/>
      <c r="GWM45" s="375"/>
      <c r="GWN45" s="375"/>
      <c r="GWO45" s="375"/>
      <c r="GWP45" s="375"/>
      <c r="GWQ45" s="375"/>
      <c r="GWR45" s="375"/>
      <c r="GWS45" s="375"/>
      <c r="GWT45" s="375"/>
      <c r="GWU45" s="375"/>
      <c r="GWV45" s="375"/>
      <c r="GWW45" s="375"/>
      <c r="GWX45" s="375"/>
      <c r="GWY45" s="375"/>
      <c r="GWZ45" s="375"/>
      <c r="GXA45" s="375"/>
      <c r="GXB45" s="375"/>
      <c r="GXC45" s="375"/>
      <c r="GXD45" s="375"/>
      <c r="GXE45" s="375"/>
      <c r="GXF45" s="375"/>
      <c r="GXG45" s="375"/>
      <c r="GXH45" s="375"/>
      <c r="GXI45" s="375"/>
      <c r="GXJ45" s="375"/>
      <c r="GXK45" s="375"/>
      <c r="GXL45" s="375"/>
      <c r="GXM45" s="375"/>
      <c r="GXN45" s="375"/>
      <c r="GXO45" s="375"/>
      <c r="GXP45" s="375"/>
      <c r="GXQ45" s="375"/>
      <c r="GXR45" s="375"/>
      <c r="GXS45" s="375"/>
      <c r="GXT45" s="375"/>
      <c r="GXU45" s="375"/>
      <c r="GXV45" s="375"/>
      <c r="GXW45" s="375"/>
      <c r="GXX45" s="375"/>
      <c r="GXY45" s="375"/>
      <c r="GXZ45" s="375"/>
      <c r="GYA45" s="375"/>
      <c r="GYB45" s="375"/>
      <c r="GYC45" s="375"/>
      <c r="GYD45" s="375"/>
      <c r="GYE45" s="375"/>
      <c r="GYF45" s="375"/>
      <c r="GYG45" s="375"/>
      <c r="GYH45" s="375"/>
      <c r="GYI45" s="375"/>
      <c r="GYJ45" s="375"/>
      <c r="GYK45" s="375"/>
      <c r="GYL45" s="375"/>
      <c r="GYM45" s="375"/>
      <c r="GYN45" s="375"/>
      <c r="GYO45" s="375"/>
      <c r="GYP45" s="375"/>
      <c r="GYQ45" s="375"/>
      <c r="GYR45" s="375"/>
      <c r="GYS45" s="375"/>
      <c r="GYT45" s="375"/>
      <c r="GYU45" s="375"/>
      <c r="GYV45" s="375"/>
      <c r="GYW45" s="375"/>
      <c r="GYX45" s="375"/>
      <c r="GYY45" s="375"/>
      <c r="GYZ45" s="375"/>
      <c r="GZA45" s="375"/>
      <c r="GZB45" s="375"/>
      <c r="GZC45" s="375"/>
      <c r="GZD45" s="375"/>
      <c r="GZE45" s="375"/>
      <c r="GZF45" s="375"/>
      <c r="GZG45" s="375"/>
      <c r="GZH45" s="375"/>
      <c r="GZI45" s="375"/>
      <c r="GZJ45" s="375"/>
      <c r="GZK45" s="375"/>
      <c r="GZL45" s="375"/>
      <c r="GZM45" s="375"/>
      <c r="GZN45" s="375"/>
      <c r="GZO45" s="375"/>
      <c r="GZP45" s="375"/>
      <c r="GZQ45" s="375"/>
      <c r="GZR45" s="375"/>
      <c r="GZS45" s="375"/>
      <c r="GZT45" s="375"/>
      <c r="GZU45" s="375"/>
      <c r="GZV45" s="375"/>
      <c r="GZW45" s="375"/>
      <c r="GZX45" s="375"/>
      <c r="GZY45" s="375"/>
      <c r="GZZ45" s="375"/>
      <c r="HAA45" s="375"/>
      <c r="HAB45" s="375"/>
      <c r="HAC45" s="375"/>
      <c r="HAD45" s="375"/>
      <c r="HAE45" s="375"/>
      <c r="HAF45" s="375"/>
      <c r="HAG45" s="375"/>
      <c r="HAH45" s="375"/>
      <c r="HAI45" s="375"/>
      <c r="HAJ45" s="375"/>
      <c r="HAK45" s="375"/>
      <c r="HAL45" s="375"/>
      <c r="HAM45" s="375"/>
      <c r="HAN45" s="375"/>
      <c r="HAO45" s="375"/>
      <c r="HAP45" s="375"/>
      <c r="HAQ45" s="375"/>
      <c r="HAR45" s="375"/>
      <c r="HAS45" s="375"/>
      <c r="HAT45" s="375"/>
      <c r="HAU45" s="375"/>
      <c r="HAV45" s="375"/>
      <c r="HAW45" s="375"/>
      <c r="HAX45" s="375"/>
      <c r="HAY45" s="375"/>
      <c r="HAZ45" s="375"/>
      <c r="HBA45" s="375"/>
      <c r="HBB45" s="375"/>
      <c r="HBC45" s="375"/>
      <c r="HBD45" s="375"/>
      <c r="HBE45" s="375"/>
      <c r="HBF45" s="375"/>
      <c r="HBG45" s="375"/>
      <c r="HBH45" s="375"/>
      <c r="HBI45" s="375"/>
      <c r="HBJ45" s="375"/>
      <c r="HBK45" s="375"/>
      <c r="HBL45" s="375"/>
      <c r="HBM45" s="375"/>
      <c r="HBN45" s="375"/>
      <c r="HBO45" s="375"/>
      <c r="HBP45" s="375"/>
      <c r="HBQ45" s="375"/>
      <c r="HBR45" s="375"/>
      <c r="HBS45" s="375"/>
      <c r="HBT45" s="375"/>
      <c r="HBU45" s="375"/>
      <c r="HBV45" s="375"/>
      <c r="HBW45" s="375"/>
      <c r="HBX45" s="375"/>
      <c r="HBY45" s="375"/>
      <c r="HBZ45" s="375"/>
      <c r="HCA45" s="375"/>
      <c r="HCB45" s="375"/>
      <c r="HCC45" s="375"/>
      <c r="HCD45" s="375"/>
      <c r="HCE45" s="375"/>
      <c r="HCF45" s="375"/>
      <c r="HCG45" s="375"/>
      <c r="HCH45" s="375"/>
      <c r="HCI45" s="375"/>
      <c r="HCJ45" s="375"/>
      <c r="HCK45" s="375"/>
      <c r="HCL45" s="375"/>
      <c r="HCM45" s="375"/>
      <c r="HCN45" s="375"/>
      <c r="HCO45" s="375"/>
      <c r="HCP45" s="375"/>
      <c r="HCQ45" s="375"/>
      <c r="HCR45" s="375"/>
      <c r="HCS45" s="375"/>
      <c r="HCT45" s="375"/>
      <c r="HCU45" s="375"/>
      <c r="HCV45" s="375"/>
      <c r="HCW45" s="375"/>
      <c r="HCX45" s="375"/>
      <c r="HCY45" s="375"/>
      <c r="HCZ45" s="375"/>
      <c r="HDA45" s="375"/>
      <c r="HDB45" s="375"/>
      <c r="HDC45" s="375"/>
      <c r="HDD45" s="375"/>
      <c r="HDE45" s="375"/>
      <c r="HDF45" s="375"/>
      <c r="HDG45" s="375"/>
      <c r="HDH45" s="375"/>
      <c r="HDI45" s="375"/>
      <c r="HDJ45" s="375"/>
      <c r="HDK45" s="375"/>
      <c r="HDL45" s="375"/>
      <c r="HDM45" s="375"/>
      <c r="HDN45" s="375"/>
      <c r="HDO45" s="375"/>
      <c r="HDP45" s="375"/>
      <c r="HDQ45" s="375"/>
      <c r="HDR45" s="375"/>
      <c r="HDS45" s="375"/>
      <c r="HDT45" s="375"/>
      <c r="HDU45" s="375"/>
      <c r="HDV45" s="375"/>
      <c r="HDW45" s="375"/>
      <c r="HDX45" s="375"/>
      <c r="HDY45" s="375"/>
      <c r="HDZ45" s="375"/>
      <c r="HEA45" s="375"/>
      <c r="HEB45" s="375"/>
      <c r="HEC45" s="375"/>
      <c r="HED45" s="375"/>
      <c r="HEE45" s="375"/>
      <c r="HEF45" s="375"/>
      <c r="HEG45" s="375"/>
      <c r="HEH45" s="375"/>
      <c r="HEI45" s="375"/>
      <c r="HEJ45" s="375"/>
      <c r="HEK45" s="375"/>
      <c r="HEL45" s="375"/>
      <c r="HEM45" s="375"/>
      <c r="HEN45" s="375"/>
      <c r="HEO45" s="375"/>
      <c r="HEP45" s="375"/>
      <c r="HEQ45" s="375"/>
      <c r="HER45" s="375"/>
      <c r="HES45" s="375"/>
      <c r="HET45" s="375"/>
      <c r="HEU45" s="375"/>
      <c r="HEV45" s="375"/>
      <c r="HEW45" s="375"/>
      <c r="HEX45" s="375"/>
      <c r="HEY45" s="375"/>
      <c r="HEZ45" s="375"/>
      <c r="HFA45" s="375"/>
      <c r="HFB45" s="375"/>
      <c r="HFC45" s="375"/>
      <c r="HFD45" s="375"/>
      <c r="HFE45" s="375"/>
      <c r="HFF45" s="375"/>
      <c r="HFG45" s="375"/>
      <c r="HFH45" s="375"/>
      <c r="HFI45" s="375"/>
      <c r="HFJ45" s="375"/>
      <c r="HFK45" s="375"/>
      <c r="HFL45" s="375"/>
      <c r="HFM45" s="375"/>
      <c r="HFN45" s="375"/>
      <c r="HFO45" s="375"/>
      <c r="HFP45" s="375"/>
      <c r="HFQ45" s="375"/>
      <c r="HFR45" s="375"/>
      <c r="HFS45" s="375"/>
      <c r="HFT45" s="375"/>
      <c r="HFU45" s="375"/>
      <c r="HFV45" s="375"/>
      <c r="HFW45" s="375"/>
      <c r="HFX45" s="375"/>
      <c r="HFY45" s="375"/>
      <c r="HFZ45" s="375"/>
      <c r="HGA45" s="375"/>
      <c r="HGB45" s="375"/>
      <c r="HGC45" s="375"/>
      <c r="HGD45" s="375"/>
      <c r="HGE45" s="375"/>
      <c r="HGF45" s="375"/>
      <c r="HGG45" s="375"/>
      <c r="HGH45" s="375"/>
      <c r="HGI45" s="375"/>
      <c r="HGJ45" s="375"/>
      <c r="HGK45" s="375"/>
      <c r="HGL45" s="375"/>
      <c r="HGM45" s="375"/>
      <c r="HGN45" s="375"/>
      <c r="HGO45" s="375"/>
      <c r="HGP45" s="375"/>
      <c r="HGQ45" s="375"/>
      <c r="HGR45" s="375"/>
      <c r="HGS45" s="375"/>
      <c r="HGT45" s="375"/>
      <c r="HGU45" s="375"/>
      <c r="HGV45" s="375"/>
      <c r="HGW45" s="375"/>
      <c r="HGX45" s="375"/>
      <c r="HGY45" s="375"/>
      <c r="HGZ45" s="375"/>
      <c r="HHA45" s="375"/>
      <c r="HHB45" s="375"/>
      <c r="HHC45" s="375"/>
      <c r="HHD45" s="375"/>
      <c r="HHE45" s="375"/>
      <c r="HHF45" s="375"/>
      <c r="HHG45" s="375"/>
      <c r="HHH45" s="375"/>
      <c r="HHI45" s="375"/>
      <c r="HHJ45" s="375"/>
      <c r="HHK45" s="375"/>
      <c r="HHL45" s="375"/>
      <c r="HHM45" s="375"/>
      <c r="HHN45" s="375"/>
      <c r="HHO45" s="375"/>
      <c r="HHP45" s="375"/>
      <c r="HHQ45" s="375"/>
      <c r="HHR45" s="375"/>
      <c r="HHS45" s="375"/>
      <c r="HHT45" s="375"/>
      <c r="HHU45" s="375"/>
      <c r="HHV45" s="375"/>
      <c r="HHW45" s="375"/>
      <c r="HHX45" s="375"/>
      <c r="HHY45" s="375"/>
      <c r="HHZ45" s="375"/>
      <c r="HIA45" s="375"/>
      <c r="HIB45" s="375"/>
      <c r="HIC45" s="375"/>
      <c r="HID45" s="375"/>
      <c r="HIE45" s="375"/>
      <c r="HIF45" s="375"/>
      <c r="HIG45" s="375"/>
      <c r="HIH45" s="375"/>
      <c r="HII45" s="375"/>
      <c r="HIJ45" s="375"/>
      <c r="HIK45" s="375"/>
      <c r="HIL45" s="375"/>
      <c r="HIM45" s="375"/>
      <c r="HIN45" s="375"/>
      <c r="HIO45" s="375"/>
      <c r="HIP45" s="375"/>
      <c r="HIQ45" s="375"/>
      <c r="HIR45" s="375"/>
      <c r="HIS45" s="375"/>
      <c r="HIT45" s="375"/>
      <c r="HIU45" s="375"/>
      <c r="HIV45" s="375"/>
      <c r="HIW45" s="375"/>
      <c r="HIX45" s="375"/>
      <c r="HIY45" s="375"/>
      <c r="HIZ45" s="375"/>
      <c r="HJA45" s="375"/>
      <c r="HJB45" s="375"/>
      <c r="HJC45" s="375"/>
      <c r="HJD45" s="375"/>
      <c r="HJE45" s="375"/>
      <c r="HJF45" s="375"/>
      <c r="HJG45" s="375"/>
      <c r="HJH45" s="375"/>
      <c r="HJI45" s="375"/>
      <c r="HJJ45" s="375"/>
      <c r="HJK45" s="375"/>
      <c r="HJL45" s="375"/>
      <c r="HJM45" s="375"/>
      <c r="HJN45" s="375"/>
      <c r="HJO45" s="375"/>
      <c r="HJP45" s="375"/>
      <c r="HJQ45" s="375"/>
      <c r="HJR45" s="375"/>
      <c r="HJS45" s="375"/>
      <c r="HJT45" s="375"/>
      <c r="HJU45" s="375"/>
      <c r="HJV45" s="375"/>
      <c r="HJW45" s="375"/>
      <c r="HJX45" s="375"/>
      <c r="HJY45" s="375"/>
      <c r="HJZ45" s="375"/>
      <c r="HKA45" s="375"/>
      <c r="HKB45" s="375"/>
      <c r="HKC45" s="375"/>
      <c r="HKD45" s="375"/>
      <c r="HKE45" s="375"/>
      <c r="HKF45" s="375"/>
      <c r="HKG45" s="375"/>
      <c r="HKH45" s="375"/>
      <c r="HKI45" s="375"/>
      <c r="HKJ45" s="375"/>
      <c r="HKK45" s="375"/>
      <c r="HKL45" s="375"/>
      <c r="HKM45" s="375"/>
      <c r="HKN45" s="375"/>
      <c r="HKO45" s="375"/>
      <c r="HKP45" s="375"/>
      <c r="HKQ45" s="375"/>
      <c r="HKR45" s="375"/>
      <c r="HKS45" s="375"/>
      <c r="HKT45" s="375"/>
      <c r="HKU45" s="375"/>
      <c r="HKV45" s="375"/>
      <c r="HKW45" s="375"/>
      <c r="HKX45" s="375"/>
      <c r="HKY45" s="375"/>
      <c r="HKZ45" s="375"/>
      <c r="HLA45" s="375"/>
      <c r="HLB45" s="375"/>
      <c r="HLC45" s="375"/>
      <c r="HLD45" s="375"/>
      <c r="HLE45" s="375"/>
      <c r="HLF45" s="375"/>
      <c r="HLG45" s="375"/>
      <c r="HLH45" s="375"/>
      <c r="HLI45" s="375"/>
      <c r="HLJ45" s="375"/>
      <c r="HLK45" s="375"/>
      <c r="HLL45" s="375"/>
      <c r="HLM45" s="375"/>
      <c r="HLN45" s="375"/>
      <c r="HLO45" s="375"/>
      <c r="HLP45" s="375"/>
      <c r="HLQ45" s="375"/>
      <c r="HLR45" s="375"/>
      <c r="HLS45" s="375"/>
      <c r="HLT45" s="375"/>
      <c r="HLU45" s="375"/>
      <c r="HLV45" s="375"/>
      <c r="HLW45" s="375"/>
      <c r="HLX45" s="375"/>
      <c r="HLY45" s="375"/>
      <c r="HLZ45" s="375"/>
      <c r="HMA45" s="375"/>
      <c r="HMB45" s="375"/>
      <c r="HMC45" s="375"/>
      <c r="HMD45" s="375"/>
      <c r="HME45" s="375"/>
      <c r="HMF45" s="375"/>
      <c r="HMG45" s="375"/>
      <c r="HMH45" s="375"/>
      <c r="HMI45" s="375"/>
      <c r="HMJ45" s="375"/>
      <c r="HMK45" s="375"/>
      <c r="HML45" s="375"/>
      <c r="HMM45" s="375"/>
      <c r="HMN45" s="375"/>
      <c r="HMO45" s="375"/>
      <c r="HMP45" s="375"/>
      <c r="HMQ45" s="375"/>
      <c r="HMR45" s="375"/>
      <c r="HMS45" s="375"/>
      <c r="HMT45" s="375"/>
      <c r="HMU45" s="375"/>
      <c r="HMV45" s="375"/>
      <c r="HMW45" s="375"/>
      <c r="HMX45" s="375"/>
      <c r="HMY45" s="375"/>
      <c r="HMZ45" s="375"/>
      <c r="HNA45" s="375"/>
      <c r="HNB45" s="375"/>
      <c r="HNC45" s="375"/>
      <c r="HND45" s="375"/>
      <c r="HNE45" s="375"/>
      <c r="HNF45" s="375"/>
      <c r="HNG45" s="375"/>
      <c r="HNH45" s="375"/>
      <c r="HNI45" s="375"/>
      <c r="HNJ45" s="375"/>
      <c r="HNK45" s="375"/>
      <c r="HNL45" s="375"/>
      <c r="HNM45" s="375"/>
      <c r="HNN45" s="375"/>
      <c r="HNO45" s="375"/>
      <c r="HNP45" s="375"/>
      <c r="HNQ45" s="375"/>
      <c r="HNR45" s="375"/>
      <c r="HNS45" s="375"/>
      <c r="HNT45" s="375"/>
      <c r="HNU45" s="375"/>
      <c r="HNV45" s="375"/>
      <c r="HNW45" s="375"/>
      <c r="HNX45" s="375"/>
      <c r="HNY45" s="375"/>
      <c r="HNZ45" s="375"/>
      <c r="HOA45" s="375"/>
      <c r="HOB45" s="375"/>
      <c r="HOC45" s="375"/>
      <c r="HOD45" s="375"/>
      <c r="HOE45" s="375"/>
      <c r="HOF45" s="375"/>
      <c r="HOG45" s="375"/>
      <c r="HOH45" s="375"/>
      <c r="HOI45" s="375"/>
      <c r="HOJ45" s="375"/>
      <c r="HOK45" s="375"/>
      <c r="HOL45" s="375"/>
      <c r="HOM45" s="375"/>
      <c r="HON45" s="375"/>
      <c r="HOO45" s="375"/>
      <c r="HOP45" s="375"/>
      <c r="HOQ45" s="375"/>
      <c r="HOR45" s="375"/>
      <c r="HOS45" s="375"/>
      <c r="HOT45" s="375"/>
      <c r="HOU45" s="375"/>
      <c r="HOV45" s="375"/>
      <c r="HOW45" s="375"/>
      <c r="HOX45" s="375"/>
      <c r="HOY45" s="375"/>
      <c r="HOZ45" s="375"/>
      <c r="HPA45" s="375"/>
      <c r="HPB45" s="375"/>
      <c r="HPC45" s="375"/>
      <c r="HPD45" s="375"/>
      <c r="HPE45" s="375"/>
      <c r="HPF45" s="375"/>
      <c r="HPG45" s="375"/>
      <c r="HPH45" s="375"/>
      <c r="HPI45" s="375"/>
      <c r="HPJ45" s="375"/>
      <c r="HPK45" s="375"/>
      <c r="HPL45" s="375"/>
      <c r="HPM45" s="375"/>
      <c r="HPN45" s="375"/>
      <c r="HPO45" s="375"/>
      <c r="HPP45" s="375"/>
      <c r="HPQ45" s="375"/>
      <c r="HPR45" s="375"/>
      <c r="HPS45" s="375"/>
      <c r="HPT45" s="375"/>
      <c r="HPU45" s="375"/>
      <c r="HPV45" s="375"/>
      <c r="HPW45" s="375"/>
      <c r="HPX45" s="375"/>
      <c r="HPY45" s="375"/>
      <c r="HPZ45" s="375"/>
      <c r="HQA45" s="375"/>
      <c r="HQB45" s="375"/>
      <c r="HQC45" s="375"/>
      <c r="HQD45" s="375"/>
      <c r="HQE45" s="375"/>
      <c r="HQF45" s="375"/>
      <c r="HQG45" s="375"/>
      <c r="HQH45" s="375"/>
      <c r="HQI45" s="375"/>
      <c r="HQJ45" s="375"/>
      <c r="HQK45" s="375"/>
      <c r="HQL45" s="375"/>
      <c r="HQM45" s="375"/>
      <c r="HQN45" s="375"/>
      <c r="HQO45" s="375"/>
      <c r="HQP45" s="375"/>
      <c r="HQQ45" s="375"/>
      <c r="HQR45" s="375"/>
      <c r="HQS45" s="375"/>
      <c r="HQT45" s="375"/>
      <c r="HQU45" s="375"/>
      <c r="HQV45" s="375"/>
      <c r="HQW45" s="375"/>
      <c r="HQX45" s="375"/>
      <c r="HQY45" s="375"/>
      <c r="HQZ45" s="375"/>
      <c r="HRA45" s="375"/>
      <c r="HRB45" s="375"/>
      <c r="HRC45" s="375"/>
      <c r="HRD45" s="375"/>
      <c r="HRE45" s="375"/>
      <c r="HRF45" s="375"/>
      <c r="HRG45" s="375"/>
      <c r="HRH45" s="375"/>
      <c r="HRI45" s="375"/>
      <c r="HRJ45" s="375"/>
      <c r="HRK45" s="375"/>
      <c r="HRL45" s="375"/>
      <c r="HRM45" s="375"/>
      <c r="HRN45" s="375"/>
      <c r="HRO45" s="375"/>
      <c r="HRP45" s="375"/>
      <c r="HRQ45" s="375"/>
      <c r="HRR45" s="375"/>
      <c r="HRS45" s="375"/>
      <c r="HRT45" s="375"/>
      <c r="HRU45" s="375"/>
      <c r="HRV45" s="375"/>
      <c r="HRW45" s="375"/>
      <c r="HRX45" s="375"/>
      <c r="HRY45" s="375"/>
      <c r="HRZ45" s="375"/>
      <c r="HSA45" s="375"/>
      <c r="HSB45" s="375"/>
      <c r="HSC45" s="375"/>
      <c r="HSD45" s="375"/>
      <c r="HSE45" s="375"/>
      <c r="HSF45" s="375"/>
      <c r="HSG45" s="375"/>
      <c r="HSH45" s="375"/>
      <c r="HSI45" s="375"/>
      <c r="HSJ45" s="375"/>
      <c r="HSK45" s="375"/>
      <c r="HSL45" s="375"/>
      <c r="HSM45" s="375"/>
      <c r="HSN45" s="375"/>
      <c r="HSO45" s="375"/>
      <c r="HSP45" s="375"/>
      <c r="HSQ45" s="375"/>
      <c r="HSR45" s="375"/>
      <c r="HSS45" s="375"/>
      <c r="HST45" s="375"/>
      <c r="HSU45" s="375"/>
      <c r="HSV45" s="375"/>
      <c r="HSW45" s="375"/>
      <c r="HSX45" s="375"/>
      <c r="HSY45" s="375"/>
      <c r="HSZ45" s="375"/>
      <c r="HTA45" s="375"/>
      <c r="HTB45" s="375"/>
      <c r="HTC45" s="375"/>
      <c r="HTD45" s="375"/>
      <c r="HTE45" s="375"/>
      <c r="HTF45" s="375"/>
      <c r="HTG45" s="375"/>
      <c r="HTH45" s="375"/>
      <c r="HTI45" s="375"/>
      <c r="HTJ45" s="375"/>
      <c r="HTK45" s="375"/>
      <c r="HTL45" s="375"/>
      <c r="HTM45" s="375"/>
      <c r="HTN45" s="375"/>
      <c r="HTO45" s="375"/>
      <c r="HTP45" s="375"/>
      <c r="HTQ45" s="375"/>
      <c r="HTR45" s="375"/>
      <c r="HTS45" s="375"/>
      <c r="HTT45" s="375"/>
      <c r="HTU45" s="375"/>
      <c r="HTV45" s="375"/>
      <c r="HTW45" s="375"/>
      <c r="HTX45" s="375"/>
      <c r="HTY45" s="375"/>
      <c r="HTZ45" s="375"/>
      <c r="HUA45" s="375"/>
      <c r="HUB45" s="375"/>
      <c r="HUC45" s="375"/>
      <c r="HUD45" s="375"/>
      <c r="HUE45" s="375"/>
      <c r="HUF45" s="375"/>
      <c r="HUG45" s="375"/>
      <c r="HUH45" s="375"/>
      <c r="HUI45" s="375"/>
      <c r="HUJ45" s="375"/>
      <c r="HUK45" s="375"/>
      <c r="HUL45" s="375"/>
      <c r="HUM45" s="375"/>
      <c r="HUN45" s="375"/>
      <c r="HUO45" s="375"/>
      <c r="HUP45" s="375"/>
      <c r="HUQ45" s="375"/>
      <c r="HUR45" s="375"/>
      <c r="HUS45" s="375"/>
      <c r="HUT45" s="375"/>
      <c r="HUU45" s="375"/>
      <c r="HUV45" s="375"/>
      <c r="HUW45" s="375"/>
      <c r="HUX45" s="375"/>
      <c r="HUY45" s="375"/>
      <c r="HUZ45" s="375"/>
      <c r="HVA45" s="375"/>
      <c r="HVB45" s="375"/>
      <c r="HVC45" s="375"/>
      <c r="HVD45" s="375"/>
      <c r="HVE45" s="375"/>
      <c r="HVF45" s="375"/>
      <c r="HVG45" s="375"/>
      <c r="HVH45" s="375"/>
      <c r="HVI45" s="375"/>
      <c r="HVJ45" s="375"/>
      <c r="HVK45" s="375"/>
      <c r="HVL45" s="375"/>
      <c r="HVM45" s="375"/>
      <c r="HVN45" s="375"/>
      <c r="HVO45" s="375"/>
      <c r="HVP45" s="375"/>
      <c r="HVQ45" s="375"/>
      <c r="HVR45" s="375"/>
      <c r="HVS45" s="375"/>
      <c r="HVT45" s="375"/>
      <c r="HVU45" s="375"/>
      <c r="HVV45" s="375"/>
      <c r="HVW45" s="375"/>
      <c r="HVX45" s="375"/>
      <c r="HVY45" s="375"/>
      <c r="HVZ45" s="375"/>
      <c r="HWA45" s="375"/>
      <c r="HWB45" s="375"/>
      <c r="HWC45" s="375"/>
      <c r="HWD45" s="375"/>
      <c r="HWE45" s="375"/>
      <c r="HWF45" s="375"/>
      <c r="HWG45" s="375"/>
      <c r="HWH45" s="375"/>
      <c r="HWI45" s="375"/>
      <c r="HWJ45" s="375"/>
      <c r="HWK45" s="375"/>
      <c r="HWL45" s="375"/>
      <c r="HWM45" s="375"/>
      <c r="HWN45" s="375"/>
      <c r="HWO45" s="375"/>
      <c r="HWP45" s="375"/>
      <c r="HWQ45" s="375"/>
      <c r="HWR45" s="375"/>
      <c r="HWS45" s="375"/>
      <c r="HWT45" s="375"/>
      <c r="HWU45" s="375"/>
      <c r="HWV45" s="375"/>
      <c r="HWW45" s="375"/>
      <c r="HWX45" s="375"/>
      <c r="HWY45" s="375"/>
      <c r="HWZ45" s="375"/>
      <c r="HXA45" s="375"/>
      <c r="HXB45" s="375"/>
      <c r="HXC45" s="375"/>
      <c r="HXD45" s="375"/>
      <c r="HXE45" s="375"/>
      <c r="HXF45" s="375"/>
      <c r="HXG45" s="375"/>
      <c r="HXH45" s="375"/>
      <c r="HXI45" s="375"/>
      <c r="HXJ45" s="375"/>
      <c r="HXK45" s="375"/>
      <c r="HXL45" s="375"/>
      <c r="HXM45" s="375"/>
      <c r="HXN45" s="375"/>
      <c r="HXO45" s="375"/>
      <c r="HXP45" s="375"/>
      <c r="HXQ45" s="375"/>
      <c r="HXR45" s="375"/>
      <c r="HXS45" s="375"/>
      <c r="HXT45" s="375"/>
      <c r="HXU45" s="375"/>
      <c r="HXV45" s="375"/>
      <c r="HXW45" s="375"/>
      <c r="HXX45" s="375"/>
      <c r="HXY45" s="375"/>
      <c r="HXZ45" s="375"/>
      <c r="HYA45" s="375"/>
      <c r="HYB45" s="375"/>
      <c r="HYC45" s="375"/>
      <c r="HYD45" s="375"/>
      <c r="HYE45" s="375"/>
      <c r="HYF45" s="375"/>
      <c r="HYG45" s="375"/>
      <c r="HYH45" s="375"/>
      <c r="HYI45" s="375"/>
      <c r="HYJ45" s="375"/>
      <c r="HYK45" s="375"/>
      <c r="HYL45" s="375"/>
      <c r="HYM45" s="375"/>
      <c r="HYN45" s="375"/>
      <c r="HYO45" s="375"/>
      <c r="HYP45" s="375"/>
      <c r="HYQ45" s="375"/>
      <c r="HYR45" s="375"/>
      <c r="HYS45" s="375"/>
      <c r="HYT45" s="375"/>
      <c r="HYU45" s="375"/>
      <c r="HYV45" s="375"/>
      <c r="HYW45" s="375"/>
      <c r="HYX45" s="375"/>
      <c r="HYY45" s="375"/>
      <c r="HYZ45" s="375"/>
      <c r="HZA45" s="375"/>
      <c r="HZB45" s="375"/>
      <c r="HZC45" s="375"/>
      <c r="HZD45" s="375"/>
      <c r="HZE45" s="375"/>
      <c r="HZF45" s="375"/>
      <c r="HZG45" s="375"/>
      <c r="HZH45" s="375"/>
      <c r="HZI45" s="375"/>
      <c r="HZJ45" s="375"/>
      <c r="HZK45" s="375"/>
      <c r="HZL45" s="375"/>
      <c r="HZM45" s="375"/>
      <c r="HZN45" s="375"/>
      <c r="HZO45" s="375"/>
      <c r="HZP45" s="375"/>
      <c r="HZQ45" s="375"/>
      <c r="HZR45" s="375"/>
      <c r="HZS45" s="375"/>
      <c r="HZT45" s="375"/>
      <c r="HZU45" s="375"/>
      <c r="HZV45" s="375"/>
      <c r="HZW45" s="375"/>
      <c r="HZX45" s="375"/>
      <c r="HZY45" s="375"/>
      <c r="HZZ45" s="375"/>
      <c r="IAA45" s="375"/>
      <c r="IAB45" s="375"/>
      <c r="IAC45" s="375"/>
      <c r="IAD45" s="375"/>
      <c r="IAE45" s="375"/>
      <c r="IAF45" s="375"/>
      <c r="IAG45" s="375"/>
      <c r="IAH45" s="375"/>
      <c r="IAI45" s="375"/>
      <c r="IAJ45" s="375"/>
      <c r="IAK45" s="375"/>
      <c r="IAL45" s="375"/>
      <c r="IAM45" s="375"/>
      <c r="IAN45" s="375"/>
      <c r="IAO45" s="375"/>
      <c r="IAP45" s="375"/>
      <c r="IAQ45" s="375"/>
      <c r="IAR45" s="375"/>
      <c r="IAS45" s="375"/>
      <c r="IAT45" s="375"/>
      <c r="IAU45" s="375"/>
      <c r="IAV45" s="375"/>
      <c r="IAW45" s="375"/>
      <c r="IAX45" s="375"/>
      <c r="IAY45" s="375"/>
      <c r="IAZ45" s="375"/>
      <c r="IBA45" s="375"/>
      <c r="IBB45" s="375"/>
      <c r="IBC45" s="375"/>
      <c r="IBD45" s="375"/>
      <c r="IBE45" s="375"/>
      <c r="IBF45" s="375"/>
      <c r="IBG45" s="375"/>
      <c r="IBH45" s="375"/>
      <c r="IBI45" s="375"/>
      <c r="IBJ45" s="375"/>
      <c r="IBK45" s="375"/>
      <c r="IBL45" s="375"/>
      <c r="IBM45" s="375"/>
      <c r="IBN45" s="375"/>
      <c r="IBO45" s="375"/>
      <c r="IBP45" s="375"/>
      <c r="IBQ45" s="375"/>
      <c r="IBR45" s="375"/>
      <c r="IBS45" s="375"/>
      <c r="IBT45" s="375"/>
      <c r="IBU45" s="375"/>
      <c r="IBV45" s="375"/>
      <c r="IBW45" s="375"/>
      <c r="IBX45" s="375"/>
      <c r="IBY45" s="375"/>
      <c r="IBZ45" s="375"/>
      <c r="ICA45" s="375"/>
      <c r="ICB45" s="375"/>
      <c r="ICC45" s="375"/>
      <c r="ICD45" s="375"/>
      <c r="ICE45" s="375"/>
      <c r="ICF45" s="375"/>
      <c r="ICG45" s="375"/>
      <c r="ICH45" s="375"/>
      <c r="ICI45" s="375"/>
      <c r="ICJ45" s="375"/>
      <c r="ICK45" s="375"/>
      <c r="ICL45" s="375"/>
      <c r="ICM45" s="375"/>
      <c r="ICN45" s="375"/>
      <c r="ICO45" s="375"/>
      <c r="ICP45" s="375"/>
      <c r="ICQ45" s="375"/>
      <c r="ICR45" s="375"/>
      <c r="ICS45" s="375"/>
      <c r="ICT45" s="375"/>
      <c r="ICU45" s="375"/>
      <c r="ICV45" s="375"/>
      <c r="ICW45" s="375"/>
      <c r="ICX45" s="375"/>
      <c r="ICY45" s="375"/>
      <c r="ICZ45" s="375"/>
      <c r="IDA45" s="375"/>
      <c r="IDB45" s="375"/>
      <c r="IDC45" s="375"/>
      <c r="IDD45" s="375"/>
      <c r="IDE45" s="375"/>
      <c r="IDF45" s="375"/>
      <c r="IDG45" s="375"/>
      <c r="IDH45" s="375"/>
      <c r="IDI45" s="375"/>
      <c r="IDJ45" s="375"/>
      <c r="IDK45" s="375"/>
      <c r="IDL45" s="375"/>
      <c r="IDM45" s="375"/>
      <c r="IDN45" s="375"/>
      <c r="IDO45" s="375"/>
      <c r="IDP45" s="375"/>
      <c r="IDQ45" s="375"/>
      <c r="IDR45" s="375"/>
      <c r="IDS45" s="375"/>
      <c r="IDT45" s="375"/>
      <c r="IDU45" s="375"/>
      <c r="IDV45" s="375"/>
      <c r="IDW45" s="375"/>
      <c r="IDX45" s="375"/>
      <c r="IDY45" s="375"/>
      <c r="IDZ45" s="375"/>
      <c r="IEA45" s="375"/>
      <c r="IEB45" s="375"/>
      <c r="IEC45" s="375"/>
      <c r="IED45" s="375"/>
      <c r="IEE45" s="375"/>
      <c r="IEF45" s="375"/>
      <c r="IEG45" s="375"/>
      <c r="IEH45" s="375"/>
      <c r="IEI45" s="375"/>
      <c r="IEJ45" s="375"/>
      <c r="IEK45" s="375"/>
      <c r="IEL45" s="375"/>
      <c r="IEM45" s="375"/>
      <c r="IEN45" s="375"/>
      <c r="IEO45" s="375"/>
      <c r="IEP45" s="375"/>
      <c r="IEQ45" s="375"/>
      <c r="IER45" s="375"/>
      <c r="IES45" s="375"/>
      <c r="IET45" s="375"/>
      <c r="IEU45" s="375"/>
      <c r="IEV45" s="375"/>
      <c r="IEW45" s="375"/>
      <c r="IEX45" s="375"/>
      <c r="IEY45" s="375"/>
      <c r="IEZ45" s="375"/>
      <c r="IFA45" s="375"/>
      <c r="IFB45" s="375"/>
      <c r="IFC45" s="375"/>
      <c r="IFD45" s="375"/>
      <c r="IFE45" s="375"/>
      <c r="IFF45" s="375"/>
      <c r="IFG45" s="375"/>
      <c r="IFH45" s="375"/>
      <c r="IFI45" s="375"/>
      <c r="IFJ45" s="375"/>
      <c r="IFK45" s="375"/>
      <c r="IFL45" s="375"/>
      <c r="IFM45" s="375"/>
      <c r="IFN45" s="375"/>
      <c r="IFO45" s="375"/>
      <c r="IFP45" s="375"/>
      <c r="IFQ45" s="375"/>
      <c r="IFR45" s="375"/>
      <c r="IFS45" s="375"/>
      <c r="IFT45" s="375"/>
      <c r="IFU45" s="375"/>
      <c r="IFV45" s="375"/>
      <c r="IFW45" s="375"/>
      <c r="IFX45" s="375"/>
      <c r="IFY45" s="375"/>
      <c r="IFZ45" s="375"/>
      <c r="IGA45" s="375"/>
      <c r="IGB45" s="375"/>
      <c r="IGC45" s="375"/>
      <c r="IGD45" s="375"/>
      <c r="IGE45" s="375"/>
      <c r="IGF45" s="375"/>
      <c r="IGG45" s="375"/>
      <c r="IGH45" s="375"/>
      <c r="IGI45" s="375"/>
      <c r="IGJ45" s="375"/>
      <c r="IGK45" s="375"/>
      <c r="IGL45" s="375"/>
      <c r="IGM45" s="375"/>
      <c r="IGN45" s="375"/>
      <c r="IGO45" s="375"/>
      <c r="IGP45" s="375"/>
      <c r="IGQ45" s="375"/>
      <c r="IGR45" s="375"/>
      <c r="IGS45" s="375"/>
      <c r="IGT45" s="375"/>
      <c r="IGU45" s="375"/>
      <c r="IGV45" s="375"/>
      <c r="IGW45" s="375"/>
      <c r="IGX45" s="375"/>
      <c r="IGY45" s="375"/>
      <c r="IGZ45" s="375"/>
      <c r="IHA45" s="375"/>
      <c r="IHB45" s="375"/>
      <c r="IHC45" s="375"/>
      <c r="IHD45" s="375"/>
      <c r="IHE45" s="375"/>
      <c r="IHF45" s="375"/>
      <c r="IHG45" s="375"/>
      <c r="IHH45" s="375"/>
      <c r="IHI45" s="375"/>
      <c r="IHJ45" s="375"/>
      <c r="IHK45" s="375"/>
      <c r="IHL45" s="375"/>
      <c r="IHM45" s="375"/>
      <c r="IHN45" s="375"/>
      <c r="IHO45" s="375"/>
      <c r="IHP45" s="375"/>
      <c r="IHQ45" s="375"/>
      <c r="IHR45" s="375"/>
      <c r="IHS45" s="375"/>
      <c r="IHT45" s="375"/>
      <c r="IHU45" s="375"/>
      <c r="IHV45" s="375"/>
      <c r="IHW45" s="375"/>
      <c r="IHX45" s="375"/>
      <c r="IHY45" s="375"/>
      <c r="IHZ45" s="375"/>
      <c r="IIA45" s="375"/>
      <c r="IIB45" s="375"/>
      <c r="IIC45" s="375"/>
      <c r="IID45" s="375"/>
      <c r="IIE45" s="375"/>
      <c r="IIF45" s="375"/>
      <c r="IIG45" s="375"/>
      <c r="IIH45" s="375"/>
      <c r="III45" s="375"/>
      <c r="IIJ45" s="375"/>
      <c r="IIK45" s="375"/>
      <c r="IIL45" s="375"/>
      <c r="IIM45" s="375"/>
      <c r="IIN45" s="375"/>
      <c r="IIO45" s="375"/>
      <c r="IIP45" s="375"/>
      <c r="IIQ45" s="375"/>
      <c r="IIR45" s="375"/>
      <c r="IIS45" s="375"/>
      <c r="IIT45" s="375"/>
      <c r="IIU45" s="375"/>
      <c r="IIV45" s="375"/>
      <c r="IIW45" s="375"/>
      <c r="IIX45" s="375"/>
      <c r="IIY45" s="375"/>
      <c r="IIZ45" s="375"/>
      <c r="IJA45" s="375"/>
      <c r="IJB45" s="375"/>
      <c r="IJC45" s="375"/>
      <c r="IJD45" s="375"/>
      <c r="IJE45" s="375"/>
      <c r="IJF45" s="375"/>
      <c r="IJG45" s="375"/>
      <c r="IJH45" s="375"/>
      <c r="IJI45" s="375"/>
      <c r="IJJ45" s="375"/>
      <c r="IJK45" s="375"/>
      <c r="IJL45" s="375"/>
      <c r="IJM45" s="375"/>
      <c r="IJN45" s="375"/>
      <c r="IJO45" s="375"/>
      <c r="IJP45" s="375"/>
      <c r="IJQ45" s="375"/>
      <c r="IJR45" s="375"/>
      <c r="IJS45" s="375"/>
      <c r="IJT45" s="375"/>
      <c r="IJU45" s="375"/>
      <c r="IJV45" s="375"/>
      <c r="IJW45" s="375"/>
      <c r="IJX45" s="375"/>
      <c r="IJY45" s="375"/>
      <c r="IJZ45" s="375"/>
      <c r="IKA45" s="375"/>
      <c r="IKB45" s="375"/>
      <c r="IKC45" s="375"/>
      <c r="IKD45" s="375"/>
      <c r="IKE45" s="375"/>
      <c r="IKF45" s="375"/>
      <c r="IKG45" s="375"/>
      <c r="IKH45" s="375"/>
      <c r="IKI45" s="375"/>
      <c r="IKJ45" s="375"/>
      <c r="IKK45" s="375"/>
      <c r="IKL45" s="375"/>
      <c r="IKM45" s="375"/>
      <c r="IKN45" s="375"/>
      <c r="IKO45" s="375"/>
      <c r="IKP45" s="375"/>
      <c r="IKQ45" s="375"/>
      <c r="IKR45" s="375"/>
      <c r="IKS45" s="375"/>
      <c r="IKT45" s="375"/>
      <c r="IKU45" s="375"/>
      <c r="IKV45" s="375"/>
      <c r="IKW45" s="375"/>
      <c r="IKX45" s="375"/>
      <c r="IKY45" s="375"/>
      <c r="IKZ45" s="375"/>
      <c r="ILA45" s="375"/>
      <c r="ILB45" s="375"/>
      <c r="ILC45" s="375"/>
      <c r="ILD45" s="375"/>
      <c r="ILE45" s="375"/>
      <c r="ILF45" s="375"/>
      <c r="ILG45" s="375"/>
      <c r="ILH45" s="375"/>
      <c r="ILI45" s="375"/>
      <c r="ILJ45" s="375"/>
      <c r="ILK45" s="375"/>
      <c r="ILL45" s="375"/>
      <c r="ILM45" s="375"/>
      <c r="ILN45" s="375"/>
      <c r="ILO45" s="375"/>
      <c r="ILP45" s="375"/>
      <c r="ILQ45" s="375"/>
      <c r="ILR45" s="375"/>
      <c r="ILS45" s="375"/>
      <c r="ILT45" s="375"/>
      <c r="ILU45" s="375"/>
      <c r="ILV45" s="375"/>
      <c r="ILW45" s="375"/>
      <c r="ILX45" s="375"/>
      <c r="ILY45" s="375"/>
      <c r="ILZ45" s="375"/>
      <c r="IMA45" s="375"/>
      <c r="IMB45" s="375"/>
      <c r="IMC45" s="375"/>
      <c r="IMD45" s="375"/>
      <c r="IME45" s="375"/>
      <c r="IMF45" s="375"/>
      <c r="IMG45" s="375"/>
      <c r="IMH45" s="375"/>
      <c r="IMI45" s="375"/>
      <c r="IMJ45" s="375"/>
      <c r="IMK45" s="375"/>
      <c r="IML45" s="375"/>
      <c r="IMM45" s="375"/>
      <c r="IMN45" s="375"/>
      <c r="IMO45" s="375"/>
      <c r="IMP45" s="375"/>
      <c r="IMQ45" s="375"/>
      <c r="IMR45" s="375"/>
      <c r="IMS45" s="375"/>
      <c r="IMT45" s="375"/>
      <c r="IMU45" s="375"/>
      <c r="IMV45" s="375"/>
      <c r="IMW45" s="375"/>
      <c r="IMX45" s="375"/>
      <c r="IMY45" s="375"/>
      <c r="IMZ45" s="375"/>
      <c r="INA45" s="375"/>
      <c r="INB45" s="375"/>
      <c r="INC45" s="375"/>
      <c r="IND45" s="375"/>
      <c r="INE45" s="375"/>
      <c r="INF45" s="375"/>
      <c r="ING45" s="375"/>
      <c r="INH45" s="375"/>
      <c r="INI45" s="375"/>
      <c r="INJ45" s="375"/>
      <c r="INK45" s="375"/>
      <c r="INL45" s="375"/>
      <c r="INM45" s="375"/>
      <c r="INN45" s="375"/>
      <c r="INO45" s="375"/>
      <c r="INP45" s="375"/>
      <c r="INQ45" s="375"/>
      <c r="INR45" s="375"/>
      <c r="INS45" s="375"/>
      <c r="INT45" s="375"/>
      <c r="INU45" s="375"/>
      <c r="INV45" s="375"/>
      <c r="INW45" s="375"/>
      <c r="INX45" s="375"/>
      <c r="INY45" s="375"/>
      <c r="INZ45" s="375"/>
      <c r="IOA45" s="375"/>
      <c r="IOB45" s="375"/>
      <c r="IOC45" s="375"/>
      <c r="IOD45" s="375"/>
      <c r="IOE45" s="375"/>
      <c r="IOF45" s="375"/>
      <c r="IOG45" s="375"/>
      <c r="IOH45" s="375"/>
      <c r="IOI45" s="375"/>
      <c r="IOJ45" s="375"/>
      <c r="IOK45" s="375"/>
      <c r="IOL45" s="375"/>
      <c r="IOM45" s="375"/>
      <c r="ION45" s="375"/>
      <c r="IOO45" s="375"/>
      <c r="IOP45" s="375"/>
      <c r="IOQ45" s="375"/>
      <c r="IOR45" s="375"/>
      <c r="IOS45" s="375"/>
      <c r="IOT45" s="375"/>
      <c r="IOU45" s="375"/>
      <c r="IOV45" s="375"/>
      <c r="IOW45" s="375"/>
      <c r="IOX45" s="375"/>
      <c r="IOY45" s="375"/>
      <c r="IOZ45" s="375"/>
      <c r="IPA45" s="375"/>
      <c r="IPB45" s="375"/>
      <c r="IPC45" s="375"/>
      <c r="IPD45" s="375"/>
      <c r="IPE45" s="375"/>
      <c r="IPF45" s="375"/>
      <c r="IPG45" s="375"/>
      <c r="IPH45" s="375"/>
      <c r="IPI45" s="375"/>
      <c r="IPJ45" s="375"/>
      <c r="IPK45" s="375"/>
      <c r="IPL45" s="375"/>
      <c r="IPM45" s="375"/>
      <c r="IPN45" s="375"/>
      <c r="IPO45" s="375"/>
      <c r="IPP45" s="375"/>
      <c r="IPQ45" s="375"/>
      <c r="IPR45" s="375"/>
      <c r="IPS45" s="375"/>
      <c r="IPT45" s="375"/>
      <c r="IPU45" s="375"/>
      <c r="IPV45" s="375"/>
      <c r="IPW45" s="375"/>
      <c r="IPX45" s="375"/>
      <c r="IPY45" s="375"/>
      <c r="IPZ45" s="375"/>
      <c r="IQA45" s="375"/>
      <c r="IQB45" s="375"/>
      <c r="IQC45" s="375"/>
      <c r="IQD45" s="375"/>
      <c r="IQE45" s="375"/>
      <c r="IQF45" s="375"/>
      <c r="IQG45" s="375"/>
      <c r="IQH45" s="375"/>
      <c r="IQI45" s="375"/>
      <c r="IQJ45" s="375"/>
      <c r="IQK45" s="375"/>
      <c r="IQL45" s="375"/>
      <c r="IQM45" s="375"/>
      <c r="IQN45" s="375"/>
      <c r="IQO45" s="375"/>
      <c r="IQP45" s="375"/>
      <c r="IQQ45" s="375"/>
      <c r="IQR45" s="375"/>
      <c r="IQS45" s="375"/>
      <c r="IQT45" s="375"/>
      <c r="IQU45" s="375"/>
      <c r="IQV45" s="375"/>
      <c r="IQW45" s="375"/>
      <c r="IQX45" s="375"/>
      <c r="IQY45" s="375"/>
      <c r="IQZ45" s="375"/>
      <c r="IRA45" s="375"/>
      <c r="IRB45" s="375"/>
      <c r="IRC45" s="375"/>
      <c r="IRD45" s="375"/>
      <c r="IRE45" s="375"/>
      <c r="IRF45" s="375"/>
      <c r="IRG45" s="375"/>
      <c r="IRH45" s="375"/>
      <c r="IRI45" s="375"/>
      <c r="IRJ45" s="375"/>
      <c r="IRK45" s="375"/>
      <c r="IRL45" s="375"/>
      <c r="IRM45" s="375"/>
      <c r="IRN45" s="375"/>
      <c r="IRO45" s="375"/>
      <c r="IRP45" s="375"/>
      <c r="IRQ45" s="375"/>
      <c r="IRR45" s="375"/>
      <c r="IRS45" s="375"/>
      <c r="IRT45" s="375"/>
      <c r="IRU45" s="375"/>
      <c r="IRV45" s="375"/>
      <c r="IRW45" s="375"/>
      <c r="IRX45" s="375"/>
      <c r="IRY45" s="375"/>
      <c r="IRZ45" s="375"/>
      <c r="ISA45" s="375"/>
      <c r="ISB45" s="375"/>
      <c r="ISC45" s="375"/>
      <c r="ISD45" s="375"/>
      <c r="ISE45" s="375"/>
      <c r="ISF45" s="375"/>
      <c r="ISG45" s="375"/>
      <c r="ISH45" s="375"/>
      <c r="ISI45" s="375"/>
      <c r="ISJ45" s="375"/>
      <c r="ISK45" s="375"/>
      <c r="ISL45" s="375"/>
      <c r="ISM45" s="375"/>
      <c r="ISN45" s="375"/>
      <c r="ISO45" s="375"/>
      <c r="ISP45" s="375"/>
      <c r="ISQ45" s="375"/>
      <c r="ISR45" s="375"/>
      <c r="ISS45" s="375"/>
      <c r="IST45" s="375"/>
      <c r="ISU45" s="375"/>
      <c r="ISV45" s="375"/>
      <c r="ISW45" s="375"/>
      <c r="ISX45" s="375"/>
      <c r="ISY45" s="375"/>
      <c r="ISZ45" s="375"/>
      <c r="ITA45" s="375"/>
      <c r="ITB45" s="375"/>
      <c r="ITC45" s="375"/>
      <c r="ITD45" s="375"/>
      <c r="ITE45" s="375"/>
      <c r="ITF45" s="375"/>
      <c r="ITG45" s="375"/>
      <c r="ITH45" s="375"/>
      <c r="ITI45" s="375"/>
      <c r="ITJ45" s="375"/>
      <c r="ITK45" s="375"/>
      <c r="ITL45" s="375"/>
      <c r="ITM45" s="375"/>
      <c r="ITN45" s="375"/>
      <c r="ITO45" s="375"/>
      <c r="ITP45" s="375"/>
      <c r="ITQ45" s="375"/>
      <c r="ITR45" s="375"/>
      <c r="ITS45" s="375"/>
      <c r="ITT45" s="375"/>
      <c r="ITU45" s="375"/>
      <c r="ITV45" s="375"/>
      <c r="ITW45" s="375"/>
      <c r="ITX45" s="375"/>
      <c r="ITY45" s="375"/>
      <c r="ITZ45" s="375"/>
      <c r="IUA45" s="375"/>
      <c r="IUB45" s="375"/>
      <c r="IUC45" s="375"/>
      <c r="IUD45" s="375"/>
      <c r="IUE45" s="375"/>
      <c r="IUF45" s="375"/>
      <c r="IUG45" s="375"/>
      <c r="IUH45" s="375"/>
      <c r="IUI45" s="375"/>
      <c r="IUJ45" s="375"/>
      <c r="IUK45" s="375"/>
      <c r="IUL45" s="375"/>
      <c r="IUM45" s="375"/>
      <c r="IUN45" s="375"/>
      <c r="IUO45" s="375"/>
      <c r="IUP45" s="375"/>
      <c r="IUQ45" s="375"/>
      <c r="IUR45" s="375"/>
      <c r="IUS45" s="375"/>
      <c r="IUT45" s="375"/>
      <c r="IUU45" s="375"/>
      <c r="IUV45" s="375"/>
      <c r="IUW45" s="375"/>
      <c r="IUX45" s="375"/>
      <c r="IUY45" s="375"/>
      <c r="IUZ45" s="375"/>
      <c r="IVA45" s="375"/>
      <c r="IVB45" s="375"/>
      <c r="IVC45" s="375"/>
      <c r="IVD45" s="375"/>
      <c r="IVE45" s="375"/>
      <c r="IVF45" s="375"/>
      <c r="IVG45" s="375"/>
      <c r="IVH45" s="375"/>
      <c r="IVI45" s="375"/>
      <c r="IVJ45" s="375"/>
      <c r="IVK45" s="375"/>
      <c r="IVL45" s="375"/>
      <c r="IVM45" s="375"/>
      <c r="IVN45" s="375"/>
      <c r="IVO45" s="375"/>
      <c r="IVP45" s="375"/>
      <c r="IVQ45" s="375"/>
      <c r="IVR45" s="375"/>
      <c r="IVS45" s="375"/>
      <c r="IVT45" s="375"/>
      <c r="IVU45" s="375"/>
      <c r="IVV45" s="375"/>
      <c r="IVW45" s="375"/>
      <c r="IVX45" s="375"/>
      <c r="IVY45" s="375"/>
      <c r="IVZ45" s="375"/>
      <c r="IWA45" s="375"/>
      <c r="IWB45" s="375"/>
      <c r="IWC45" s="375"/>
      <c r="IWD45" s="375"/>
      <c r="IWE45" s="375"/>
      <c r="IWF45" s="375"/>
      <c r="IWG45" s="375"/>
      <c r="IWH45" s="375"/>
      <c r="IWI45" s="375"/>
      <c r="IWJ45" s="375"/>
      <c r="IWK45" s="375"/>
      <c r="IWL45" s="375"/>
      <c r="IWM45" s="375"/>
      <c r="IWN45" s="375"/>
      <c r="IWO45" s="375"/>
      <c r="IWP45" s="375"/>
      <c r="IWQ45" s="375"/>
      <c r="IWR45" s="375"/>
      <c r="IWS45" s="375"/>
      <c r="IWT45" s="375"/>
      <c r="IWU45" s="375"/>
      <c r="IWV45" s="375"/>
      <c r="IWW45" s="375"/>
      <c r="IWX45" s="375"/>
      <c r="IWY45" s="375"/>
      <c r="IWZ45" s="375"/>
      <c r="IXA45" s="375"/>
      <c r="IXB45" s="375"/>
      <c r="IXC45" s="375"/>
      <c r="IXD45" s="375"/>
      <c r="IXE45" s="375"/>
      <c r="IXF45" s="375"/>
      <c r="IXG45" s="375"/>
      <c r="IXH45" s="375"/>
      <c r="IXI45" s="375"/>
      <c r="IXJ45" s="375"/>
      <c r="IXK45" s="375"/>
      <c r="IXL45" s="375"/>
      <c r="IXM45" s="375"/>
      <c r="IXN45" s="375"/>
      <c r="IXO45" s="375"/>
      <c r="IXP45" s="375"/>
      <c r="IXQ45" s="375"/>
      <c r="IXR45" s="375"/>
      <c r="IXS45" s="375"/>
      <c r="IXT45" s="375"/>
      <c r="IXU45" s="375"/>
      <c r="IXV45" s="375"/>
      <c r="IXW45" s="375"/>
      <c r="IXX45" s="375"/>
      <c r="IXY45" s="375"/>
      <c r="IXZ45" s="375"/>
      <c r="IYA45" s="375"/>
      <c r="IYB45" s="375"/>
      <c r="IYC45" s="375"/>
      <c r="IYD45" s="375"/>
      <c r="IYE45" s="375"/>
      <c r="IYF45" s="375"/>
      <c r="IYG45" s="375"/>
      <c r="IYH45" s="375"/>
      <c r="IYI45" s="375"/>
      <c r="IYJ45" s="375"/>
      <c r="IYK45" s="375"/>
      <c r="IYL45" s="375"/>
      <c r="IYM45" s="375"/>
      <c r="IYN45" s="375"/>
      <c r="IYO45" s="375"/>
      <c r="IYP45" s="375"/>
      <c r="IYQ45" s="375"/>
      <c r="IYR45" s="375"/>
      <c r="IYS45" s="375"/>
      <c r="IYT45" s="375"/>
      <c r="IYU45" s="375"/>
      <c r="IYV45" s="375"/>
      <c r="IYW45" s="375"/>
      <c r="IYX45" s="375"/>
      <c r="IYY45" s="375"/>
      <c r="IYZ45" s="375"/>
      <c r="IZA45" s="375"/>
      <c r="IZB45" s="375"/>
      <c r="IZC45" s="375"/>
      <c r="IZD45" s="375"/>
      <c r="IZE45" s="375"/>
      <c r="IZF45" s="375"/>
      <c r="IZG45" s="375"/>
      <c r="IZH45" s="375"/>
      <c r="IZI45" s="375"/>
      <c r="IZJ45" s="375"/>
      <c r="IZK45" s="375"/>
      <c r="IZL45" s="375"/>
      <c r="IZM45" s="375"/>
      <c r="IZN45" s="375"/>
      <c r="IZO45" s="375"/>
      <c r="IZP45" s="375"/>
      <c r="IZQ45" s="375"/>
      <c r="IZR45" s="375"/>
      <c r="IZS45" s="375"/>
      <c r="IZT45" s="375"/>
      <c r="IZU45" s="375"/>
      <c r="IZV45" s="375"/>
      <c r="IZW45" s="375"/>
      <c r="IZX45" s="375"/>
      <c r="IZY45" s="375"/>
      <c r="IZZ45" s="375"/>
      <c r="JAA45" s="375"/>
      <c r="JAB45" s="375"/>
      <c r="JAC45" s="375"/>
      <c r="JAD45" s="375"/>
      <c r="JAE45" s="375"/>
      <c r="JAF45" s="375"/>
      <c r="JAG45" s="375"/>
      <c r="JAH45" s="375"/>
      <c r="JAI45" s="375"/>
      <c r="JAJ45" s="375"/>
      <c r="JAK45" s="375"/>
      <c r="JAL45" s="375"/>
      <c r="JAM45" s="375"/>
      <c r="JAN45" s="375"/>
      <c r="JAO45" s="375"/>
      <c r="JAP45" s="375"/>
      <c r="JAQ45" s="375"/>
      <c r="JAR45" s="375"/>
      <c r="JAS45" s="375"/>
      <c r="JAT45" s="375"/>
      <c r="JAU45" s="375"/>
      <c r="JAV45" s="375"/>
      <c r="JAW45" s="375"/>
      <c r="JAX45" s="375"/>
      <c r="JAY45" s="375"/>
      <c r="JAZ45" s="375"/>
      <c r="JBA45" s="375"/>
      <c r="JBB45" s="375"/>
      <c r="JBC45" s="375"/>
      <c r="JBD45" s="375"/>
      <c r="JBE45" s="375"/>
      <c r="JBF45" s="375"/>
      <c r="JBG45" s="375"/>
      <c r="JBH45" s="375"/>
      <c r="JBI45" s="375"/>
      <c r="JBJ45" s="375"/>
      <c r="JBK45" s="375"/>
      <c r="JBL45" s="375"/>
      <c r="JBM45" s="375"/>
      <c r="JBN45" s="375"/>
      <c r="JBO45" s="375"/>
      <c r="JBP45" s="375"/>
      <c r="JBQ45" s="375"/>
      <c r="JBR45" s="375"/>
      <c r="JBS45" s="375"/>
      <c r="JBT45" s="375"/>
      <c r="JBU45" s="375"/>
      <c r="JBV45" s="375"/>
      <c r="JBW45" s="375"/>
      <c r="JBX45" s="375"/>
      <c r="JBY45" s="375"/>
      <c r="JBZ45" s="375"/>
      <c r="JCA45" s="375"/>
      <c r="JCB45" s="375"/>
      <c r="JCC45" s="375"/>
      <c r="JCD45" s="375"/>
      <c r="JCE45" s="375"/>
      <c r="JCF45" s="375"/>
      <c r="JCG45" s="375"/>
      <c r="JCH45" s="375"/>
      <c r="JCI45" s="375"/>
      <c r="JCJ45" s="375"/>
      <c r="JCK45" s="375"/>
      <c r="JCL45" s="375"/>
      <c r="JCM45" s="375"/>
      <c r="JCN45" s="375"/>
      <c r="JCO45" s="375"/>
      <c r="JCP45" s="375"/>
      <c r="JCQ45" s="375"/>
      <c r="JCR45" s="375"/>
      <c r="JCS45" s="375"/>
      <c r="JCT45" s="375"/>
      <c r="JCU45" s="375"/>
      <c r="JCV45" s="375"/>
      <c r="JCW45" s="375"/>
      <c r="JCX45" s="375"/>
      <c r="JCY45" s="375"/>
      <c r="JCZ45" s="375"/>
      <c r="JDA45" s="375"/>
      <c r="JDB45" s="375"/>
      <c r="JDC45" s="375"/>
      <c r="JDD45" s="375"/>
      <c r="JDE45" s="375"/>
      <c r="JDF45" s="375"/>
      <c r="JDG45" s="375"/>
      <c r="JDH45" s="375"/>
      <c r="JDI45" s="375"/>
      <c r="JDJ45" s="375"/>
      <c r="JDK45" s="375"/>
      <c r="JDL45" s="375"/>
      <c r="JDM45" s="375"/>
      <c r="JDN45" s="375"/>
      <c r="JDO45" s="375"/>
      <c r="JDP45" s="375"/>
      <c r="JDQ45" s="375"/>
      <c r="JDR45" s="375"/>
      <c r="JDS45" s="375"/>
      <c r="JDT45" s="375"/>
      <c r="JDU45" s="375"/>
      <c r="JDV45" s="375"/>
      <c r="JDW45" s="375"/>
      <c r="JDX45" s="375"/>
      <c r="JDY45" s="375"/>
      <c r="JDZ45" s="375"/>
      <c r="JEA45" s="375"/>
      <c r="JEB45" s="375"/>
      <c r="JEC45" s="375"/>
      <c r="JED45" s="375"/>
      <c r="JEE45" s="375"/>
      <c r="JEF45" s="375"/>
      <c r="JEG45" s="375"/>
      <c r="JEH45" s="375"/>
      <c r="JEI45" s="375"/>
      <c r="JEJ45" s="375"/>
      <c r="JEK45" s="375"/>
      <c r="JEL45" s="375"/>
      <c r="JEM45" s="375"/>
      <c r="JEN45" s="375"/>
      <c r="JEO45" s="375"/>
      <c r="JEP45" s="375"/>
      <c r="JEQ45" s="375"/>
      <c r="JER45" s="375"/>
      <c r="JES45" s="375"/>
      <c r="JET45" s="375"/>
      <c r="JEU45" s="375"/>
      <c r="JEV45" s="375"/>
      <c r="JEW45" s="375"/>
      <c r="JEX45" s="375"/>
      <c r="JEY45" s="375"/>
      <c r="JEZ45" s="375"/>
      <c r="JFA45" s="375"/>
      <c r="JFB45" s="375"/>
      <c r="JFC45" s="375"/>
      <c r="JFD45" s="375"/>
      <c r="JFE45" s="375"/>
      <c r="JFF45" s="375"/>
      <c r="JFG45" s="375"/>
      <c r="JFH45" s="375"/>
      <c r="JFI45" s="375"/>
      <c r="JFJ45" s="375"/>
      <c r="JFK45" s="375"/>
      <c r="JFL45" s="375"/>
      <c r="JFM45" s="375"/>
      <c r="JFN45" s="375"/>
      <c r="JFO45" s="375"/>
      <c r="JFP45" s="375"/>
      <c r="JFQ45" s="375"/>
      <c r="JFR45" s="375"/>
      <c r="JFS45" s="375"/>
      <c r="JFT45" s="375"/>
      <c r="JFU45" s="375"/>
      <c r="JFV45" s="375"/>
      <c r="JFW45" s="375"/>
      <c r="JFX45" s="375"/>
      <c r="JFY45" s="375"/>
      <c r="JFZ45" s="375"/>
      <c r="JGA45" s="375"/>
      <c r="JGB45" s="375"/>
      <c r="JGC45" s="375"/>
      <c r="JGD45" s="375"/>
      <c r="JGE45" s="375"/>
      <c r="JGF45" s="375"/>
      <c r="JGG45" s="375"/>
      <c r="JGH45" s="375"/>
      <c r="JGI45" s="375"/>
      <c r="JGJ45" s="375"/>
      <c r="JGK45" s="375"/>
      <c r="JGL45" s="375"/>
      <c r="JGM45" s="375"/>
      <c r="JGN45" s="375"/>
      <c r="JGO45" s="375"/>
      <c r="JGP45" s="375"/>
      <c r="JGQ45" s="375"/>
      <c r="JGR45" s="375"/>
      <c r="JGS45" s="375"/>
      <c r="JGT45" s="375"/>
      <c r="JGU45" s="375"/>
      <c r="JGV45" s="375"/>
      <c r="JGW45" s="375"/>
      <c r="JGX45" s="375"/>
      <c r="JGY45" s="375"/>
      <c r="JGZ45" s="375"/>
      <c r="JHA45" s="375"/>
      <c r="JHB45" s="375"/>
      <c r="JHC45" s="375"/>
      <c r="JHD45" s="375"/>
      <c r="JHE45" s="375"/>
      <c r="JHF45" s="375"/>
      <c r="JHG45" s="375"/>
      <c r="JHH45" s="375"/>
      <c r="JHI45" s="375"/>
      <c r="JHJ45" s="375"/>
      <c r="JHK45" s="375"/>
      <c r="JHL45" s="375"/>
      <c r="JHM45" s="375"/>
      <c r="JHN45" s="375"/>
      <c r="JHO45" s="375"/>
      <c r="JHP45" s="375"/>
      <c r="JHQ45" s="375"/>
      <c r="JHR45" s="375"/>
      <c r="JHS45" s="375"/>
      <c r="JHT45" s="375"/>
      <c r="JHU45" s="375"/>
      <c r="JHV45" s="375"/>
      <c r="JHW45" s="375"/>
      <c r="JHX45" s="375"/>
      <c r="JHY45" s="375"/>
      <c r="JHZ45" s="375"/>
      <c r="JIA45" s="375"/>
      <c r="JIB45" s="375"/>
      <c r="JIC45" s="375"/>
      <c r="JID45" s="375"/>
      <c r="JIE45" s="375"/>
      <c r="JIF45" s="375"/>
      <c r="JIG45" s="375"/>
      <c r="JIH45" s="375"/>
      <c r="JII45" s="375"/>
      <c r="JIJ45" s="375"/>
      <c r="JIK45" s="375"/>
      <c r="JIL45" s="375"/>
      <c r="JIM45" s="375"/>
      <c r="JIN45" s="375"/>
      <c r="JIO45" s="375"/>
      <c r="JIP45" s="375"/>
      <c r="JIQ45" s="375"/>
      <c r="JIR45" s="375"/>
      <c r="JIS45" s="375"/>
      <c r="JIT45" s="375"/>
      <c r="JIU45" s="375"/>
      <c r="JIV45" s="375"/>
      <c r="JIW45" s="375"/>
      <c r="JIX45" s="375"/>
      <c r="JIY45" s="375"/>
      <c r="JIZ45" s="375"/>
      <c r="JJA45" s="375"/>
      <c r="JJB45" s="375"/>
      <c r="JJC45" s="375"/>
      <c r="JJD45" s="375"/>
      <c r="JJE45" s="375"/>
      <c r="JJF45" s="375"/>
      <c r="JJG45" s="375"/>
      <c r="JJH45" s="375"/>
      <c r="JJI45" s="375"/>
      <c r="JJJ45" s="375"/>
      <c r="JJK45" s="375"/>
      <c r="JJL45" s="375"/>
      <c r="JJM45" s="375"/>
      <c r="JJN45" s="375"/>
      <c r="JJO45" s="375"/>
      <c r="JJP45" s="375"/>
      <c r="JJQ45" s="375"/>
      <c r="JJR45" s="375"/>
      <c r="JJS45" s="375"/>
      <c r="JJT45" s="375"/>
      <c r="JJU45" s="375"/>
      <c r="JJV45" s="375"/>
      <c r="JJW45" s="375"/>
      <c r="JJX45" s="375"/>
      <c r="JJY45" s="375"/>
      <c r="JJZ45" s="375"/>
      <c r="JKA45" s="375"/>
      <c r="JKB45" s="375"/>
      <c r="JKC45" s="375"/>
      <c r="JKD45" s="375"/>
      <c r="JKE45" s="375"/>
      <c r="JKF45" s="375"/>
      <c r="JKG45" s="375"/>
      <c r="JKH45" s="375"/>
      <c r="JKI45" s="375"/>
      <c r="JKJ45" s="375"/>
      <c r="JKK45" s="375"/>
      <c r="JKL45" s="375"/>
      <c r="JKM45" s="375"/>
      <c r="JKN45" s="375"/>
      <c r="JKO45" s="375"/>
      <c r="JKP45" s="375"/>
      <c r="JKQ45" s="375"/>
      <c r="JKR45" s="375"/>
      <c r="JKS45" s="375"/>
      <c r="JKT45" s="375"/>
      <c r="JKU45" s="375"/>
      <c r="JKV45" s="375"/>
      <c r="JKW45" s="375"/>
      <c r="JKX45" s="375"/>
      <c r="JKY45" s="375"/>
      <c r="JKZ45" s="375"/>
      <c r="JLA45" s="375"/>
      <c r="JLB45" s="375"/>
      <c r="JLC45" s="375"/>
      <c r="JLD45" s="375"/>
      <c r="JLE45" s="375"/>
      <c r="JLF45" s="375"/>
      <c r="JLG45" s="375"/>
      <c r="JLH45" s="375"/>
      <c r="JLI45" s="375"/>
      <c r="JLJ45" s="375"/>
      <c r="JLK45" s="375"/>
      <c r="JLL45" s="375"/>
      <c r="JLM45" s="375"/>
      <c r="JLN45" s="375"/>
      <c r="JLO45" s="375"/>
      <c r="JLP45" s="375"/>
      <c r="JLQ45" s="375"/>
      <c r="JLR45" s="375"/>
      <c r="JLS45" s="375"/>
      <c r="JLT45" s="375"/>
      <c r="JLU45" s="375"/>
      <c r="JLV45" s="375"/>
      <c r="JLW45" s="375"/>
      <c r="JLX45" s="375"/>
      <c r="JLY45" s="375"/>
      <c r="JLZ45" s="375"/>
      <c r="JMA45" s="375"/>
      <c r="JMB45" s="375"/>
      <c r="JMC45" s="375"/>
      <c r="JMD45" s="375"/>
      <c r="JME45" s="375"/>
      <c r="JMF45" s="375"/>
      <c r="JMG45" s="375"/>
      <c r="JMH45" s="375"/>
      <c r="JMI45" s="375"/>
      <c r="JMJ45" s="375"/>
      <c r="JMK45" s="375"/>
      <c r="JML45" s="375"/>
      <c r="JMM45" s="375"/>
      <c r="JMN45" s="375"/>
      <c r="JMO45" s="375"/>
      <c r="JMP45" s="375"/>
      <c r="JMQ45" s="375"/>
      <c r="JMR45" s="375"/>
      <c r="JMS45" s="375"/>
      <c r="JMT45" s="375"/>
      <c r="JMU45" s="375"/>
      <c r="JMV45" s="375"/>
      <c r="JMW45" s="375"/>
      <c r="JMX45" s="375"/>
      <c r="JMY45" s="375"/>
      <c r="JMZ45" s="375"/>
      <c r="JNA45" s="375"/>
      <c r="JNB45" s="375"/>
      <c r="JNC45" s="375"/>
      <c r="JND45" s="375"/>
      <c r="JNE45" s="375"/>
      <c r="JNF45" s="375"/>
      <c r="JNG45" s="375"/>
      <c r="JNH45" s="375"/>
      <c r="JNI45" s="375"/>
      <c r="JNJ45" s="375"/>
      <c r="JNK45" s="375"/>
      <c r="JNL45" s="375"/>
      <c r="JNM45" s="375"/>
      <c r="JNN45" s="375"/>
      <c r="JNO45" s="375"/>
      <c r="JNP45" s="375"/>
      <c r="JNQ45" s="375"/>
      <c r="JNR45" s="375"/>
      <c r="JNS45" s="375"/>
      <c r="JNT45" s="375"/>
      <c r="JNU45" s="375"/>
      <c r="JNV45" s="375"/>
      <c r="JNW45" s="375"/>
      <c r="JNX45" s="375"/>
      <c r="JNY45" s="375"/>
      <c r="JNZ45" s="375"/>
      <c r="JOA45" s="375"/>
      <c r="JOB45" s="375"/>
      <c r="JOC45" s="375"/>
      <c r="JOD45" s="375"/>
      <c r="JOE45" s="375"/>
      <c r="JOF45" s="375"/>
      <c r="JOG45" s="375"/>
      <c r="JOH45" s="375"/>
      <c r="JOI45" s="375"/>
      <c r="JOJ45" s="375"/>
      <c r="JOK45" s="375"/>
      <c r="JOL45" s="375"/>
      <c r="JOM45" s="375"/>
      <c r="JON45" s="375"/>
      <c r="JOO45" s="375"/>
      <c r="JOP45" s="375"/>
      <c r="JOQ45" s="375"/>
      <c r="JOR45" s="375"/>
      <c r="JOS45" s="375"/>
      <c r="JOT45" s="375"/>
      <c r="JOU45" s="375"/>
      <c r="JOV45" s="375"/>
      <c r="JOW45" s="375"/>
      <c r="JOX45" s="375"/>
      <c r="JOY45" s="375"/>
      <c r="JOZ45" s="375"/>
      <c r="JPA45" s="375"/>
      <c r="JPB45" s="375"/>
      <c r="JPC45" s="375"/>
      <c r="JPD45" s="375"/>
      <c r="JPE45" s="375"/>
      <c r="JPF45" s="375"/>
      <c r="JPG45" s="375"/>
      <c r="JPH45" s="375"/>
      <c r="JPI45" s="375"/>
      <c r="JPJ45" s="375"/>
      <c r="JPK45" s="375"/>
      <c r="JPL45" s="375"/>
      <c r="JPM45" s="375"/>
      <c r="JPN45" s="375"/>
      <c r="JPO45" s="375"/>
      <c r="JPP45" s="375"/>
      <c r="JPQ45" s="375"/>
      <c r="JPR45" s="375"/>
      <c r="JPS45" s="375"/>
      <c r="JPT45" s="375"/>
      <c r="JPU45" s="375"/>
      <c r="JPV45" s="375"/>
      <c r="JPW45" s="375"/>
      <c r="JPX45" s="375"/>
      <c r="JPY45" s="375"/>
      <c r="JPZ45" s="375"/>
      <c r="JQA45" s="375"/>
      <c r="JQB45" s="375"/>
      <c r="JQC45" s="375"/>
      <c r="JQD45" s="375"/>
      <c r="JQE45" s="375"/>
      <c r="JQF45" s="375"/>
      <c r="JQG45" s="375"/>
      <c r="JQH45" s="375"/>
      <c r="JQI45" s="375"/>
      <c r="JQJ45" s="375"/>
      <c r="JQK45" s="375"/>
      <c r="JQL45" s="375"/>
      <c r="JQM45" s="375"/>
      <c r="JQN45" s="375"/>
      <c r="JQO45" s="375"/>
      <c r="JQP45" s="375"/>
      <c r="JQQ45" s="375"/>
      <c r="JQR45" s="375"/>
      <c r="JQS45" s="375"/>
      <c r="JQT45" s="375"/>
      <c r="JQU45" s="375"/>
      <c r="JQV45" s="375"/>
      <c r="JQW45" s="375"/>
      <c r="JQX45" s="375"/>
      <c r="JQY45" s="375"/>
      <c r="JQZ45" s="375"/>
      <c r="JRA45" s="375"/>
      <c r="JRB45" s="375"/>
      <c r="JRC45" s="375"/>
      <c r="JRD45" s="375"/>
      <c r="JRE45" s="375"/>
      <c r="JRF45" s="375"/>
      <c r="JRG45" s="375"/>
      <c r="JRH45" s="375"/>
      <c r="JRI45" s="375"/>
      <c r="JRJ45" s="375"/>
      <c r="JRK45" s="375"/>
      <c r="JRL45" s="375"/>
      <c r="JRM45" s="375"/>
      <c r="JRN45" s="375"/>
      <c r="JRO45" s="375"/>
      <c r="JRP45" s="375"/>
      <c r="JRQ45" s="375"/>
      <c r="JRR45" s="375"/>
      <c r="JRS45" s="375"/>
      <c r="JRT45" s="375"/>
      <c r="JRU45" s="375"/>
      <c r="JRV45" s="375"/>
      <c r="JRW45" s="375"/>
      <c r="JRX45" s="375"/>
      <c r="JRY45" s="375"/>
      <c r="JRZ45" s="375"/>
      <c r="JSA45" s="375"/>
      <c r="JSB45" s="375"/>
      <c r="JSC45" s="375"/>
      <c r="JSD45" s="375"/>
      <c r="JSE45" s="375"/>
      <c r="JSF45" s="375"/>
      <c r="JSG45" s="375"/>
      <c r="JSH45" s="375"/>
      <c r="JSI45" s="375"/>
      <c r="JSJ45" s="375"/>
      <c r="JSK45" s="375"/>
      <c r="JSL45" s="375"/>
      <c r="JSM45" s="375"/>
      <c r="JSN45" s="375"/>
      <c r="JSO45" s="375"/>
      <c r="JSP45" s="375"/>
      <c r="JSQ45" s="375"/>
      <c r="JSR45" s="375"/>
      <c r="JSS45" s="375"/>
      <c r="JST45" s="375"/>
      <c r="JSU45" s="375"/>
      <c r="JSV45" s="375"/>
      <c r="JSW45" s="375"/>
      <c r="JSX45" s="375"/>
      <c r="JSY45" s="375"/>
      <c r="JSZ45" s="375"/>
      <c r="JTA45" s="375"/>
      <c r="JTB45" s="375"/>
      <c r="JTC45" s="375"/>
      <c r="JTD45" s="375"/>
      <c r="JTE45" s="375"/>
      <c r="JTF45" s="375"/>
      <c r="JTG45" s="375"/>
      <c r="JTH45" s="375"/>
      <c r="JTI45" s="375"/>
      <c r="JTJ45" s="375"/>
      <c r="JTK45" s="375"/>
      <c r="JTL45" s="375"/>
      <c r="JTM45" s="375"/>
      <c r="JTN45" s="375"/>
      <c r="JTO45" s="375"/>
      <c r="JTP45" s="375"/>
      <c r="JTQ45" s="375"/>
      <c r="JTR45" s="375"/>
      <c r="JTS45" s="375"/>
      <c r="JTT45" s="375"/>
      <c r="JTU45" s="375"/>
      <c r="JTV45" s="375"/>
      <c r="JTW45" s="375"/>
      <c r="JTX45" s="375"/>
      <c r="JTY45" s="375"/>
      <c r="JTZ45" s="375"/>
      <c r="JUA45" s="375"/>
      <c r="JUB45" s="375"/>
      <c r="JUC45" s="375"/>
      <c r="JUD45" s="375"/>
      <c r="JUE45" s="375"/>
      <c r="JUF45" s="375"/>
      <c r="JUG45" s="375"/>
      <c r="JUH45" s="375"/>
      <c r="JUI45" s="375"/>
      <c r="JUJ45" s="375"/>
      <c r="JUK45" s="375"/>
      <c r="JUL45" s="375"/>
      <c r="JUM45" s="375"/>
      <c r="JUN45" s="375"/>
      <c r="JUO45" s="375"/>
      <c r="JUP45" s="375"/>
      <c r="JUQ45" s="375"/>
      <c r="JUR45" s="375"/>
      <c r="JUS45" s="375"/>
      <c r="JUT45" s="375"/>
      <c r="JUU45" s="375"/>
      <c r="JUV45" s="375"/>
      <c r="JUW45" s="375"/>
      <c r="JUX45" s="375"/>
      <c r="JUY45" s="375"/>
      <c r="JUZ45" s="375"/>
      <c r="JVA45" s="375"/>
      <c r="JVB45" s="375"/>
      <c r="JVC45" s="375"/>
      <c r="JVD45" s="375"/>
      <c r="JVE45" s="375"/>
      <c r="JVF45" s="375"/>
      <c r="JVG45" s="375"/>
      <c r="JVH45" s="375"/>
      <c r="JVI45" s="375"/>
      <c r="JVJ45" s="375"/>
      <c r="JVK45" s="375"/>
      <c r="JVL45" s="375"/>
      <c r="JVM45" s="375"/>
      <c r="JVN45" s="375"/>
      <c r="JVO45" s="375"/>
      <c r="JVP45" s="375"/>
      <c r="JVQ45" s="375"/>
      <c r="JVR45" s="375"/>
      <c r="JVS45" s="375"/>
      <c r="JVT45" s="375"/>
      <c r="JVU45" s="375"/>
      <c r="JVV45" s="375"/>
      <c r="JVW45" s="375"/>
      <c r="JVX45" s="375"/>
      <c r="JVY45" s="375"/>
      <c r="JVZ45" s="375"/>
      <c r="JWA45" s="375"/>
      <c r="JWB45" s="375"/>
      <c r="JWC45" s="375"/>
      <c r="JWD45" s="375"/>
      <c r="JWE45" s="375"/>
      <c r="JWF45" s="375"/>
      <c r="JWG45" s="375"/>
      <c r="JWH45" s="375"/>
      <c r="JWI45" s="375"/>
      <c r="JWJ45" s="375"/>
      <c r="JWK45" s="375"/>
      <c r="JWL45" s="375"/>
      <c r="JWM45" s="375"/>
      <c r="JWN45" s="375"/>
      <c r="JWO45" s="375"/>
      <c r="JWP45" s="375"/>
      <c r="JWQ45" s="375"/>
      <c r="JWR45" s="375"/>
      <c r="JWS45" s="375"/>
      <c r="JWT45" s="375"/>
      <c r="JWU45" s="375"/>
      <c r="JWV45" s="375"/>
      <c r="JWW45" s="375"/>
      <c r="JWX45" s="375"/>
      <c r="JWY45" s="375"/>
      <c r="JWZ45" s="375"/>
      <c r="JXA45" s="375"/>
      <c r="JXB45" s="375"/>
      <c r="JXC45" s="375"/>
      <c r="JXD45" s="375"/>
      <c r="JXE45" s="375"/>
      <c r="JXF45" s="375"/>
      <c r="JXG45" s="375"/>
      <c r="JXH45" s="375"/>
      <c r="JXI45" s="375"/>
      <c r="JXJ45" s="375"/>
      <c r="JXK45" s="375"/>
      <c r="JXL45" s="375"/>
      <c r="JXM45" s="375"/>
      <c r="JXN45" s="375"/>
      <c r="JXO45" s="375"/>
      <c r="JXP45" s="375"/>
      <c r="JXQ45" s="375"/>
      <c r="JXR45" s="375"/>
      <c r="JXS45" s="375"/>
      <c r="JXT45" s="375"/>
      <c r="JXU45" s="375"/>
      <c r="JXV45" s="375"/>
      <c r="JXW45" s="375"/>
      <c r="JXX45" s="375"/>
      <c r="JXY45" s="375"/>
      <c r="JXZ45" s="375"/>
      <c r="JYA45" s="375"/>
      <c r="JYB45" s="375"/>
      <c r="JYC45" s="375"/>
      <c r="JYD45" s="375"/>
      <c r="JYE45" s="375"/>
      <c r="JYF45" s="375"/>
      <c r="JYG45" s="375"/>
      <c r="JYH45" s="375"/>
      <c r="JYI45" s="375"/>
      <c r="JYJ45" s="375"/>
      <c r="JYK45" s="375"/>
      <c r="JYL45" s="375"/>
      <c r="JYM45" s="375"/>
      <c r="JYN45" s="375"/>
      <c r="JYO45" s="375"/>
      <c r="JYP45" s="375"/>
      <c r="JYQ45" s="375"/>
      <c r="JYR45" s="375"/>
      <c r="JYS45" s="375"/>
      <c r="JYT45" s="375"/>
      <c r="JYU45" s="375"/>
      <c r="JYV45" s="375"/>
      <c r="JYW45" s="375"/>
      <c r="JYX45" s="375"/>
      <c r="JYY45" s="375"/>
      <c r="JYZ45" s="375"/>
      <c r="JZA45" s="375"/>
      <c r="JZB45" s="375"/>
      <c r="JZC45" s="375"/>
      <c r="JZD45" s="375"/>
      <c r="JZE45" s="375"/>
      <c r="JZF45" s="375"/>
      <c r="JZG45" s="375"/>
      <c r="JZH45" s="375"/>
      <c r="JZI45" s="375"/>
      <c r="JZJ45" s="375"/>
      <c r="JZK45" s="375"/>
      <c r="JZL45" s="375"/>
      <c r="JZM45" s="375"/>
      <c r="JZN45" s="375"/>
      <c r="JZO45" s="375"/>
      <c r="JZP45" s="375"/>
      <c r="JZQ45" s="375"/>
      <c r="JZR45" s="375"/>
      <c r="JZS45" s="375"/>
      <c r="JZT45" s="375"/>
      <c r="JZU45" s="375"/>
      <c r="JZV45" s="375"/>
      <c r="JZW45" s="375"/>
      <c r="JZX45" s="375"/>
      <c r="JZY45" s="375"/>
      <c r="JZZ45" s="375"/>
      <c r="KAA45" s="375"/>
      <c r="KAB45" s="375"/>
      <c r="KAC45" s="375"/>
      <c r="KAD45" s="375"/>
      <c r="KAE45" s="375"/>
      <c r="KAF45" s="375"/>
      <c r="KAG45" s="375"/>
      <c r="KAH45" s="375"/>
      <c r="KAI45" s="375"/>
      <c r="KAJ45" s="375"/>
      <c r="KAK45" s="375"/>
      <c r="KAL45" s="375"/>
      <c r="KAM45" s="375"/>
      <c r="KAN45" s="375"/>
      <c r="KAO45" s="375"/>
      <c r="KAP45" s="375"/>
      <c r="KAQ45" s="375"/>
      <c r="KAR45" s="375"/>
      <c r="KAS45" s="375"/>
      <c r="KAT45" s="375"/>
      <c r="KAU45" s="375"/>
      <c r="KAV45" s="375"/>
      <c r="KAW45" s="375"/>
      <c r="KAX45" s="375"/>
      <c r="KAY45" s="375"/>
      <c r="KAZ45" s="375"/>
      <c r="KBA45" s="375"/>
      <c r="KBB45" s="375"/>
      <c r="KBC45" s="375"/>
      <c r="KBD45" s="375"/>
      <c r="KBE45" s="375"/>
      <c r="KBF45" s="375"/>
      <c r="KBG45" s="375"/>
      <c r="KBH45" s="375"/>
      <c r="KBI45" s="375"/>
      <c r="KBJ45" s="375"/>
      <c r="KBK45" s="375"/>
      <c r="KBL45" s="375"/>
      <c r="KBM45" s="375"/>
      <c r="KBN45" s="375"/>
      <c r="KBO45" s="375"/>
      <c r="KBP45" s="375"/>
      <c r="KBQ45" s="375"/>
      <c r="KBR45" s="375"/>
      <c r="KBS45" s="375"/>
      <c r="KBT45" s="375"/>
      <c r="KBU45" s="375"/>
      <c r="KBV45" s="375"/>
      <c r="KBW45" s="375"/>
      <c r="KBX45" s="375"/>
      <c r="KBY45" s="375"/>
      <c r="KBZ45" s="375"/>
      <c r="KCA45" s="375"/>
      <c r="KCB45" s="375"/>
      <c r="KCC45" s="375"/>
      <c r="KCD45" s="375"/>
      <c r="KCE45" s="375"/>
      <c r="KCF45" s="375"/>
      <c r="KCG45" s="375"/>
      <c r="KCH45" s="375"/>
      <c r="KCI45" s="375"/>
      <c r="KCJ45" s="375"/>
      <c r="KCK45" s="375"/>
      <c r="KCL45" s="375"/>
      <c r="KCM45" s="375"/>
      <c r="KCN45" s="375"/>
      <c r="KCO45" s="375"/>
      <c r="KCP45" s="375"/>
      <c r="KCQ45" s="375"/>
      <c r="KCR45" s="375"/>
      <c r="KCS45" s="375"/>
      <c r="KCT45" s="375"/>
      <c r="KCU45" s="375"/>
      <c r="KCV45" s="375"/>
      <c r="KCW45" s="375"/>
      <c r="KCX45" s="375"/>
      <c r="KCY45" s="375"/>
      <c r="KCZ45" s="375"/>
      <c r="KDA45" s="375"/>
      <c r="KDB45" s="375"/>
      <c r="KDC45" s="375"/>
      <c r="KDD45" s="375"/>
      <c r="KDE45" s="375"/>
      <c r="KDF45" s="375"/>
      <c r="KDG45" s="375"/>
      <c r="KDH45" s="375"/>
      <c r="KDI45" s="375"/>
      <c r="KDJ45" s="375"/>
      <c r="KDK45" s="375"/>
      <c r="KDL45" s="375"/>
      <c r="KDM45" s="375"/>
      <c r="KDN45" s="375"/>
      <c r="KDO45" s="375"/>
      <c r="KDP45" s="375"/>
      <c r="KDQ45" s="375"/>
      <c r="KDR45" s="375"/>
      <c r="KDS45" s="375"/>
      <c r="KDT45" s="375"/>
      <c r="KDU45" s="375"/>
      <c r="KDV45" s="375"/>
      <c r="KDW45" s="375"/>
      <c r="KDX45" s="375"/>
      <c r="KDY45" s="375"/>
      <c r="KDZ45" s="375"/>
      <c r="KEA45" s="375"/>
      <c r="KEB45" s="375"/>
      <c r="KEC45" s="375"/>
      <c r="KED45" s="375"/>
      <c r="KEE45" s="375"/>
      <c r="KEF45" s="375"/>
      <c r="KEG45" s="375"/>
      <c r="KEH45" s="375"/>
      <c r="KEI45" s="375"/>
      <c r="KEJ45" s="375"/>
      <c r="KEK45" s="375"/>
      <c r="KEL45" s="375"/>
      <c r="KEM45" s="375"/>
      <c r="KEN45" s="375"/>
      <c r="KEO45" s="375"/>
      <c r="KEP45" s="375"/>
      <c r="KEQ45" s="375"/>
      <c r="KER45" s="375"/>
      <c r="KES45" s="375"/>
      <c r="KET45" s="375"/>
      <c r="KEU45" s="375"/>
      <c r="KEV45" s="375"/>
      <c r="KEW45" s="375"/>
      <c r="KEX45" s="375"/>
      <c r="KEY45" s="375"/>
      <c r="KEZ45" s="375"/>
      <c r="KFA45" s="375"/>
      <c r="KFB45" s="375"/>
      <c r="KFC45" s="375"/>
      <c r="KFD45" s="375"/>
      <c r="KFE45" s="375"/>
      <c r="KFF45" s="375"/>
      <c r="KFG45" s="375"/>
      <c r="KFH45" s="375"/>
      <c r="KFI45" s="375"/>
      <c r="KFJ45" s="375"/>
      <c r="KFK45" s="375"/>
      <c r="KFL45" s="375"/>
      <c r="KFM45" s="375"/>
      <c r="KFN45" s="375"/>
      <c r="KFO45" s="375"/>
      <c r="KFP45" s="375"/>
      <c r="KFQ45" s="375"/>
      <c r="KFR45" s="375"/>
      <c r="KFS45" s="375"/>
      <c r="KFT45" s="375"/>
      <c r="KFU45" s="375"/>
      <c r="KFV45" s="375"/>
      <c r="KFW45" s="375"/>
      <c r="KFX45" s="375"/>
      <c r="KFY45" s="375"/>
      <c r="KFZ45" s="375"/>
      <c r="KGA45" s="375"/>
      <c r="KGB45" s="375"/>
      <c r="KGC45" s="375"/>
      <c r="KGD45" s="375"/>
      <c r="KGE45" s="375"/>
      <c r="KGF45" s="375"/>
      <c r="KGG45" s="375"/>
      <c r="KGH45" s="375"/>
      <c r="KGI45" s="375"/>
      <c r="KGJ45" s="375"/>
      <c r="KGK45" s="375"/>
      <c r="KGL45" s="375"/>
      <c r="KGM45" s="375"/>
      <c r="KGN45" s="375"/>
      <c r="KGO45" s="375"/>
      <c r="KGP45" s="375"/>
      <c r="KGQ45" s="375"/>
      <c r="KGR45" s="375"/>
      <c r="KGS45" s="375"/>
      <c r="KGT45" s="375"/>
      <c r="KGU45" s="375"/>
      <c r="KGV45" s="375"/>
      <c r="KGW45" s="375"/>
      <c r="KGX45" s="375"/>
      <c r="KGY45" s="375"/>
      <c r="KGZ45" s="375"/>
      <c r="KHA45" s="375"/>
      <c r="KHB45" s="375"/>
      <c r="KHC45" s="375"/>
      <c r="KHD45" s="375"/>
      <c r="KHE45" s="375"/>
      <c r="KHF45" s="375"/>
      <c r="KHG45" s="375"/>
      <c r="KHH45" s="375"/>
      <c r="KHI45" s="375"/>
      <c r="KHJ45" s="375"/>
      <c r="KHK45" s="375"/>
      <c r="KHL45" s="375"/>
      <c r="KHM45" s="375"/>
      <c r="KHN45" s="375"/>
      <c r="KHO45" s="375"/>
      <c r="KHP45" s="375"/>
      <c r="KHQ45" s="375"/>
      <c r="KHR45" s="375"/>
      <c r="KHS45" s="375"/>
      <c r="KHT45" s="375"/>
      <c r="KHU45" s="375"/>
      <c r="KHV45" s="375"/>
      <c r="KHW45" s="375"/>
      <c r="KHX45" s="375"/>
      <c r="KHY45" s="375"/>
      <c r="KHZ45" s="375"/>
      <c r="KIA45" s="375"/>
      <c r="KIB45" s="375"/>
      <c r="KIC45" s="375"/>
      <c r="KID45" s="375"/>
      <c r="KIE45" s="375"/>
      <c r="KIF45" s="375"/>
      <c r="KIG45" s="375"/>
      <c r="KIH45" s="375"/>
      <c r="KII45" s="375"/>
      <c r="KIJ45" s="375"/>
      <c r="KIK45" s="375"/>
      <c r="KIL45" s="375"/>
      <c r="KIM45" s="375"/>
      <c r="KIN45" s="375"/>
      <c r="KIO45" s="375"/>
      <c r="KIP45" s="375"/>
      <c r="KIQ45" s="375"/>
      <c r="KIR45" s="375"/>
      <c r="KIS45" s="375"/>
      <c r="KIT45" s="375"/>
      <c r="KIU45" s="375"/>
      <c r="KIV45" s="375"/>
      <c r="KIW45" s="375"/>
      <c r="KIX45" s="375"/>
      <c r="KIY45" s="375"/>
      <c r="KIZ45" s="375"/>
      <c r="KJA45" s="375"/>
      <c r="KJB45" s="375"/>
      <c r="KJC45" s="375"/>
      <c r="KJD45" s="375"/>
      <c r="KJE45" s="375"/>
      <c r="KJF45" s="375"/>
      <c r="KJG45" s="375"/>
      <c r="KJH45" s="375"/>
      <c r="KJI45" s="375"/>
      <c r="KJJ45" s="375"/>
      <c r="KJK45" s="375"/>
      <c r="KJL45" s="375"/>
      <c r="KJM45" s="375"/>
      <c r="KJN45" s="375"/>
      <c r="KJO45" s="375"/>
      <c r="KJP45" s="375"/>
      <c r="KJQ45" s="375"/>
      <c r="KJR45" s="375"/>
      <c r="KJS45" s="375"/>
      <c r="KJT45" s="375"/>
      <c r="KJU45" s="375"/>
      <c r="KJV45" s="375"/>
      <c r="KJW45" s="375"/>
      <c r="KJX45" s="375"/>
      <c r="KJY45" s="375"/>
      <c r="KJZ45" s="375"/>
      <c r="KKA45" s="375"/>
      <c r="KKB45" s="375"/>
      <c r="KKC45" s="375"/>
      <c r="KKD45" s="375"/>
      <c r="KKE45" s="375"/>
      <c r="KKF45" s="375"/>
      <c r="KKG45" s="375"/>
      <c r="KKH45" s="375"/>
      <c r="KKI45" s="375"/>
      <c r="KKJ45" s="375"/>
      <c r="KKK45" s="375"/>
      <c r="KKL45" s="375"/>
      <c r="KKM45" s="375"/>
      <c r="KKN45" s="375"/>
      <c r="KKO45" s="375"/>
      <c r="KKP45" s="375"/>
      <c r="KKQ45" s="375"/>
      <c r="KKR45" s="375"/>
      <c r="KKS45" s="375"/>
      <c r="KKT45" s="375"/>
      <c r="KKU45" s="375"/>
      <c r="KKV45" s="375"/>
      <c r="KKW45" s="375"/>
      <c r="KKX45" s="375"/>
      <c r="KKY45" s="375"/>
      <c r="KKZ45" s="375"/>
      <c r="KLA45" s="375"/>
      <c r="KLB45" s="375"/>
      <c r="KLC45" s="375"/>
      <c r="KLD45" s="375"/>
      <c r="KLE45" s="375"/>
      <c r="KLF45" s="375"/>
      <c r="KLG45" s="375"/>
      <c r="KLH45" s="375"/>
      <c r="KLI45" s="375"/>
      <c r="KLJ45" s="375"/>
      <c r="KLK45" s="375"/>
      <c r="KLL45" s="375"/>
      <c r="KLM45" s="375"/>
      <c r="KLN45" s="375"/>
      <c r="KLO45" s="375"/>
      <c r="KLP45" s="375"/>
      <c r="KLQ45" s="375"/>
      <c r="KLR45" s="375"/>
      <c r="KLS45" s="375"/>
      <c r="KLT45" s="375"/>
      <c r="KLU45" s="375"/>
      <c r="KLV45" s="375"/>
      <c r="KLW45" s="375"/>
      <c r="KLX45" s="375"/>
      <c r="KLY45" s="375"/>
      <c r="KLZ45" s="375"/>
      <c r="KMA45" s="375"/>
      <c r="KMB45" s="375"/>
      <c r="KMC45" s="375"/>
      <c r="KMD45" s="375"/>
      <c r="KME45" s="375"/>
      <c r="KMF45" s="375"/>
      <c r="KMG45" s="375"/>
      <c r="KMH45" s="375"/>
      <c r="KMI45" s="375"/>
      <c r="KMJ45" s="375"/>
      <c r="KMK45" s="375"/>
      <c r="KML45" s="375"/>
      <c r="KMM45" s="375"/>
      <c r="KMN45" s="375"/>
      <c r="KMO45" s="375"/>
      <c r="KMP45" s="375"/>
      <c r="KMQ45" s="375"/>
      <c r="KMR45" s="375"/>
      <c r="KMS45" s="375"/>
      <c r="KMT45" s="375"/>
      <c r="KMU45" s="375"/>
      <c r="KMV45" s="375"/>
      <c r="KMW45" s="375"/>
      <c r="KMX45" s="375"/>
      <c r="KMY45" s="375"/>
      <c r="KMZ45" s="375"/>
      <c r="KNA45" s="375"/>
      <c r="KNB45" s="375"/>
      <c r="KNC45" s="375"/>
      <c r="KND45" s="375"/>
      <c r="KNE45" s="375"/>
      <c r="KNF45" s="375"/>
      <c r="KNG45" s="375"/>
      <c r="KNH45" s="375"/>
      <c r="KNI45" s="375"/>
      <c r="KNJ45" s="375"/>
      <c r="KNK45" s="375"/>
      <c r="KNL45" s="375"/>
      <c r="KNM45" s="375"/>
      <c r="KNN45" s="375"/>
      <c r="KNO45" s="375"/>
      <c r="KNP45" s="375"/>
      <c r="KNQ45" s="375"/>
      <c r="KNR45" s="375"/>
      <c r="KNS45" s="375"/>
      <c r="KNT45" s="375"/>
      <c r="KNU45" s="375"/>
      <c r="KNV45" s="375"/>
      <c r="KNW45" s="375"/>
      <c r="KNX45" s="375"/>
      <c r="KNY45" s="375"/>
      <c r="KNZ45" s="375"/>
      <c r="KOA45" s="375"/>
      <c r="KOB45" s="375"/>
      <c r="KOC45" s="375"/>
      <c r="KOD45" s="375"/>
      <c r="KOE45" s="375"/>
      <c r="KOF45" s="375"/>
      <c r="KOG45" s="375"/>
      <c r="KOH45" s="375"/>
      <c r="KOI45" s="375"/>
      <c r="KOJ45" s="375"/>
      <c r="KOK45" s="375"/>
      <c r="KOL45" s="375"/>
      <c r="KOM45" s="375"/>
      <c r="KON45" s="375"/>
      <c r="KOO45" s="375"/>
      <c r="KOP45" s="375"/>
      <c r="KOQ45" s="375"/>
      <c r="KOR45" s="375"/>
      <c r="KOS45" s="375"/>
      <c r="KOT45" s="375"/>
      <c r="KOU45" s="375"/>
      <c r="KOV45" s="375"/>
      <c r="KOW45" s="375"/>
      <c r="KOX45" s="375"/>
      <c r="KOY45" s="375"/>
      <c r="KOZ45" s="375"/>
      <c r="KPA45" s="375"/>
      <c r="KPB45" s="375"/>
      <c r="KPC45" s="375"/>
      <c r="KPD45" s="375"/>
      <c r="KPE45" s="375"/>
      <c r="KPF45" s="375"/>
      <c r="KPG45" s="375"/>
      <c r="KPH45" s="375"/>
      <c r="KPI45" s="375"/>
      <c r="KPJ45" s="375"/>
      <c r="KPK45" s="375"/>
      <c r="KPL45" s="375"/>
      <c r="KPM45" s="375"/>
      <c r="KPN45" s="375"/>
      <c r="KPO45" s="375"/>
      <c r="KPP45" s="375"/>
      <c r="KPQ45" s="375"/>
      <c r="KPR45" s="375"/>
      <c r="KPS45" s="375"/>
      <c r="KPT45" s="375"/>
      <c r="KPU45" s="375"/>
      <c r="KPV45" s="375"/>
      <c r="KPW45" s="375"/>
      <c r="KPX45" s="375"/>
      <c r="KPY45" s="375"/>
      <c r="KPZ45" s="375"/>
      <c r="KQA45" s="375"/>
      <c r="KQB45" s="375"/>
      <c r="KQC45" s="375"/>
      <c r="KQD45" s="375"/>
      <c r="KQE45" s="375"/>
      <c r="KQF45" s="375"/>
      <c r="KQG45" s="375"/>
      <c r="KQH45" s="375"/>
      <c r="KQI45" s="375"/>
      <c r="KQJ45" s="375"/>
      <c r="KQK45" s="375"/>
      <c r="KQL45" s="375"/>
      <c r="KQM45" s="375"/>
      <c r="KQN45" s="375"/>
      <c r="KQO45" s="375"/>
      <c r="KQP45" s="375"/>
      <c r="KQQ45" s="375"/>
      <c r="KQR45" s="375"/>
      <c r="KQS45" s="375"/>
      <c r="KQT45" s="375"/>
      <c r="KQU45" s="375"/>
      <c r="KQV45" s="375"/>
      <c r="KQW45" s="375"/>
      <c r="KQX45" s="375"/>
      <c r="KQY45" s="375"/>
      <c r="KQZ45" s="375"/>
      <c r="KRA45" s="375"/>
      <c r="KRB45" s="375"/>
      <c r="KRC45" s="375"/>
      <c r="KRD45" s="375"/>
      <c r="KRE45" s="375"/>
      <c r="KRF45" s="375"/>
      <c r="KRG45" s="375"/>
      <c r="KRH45" s="375"/>
      <c r="KRI45" s="375"/>
      <c r="KRJ45" s="375"/>
      <c r="KRK45" s="375"/>
      <c r="KRL45" s="375"/>
      <c r="KRM45" s="375"/>
      <c r="KRN45" s="375"/>
      <c r="KRO45" s="375"/>
      <c r="KRP45" s="375"/>
      <c r="KRQ45" s="375"/>
      <c r="KRR45" s="375"/>
      <c r="KRS45" s="375"/>
      <c r="KRT45" s="375"/>
      <c r="KRU45" s="375"/>
      <c r="KRV45" s="375"/>
      <c r="KRW45" s="375"/>
      <c r="KRX45" s="375"/>
      <c r="KRY45" s="375"/>
      <c r="KRZ45" s="375"/>
      <c r="KSA45" s="375"/>
      <c r="KSB45" s="375"/>
      <c r="KSC45" s="375"/>
      <c r="KSD45" s="375"/>
      <c r="KSE45" s="375"/>
      <c r="KSF45" s="375"/>
      <c r="KSG45" s="375"/>
      <c r="KSH45" s="375"/>
      <c r="KSI45" s="375"/>
      <c r="KSJ45" s="375"/>
      <c r="KSK45" s="375"/>
      <c r="KSL45" s="375"/>
      <c r="KSM45" s="375"/>
      <c r="KSN45" s="375"/>
      <c r="KSO45" s="375"/>
      <c r="KSP45" s="375"/>
      <c r="KSQ45" s="375"/>
      <c r="KSR45" s="375"/>
      <c r="KSS45" s="375"/>
      <c r="KST45" s="375"/>
      <c r="KSU45" s="375"/>
      <c r="KSV45" s="375"/>
      <c r="KSW45" s="375"/>
      <c r="KSX45" s="375"/>
      <c r="KSY45" s="375"/>
      <c r="KSZ45" s="375"/>
      <c r="KTA45" s="375"/>
      <c r="KTB45" s="375"/>
      <c r="KTC45" s="375"/>
      <c r="KTD45" s="375"/>
      <c r="KTE45" s="375"/>
      <c r="KTF45" s="375"/>
      <c r="KTG45" s="375"/>
      <c r="KTH45" s="375"/>
      <c r="KTI45" s="375"/>
      <c r="KTJ45" s="375"/>
      <c r="KTK45" s="375"/>
      <c r="KTL45" s="375"/>
      <c r="KTM45" s="375"/>
      <c r="KTN45" s="375"/>
      <c r="KTO45" s="375"/>
      <c r="KTP45" s="375"/>
      <c r="KTQ45" s="375"/>
      <c r="KTR45" s="375"/>
      <c r="KTS45" s="375"/>
      <c r="KTT45" s="375"/>
      <c r="KTU45" s="375"/>
      <c r="KTV45" s="375"/>
      <c r="KTW45" s="375"/>
      <c r="KTX45" s="375"/>
      <c r="KTY45" s="375"/>
      <c r="KTZ45" s="375"/>
      <c r="KUA45" s="375"/>
      <c r="KUB45" s="375"/>
      <c r="KUC45" s="375"/>
      <c r="KUD45" s="375"/>
      <c r="KUE45" s="375"/>
      <c r="KUF45" s="375"/>
      <c r="KUG45" s="375"/>
      <c r="KUH45" s="375"/>
      <c r="KUI45" s="375"/>
      <c r="KUJ45" s="375"/>
      <c r="KUK45" s="375"/>
      <c r="KUL45" s="375"/>
      <c r="KUM45" s="375"/>
      <c r="KUN45" s="375"/>
      <c r="KUO45" s="375"/>
      <c r="KUP45" s="375"/>
      <c r="KUQ45" s="375"/>
      <c r="KUR45" s="375"/>
      <c r="KUS45" s="375"/>
      <c r="KUT45" s="375"/>
      <c r="KUU45" s="375"/>
      <c r="KUV45" s="375"/>
      <c r="KUW45" s="375"/>
      <c r="KUX45" s="375"/>
      <c r="KUY45" s="375"/>
      <c r="KUZ45" s="375"/>
      <c r="KVA45" s="375"/>
      <c r="KVB45" s="375"/>
      <c r="KVC45" s="375"/>
      <c r="KVD45" s="375"/>
      <c r="KVE45" s="375"/>
      <c r="KVF45" s="375"/>
      <c r="KVG45" s="375"/>
      <c r="KVH45" s="375"/>
      <c r="KVI45" s="375"/>
      <c r="KVJ45" s="375"/>
      <c r="KVK45" s="375"/>
      <c r="KVL45" s="375"/>
      <c r="KVM45" s="375"/>
      <c r="KVN45" s="375"/>
      <c r="KVO45" s="375"/>
      <c r="KVP45" s="375"/>
      <c r="KVQ45" s="375"/>
      <c r="KVR45" s="375"/>
      <c r="KVS45" s="375"/>
      <c r="KVT45" s="375"/>
      <c r="KVU45" s="375"/>
      <c r="KVV45" s="375"/>
      <c r="KVW45" s="375"/>
      <c r="KVX45" s="375"/>
      <c r="KVY45" s="375"/>
      <c r="KVZ45" s="375"/>
      <c r="KWA45" s="375"/>
      <c r="KWB45" s="375"/>
      <c r="KWC45" s="375"/>
      <c r="KWD45" s="375"/>
      <c r="KWE45" s="375"/>
      <c r="KWF45" s="375"/>
      <c r="KWG45" s="375"/>
      <c r="KWH45" s="375"/>
      <c r="KWI45" s="375"/>
      <c r="KWJ45" s="375"/>
      <c r="KWK45" s="375"/>
      <c r="KWL45" s="375"/>
      <c r="KWM45" s="375"/>
      <c r="KWN45" s="375"/>
      <c r="KWO45" s="375"/>
      <c r="KWP45" s="375"/>
      <c r="KWQ45" s="375"/>
      <c r="KWR45" s="375"/>
      <c r="KWS45" s="375"/>
      <c r="KWT45" s="375"/>
      <c r="KWU45" s="375"/>
      <c r="KWV45" s="375"/>
      <c r="KWW45" s="375"/>
      <c r="KWX45" s="375"/>
      <c r="KWY45" s="375"/>
      <c r="KWZ45" s="375"/>
      <c r="KXA45" s="375"/>
      <c r="KXB45" s="375"/>
      <c r="KXC45" s="375"/>
      <c r="KXD45" s="375"/>
      <c r="KXE45" s="375"/>
      <c r="KXF45" s="375"/>
      <c r="KXG45" s="375"/>
      <c r="KXH45" s="375"/>
      <c r="KXI45" s="375"/>
      <c r="KXJ45" s="375"/>
      <c r="KXK45" s="375"/>
      <c r="KXL45" s="375"/>
      <c r="KXM45" s="375"/>
      <c r="KXN45" s="375"/>
      <c r="KXO45" s="375"/>
      <c r="KXP45" s="375"/>
      <c r="KXQ45" s="375"/>
      <c r="KXR45" s="375"/>
      <c r="KXS45" s="375"/>
      <c r="KXT45" s="375"/>
      <c r="KXU45" s="375"/>
      <c r="KXV45" s="375"/>
      <c r="KXW45" s="375"/>
      <c r="KXX45" s="375"/>
      <c r="KXY45" s="375"/>
      <c r="KXZ45" s="375"/>
      <c r="KYA45" s="375"/>
      <c r="KYB45" s="375"/>
      <c r="KYC45" s="375"/>
      <c r="KYD45" s="375"/>
      <c r="KYE45" s="375"/>
      <c r="KYF45" s="375"/>
      <c r="KYG45" s="375"/>
      <c r="KYH45" s="375"/>
      <c r="KYI45" s="375"/>
      <c r="KYJ45" s="375"/>
      <c r="KYK45" s="375"/>
      <c r="KYL45" s="375"/>
      <c r="KYM45" s="375"/>
      <c r="KYN45" s="375"/>
      <c r="KYO45" s="375"/>
      <c r="KYP45" s="375"/>
      <c r="KYQ45" s="375"/>
      <c r="KYR45" s="375"/>
      <c r="KYS45" s="375"/>
      <c r="KYT45" s="375"/>
      <c r="KYU45" s="375"/>
      <c r="KYV45" s="375"/>
      <c r="KYW45" s="375"/>
      <c r="KYX45" s="375"/>
      <c r="KYY45" s="375"/>
      <c r="KYZ45" s="375"/>
      <c r="KZA45" s="375"/>
      <c r="KZB45" s="375"/>
      <c r="KZC45" s="375"/>
      <c r="KZD45" s="375"/>
      <c r="KZE45" s="375"/>
      <c r="KZF45" s="375"/>
      <c r="KZG45" s="375"/>
      <c r="KZH45" s="375"/>
      <c r="KZI45" s="375"/>
      <c r="KZJ45" s="375"/>
      <c r="KZK45" s="375"/>
      <c r="KZL45" s="375"/>
      <c r="KZM45" s="375"/>
      <c r="KZN45" s="375"/>
      <c r="KZO45" s="375"/>
      <c r="KZP45" s="375"/>
      <c r="KZQ45" s="375"/>
      <c r="KZR45" s="375"/>
      <c r="KZS45" s="375"/>
      <c r="KZT45" s="375"/>
      <c r="KZU45" s="375"/>
      <c r="KZV45" s="375"/>
      <c r="KZW45" s="375"/>
      <c r="KZX45" s="375"/>
      <c r="KZY45" s="375"/>
      <c r="KZZ45" s="375"/>
      <c r="LAA45" s="375"/>
      <c r="LAB45" s="375"/>
      <c r="LAC45" s="375"/>
      <c r="LAD45" s="375"/>
      <c r="LAE45" s="375"/>
      <c r="LAF45" s="375"/>
      <c r="LAG45" s="375"/>
      <c r="LAH45" s="375"/>
      <c r="LAI45" s="375"/>
      <c r="LAJ45" s="375"/>
      <c r="LAK45" s="375"/>
      <c r="LAL45" s="375"/>
      <c r="LAM45" s="375"/>
      <c r="LAN45" s="375"/>
      <c r="LAO45" s="375"/>
      <c r="LAP45" s="375"/>
      <c r="LAQ45" s="375"/>
      <c r="LAR45" s="375"/>
      <c r="LAS45" s="375"/>
      <c r="LAT45" s="375"/>
      <c r="LAU45" s="375"/>
      <c r="LAV45" s="375"/>
      <c r="LAW45" s="375"/>
      <c r="LAX45" s="375"/>
      <c r="LAY45" s="375"/>
      <c r="LAZ45" s="375"/>
      <c r="LBA45" s="375"/>
      <c r="LBB45" s="375"/>
      <c r="LBC45" s="375"/>
      <c r="LBD45" s="375"/>
      <c r="LBE45" s="375"/>
      <c r="LBF45" s="375"/>
      <c r="LBG45" s="375"/>
      <c r="LBH45" s="375"/>
      <c r="LBI45" s="375"/>
      <c r="LBJ45" s="375"/>
      <c r="LBK45" s="375"/>
      <c r="LBL45" s="375"/>
      <c r="LBM45" s="375"/>
      <c r="LBN45" s="375"/>
      <c r="LBO45" s="375"/>
      <c r="LBP45" s="375"/>
      <c r="LBQ45" s="375"/>
      <c r="LBR45" s="375"/>
      <c r="LBS45" s="375"/>
      <c r="LBT45" s="375"/>
      <c r="LBU45" s="375"/>
      <c r="LBV45" s="375"/>
      <c r="LBW45" s="375"/>
      <c r="LBX45" s="375"/>
      <c r="LBY45" s="375"/>
      <c r="LBZ45" s="375"/>
      <c r="LCA45" s="375"/>
      <c r="LCB45" s="375"/>
      <c r="LCC45" s="375"/>
      <c r="LCD45" s="375"/>
      <c r="LCE45" s="375"/>
      <c r="LCF45" s="375"/>
      <c r="LCG45" s="375"/>
      <c r="LCH45" s="375"/>
      <c r="LCI45" s="375"/>
      <c r="LCJ45" s="375"/>
      <c r="LCK45" s="375"/>
      <c r="LCL45" s="375"/>
      <c r="LCM45" s="375"/>
      <c r="LCN45" s="375"/>
      <c r="LCO45" s="375"/>
      <c r="LCP45" s="375"/>
      <c r="LCQ45" s="375"/>
      <c r="LCR45" s="375"/>
      <c r="LCS45" s="375"/>
      <c r="LCT45" s="375"/>
      <c r="LCU45" s="375"/>
      <c r="LCV45" s="375"/>
      <c r="LCW45" s="375"/>
      <c r="LCX45" s="375"/>
      <c r="LCY45" s="375"/>
      <c r="LCZ45" s="375"/>
      <c r="LDA45" s="375"/>
      <c r="LDB45" s="375"/>
      <c r="LDC45" s="375"/>
      <c r="LDD45" s="375"/>
      <c r="LDE45" s="375"/>
      <c r="LDF45" s="375"/>
      <c r="LDG45" s="375"/>
      <c r="LDH45" s="375"/>
      <c r="LDI45" s="375"/>
      <c r="LDJ45" s="375"/>
      <c r="LDK45" s="375"/>
      <c r="LDL45" s="375"/>
      <c r="LDM45" s="375"/>
      <c r="LDN45" s="375"/>
      <c r="LDO45" s="375"/>
      <c r="LDP45" s="375"/>
      <c r="LDQ45" s="375"/>
      <c r="LDR45" s="375"/>
      <c r="LDS45" s="375"/>
      <c r="LDT45" s="375"/>
      <c r="LDU45" s="375"/>
      <c r="LDV45" s="375"/>
      <c r="LDW45" s="375"/>
      <c r="LDX45" s="375"/>
      <c r="LDY45" s="375"/>
      <c r="LDZ45" s="375"/>
      <c r="LEA45" s="375"/>
      <c r="LEB45" s="375"/>
      <c r="LEC45" s="375"/>
      <c r="LED45" s="375"/>
      <c r="LEE45" s="375"/>
      <c r="LEF45" s="375"/>
      <c r="LEG45" s="375"/>
      <c r="LEH45" s="375"/>
      <c r="LEI45" s="375"/>
      <c r="LEJ45" s="375"/>
      <c r="LEK45" s="375"/>
      <c r="LEL45" s="375"/>
      <c r="LEM45" s="375"/>
      <c r="LEN45" s="375"/>
      <c r="LEO45" s="375"/>
      <c r="LEP45" s="375"/>
      <c r="LEQ45" s="375"/>
      <c r="LER45" s="375"/>
      <c r="LES45" s="375"/>
      <c r="LET45" s="375"/>
      <c r="LEU45" s="375"/>
      <c r="LEV45" s="375"/>
      <c r="LEW45" s="375"/>
      <c r="LEX45" s="375"/>
      <c r="LEY45" s="375"/>
      <c r="LEZ45" s="375"/>
      <c r="LFA45" s="375"/>
      <c r="LFB45" s="375"/>
      <c r="LFC45" s="375"/>
      <c r="LFD45" s="375"/>
      <c r="LFE45" s="375"/>
      <c r="LFF45" s="375"/>
      <c r="LFG45" s="375"/>
      <c r="LFH45" s="375"/>
      <c r="LFI45" s="375"/>
      <c r="LFJ45" s="375"/>
      <c r="LFK45" s="375"/>
      <c r="LFL45" s="375"/>
      <c r="LFM45" s="375"/>
      <c r="LFN45" s="375"/>
      <c r="LFO45" s="375"/>
      <c r="LFP45" s="375"/>
      <c r="LFQ45" s="375"/>
      <c r="LFR45" s="375"/>
      <c r="LFS45" s="375"/>
      <c r="LFT45" s="375"/>
      <c r="LFU45" s="375"/>
      <c r="LFV45" s="375"/>
      <c r="LFW45" s="375"/>
      <c r="LFX45" s="375"/>
      <c r="LFY45" s="375"/>
      <c r="LFZ45" s="375"/>
      <c r="LGA45" s="375"/>
      <c r="LGB45" s="375"/>
      <c r="LGC45" s="375"/>
      <c r="LGD45" s="375"/>
      <c r="LGE45" s="375"/>
      <c r="LGF45" s="375"/>
      <c r="LGG45" s="375"/>
      <c r="LGH45" s="375"/>
      <c r="LGI45" s="375"/>
      <c r="LGJ45" s="375"/>
      <c r="LGK45" s="375"/>
      <c r="LGL45" s="375"/>
      <c r="LGM45" s="375"/>
      <c r="LGN45" s="375"/>
      <c r="LGO45" s="375"/>
      <c r="LGP45" s="375"/>
      <c r="LGQ45" s="375"/>
      <c r="LGR45" s="375"/>
      <c r="LGS45" s="375"/>
      <c r="LGT45" s="375"/>
      <c r="LGU45" s="375"/>
      <c r="LGV45" s="375"/>
      <c r="LGW45" s="375"/>
      <c r="LGX45" s="375"/>
      <c r="LGY45" s="375"/>
      <c r="LGZ45" s="375"/>
      <c r="LHA45" s="375"/>
      <c r="LHB45" s="375"/>
      <c r="LHC45" s="375"/>
      <c r="LHD45" s="375"/>
      <c r="LHE45" s="375"/>
      <c r="LHF45" s="375"/>
      <c r="LHG45" s="375"/>
      <c r="LHH45" s="375"/>
      <c r="LHI45" s="375"/>
      <c r="LHJ45" s="375"/>
      <c r="LHK45" s="375"/>
      <c r="LHL45" s="375"/>
      <c r="LHM45" s="375"/>
      <c r="LHN45" s="375"/>
      <c r="LHO45" s="375"/>
      <c r="LHP45" s="375"/>
      <c r="LHQ45" s="375"/>
      <c r="LHR45" s="375"/>
      <c r="LHS45" s="375"/>
      <c r="LHT45" s="375"/>
      <c r="LHU45" s="375"/>
      <c r="LHV45" s="375"/>
      <c r="LHW45" s="375"/>
      <c r="LHX45" s="375"/>
      <c r="LHY45" s="375"/>
      <c r="LHZ45" s="375"/>
      <c r="LIA45" s="375"/>
      <c r="LIB45" s="375"/>
      <c r="LIC45" s="375"/>
      <c r="LID45" s="375"/>
      <c r="LIE45" s="375"/>
      <c r="LIF45" s="375"/>
      <c r="LIG45" s="375"/>
      <c r="LIH45" s="375"/>
      <c r="LII45" s="375"/>
      <c r="LIJ45" s="375"/>
      <c r="LIK45" s="375"/>
      <c r="LIL45" s="375"/>
      <c r="LIM45" s="375"/>
      <c r="LIN45" s="375"/>
      <c r="LIO45" s="375"/>
      <c r="LIP45" s="375"/>
      <c r="LIQ45" s="375"/>
      <c r="LIR45" s="375"/>
      <c r="LIS45" s="375"/>
      <c r="LIT45" s="375"/>
      <c r="LIU45" s="375"/>
      <c r="LIV45" s="375"/>
      <c r="LIW45" s="375"/>
      <c r="LIX45" s="375"/>
      <c r="LIY45" s="375"/>
      <c r="LIZ45" s="375"/>
      <c r="LJA45" s="375"/>
      <c r="LJB45" s="375"/>
      <c r="LJC45" s="375"/>
      <c r="LJD45" s="375"/>
      <c r="LJE45" s="375"/>
      <c r="LJF45" s="375"/>
      <c r="LJG45" s="375"/>
      <c r="LJH45" s="375"/>
      <c r="LJI45" s="375"/>
      <c r="LJJ45" s="375"/>
      <c r="LJK45" s="375"/>
      <c r="LJL45" s="375"/>
      <c r="LJM45" s="375"/>
      <c r="LJN45" s="375"/>
      <c r="LJO45" s="375"/>
      <c r="LJP45" s="375"/>
      <c r="LJQ45" s="375"/>
      <c r="LJR45" s="375"/>
      <c r="LJS45" s="375"/>
      <c r="LJT45" s="375"/>
      <c r="LJU45" s="375"/>
      <c r="LJV45" s="375"/>
      <c r="LJW45" s="375"/>
      <c r="LJX45" s="375"/>
      <c r="LJY45" s="375"/>
      <c r="LJZ45" s="375"/>
      <c r="LKA45" s="375"/>
      <c r="LKB45" s="375"/>
      <c r="LKC45" s="375"/>
      <c r="LKD45" s="375"/>
      <c r="LKE45" s="375"/>
      <c r="LKF45" s="375"/>
      <c r="LKG45" s="375"/>
      <c r="LKH45" s="375"/>
      <c r="LKI45" s="375"/>
      <c r="LKJ45" s="375"/>
      <c r="LKK45" s="375"/>
      <c r="LKL45" s="375"/>
      <c r="LKM45" s="375"/>
      <c r="LKN45" s="375"/>
      <c r="LKO45" s="375"/>
      <c r="LKP45" s="375"/>
      <c r="LKQ45" s="375"/>
      <c r="LKR45" s="375"/>
      <c r="LKS45" s="375"/>
      <c r="LKT45" s="375"/>
      <c r="LKU45" s="375"/>
      <c r="LKV45" s="375"/>
      <c r="LKW45" s="375"/>
      <c r="LKX45" s="375"/>
      <c r="LKY45" s="375"/>
      <c r="LKZ45" s="375"/>
      <c r="LLA45" s="375"/>
      <c r="LLB45" s="375"/>
      <c r="LLC45" s="375"/>
      <c r="LLD45" s="375"/>
      <c r="LLE45" s="375"/>
      <c r="LLF45" s="375"/>
      <c r="LLG45" s="375"/>
      <c r="LLH45" s="375"/>
      <c r="LLI45" s="375"/>
      <c r="LLJ45" s="375"/>
      <c r="LLK45" s="375"/>
      <c r="LLL45" s="375"/>
      <c r="LLM45" s="375"/>
      <c r="LLN45" s="375"/>
      <c r="LLO45" s="375"/>
      <c r="LLP45" s="375"/>
      <c r="LLQ45" s="375"/>
      <c r="LLR45" s="375"/>
      <c r="LLS45" s="375"/>
      <c r="LLT45" s="375"/>
      <c r="LLU45" s="375"/>
      <c r="LLV45" s="375"/>
      <c r="LLW45" s="375"/>
      <c r="LLX45" s="375"/>
      <c r="LLY45" s="375"/>
      <c r="LLZ45" s="375"/>
      <c r="LMA45" s="375"/>
      <c r="LMB45" s="375"/>
      <c r="LMC45" s="375"/>
      <c r="LMD45" s="375"/>
      <c r="LME45" s="375"/>
      <c r="LMF45" s="375"/>
      <c r="LMG45" s="375"/>
      <c r="LMH45" s="375"/>
      <c r="LMI45" s="375"/>
      <c r="LMJ45" s="375"/>
      <c r="LMK45" s="375"/>
      <c r="LML45" s="375"/>
      <c r="LMM45" s="375"/>
      <c r="LMN45" s="375"/>
      <c r="LMO45" s="375"/>
      <c r="LMP45" s="375"/>
      <c r="LMQ45" s="375"/>
      <c r="LMR45" s="375"/>
      <c r="LMS45" s="375"/>
      <c r="LMT45" s="375"/>
      <c r="LMU45" s="375"/>
      <c r="LMV45" s="375"/>
      <c r="LMW45" s="375"/>
      <c r="LMX45" s="375"/>
      <c r="LMY45" s="375"/>
      <c r="LMZ45" s="375"/>
      <c r="LNA45" s="375"/>
      <c r="LNB45" s="375"/>
      <c r="LNC45" s="375"/>
      <c r="LND45" s="375"/>
      <c r="LNE45" s="375"/>
      <c r="LNF45" s="375"/>
      <c r="LNG45" s="375"/>
      <c r="LNH45" s="375"/>
      <c r="LNI45" s="375"/>
      <c r="LNJ45" s="375"/>
      <c r="LNK45" s="375"/>
      <c r="LNL45" s="375"/>
      <c r="LNM45" s="375"/>
      <c r="LNN45" s="375"/>
      <c r="LNO45" s="375"/>
      <c r="LNP45" s="375"/>
      <c r="LNQ45" s="375"/>
      <c r="LNR45" s="375"/>
      <c r="LNS45" s="375"/>
      <c r="LNT45" s="375"/>
      <c r="LNU45" s="375"/>
      <c r="LNV45" s="375"/>
      <c r="LNW45" s="375"/>
      <c r="LNX45" s="375"/>
      <c r="LNY45" s="375"/>
      <c r="LNZ45" s="375"/>
      <c r="LOA45" s="375"/>
      <c r="LOB45" s="375"/>
      <c r="LOC45" s="375"/>
      <c r="LOD45" s="375"/>
      <c r="LOE45" s="375"/>
      <c r="LOF45" s="375"/>
      <c r="LOG45" s="375"/>
      <c r="LOH45" s="375"/>
      <c r="LOI45" s="375"/>
      <c r="LOJ45" s="375"/>
      <c r="LOK45" s="375"/>
      <c r="LOL45" s="375"/>
      <c r="LOM45" s="375"/>
      <c r="LON45" s="375"/>
      <c r="LOO45" s="375"/>
      <c r="LOP45" s="375"/>
      <c r="LOQ45" s="375"/>
      <c r="LOR45" s="375"/>
      <c r="LOS45" s="375"/>
      <c r="LOT45" s="375"/>
      <c r="LOU45" s="375"/>
      <c r="LOV45" s="375"/>
      <c r="LOW45" s="375"/>
      <c r="LOX45" s="375"/>
      <c r="LOY45" s="375"/>
      <c r="LOZ45" s="375"/>
      <c r="LPA45" s="375"/>
      <c r="LPB45" s="375"/>
      <c r="LPC45" s="375"/>
      <c r="LPD45" s="375"/>
      <c r="LPE45" s="375"/>
      <c r="LPF45" s="375"/>
      <c r="LPG45" s="375"/>
      <c r="LPH45" s="375"/>
      <c r="LPI45" s="375"/>
      <c r="LPJ45" s="375"/>
      <c r="LPK45" s="375"/>
      <c r="LPL45" s="375"/>
      <c r="LPM45" s="375"/>
      <c r="LPN45" s="375"/>
      <c r="LPO45" s="375"/>
      <c r="LPP45" s="375"/>
      <c r="LPQ45" s="375"/>
      <c r="LPR45" s="375"/>
      <c r="LPS45" s="375"/>
      <c r="LPT45" s="375"/>
      <c r="LPU45" s="375"/>
      <c r="LPV45" s="375"/>
      <c r="LPW45" s="375"/>
      <c r="LPX45" s="375"/>
      <c r="LPY45" s="375"/>
      <c r="LPZ45" s="375"/>
      <c r="LQA45" s="375"/>
      <c r="LQB45" s="375"/>
      <c r="LQC45" s="375"/>
      <c r="LQD45" s="375"/>
      <c r="LQE45" s="375"/>
      <c r="LQF45" s="375"/>
      <c r="LQG45" s="375"/>
      <c r="LQH45" s="375"/>
      <c r="LQI45" s="375"/>
      <c r="LQJ45" s="375"/>
      <c r="LQK45" s="375"/>
      <c r="LQL45" s="375"/>
      <c r="LQM45" s="375"/>
      <c r="LQN45" s="375"/>
      <c r="LQO45" s="375"/>
      <c r="LQP45" s="375"/>
      <c r="LQQ45" s="375"/>
      <c r="LQR45" s="375"/>
      <c r="LQS45" s="375"/>
      <c r="LQT45" s="375"/>
      <c r="LQU45" s="375"/>
      <c r="LQV45" s="375"/>
      <c r="LQW45" s="375"/>
      <c r="LQX45" s="375"/>
      <c r="LQY45" s="375"/>
      <c r="LQZ45" s="375"/>
      <c r="LRA45" s="375"/>
      <c r="LRB45" s="375"/>
      <c r="LRC45" s="375"/>
      <c r="LRD45" s="375"/>
      <c r="LRE45" s="375"/>
      <c r="LRF45" s="375"/>
      <c r="LRG45" s="375"/>
      <c r="LRH45" s="375"/>
      <c r="LRI45" s="375"/>
      <c r="LRJ45" s="375"/>
      <c r="LRK45" s="375"/>
      <c r="LRL45" s="375"/>
      <c r="LRM45" s="375"/>
      <c r="LRN45" s="375"/>
      <c r="LRO45" s="375"/>
      <c r="LRP45" s="375"/>
      <c r="LRQ45" s="375"/>
      <c r="LRR45" s="375"/>
      <c r="LRS45" s="375"/>
      <c r="LRT45" s="375"/>
      <c r="LRU45" s="375"/>
      <c r="LRV45" s="375"/>
      <c r="LRW45" s="375"/>
      <c r="LRX45" s="375"/>
      <c r="LRY45" s="375"/>
      <c r="LRZ45" s="375"/>
      <c r="LSA45" s="375"/>
      <c r="LSB45" s="375"/>
      <c r="LSC45" s="375"/>
      <c r="LSD45" s="375"/>
      <c r="LSE45" s="375"/>
      <c r="LSF45" s="375"/>
      <c r="LSG45" s="375"/>
      <c r="LSH45" s="375"/>
      <c r="LSI45" s="375"/>
      <c r="LSJ45" s="375"/>
      <c r="LSK45" s="375"/>
      <c r="LSL45" s="375"/>
      <c r="LSM45" s="375"/>
      <c r="LSN45" s="375"/>
      <c r="LSO45" s="375"/>
      <c r="LSP45" s="375"/>
      <c r="LSQ45" s="375"/>
      <c r="LSR45" s="375"/>
      <c r="LSS45" s="375"/>
      <c r="LST45" s="375"/>
      <c r="LSU45" s="375"/>
      <c r="LSV45" s="375"/>
      <c r="LSW45" s="375"/>
      <c r="LSX45" s="375"/>
      <c r="LSY45" s="375"/>
      <c r="LSZ45" s="375"/>
      <c r="LTA45" s="375"/>
      <c r="LTB45" s="375"/>
      <c r="LTC45" s="375"/>
      <c r="LTD45" s="375"/>
      <c r="LTE45" s="375"/>
      <c r="LTF45" s="375"/>
      <c r="LTG45" s="375"/>
      <c r="LTH45" s="375"/>
      <c r="LTI45" s="375"/>
      <c r="LTJ45" s="375"/>
      <c r="LTK45" s="375"/>
      <c r="LTL45" s="375"/>
      <c r="LTM45" s="375"/>
      <c r="LTN45" s="375"/>
      <c r="LTO45" s="375"/>
      <c r="LTP45" s="375"/>
      <c r="LTQ45" s="375"/>
      <c r="LTR45" s="375"/>
      <c r="LTS45" s="375"/>
      <c r="LTT45" s="375"/>
      <c r="LTU45" s="375"/>
      <c r="LTV45" s="375"/>
      <c r="LTW45" s="375"/>
      <c r="LTX45" s="375"/>
      <c r="LTY45" s="375"/>
      <c r="LTZ45" s="375"/>
      <c r="LUA45" s="375"/>
      <c r="LUB45" s="375"/>
      <c r="LUC45" s="375"/>
      <c r="LUD45" s="375"/>
      <c r="LUE45" s="375"/>
      <c r="LUF45" s="375"/>
      <c r="LUG45" s="375"/>
      <c r="LUH45" s="375"/>
      <c r="LUI45" s="375"/>
      <c r="LUJ45" s="375"/>
      <c r="LUK45" s="375"/>
      <c r="LUL45" s="375"/>
      <c r="LUM45" s="375"/>
      <c r="LUN45" s="375"/>
      <c r="LUO45" s="375"/>
      <c r="LUP45" s="375"/>
      <c r="LUQ45" s="375"/>
      <c r="LUR45" s="375"/>
      <c r="LUS45" s="375"/>
      <c r="LUT45" s="375"/>
      <c r="LUU45" s="375"/>
      <c r="LUV45" s="375"/>
      <c r="LUW45" s="375"/>
      <c r="LUX45" s="375"/>
      <c r="LUY45" s="375"/>
      <c r="LUZ45" s="375"/>
      <c r="LVA45" s="375"/>
      <c r="LVB45" s="375"/>
      <c r="LVC45" s="375"/>
      <c r="LVD45" s="375"/>
      <c r="LVE45" s="375"/>
      <c r="LVF45" s="375"/>
      <c r="LVG45" s="375"/>
      <c r="LVH45" s="375"/>
      <c r="LVI45" s="375"/>
      <c r="LVJ45" s="375"/>
      <c r="LVK45" s="375"/>
      <c r="LVL45" s="375"/>
      <c r="LVM45" s="375"/>
      <c r="LVN45" s="375"/>
      <c r="LVO45" s="375"/>
      <c r="LVP45" s="375"/>
      <c r="LVQ45" s="375"/>
      <c r="LVR45" s="375"/>
      <c r="LVS45" s="375"/>
      <c r="LVT45" s="375"/>
      <c r="LVU45" s="375"/>
      <c r="LVV45" s="375"/>
      <c r="LVW45" s="375"/>
      <c r="LVX45" s="375"/>
      <c r="LVY45" s="375"/>
      <c r="LVZ45" s="375"/>
      <c r="LWA45" s="375"/>
      <c r="LWB45" s="375"/>
      <c r="LWC45" s="375"/>
      <c r="LWD45" s="375"/>
      <c r="LWE45" s="375"/>
      <c r="LWF45" s="375"/>
      <c r="LWG45" s="375"/>
      <c r="LWH45" s="375"/>
      <c r="LWI45" s="375"/>
      <c r="LWJ45" s="375"/>
      <c r="LWK45" s="375"/>
      <c r="LWL45" s="375"/>
      <c r="LWM45" s="375"/>
      <c r="LWN45" s="375"/>
      <c r="LWO45" s="375"/>
      <c r="LWP45" s="375"/>
      <c r="LWQ45" s="375"/>
      <c r="LWR45" s="375"/>
      <c r="LWS45" s="375"/>
      <c r="LWT45" s="375"/>
      <c r="LWU45" s="375"/>
      <c r="LWV45" s="375"/>
      <c r="LWW45" s="375"/>
      <c r="LWX45" s="375"/>
      <c r="LWY45" s="375"/>
      <c r="LWZ45" s="375"/>
      <c r="LXA45" s="375"/>
      <c r="LXB45" s="375"/>
      <c r="LXC45" s="375"/>
      <c r="LXD45" s="375"/>
      <c r="LXE45" s="375"/>
      <c r="LXF45" s="375"/>
      <c r="LXG45" s="375"/>
      <c r="LXH45" s="375"/>
      <c r="LXI45" s="375"/>
      <c r="LXJ45" s="375"/>
      <c r="LXK45" s="375"/>
      <c r="LXL45" s="375"/>
      <c r="LXM45" s="375"/>
      <c r="LXN45" s="375"/>
      <c r="LXO45" s="375"/>
      <c r="LXP45" s="375"/>
      <c r="LXQ45" s="375"/>
      <c r="LXR45" s="375"/>
      <c r="LXS45" s="375"/>
      <c r="LXT45" s="375"/>
      <c r="LXU45" s="375"/>
      <c r="LXV45" s="375"/>
      <c r="LXW45" s="375"/>
      <c r="LXX45" s="375"/>
      <c r="LXY45" s="375"/>
      <c r="LXZ45" s="375"/>
      <c r="LYA45" s="375"/>
      <c r="LYB45" s="375"/>
      <c r="LYC45" s="375"/>
      <c r="LYD45" s="375"/>
      <c r="LYE45" s="375"/>
      <c r="LYF45" s="375"/>
      <c r="LYG45" s="375"/>
      <c r="LYH45" s="375"/>
      <c r="LYI45" s="375"/>
      <c r="LYJ45" s="375"/>
      <c r="LYK45" s="375"/>
      <c r="LYL45" s="375"/>
      <c r="LYM45" s="375"/>
      <c r="LYN45" s="375"/>
      <c r="LYO45" s="375"/>
      <c r="LYP45" s="375"/>
      <c r="LYQ45" s="375"/>
      <c r="LYR45" s="375"/>
      <c r="LYS45" s="375"/>
      <c r="LYT45" s="375"/>
      <c r="LYU45" s="375"/>
      <c r="LYV45" s="375"/>
      <c r="LYW45" s="375"/>
      <c r="LYX45" s="375"/>
      <c r="LYY45" s="375"/>
      <c r="LYZ45" s="375"/>
      <c r="LZA45" s="375"/>
      <c r="LZB45" s="375"/>
      <c r="LZC45" s="375"/>
      <c r="LZD45" s="375"/>
      <c r="LZE45" s="375"/>
      <c r="LZF45" s="375"/>
      <c r="LZG45" s="375"/>
      <c r="LZH45" s="375"/>
      <c r="LZI45" s="375"/>
      <c r="LZJ45" s="375"/>
      <c r="LZK45" s="375"/>
      <c r="LZL45" s="375"/>
      <c r="LZM45" s="375"/>
      <c r="LZN45" s="375"/>
      <c r="LZO45" s="375"/>
      <c r="LZP45" s="375"/>
      <c r="LZQ45" s="375"/>
      <c r="LZR45" s="375"/>
      <c r="LZS45" s="375"/>
      <c r="LZT45" s="375"/>
      <c r="LZU45" s="375"/>
      <c r="LZV45" s="375"/>
      <c r="LZW45" s="375"/>
      <c r="LZX45" s="375"/>
      <c r="LZY45" s="375"/>
      <c r="LZZ45" s="375"/>
      <c r="MAA45" s="375"/>
      <c r="MAB45" s="375"/>
      <c r="MAC45" s="375"/>
      <c r="MAD45" s="375"/>
      <c r="MAE45" s="375"/>
      <c r="MAF45" s="375"/>
      <c r="MAG45" s="375"/>
      <c r="MAH45" s="375"/>
      <c r="MAI45" s="375"/>
      <c r="MAJ45" s="375"/>
      <c r="MAK45" s="375"/>
      <c r="MAL45" s="375"/>
      <c r="MAM45" s="375"/>
      <c r="MAN45" s="375"/>
      <c r="MAO45" s="375"/>
      <c r="MAP45" s="375"/>
      <c r="MAQ45" s="375"/>
      <c r="MAR45" s="375"/>
      <c r="MAS45" s="375"/>
      <c r="MAT45" s="375"/>
      <c r="MAU45" s="375"/>
      <c r="MAV45" s="375"/>
      <c r="MAW45" s="375"/>
      <c r="MAX45" s="375"/>
      <c r="MAY45" s="375"/>
      <c r="MAZ45" s="375"/>
      <c r="MBA45" s="375"/>
      <c r="MBB45" s="375"/>
      <c r="MBC45" s="375"/>
      <c r="MBD45" s="375"/>
      <c r="MBE45" s="375"/>
      <c r="MBF45" s="375"/>
      <c r="MBG45" s="375"/>
      <c r="MBH45" s="375"/>
      <c r="MBI45" s="375"/>
      <c r="MBJ45" s="375"/>
      <c r="MBK45" s="375"/>
      <c r="MBL45" s="375"/>
      <c r="MBM45" s="375"/>
      <c r="MBN45" s="375"/>
      <c r="MBO45" s="375"/>
      <c r="MBP45" s="375"/>
      <c r="MBQ45" s="375"/>
      <c r="MBR45" s="375"/>
      <c r="MBS45" s="375"/>
      <c r="MBT45" s="375"/>
      <c r="MBU45" s="375"/>
      <c r="MBV45" s="375"/>
      <c r="MBW45" s="375"/>
      <c r="MBX45" s="375"/>
      <c r="MBY45" s="375"/>
      <c r="MBZ45" s="375"/>
      <c r="MCA45" s="375"/>
      <c r="MCB45" s="375"/>
      <c r="MCC45" s="375"/>
      <c r="MCD45" s="375"/>
      <c r="MCE45" s="375"/>
      <c r="MCF45" s="375"/>
      <c r="MCG45" s="375"/>
      <c r="MCH45" s="375"/>
      <c r="MCI45" s="375"/>
      <c r="MCJ45" s="375"/>
      <c r="MCK45" s="375"/>
      <c r="MCL45" s="375"/>
      <c r="MCM45" s="375"/>
      <c r="MCN45" s="375"/>
      <c r="MCO45" s="375"/>
      <c r="MCP45" s="375"/>
      <c r="MCQ45" s="375"/>
      <c r="MCR45" s="375"/>
      <c r="MCS45" s="375"/>
      <c r="MCT45" s="375"/>
      <c r="MCU45" s="375"/>
      <c r="MCV45" s="375"/>
      <c r="MCW45" s="375"/>
      <c r="MCX45" s="375"/>
      <c r="MCY45" s="375"/>
      <c r="MCZ45" s="375"/>
      <c r="MDA45" s="375"/>
      <c r="MDB45" s="375"/>
      <c r="MDC45" s="375"/>
      <c r="MDD45" s="375"/>
      <c r="MDE45" s="375"/>
      <c r="MDF45" s="375"/>
      <c r="MDG45" s="375"/>
      <c r="MDH45" s="375"/>
      <c r="MDI45" s="375"/>
      <c r="MDJ45" s="375"/>
      <c r="MDK45" s="375"/>
      <c r="MDL45" s="375"/>
      <c r="MDM45" s="375"/>
      <c r="MDN45" s="375"/>
      <c r="MDO45" s="375"/>
      <c r="MDP45" s="375"/>
      <c r="MDQ45" s="375"/>
      <c r="MDR45" s="375"/>
      <c r="MDS45" s="375"/>
      <c r="MDT45" s="375"/>
      <c r="MDU45" s="375"/>
      <c r="MDV45" s="375"/>
      <c r="MDW45" s="375"/>
      <c r="MDX45" s="375"/>
      <c r="MDY45" s="375"/>
      <c r="MDZ45" s="375"/>
      <c r="MEA45" s="375"/>
      <c r="MEB45" s="375"/>
      <c r="MEC45" s="375"/>
      <c r="MED45" s="375"/>
      <c r="MEE45" s="375"/>
      <c r="MEF45" s="375"/>
      <c r="MEG45" s="375"/>
      <c r="MEH45" s="375"/>
      <c r="MEI45" s="375"/>
      <c r="MEJ45" s="375"/>
      <c r="MEK45" s="375"/>
      <c r="MEL45" s="375"/>
      <c r="MEM45" s="375"/>
      <c r="MEN45" s="375"/>
      <c r="MEO45" s="375"/>
      <c r="MEP45" s="375"/>
      <c r="MEQ45" s="375"/>
      <c r="MER45" s="375"/>
      <c r="MES45" s="375"/>
      <c r="MET45" s="375"/>
      <c r="MEU45" s="375"/>
      <c r="MEV45" s="375"/>
      <c r="MEW45" s="375"/>
      <c r="MEX45" s="375"/>
      <c r="MEY45" s="375"/>
      <c r="MEZ45" s="375"/>
      <c r="MFA45" s="375"/>
      <c r="MFB45" s="375"/>
      <c r="MFC45" s="375"/>
      <c r="MFD45" s="375"/>
      <c r="MFE45" s="375"/>
      <c r="MFF45" s="375"/>
      <c r="MFG45" s="375"/>
      <c r="MFH45" s="375"/>
      <c r="MFI45" s="375"/>
      <c r="MFJ45" s="375"/>
      <c r="MFK45" s="375"/>
      <c r="MFL45" s="375"/>
      <c r="MFM45" s="375"/>
      <c r="MFN45" s="375"/>
      <c r="MFO45" s="375"/>
      <c r="MFP45" s="375"/>
      <c r="MFQ45" s="375"/>
      <c r="MFR45" s="375"/>
      <c r="MFS45" s="375"/>
      <c r="MFT45" s="375"/>
      <c r="MFU45" s="375"/>
      <c r="MFV45" s="375"/>
      <c r="MFW45" s="375"/>
      <c r="MFX45" s="375"/>
      <c r="MFY45" s="375"/>
      <c r="MFZ45" s="375"/>
      <c r="MGA45" s="375"/>
      <c r="MGB45" s="375"/>
      <c r="MGC45" s="375"/>
      <c r="MGD45" s="375"/>
      <c r="MGE45" s="375"/>
      <c r="MGF45" s="375"/>
      <c r="MGG45" s="375"/>
      <c r="MGH45" s="375"/>
      <c r="MGI45" s="375"/>
      <c r="MGJ45" s="375"/>
      <c r="MGK45" s="375"/>
      <c r="MGL45" s="375"/>
      <c r="MGM45" s="375"/>
      <c r="MGN45" s="375"/>
      <c r="MGO45" s="375"/>
      <c r="MGP45" s="375"/>
      <c r="MGQ45" s="375"/>
      <c r="MGR45" s="375"/>
      <c r="MGS45" s="375"/>
      <c r="MGT45" s="375"/>
      <c r="MGU45" s="375"/>
      <c r="MGV45" s="375"/>
      <c r="MGW45" s="375"/>
      <c r="MGX45" s="375"/>
      <c r="MGY45" s="375"/>
      <c r="MGZ45" s="375"/>
      <c r="MHA45" s="375"/>
      <c r="MHB45" s="375"/>
      <c r="MHC45" s="375"/>
      <c r="MHD45" s="375"/>
      <c r="MHE45" s="375"/>
      <c r="MHF45" s="375"/>
      <c r="MHG45" s="375"/>
      <c r="MHH45" s="375"/>
      <c r="MHI45" s="375"/>
      <c r="MHJ45" s="375"/>
      <c r="MHK45" s="375"/>
      <c r="MHL45" s="375"/>
      <c r="MHM45" s="375"/>
      <c r="MHN45" s="375"/>
      <c r="MHO45" s="375"/>
      <c r="MHP45" s="375"/>
      <c r="MHQ45" s="375"/>
      <c r="MHR45" s="375"/>
      <c r="MHS45" s="375"/>
      <c r="MHT45" s="375"/>
      <c r="MHU45" s="375"/>
      <c r="MHV45" s="375"/>
      <c r="MHW45" s="375"/>
      <c r="MHX45" s="375"/>
      <c r="MHY45" s="375"/>
      <c r="MHZ45" s="375"/>
      <c r="MIA45" s="375"/>
      <c r="MIB45" s="375"/>
      <c r="MIC45" s="375"/>
      <c r="MID45" s="375"/>
      <c r="MIE45" s="375"/>
      <c r="MIF45" s="375"/>
      <c r="MIG45" s="375"/>
      <c r="MIH45" s="375"/>
      <c r="MII45" s="375"/>
      <c r="MIJ45" s="375"/>
      <c r="MIK45" s="375"/>
      <c r="MIL45" s="375"/>
      <c r="MIM45" s="375"/>
      <c r="MIN45" s="375"/>
      <c r="MIO45" s="375"/>
      <c r="MIP45" s="375"/>
      <c r="MIQ45" s="375"/>
      <c r="MIR45" s="375"/>
      <c r="MIS45" s="375"/>
      <c r="MIT45" s="375"/>
      <c r="MIU45" s="375"/>
      <c r="MIV45" s="375"/>
      <c r="MIW45" s="375"/>
      <c r="MIX45" s="375"/>
      <c r="MIY45" s="375"/>
      <c r="MIZ45" s="375"/>
      <c r="MJA45" s="375"/>
      <c r="MJB45" s="375"/>
      <c r="MJC45" s="375"/>
      <c r="MJD45" s="375"/>
      <c r="MJE45" s="375"/>
      <c r="MJF45" s="375"/>
      <c r="MJG45" s="375"/>
      <c r="MJH45" s="375"/>
      <c r="MJI45" s="375"/>
      <c r="MJJ45" s="375"/>
      <c r="MJK45" s="375"/>
      <c r="MJL45" s="375"/>
      <c r="MJM45" s="375"/>
      <c r="MJN45" s="375"/>
      <c r="MJO45" s="375"/>
      <c r="MJP45" s="375"/>
      <c r="MJQ45" s="375"/>
      <c r="MJR45" s="375"/>
      <c r="MJS45" s="375"/>
      <c r="MJT45" s="375"/>
      <c r="MJU45" s="375"/>
      <c r="MJV45" s="375"/>
      <c r="MJW45" s="375"/>
      <c r="MJX45" s="375"/>
      <c r="MJY45" s="375"/>
      <c r="MJZ45" s="375"/>
      <c r="MKA45" s="375"/>
      <c r="MKB45" s="375"/>
      <c r="MKC45" s="375"/>
      <c r="MKD45" s="375"/>
      <c r="MKE45" s="375"/>
      <c r="MKF45" s="375"/>
      <c r="MKG45" s="375"/>
      <c r="MKH45" s="375"/>
      <c r="MKI45" s="375"/>
      <c r="MKJ45" s="375"/>
      <c r="MKK45" s="375"/>
      <c r="MKL45" s="375"/>
      <c r="MKM45" s="375"/>
      <c r="MKN45" s="375"/>
      <c r="MKO45" s="375"/>
      <c r="MKP45" s="375"/>
      <c r="MKQ45" s="375"/>
      <c r="MKR45" s="375"/>
      <c r="MKS45" s="375"/>
      <c r="MKT45" s="375"/>
      <c r="MKU45" s="375"/>
      <c r="MKV45" s="375"/>
      <c r="MKW45" s="375"/>
      <c r="MKX45" s="375"/>
      <c r="MKY45" s="375"/>
      <c r="MKZ45" s="375"/>
      <c r="MLA45" s="375"/>
      <c r="MLB45" s="375"/>
      <c r="MLC45" s="375"/>
      <c r="MLD45" s="375"/>
      <c r="MLE45" s="375"/>
      <c r="MLF45" s="375"/>
      <c r="MLG45" s="375"/>
      <c r="MLH45" s="375"/>
      <c r="MLI45" s="375"/>
      <c r="MLJ45" s="375"/>
      <c r="MLK45" s="375"/>
      <c r="MLL45" s="375"/>
      <c r="MLM45" s="375"/>
      <c r="MLN45" s="375"/>
      <c r="MLO45" s="375"/>
      <c r="MLP45" s="375"/>
      <c r="MLQ45" s="375"/>
      <c r="MLR45" s="375"/>
      <c r="MLS45" s="375"/>
      <c r="MLT45" s="375"/>
      <c r="MLU45" s="375"/>
      <c r="MLV45" s="375"/>
      <c r="MLW45" s="375"/>
      <c r="MLX45" s="375"/>
      <c r="MLY45" s="375"/>
      <c r="MLZ45" s="375"/>
      <c r="MMA45" s="375"/>
      <c r="MMB45" s="375"/>
      <c r="MMC45" s="375"/>
      <c r="MMD45" s="375"/>
      <c r="MME45" s="375"/>
      <c r="MMF45" s="375"/>
      <c r="MMG45" s="375"/>
      <c r="MMH45" s="375"/>
      <c r="MMI45" s="375"/>
      <c r="MMJ45" s="375"/>
      <c r="MMK45" s="375"/>
      <c r="MML45" s="375"/>
      <c r="MMM45" s="375"/>
      <c r="MMN45" s="375"/>
      <c r="MMO45" s="375"/>
      <c r="MMP45" s="375"/>
      <c r="MMQ45" s="375"/>
      <c r="MMR45" s="375"/>
      <c r="MMS45" s="375"/>
      <c r="MMT45" s="375"/>
      <c r="MMU45" s="375"/>
      <c r="MMV45" s="375"/>
      <c r="MMW45" s="375"/>
      <c r="MMX45" s="375"/>
      <c r="MMY45" s="375"/>
      <c r="MMZ45" s="375"/>
      <c r="MNA45" s="375"/>
      <c r="MNB45" s="375"/>
      <c r="MNC45" s="375"/>
      <c r="MND45" s="375"/>
      <c r="MNE45" s="375"/>
      <c r="MNF45" s="375"/>
      <c r="MNG45" s="375"/>
      <c r="MNH45" s="375"/>
      <c r="MNI45" s="375"/>
      <c r="MNJ45" s="375"/>
      <c r="MNK45" s="375"/>
      <c r="MNL45" s="375"/>
      <c r="MNM45" s="375"/>
      <c r="MNN45" s="375"/>
      <c r="MNO45" s="375"/>
      <c r="MNP45" s="375"/>
      <c r="MNQ45" s="375"/>
      <c r="MNR45" s="375"/>
      <c r="MNS45" s="375"/>
      <c r="MNT45" s="375"/>
      <c r="MNU45" s="375"/>
      <c r="MNV45" s="375"/>
      <c r="MNW45" s="375"/>
      <c r="MNX45" s="375"/>
      <c r="MNY45" s="375"/>
      <c r="MNZ45" s="375"/>
      <c r="MOA45" s="375"/>
      <c r="MOB45" s="375"/>
      <c r="MOC45" s="375"/>
      <c r="MOD45" s="375"/>
      <c r="MOE45" s="375"/>
      <c r="MOF45" s="375"/>
      <c r="MOG45" s="375"/>
      <c r="MOH45" s="375"/>
      <c r="MOI45" s="375"/>
      <c r="MOJ45" s="375"/>
      <c r="MOK45" s="375"/>
      <c r="MOL45" s="375"/>
      <c r="MOM45" s="375"/>
      <c r="MON45" s="375"/>
      <c r="MOO45" s="375"/>
      <c r="MOP45" s="375"/>
      <c r="MOQ45" s="375"/>
      <c r="MOR45" s="375"/>
      <c r="MOS45" s="375"/>
      <c r="MOT45" s="375"/>
      <c r="MOU45" s="375"/>
      <c r="MOV45" s="375"/>
      <c r="MOW45" s="375"/>
      <c r="MOX45" s="375"/>
      <c r="MOY45" s="375"/>
      <c r="MOZ45" s="375"/>
      <c r="MPA45" s="375"/>
      <c r="MPB45" s="375"/>
      <c r="MPC45" s="375"/>
      <c r="MPD45" s="375"/>
      <c r="MPE45" s="375"/>
      <c r="MPF45" s="375"/>
      <c r="MPG45" s="375"/>
      <c r="MPH45" s="375"/>
      <c r="MPI45" s="375"/>
      <c r="MPJ45" s="375"/>
      <c r="MPK45" s="375"/>
      <c r="MPL45" s="375"/>
      <c r="MPM45" s="375"/>
      <c r="MPN45" s="375"/>
      <c r="MPO45" s="375"/>
      <c r="MPP45" s="375"/>
      <c r="MPQ45" s="375"/>
      <c r="MPR45" s="375"/>
      <c r="MPS45" s="375"/>
      <c r="MPT45" s="375"/>
      <c r="MPU45" s="375"/>
      <c r="MPV45" s="375"/>
      <c r="MPW45" s="375"/>
      <c r="MPX45" s="375"/>
      <c r="MPY45" s="375"/>
      <c r="MPZ45" s="375"/>
      <c r="MQA45" s="375"/>
      <c r="MQB45" s="375"/>
      <c r="MQC45" s="375"/>
      <c r="MQD45" s="375"/>
      <c r="MQE45" s="375"/>
      <c r="MQF45" s="375"/>
      <c r="MQG45" s="375"/>
      <c r="MQH45" s="375"/>
      <c r="MQI45" s="375"/>
      <c r="MQJ45" s="375"/>
      <c r="MQK45" s="375"/>
      <c r="MQL45" s="375"/>
      <c r="MQM45" s="375"/>
      <c r="MQN45" s="375"/>
      <c r="MQO45" s="375"/>
      <c r="MQP45" s="375"/>
      <c r="MQQ45" s="375"/>
      <c r="MQR45" s="375"/>
      <c r="MQS45" s="375"/>
      <c r="MQT45" s="375"/>
      <c r="MQU45" s="375"/>
      <c r="MQV45" s="375"/>
      <c r="MQW45" s="375"/>
      <c r="MQX45" s="375"/>
      <c r="MQY45" s="375"/>
      <c r="MQZ45" s="375"/>
      <c r="MRA45" s="375"/>
      <c r="MRB45" s="375"/>
      <c r="MRC45" s="375"/>
      <c r="MRD45" s="375"/>
      <c r="MRE45" s="375"/>
      <c r="MRF45" s="375"/>
      <c r="MRG45" s="375"/>
      <c r="MRH45" s="375"/>
      <c r="MRI45" s="375"/>
      <c r="MRJ45" s="375"/>
      <c r="MRK45" s="375"/>
      <c r="MRL45" s="375"/>
      <c r="MRM45" s="375"/>
      <c r="MRN45" s="375"/>
      <c r="MRO45" s="375"/>
      <c r="MRP45" s="375"/>
      <c r="MRQ45" s="375"/>
      <c r="MRR45" s="375"/>
      <c r="MRS45" s="375"/>
      <c r="MRT45" s="375"/>
      <c r="MRU45" s="375"/>
      <c r="MRV45" s="375"/>
      <c r="MRW45" s="375"/>
      <c r="MRX45" s="375"/>
      <c r="MRY45" s="375"/>
      <c r="MRZ45" s="375"/>
      <c r="MSA45" s="375"/>
      <c r="MSB45" s="375"/>
      <c r="MSC45" s="375"/>
      <c r="MSD45" s="375"/>
      <c r="MSE45" s="375"/>
      <c r="MSF45" s="375"/>
      <c r="MSG45" s="375"/>
      <c r="MSH45" s="375"/>
      <c r="MSI45" s="375"/>
      <c r="MSJ45" s="375"/>
      <c r="MSK45" s="375"/>
      <c r="MSL45" s="375"/>
      <c r="MSM45" s="375"/>
      <c r="MSN45" s="375"/>
      <c r="MSO45" s="375"/>
      <c r="MSP45" s="375"/>
      <c r="MSQ45" s="375"/>
      <c r="MSR45" s="375"/>
      <c r="MSS45" s="375"/>
      <c r="MST45" s="375"/>
      <c r="MSU45" s="375"/>
      <c r="MSV45" s="375"/>
      <c r="MSW45" s="375"/>
      <c r="MSX45" s="375"/>
      <c r="MSY45" s="375"/>
      <c r="MSZ45" s="375"/>
      <c r="MTA45" s="375"/>
      <c r="MTB45" s="375"/>
      <c r="MTC45" s="375"/>
      <c r="MTD45" s="375"/>
      <c r="MTE45" s="375"/>
      <c r="MTF45" s="375"/>
      <c r="MTG45" s="375"/>
      <c r="MTH45" s="375"/>
      <c r="MTI45" s="375"/>
      <c r="MTJ45" s="375"/>
      <c r="MTK45" s="375"/>
      <c r="MTL45" s="375"/>
      <c r="MTM45" s="375"/>
      <c r="MTN45" s="375"/>
      <c r="MTO45" s="375"/>
      <c r="MTP45" s="375"/>
      <c r="MTQ45" s="375"/>
      <c r="MTR45" s="375"/>
      <c r="MTS45" s="375"/>
      <c r="MTT45" s="375"/>
      <c r="MTU45" s="375"/>
      <c r="MTV45" s="375"/>
      <c r="MTW45" s="375"/>
      <c r="MTX45" s="375"/>
      <c r="MTY45" s="375"/>
      <c r="MTZ45" s="375"/>
      <c r="MUA45" s="375"/>
      <c r="MUB45" s="375"/>
      <c r="MUC45" s="375"/>
      <c r="MUD45" s="375"/>
      <c r="MUE45" s="375"/>
      <c r="MUF45" s="375"/>
      <c r="MUG45" s="375"/>
      <c r="MUH45" s="375"/>
      <c r="MUI45" s="375"/>
      <c r="MUJ45" s="375"/>
      <c r="MUK45" s="375"/>
      <c r="MUL45" s="375"/>
      <c r="MUM45" s="375"/>
      <c r="MUN45" s="375"/>
      <c r="MUO45" s="375"/>
      <c r="MUP45" s="375"/>
      <c r="MUQ45" s="375"/>
      <c r="MUR45" s="375"/>
      <c r="MUS45" s="375"/>
      <c r="MUT45" s="375"/>
      <c r="MUU45" s="375"/>
      <c r="MUV45" s="375"/>
      <c r="MUW45" s="375"/>
      <c r="MUX45" s="375"/>
      <c r="MUY45" s="375"/>
      <c r="MUZ45" s="375"/>
      <c r="MVA45" s="375"/>
      <c r="MVB45" s="375"/>
      <c r="MVC45" s="375"/>
      <c r="MVD45" s="375"/>
      <c r="MVE45" s="375"/>
      <c r="MVF45" s="375"/>
      <c r="MVG45" s="375"/>
      <c r="MVH45" s="375"/>
      <c r="MVI45" s="375"/>
      <c r="MVJ45" s="375"/>
      <c r="MVK45" s="375"/>
      <c r="MVL45" s="375"/>
      <c r="MVM45" s="375"/>
      <c r="MVN45" s="375"/>
      <c r="MVO45" s="375"/>
      <c r="MVP45" s="375"/>
      <c r="MVQ45" s="375"/>
      <c r="MVR45" s="375"/>
      <c r="MVS45" s="375"/>
      <c r="MVT45" s="375"/>
      <c r="MVU45" s="375"/>
      <c r="MVV45" s="375"/>
      <c r="MVW45" s="375"/>
      <c r="MVX45" s="375"/>
      <c r="MVY45" s="375"/>
      <c r="MVZ45" s="375"/>
      <c r="MWA45" s="375"/>
      <c r="MWB45" s="375"/>
      <c r="MWC45" s="375"/>
      <c r="MWD45" s="375"/>
      <c r="MWE45" s="375"/>
      <c r="MWF45" s="375"/>
      <c r="MWG45" s="375"/>
      <c r="MWH45" s="375"/>
      <c r="MWI45" s="375"/>
      <c r="MWJ45" s="375"/>
      <c r="MWK45" s="375"/>
      <c r="MWL45" s="375"/>
      <c r="MWM45" s="375"/>
      <c r="MWN45" s="375"/>
      <c r="MWO45" s="375"/>
      <c r="MWP45" s="375"/>
      <c r="MWQ45" s="375"/>
      <c r="MWR45" s="375"/>
      <c r="MWS45" s="375"/>
      <c r="MWT45" s="375"/>
      <c r="MWU45" s="375"/>
      <c r="MWV45" s="375"/>
      <c r="MWW45" s="375"/>
      <c r="MWX45" s="375"/>
      <c r="MWY45" s="375"/>
      <c r="MWZ45" s="375"/>
      <c r="MXA45" s="375"/>
      <c r="MXB45" s="375"/>
      <c r="MXC45" s="375"/>
      <c r="MXD45" s="375"/>
      <c r="MXE45" s="375"/>
      <c r="MXF45" s="375"/>
      <c r="MXG45" s="375"/>
      <c r="MXH45" s="375"/>
      <c r="MXI45" s="375"/>
      <c r="MXJ45" s="375"/>
      <c r="MXK45" s="375"/>
      <c r="MXL45" s="375"/>
      <c r="MXM45" s="375"/>
      <c r="MXN45" s="375"/>
      <c r="MXO45" s="375"/>
      <c r="MXP45" s="375"/>
      <c r="MXQ45" s="375"/>
      <c r="MXR45" s="375"/>
      <c r="MXS45" s="375"/>
      <c r="MXT45" s="375"/>
      <c r="MXU45" s="375"/>
      <c r="MXV45" s="375"/>
      <c r="MXW45" s="375"/>
      <c r="MXX45" s="375"/>
      <c r="MXY45" s="375"/>
      <c r="MXZ45" s="375"/>
      <c r="MYA45" s="375"/>
      <c r="MYB45" s="375"/>
      <c r="MYC45" s="375"/>
      <c r="MYD45" s="375"/>
      <c r="MYE45" s="375"/>
      <c r="MYF45" s="375"/>
      <c r="MYG45" s="375"/>
      <c r="MYH45" s="375"/>
      <c r="MYI45" s="375"/>
      <c r="MYJ45" s="375"/>
      <c r="MYK45" s="375"/>
      <c r="MYL45" s="375"/>
      <c r="MYM45" s="375"/>
      <c r="MYN45" s="375"/>
      <c r="MYO45" s="375"/>
      <c r="MYP45" s="375"/>
      <c r="MYQ45" s="375"/>
      <c r="MYR45" s="375"/>
      <c r="MYS45" s="375"/>
      <c r="MYT45" s="375"/>
      <c r="MYU45" s="375"/>
      <c r="MYV45" s="375"/>
      <c r="MYW45" s="375"/>
      <c r="MYX45" s="375"/>
      <c r="MYY45" s="375"/>
      <c r="MYZ45" s="375"/>
      <c r="MZA45" s="375"/>
      <c r="MZB45" s="375"/>
      <c r="MZC45" s="375"/>
      <c r="MZD45" s="375"/>
      <c r="MZE45" s="375"/>
      <c r="MZF45" s="375"/>
      <c r="MZG45" s="375"/>
      <c r="MZH45" s="375"/>
      <c r="MZI45" s="375"/>
      <c r="MZJ45" s="375"/>
      <c r="MZK45" s="375"/>
      <c r="MZL45" s="375"/>
      <c r="MZM45" s="375"/>
      <c r="MZN45" s="375"/>
      <c r="MZO45" s="375"/>
      <c r="MZP45" s="375"/>
      <c r="MZQ45" s="375"/>
      <c r="MZR45" s="375"/>
      <c r="MZS45" s="375"/>
      <c r="MZT45" s="375"/>
      <c r="MZU45" s="375"/>
      <c r="MZV45" s="375"/>
      <c r="MZW45" s="375"/>
      <c r="MZX45" s="375"/>
      <c r="MZY45" s="375"/>
      <c r="MZZ45" s="375"/>
      <c r="NAA45" s="375"/>
      <c r="NAB45" s="375"/>
      <c r="NAC45" s="375"/>
      <c r="NAD45" s="375"/>
      <c r="NAE45" s="375"/>
      <c r="NAF45" s="375"/>
      <c r="NAG45" s="375"/>
      <c r="NAH45" s="375"/>
      <c r="NAI45" s="375"/>
      <c r="NAJ45" s="375"/>
      <c r="NAK45" s="375"/>
      <c r="NAL45" s="375"/>
      <c r="NAM45" s="375"/>
      <c r="NAN45" s="375"/>
      <c r="NAO45" s="375"/>
      <c r="NAP45" s="375"/>
      <c r="NAQ45" s="375"/>
      <c r="NAR45" s="375"/>
      <c r="NAS45" s="375"/>
      <c r="NAT45" s="375"/>
      <c r="NAU45" s="375"/>
      <c r="NAV45" s="375"/>
      <c r="NAW45" s="375"/>
      <c r="NAX45" s="375"/>
      <c r="NAY45" s="375"/>
      <c r="NAZ45" s="375"/>
      <c r="NBA45" s="375"/>
      <c r="NBB45" s="375"/>
      <c r="NBC45" s="375"/>
      <c r="NBD45" s="375"/>
      <c r="NBE45" s="375"/>
      <c r="NBF45" s="375"/>
      <c r="NBG45" s="375"/>
      <c r="NBH45" s="375"/>
      <c r="NBI45" s="375"/>
      <c r="NBJ45" s="375"/>
      <c r="NBK45" s="375"/>
      <c r="NBL45" s="375"/>
      <c r="NBM45" s="375"/>
      <c r="NBN45" s="375"/>
      <c r="NBO45" s="375"/>
      <c r="NBP45" s="375"/>
      <c r="NBQ45" s="375"/>
      <c r="NBR45" s="375"/>
      <c r="NBS45" s="375"/>
      <c r="NBT45" s="375"/>
      <c r="NBU45" s="375"/>
      <c r="NBV45" s="375"/>
      <c r="NBW45" s="375"/>
      <c r="NBX45" s="375"/>
      <c r="NBY45" s="375"/>
      <c r="NBZ45" s="375"/>
      <c r="NCA45" s="375"/>
      <c r="NCB45" s="375"/>
      <c r="NCC45" s="375"/>
      <c r="NCD45" s="375"/>
      <c r="NCE45" s="375"/>
      <c r="NCF45" s="375"/>
      <c r="NCG45" s="375"/>
      <c r="NCH45" s="375"/>
      <c r="NCI45" s="375"/>
      <c r="NCJ45" s="375"/>
      <c r="NCK45" s="375"/>
      <c r="NCL45" s="375"/>
      <c r="NCM45" s="375"/>
      <c r="NCN45" s="375"/>
      <c r="NCO45" s="375"/>
      <c r="NCP45" s="375"/>
      <c r="NCQ45" s="375"/>
      <c r="NCR45" s="375"/>
      <c r="NCS45" s="375"/>
      <c r="NCT45" s="375"/>
      <c r="NCU45" s="375"/>
      <c r="NCV45" s="375"/>
      <c r="NCW45" s="375"/>
      <c r="NCX45" s="375"/>
      <c r="NCY45" s="375"/>
      <c r="NCZ45" s="375"/>
      <c r="NDA45" s="375"/>
      <c r="NDB45" s="375"/>
      <c r="NDC45" s="375"/>
      <c r="NDD45" s="375"/>
      <c r="NDE45" s="375"/>
      <c r="NDF45" s="375"/>
      <c r="NDG45" s="375"/>
      <c r="NDH45" s="375"/>
      <c r="NDI45" s="375"/>
      <c r="NDJ45" s="375"/>
      <c r="NDK45" s="375"/>
      <c r="NDL45" s="375"/>
      <c r="NDM45" s="375"/>
      <c r="NDN45" s="375"/>
      <c r="NDO45" s="375"/>
      <c r="NDP45" s="375"/>
      <c r="NDQ45" s="375"/>
      <c r="NDR45" s="375"/>
      <c r="NDS45" s="375"/>
      <c r="NDT45" s="375"/>
      <c r="NDU45" s="375"/>
      <c r="NDV45" s="375"/>
      <c r="NDW45" s="375"/>
      <c r="NDX45" s="375"/>
      <c r="NDY45" s="375"/>
      <c r="NDZ45" s="375"/>
      <c r="NEA45" s="375"/>
      <c r="NEB45" s="375"/>
      <c r="NEC45" s="375"/>
      <c r="NED45" s="375"/>
      <c r="NEE45" s="375"/>
      <c r="NEF45" s="375"/>
      <c r="NEG45" s="375"/>
      <c r="NEH45" s="375"/>
      <c r="NEI45" s="375"/>
      <c r="NEJ45" s="375"/>
      <c r="NEK45" s="375"/>
      <c r="NEL45" s="375"/>
      <c r="NEM45" s="375"/>
      <c r="NEN45" s="375"/>
      <c r="NEO45" s="375"/>
      <c r="NEP45" s="375"/>
      <c r="NEQ45" s="375"/>
      <c r="NER45" s="375"/>
      <c r="NES45" s="375"/>
      <c r="NET45" s="375"/>
      <c r="NEU45" s="375"/>
      <c r="NEV45" s="375"/>
      <c r="NEW45" s="375"/>
      <c r="NEX45" s="375"/>
      <c r="NEY45" s="375"/>
      <c r="NEZ45" s="375"/>
      <c r="NFA45" s="375"/>
      <c r="NFB45" s="375"/>
      <c r="NFC45" s="375"/>
      <c r="NFD45" s="375"/>
      <c r="NFE45" s="375"/>
      <c r="NFF45" s="375"/>
      <c r="NFG45" s="375"/>
      <c r="NFH45" s="375"/>
      <c r="NFI45" s="375"/>
      <c r="NFJ45" s="375"/>
      <c r="NFK45" s="375"/>
      <c r="NFL45" s="375"/>
      <c r="NFM45" s="375"/>
      <c r="NFN45" s="375"/>
      <c r="NFO45" s="375"/>
      <c r="NFP45" s="375"/>
      <c r="NFQ45" s="375"/>
      <c r="NFR45" s="375"/>
      <c r="NFS45" s="375"/>
      <c r="NFT45" s="375"/>
      <c r="NFU45" s="375"/>
      <c r="NFV45" s="375"/>
      <c r="NFW45" s="375"/>
      <c r="NFX45" s="375"/>
      <c r="NFY45" s="375"/>
      <c r="NFZ45" s="375"/>
      <c r="NGA45" s="375"/>
      <c r="NGB45" s="375"/>
      <c r="NGC45" s="375"/>
      <c r="NGD45" s="375"/>
      <c r="NGE45" s="375"/>
      <c r="NGF45" s="375"/>
      <c r="NGG45" s="375"/>
      <c r="NGH45" s="375"/>
      <c r="NGI45" s="375"/>
      <c r="NGJ45" s="375"/>
      <c r="NGK45" s="375"/>
      <c r="NGL45" s="375"/>
      <c r="NGM45" s="375"/>
      <c r="NGN45" s="375"/>
      <c r="NGO45" s="375"/>
      <c r="NGP45" s="375"/>
      <c r="NGQ45" s="375"/>
      <c r="NGR45" s="375"/>
      <c r="NGS45" s="375"/>
      <c r="NGT45" s="375"/>
      <c r="NGU45" s="375"/>
      <c r="NGV45" s="375"/>
      <c r="NGW45" s="375"/>
      <c r="NGX45" s="375"/>
      <c r="NGY45" s="375"/>
      <c r="NGZ45" s="375"/>
      <c r="NHA45" s="375"/>
      <c r="NHB45" s="375"/>
      <c r="NHC45" s="375"/>
      <c r="NHD45" s="375"/>
      <c r="NHE45" s="375"/>
      <c r="NHF45" s="375"/>
      <c r="NHG45" s="375"/>
      <c r="NHH45" s="375"/>
      <c r="NHI45" s="375"/>
      <c r="NHJ45" s="375"/>
      <c r="NHK45" s="375"/>
      <c r="NHL45" s="375"/>
      <c r="NHM45" s="375"/>
      <c r="NHN45" s="375"/>
      <c r="NHO45" s="375"/>
      <c r="NHP45" s="375"/>
      <c r="NHQ45" s="375"/>
      <c r="NHR45" s="375"/>
      <c r="NHS45" s="375"/>
      <c r="NHT45" s="375"/>
      <c r="NHU45" s="375"/>
      <c r="NHV45" s="375"/>
      <c r="NHW45" s="375"/>
      <c r="NHX45" s="375"/>
      <c r="NHY45" s="375"/>
      <c r="NHZ45" s="375"/>
      <c r="NIA45" s="375"/>
      <c r="NIB45" s="375"/>
      <c r="NIC45" s="375"/>
      <c r="NID45" s="375"/>
      <c r="NIE45" s="375"/>
      <c r="NIF45" s="375"/>
      <c r="NIG45" s="375"/>
      <c r="NIH45" s="375"/>
      <c r="NII45" s="375"/>
      <c r="NIJ45" s="375"/>
      <c r="NIK45" s="375"/>
      <c r="NIL45" s="375"/>
      <c r="NIM45" s="375"/>
      <c r="NIN45" s="375"/>
      <c r="NIO45" s="375"/>
      <c r="NIP45" s="375"/>
      <c r="NIQ45" s="375"/>
      <c r="NIR45" s="375"/>
      <c r="NIS45" s="375"/>
      <c r="NIT45" s="375"/>
      <c r="NIU45" s="375"/>
      <c r="NIV45" s="375"/>
      <c r="NIW45" s="375"/>
      <c r="NIX45" s="375"/>
      <c r="NIY45" s="375"/>
      <c r="NIZ45" s="375"/>
      <c r="NJA45" s="375"/>
      <c r="NJB45" s="375"/>
      <c r="NJC45" s="375"/>
      <c r="NJD45" s="375"/>
      <c r="NJE45" s="375"/>
      <c r="NJF45" s="375"/>
      <c r="NJG45" s="375"/>
      <c r="NJH45" s="375"/>
      <c r="NJI45" s="375"/>
      <c r="NJJ45" s="375"/>
      <c r="NJK45" s="375"/>
      <c r="NJL45" s="375"/>
      <c r="NJM45" s="375"/>
      <c r="NJN45" s="375"/>
      <c r="NJO45" s="375"/>
      <c r="NJP45" s="375"/>
      <c r="NJQ45" s="375"/>
      <c r="NJR45" s="375"/>
      <c r="NJS45" s="375"/>
      <c r="NJT45" s="375"/>
      <c r="NJU45" s="375"/>
      <c r="NJV45" s="375"/>
      <c r="NJW45" s="375"/>
      <c r="NJX45" s="375"/>
      <c r="NJY45" s="375"/>
      <c r="NJZ45" s="375"/>
      <c r="NKA45" s="375"/>
      <c r="NKB45" s="375"/>
      <c r="NKC45" s="375"/>
      <c r="NKD45" s="375"/>
      <c r="NKE45" s="375"/>
      <c r="NKF45" s="375"/>
      <c r="NKG45" s="375"/>
      <c r="NKH45" s="375"/>
      <c r="NKI45" s="375"/>
      <c r="NKJ45" s="375"/>
      <c r="NKK45" s="375"/>
      <c r="NKL45" s="375"/>
      <c r="NKM45" s="375"/>
      <c r="NKN45" s="375"/>
      <c r="NKO45" s="375"/>
      <c r="NKP45" s="375"/>
      <c r="NKQ45" s="375"/>
      <c r="NKR45" s="375"/>
      <c r="NKS45" s="375"/>
      <c r="NKT45" s="375"/>
      <c r="NKU45" s="375"/>
      <c r="NKV45" s="375"/>
      <c r="NKW45" s="375"/>
      <c r="NKX45" s="375"/>
      <c r="NKY45" s="375"/>
      <c r="NKZ45" s="375"/>
      <c r="NLA45" s="375"/>
      <c r="NLB45" s="375"/>
      <c r="NLC45" s="375"/>
      <c r="NLD45" s="375"/>
      <c r="NLE45" s="375"/>
      <c r="NLF45" s="375"/>
      <c r="NLG45" s="375"/>
      <c r="NLH45" s="375"/>
      <c r="NLI45" s="375"/>
      <c r="NLJ45" s="375"/>
      <c r="NLK45" s="375"/>
      <c r="NLL45" s="375"/>
      <c r="NLM45" s="375"/>
      <c r="NLN45" s="375"/>
      <c r="NLO45" s="375"/>
      <c r="NLP45" s="375"/>
      <c r="NLQ45" s="375"/>
      <c r="NLR45" s="375"/>
      <c r="NLS45" s="375"/>
      <c r="NLT45" s="375"/>
      <c r="NLU45" s="375"/>
      <c r="NLV45" s="375"/>
      <c r="NLW45" s="375"/>
      <c r="NLX45" s="375"/>
      <c r="NLY45" s="375"/>
      <c r="NLZ45" s="375"/>
      <c r="NMA45" s="375"/>
      <c r="NMB45" s="375"/>
      <c r="NMC45" s="375"/>
      <c r="NMD45" s="375"/>
      <c r="NME45" s="375"/>
      <c r="NMF45" s="375"/>
      <c r="NMG45" s="375"/>
      <c r="NMH45" s="375"/>
      <c r="NMI45" s="375"/>
      <c r="NMJ45" s="375"/>
      <c r="NMK45" s="375"/>
      <c r="NML45" s="375"/>
      <c r="NMM45" s="375"/>
      <c r="NMN45" s="375"/>
      <c r="NMO45" s="375"/>
      <c r="NMP45" s="375"/>
      <c r="NMQ45" s="375"/>
      <c r="NMR45" s="375"/>
      <c r="NMS45" s="375"/>
      <c r="NMT45" s="375"/>
      <c r="NMU45" s="375"/>
      <c r="NMV45" s="375"/>
      <c r="NMW45" s="375"/>
      <c r="NMX45" s="375"/>
      <c r="NMY45" s="375"/>
      <c r="NMZ45" s="375"/>
      <c r="NNA45" s="375"/>
      <c r="NNB45" s="375"/>
      <c r="NNC45" s="375"/>
      <c r="NND45" s="375"/>
      <c r="NNE45" s="375"/>
      <c r="NNF45" s="375"/>
      <c r="NNG45" s="375"/>
      <c r="NNH45" s="375"/>
      <c r="NNI45" s="375"/>
      <c r="NNJ45" s="375"/>
      <c r="NNK45" s="375"/>
      <c r="NNL45" s="375"/>
      <c r="NNM45" s="375"/>
      <c r="NNN45" s="375"/>
      <c r="NNO45" s="375"/>
      <c r="NNP45" s="375"/>
      <c r="NNQ45" s="375"/>
      <c r="NNR45" s="375"/>
      <c r="NNS45" s="375"/>
      <c r="NNT45" s="375"/>
      <c r="NNU45" s="375"/>
      <c r="NNV45" s="375"/>
      <c r="NNW45" s="375"/>
      <c r="NNX45" s="375"/>
      <c r="NNY45" s="375"/>
      <c r="NNZ45" s="375"/>
      <c r="NOA45" s="375"/>
      <c r="NOB45" s="375"/>
      <c r="NOC45" s="375"/>
      <c r="NOD45" s="375"/>
      <c r="NOE45" s="375"/>
      <c r="NOF45" s="375"/>
      <c r="NOG45" s="375"/>
      <c r="NOH45" s="375"/>
      <c r="NOI45" s="375"/>
      <c r="NOJ45" s="375"/>
      <c r="NOK45" s="375"/>
      <c r="NOL45" s="375"/>
      <c r="NOM45" s="375"/>
      <c r="NON45" s="375"/>
      <c r="NOO45" s="375"/>
      <c r="NOP45" s="375"/>
      <c r="NOQ45" s="375"/>
      <c r="NOR45" s="375"/>
      <c r="NOS45" s="375"/>
      <c r="NOT45" s="375"/>
      <c r="NOU45" s="375"/>
      <c r="NOV45" s="375"/>
      <c r="NOW45" s="375"/>
      <c r="NOX45" s="375"/>
      <c r="NOY45" s="375"/>
      <c r="NOZ45" s="375"/>
      <c r="NPA45" s="375"/>
      <c r="NPB45" s="375"/>
      <c r="NPC45" s="375"/>
      <c r="NPD45" s="375"/>
      <c r="NPE45" s="375"/>
      <c r="NPF45" s="375"/>
      <c r="NPG45" s="375"/>
      <c r="NPH45" s="375"/>
      <c r="NPI45" s="375"/>
      <c r="NPJ45" s="375"/>
      <c r="NPK45" s="375"/>
      <c r="NPL45" s="375"/>
      <c r="NPM45" s="375"/>
      <c r="NPN45" s="375"/>
      <c r="NPO45" s="375"/>
      <c r="NPP45" s="375"/>
      <c r="NPQ45" s="375"/>
      <c r="NPR45" s="375"/>
      <c r="NPS45" s="375"/>
      <c r="NPT45" s="375"/>
      <c r="NPU45" s="375"/>
      <c r="NPV45" s="375"/>
      <c r="NPW45" s="375"/>
      <c r="NPX45" s="375"/>
      <c r="NPY45" s="375"/>
      <c r="NPZ45" s="375"/>
      <c r="NQA45" s="375"/>
      <c r="NQB45" s="375"/>
      <c r="NQC45" s="375"/>
      <c r="NQD45" s="375"/>
      <c r="NQE45" s="375"/>
      <c r="NQF45" s="375"/>
      <c r="NQG45" s="375"/>
      <c r="NQH45" s="375"/>
      <c r="NQI45" s="375"/>
      <c r="NQJ45" s="375"/>
      <c r="NQK45" s="375"/>
      <c r="NQL45" s="375"/>
      <c r="NQM45" s="375"/>
      <c r="NQN45" s="375"/>
      <c r="NQO45" s="375"/>
      <c r="NQP45" s="375"/>
      <c r="NQQ45" s="375"/>
      <c r="NQR45" s="375"/>
      <c r="NQS45" s="375"/>
      <c r="NQT45" s="375"/>
      <c r="NQU45" s="375"/>
      <c r="NQV45" s="375"/>
      <c r="NQW45" s="375"/>
      <c r="NQX45" s="375"/>
      <c r="NQY45" s="375"/>
      <c r="NQZ45" s="375"/>
      <c r="NRA45" s="375"/>
      <c r="NRB45" s="375"/>
      <c r="NRC45" s="375"/>
      <c r="NRD45" s="375"/>
      <c r="NRE45" s="375"/>
      <c r="NRF45" s="375"/>
      <c r="NRG45" s="375"/>
      <c r="NRH45" s="375"/>
      <c r="NRI45" s="375"/>
      <c r="NRJ45" s="375"/>
      <c r="NRK45" s="375"/>
      <c r="NRL45" s="375"/>
      <c r="NRM45" s="375"/>
      <c r="NRN45" s="375"/>
      <c r="NRO45" s="375"/>
      <c r="NRP45" s="375"/>
      <c r="NRQ45" s="375"/>
      <c r="NRR45" s="375"/>
      <c r="NRS45" s="375"/>
      <c r="NRT45" s="375"/>
      <c r="NRU45" s="375"/>
      <c r="NRV45" s="375"/>
      <c r="NRW45" s="375"/>
      <c r="NRX45" s="375"/>
      <c r="NRY45" s="375"/>
      <c r="NRZ45" s="375"/>
      <c r="NSA45" s="375"/>
      <c r="NSB45" s="375"/>
      <c r="NSC45" s="375"/>
      <c r="NSD45" s="375"/>
      <c r="NSE45" s="375"/>
      <c r="NSF45" s="375"/>
      <c r="NSG45" s="375"/>
      <c r="NSH45" s="375"/>
      <c r="NSI45" s="375"/>
      <c r="NSJ45" s="375"/>
      <c r="NSK45" s="375"/>
      <c r="NSL45" s="375"/>
      <c r="NSM45" s="375"/>
      <c r="NSN45" s="375"/>
      <c r="NSO45" s="375"/>
      <c r="NSP45" s="375"/>
      <c r="NSQ45" s="375"/>
      <c r="NSR45" s="375"/>
      <c r="NSS45" s="375"/>
      <c r="NST45" s="375"/>
      <c r="NSU45" s="375"/>
      <c r="NSV45" s="375"/>
      <c r="NSW45" s="375"/>
      <c r="NSX45" s="375"/>
      <c r="NSY45" s="375"/>
      <c r="NSZ45" s="375"/>
      <c r="NTA45" s="375"/>
      <c r="NTB45" s="375"/>
      <c r="NTC45" s="375"/>
      <c r="NTD45" s="375"/>
      <c r="NTE45" s="375"/>
      <c r="NTF45" s="375"/>
      <c r="NTG45" s="375"/>
      <c r="NTH45" s="375"/>
      <c r="NTI45" s="375"/>
      <c r="NTJ45" s="375"/>
      <c r="NTK45" s="375"/>
      <c r="NTL45" s="375"/>
      <c r="NTM45" s="375"/>
      <c r="NTN45" s="375"/>
      <c r="NTO45" s="375"/>
      <c r="NTP45" s="375"/>
      <c r="NTQ45" s="375"/>
      <c r="NTR45" s="375"/>
      <c r="NTS45" s="375"/>
      <c r="NTT45" s="375"/>
      <c r="NTU45" s="375"/>
      <c r="NTV45" s="375"/>
      <c r="NTW45" s="375"/>
      <c r="NTX45" s="375"/>
      <c r="NTY45" s="375"/>
      <c r="NTZ45" s="375"/>
      <c r="NUA45" s="375"/>
      <c r="NUB45" s="375"/>
      <c r="NUC45" s="375"/>
      <c r="NUD45" s="375"/>
      <c r="NUE45" s="375"/>
      <c r="NUF45" s="375"/>
      <c r="NUG45" s="375"/>
      <c r="NUH45" s="375"/>
      <c r="NUI45" s="375"/>
      <c r="NUJ45" s="375"/>
      <c r="NUK45" s="375"/>
      <c r="NUL45" s="375"/>
      <c r="NUM45" s="375"/>
      <c r="NUN45" s="375"/>
      <c r="NUO45" s="375"/>
      <c r="NUP45" s="375"/>
      <c r="NUQ45" s="375"/>
      <c r="NUR45" s="375"/>
      <c r="NUS45" s="375"/>
      <c r="NUT45" s="375"/>
      <c r="NUU45" s="375"/>
      <c r="NUV45" s="375"/>
      <c r="NUW45" s="375"/>
      <c r="NUX45" s="375"/>
      <c r="NUY45" s="375"/>
      <c r="NUZ45" s="375"/>
      <c r="NVA45" s="375"/>
      <c r="NVB45" s="375"/>
      <c r="NVC45" s="375"/>
      <c r="NVD45" s="375"/>
      <c r="NVE45" s="375"/>
      <c r="NVF45" s="375"/>
      <c r="NVG45" s="375"/>
      <c r="NVH45" s="375"/>
      <c r="NVI45" s="375"/>
      <c r="NVJ45" s="375"/>
      <c r="NVK45" s="375"/>
      <c r="NVL45" s="375"/>
      <c r="NVM45" s="375"/>
      <c r="NVN45" s="375"/>
      <c r="NVO45" s="375"/>
      <c r="NVP45" s="375"/>
      <c r="NVQ45" s="375"/>
      <c r="NVR45" s="375"/>
      <c r="NVS45" s="375"/>
      <c r="NVT45" s="375"/>
      <c r="NVU45" s="375"/>
      <c r="NVV45" s="375"/>
      <c r="NVW45" s="375"/>
      <c r="NVX45" s="375"/>
      <c r="NVY45" s="375"/>
      <c r="NVZ45" s="375"/>
      <c r="NWA45" s="375"/>
      <c r="NWB45" s="375"/>
      <c r="NWC45" s="375"/>
      <c r="NWD45" s="375"/>
      <c r="NWE45" s="375"/>
      <c r="NWF45" s="375"/>
      <c r="NWG45" s="375"/>
      <c r="NWH45" s="375"/>
      <c r="NWI45" s="375"/>
      <c r="NWJ45" s="375"/>
      <c r="NWK45" s="375"/>
      <c r="NWL45" s="375"/>
      <c r="NWM45" s="375"/>
      <c r="NWN45" s="375"/>
      <c r="NWO45" s="375"/>
      <c r="NWP45" s="375"/>
      <c r="NWQ45" s="375"/>
      <c r="NWR45" s="375"/>
      <c r="NWS45" s="375"/>
      <c r="NWT45" s="375"/>
      <c r="NWU45" s="375"/>
      <c r="NWV45" s="375"/>
      <c r="NWW45" s="375"/>
      <c r="NWX45" s="375"/>
      <c r="NWY45" s="375"/>
      <c r="NWZ45" s="375"/>
      <c r="NXA45" s="375"/>
      <c r="NXB45" s="375"/>
      <c r="NXC45" s="375"/>
      <c r="NXD45" s="375"/>
      <c r="NXE45" s="375"/>
      <c r="NXF45" s="375"/>
      <c r="NXG45" s="375"/>
      <c r="NXH45" s="375"/>
      <c r="NXI45" s="375"/>
      <c r="NXJ45" s="375"/>
      <c r="NXK45" s="375"/>
      <c r="NXL45" s="375"/>
      <c r="NXM45" s="375"/>
      <c r="NXN45" s="375"/>
      <c r="NXO45" s="375"/>
      <c r="NXP45" s="375"/>
      <c r="NXQ45" s="375"/>
      <c r="NXR45" s="375"/>
      <c r="NXS45" s="375"/>
      <c r="NXT45" s="375"/>
      <c r="NXU45" s="375"/>
      <c r="NXV45" s="375"/>
      <c r="NXW45" s="375"/>
      <c r="NXX45" s="375"/>
      <c r="NXY45" s="375"/>
      <c r="NXZ45" s="375"/>
      <c r="NYA45" s="375"/>
      <c r="NYB45" s="375"/>
      <c r="NYC45" s="375"/>
      <c r="NYD45" s="375"/>
      <c r="NYE45" s="375"/>
      <c r="NYF45" s="375"/>
      <c r="NYG45" s="375"/>
      <c r="NYH45" s="375"/>
      <c r="NYI45" s="375"/>
      <c r="NYJ45" s="375"/>
      <c r="NYK45" s="375"/>
      <c r="NYL45" s="375"/>
      <c r="NYM45" s="375"/>
      <c r="NYN45" s="375"/>
      <c r="NYO45" s="375"/>
      <c r="NYP45" s="375"/>
      <c r="NYQ45" s="375"/>
      <c r="NYR45" s="375"/>
      <c r="NYS45" s="375"/>
      <c r="NYT45" s="375"/>
      <c r="NYU45" s="375"/>
      <c r="NYV45" s="375"/>
      <c r="NYW45" s="375"/>
      <c r="NYX45" s="375"/>
      <c r="NYY45" s="375"/>
      <c r="NYZ45" s="375"/>
      <c r="NZA45" s="375"/>
      <c r="NZB45" s="375"/>
      <c r="NZC45" s="375"/>
      <c r="NZD45" s="375"/>
      <c r="NZE45" s="375"/>
      <c r="NZF45" s="375"/>
      <c r="NZG45" s="375"/>
      <c r="NZH45" s="375"/>
      <c r="NZI45" s="375"/>
      <c r="NZJ45" s="375"/>
      <c r="NZK45" s="375"/>
      <c r="NZL45" s="375"/>
      <c r="NZM45" s="375"/>
      <c r="NZN45" s="375"/>
      <c r="NZO45" s="375"/>
      <c r="NZP45" s="375"/>
      <c r="NZQ45" s="375"/>
      <c r="NZR45" s="375"/>
      <c r="NZS45" s="375"/>
      <c r="NZT45" s="375"/>
      <c r="NZU45" s="375"/>
      <c r="NZV45" s="375"/>
      <c r="NZW45" s="375"/>
      <c r="NZX45" s="375"/>
      <c r="NZY45" s="375"/>
      <c r="NZZ45" s="375"/>
      <c r="OAA45" s="375"/>
      <c r="OAB45" s="375"/>
      <c r="OAC45" s="375"/>
      <c r="OAD45" s="375"/>
      <c r="OAE45" s="375"/>
      <c r="OAF45" s="375"/>
      <c r="OAG45" s="375"/>
      <c r="OAH45" s="375"/>
      <c r="OAI45" s="375"/>
      <c r="OAJ45" s="375"/>
      <c r="OAK45" s="375"/>
      <c r="OAL45" s="375"/>
      <c r="OAM45" s="375"/>
      <c r="OAN45" s="375"/>
      <c r="OAO45" s="375"/>
      <c r="OAP45" s="375"/>
      <c r="OAQ45" s="375"/>
      <c r="OAR45" s="375"/>
      <c r="OAS45" s="375"/>
      <c r="OAT45" s="375"/>
      <c r="OAU45" s="375"/>
      <c r="OAV45" s="375"/>
      <c r="OAW45" s="375"/>
      <c r="OAX45" s="375"/>
      <c r="OAY45" s="375"/>
      <c r="OAZ45" s="375"/>
      <c r="OBA45" s="375"/>
      <c r="OBB45" s="375"/>
      <c r="OBC45" s="375"/>
      <c r="OBD45" s="375"/>
      <c r="OBE45" s="375"/>
      <c r="OBF45" s="375"/>
      <c r="OBG45" s="375"/>
      <c r="OBH45" s="375"/>
      <c r="OBI45" s="375"/>
      <c r="OBJ45" s="375"/>
      <c r="OBK45" s="375"/>
      <c r="OBL45" s="375"/>
      <c r="OBM45" s="375"/>
      <c r="OBN45" s="375"/>
      <c r="OBO45" s="375"/>
      <c r="OBP45" s="375"/>
      <c r="OBQ45" s="375"/>
      <c r="OBR45" s="375"/>
      <c r="OBS45" s="375"/>
      <c r="OBT45" s="375"/>
      <c r="OBU45" s="375"/>
      <c r="OBV45" s="375"/>
      <c r="OBW45" s="375"/>
      <c r="OBX45" s="375"/>
      <c r="OBY45" s="375"/>
      <c r="OBZ45" s="375"/>
      <c r="OCA45" s="375"/>
      <c r="OCB45" s="375"/>
      <c r="OCC45" s="375"/>
      <c r="OCD45" s="375"/>
      <c r="OCE45" s="375"/>
      <c r="OCF45" s="375"/>
      <c r="OCG45" s="375"/>
      <c r="OCH45" s="375"/>
      <c r="OCI45" s="375"/>
      <c r="OCJ45" s="375"/>
      <c r="OCK45" s="375"/>
      <c r="OCL45" s="375"/>
      <c r="OCM45" s="375"/>
      <c r="OCN45" s="375"/>
      <c r="OCO45" s="375"/>
      <c r="OCP45" s="375"/>
      <c r="OCQ45" s="375"/>
      <c r="OCR45" s="375"/>
      <c r="OCS45" s="375"/>
      <c r="OCT45" s="375"/>
      <c r="OCU45" s="375"/>
      <c r="OCV45" s="375"/>
      <c r="OCW45" s="375"/>
      <c r="OCX45" s="375"/>
      <c r="OCY45" s="375"/>
      <c r="OCZ45" s="375"/>
      <c r="ODA45" s="375"/>
      <c r="ODB45" s="375"/>
      <c r="ODC45" s="375"/>
      <c r="ODD45" s="375"/>
      <c r="ODE45" s="375"/>
      <c r="ODF45" s="375"/>
      <c r="ODG45" s="375"/>
      <c r="ODH45" s="375"/>
      <c r="ODI45" s="375"/>
      <c r="ODJ45" s="375"/>
      <c r="ODK45" s="375"/>
      <c r="ODL45" s="375"/>
      <c r="ODM45" s="375"/>
      <c r="ODN45" s="375"/>
      <c r="ODO45" s="375"/>
      <c r="ODP45" s="375"/>
      <c r="ODQ45" s="375"/>
      <c r="ODR45" s="375"/>
      <c r="ODS45" s="375"/>
      <c r="ODT45" s="375"/>
      <c r="ODU45" s="375"/>
      <c r="ODV45" s="375"/>
      <c r="ODW45" s="375"/>
      <c r="ODX45" s="375"/>
      <c r="ODY45" s="375"/>
      <c r="ODZ45" s="375"/>
      <c r="OEA45" s="375"/>
      <c r="OEB45" s="375"/>
      <c r="OEC45" s="375"/>
      <c r="OED45" s="375"/>
      <c r="OEE45" s="375"/>
      <c r="OEF45" s="375"/>
      <c r="OEG45" s="375"/>
      <c r="OEH45" s="375"/>
      <c r="OEI45" s="375"/>
      <c r="OEJ45" s="375"/>
      <c r="OEK45" s="375"/>
      <c r="OEL45" s="375"/>
      <c r="OEM45" s="375"/>
      <c r="OEN45" s="375"/>
      <c r="OEO45" s="375"/>
      <c r="OEP45" s="375"/>
      <c r="OEQ45" s="375"/>
      <c r="OER45" s="375"/>
      <c r="OES45" s="375"/>
      <c r="OET45" s="375"/>
      <c r="OEU45" s="375"/>
      <c r="OEV45" s="375"/>
      <c r="OEW45" s="375"/>
      <c r="OEX45" s="375"/>
      <c r="OEY45" s="375"/>
      <c r="OEZ45" s="375"/>
      <c r="OFA45" s="375"/>
      <c r="OFB45" s="375"/>
      <c r="OFC45" s="375"/>
      <c r="OFD45" s="375"/>
      <c r="OFE45" s="375"/>
      <c r="OFF45" s="375"/>
      <c r="OFG45" s="375"/>
      <c r="OFH45" s="375"/>
      <c r="OFI45" s="375"/>
      <c r="OFJ45" s="375"/>
      <c r="OFK45" s="375"/>
      <c r="OFL45" s="375"/>
      <c r="OFM45" s="375"/>
      <c r="OFN45" s="375"/>
      <c r="OFO45" s="375"/>
      <c r="OFP45" s="375"/>
      <c r="OFQ45" s="375"/>
      <c r="OFR45" s="375"/>
      <c r="OFS45" s="375"/>
      <c r="OFT45" s="375"/>
      <c r="OFU45" s="375"/>
      <c r="OFV45" s="375"/>
      <c r="OFW45" s="375"/>
      <c r="OFX45" s="375"/>
      <c r="OFY45" s="375"/>
      <c r="OFZ45" s="375"/>
      <c r="OGA45" s="375"/>
      <c r="OGB45" s="375"/>
      <c r="OGC45" s="375"/>
      <c r="OGD45" s="375"/>
      <c r="OGE45" s="375"/>
      <c r="OGF45" s="375"/>
      <c r="OGG45" s="375"/>
      <c r="OGH45" s="375"/>
      <c r="OGI45" s="375"/>
      <c r="OGJ45" s="375"/>
      <c r="OGK45" s="375"/>
      <c r="OGL45" s="375"/>
      <c r="OGM45" s="375"/>
      <c r="OGN45" s="375"/>
      <c r="OGO45" s="375"/>
      <c r="OGP45" s="375"/>
      <c r="OGQ45" s="375"/>
      <c r="OGR45" s="375"/>
      <c r="OGS45" s="375"/>
      <c r="OGT45" s="375"/>
      <c r="OGU45" s="375"/>
      <c r="OGV45" s="375"/>
      <c r="OGW45" s="375"/>
      <c r="OGX45" s="375"/>
      <c r="OGY45" s="375"/>
      <c r="OGZ45" s="375"/>
      <c r="OHA45" s="375"/>
      <c r="OHB45" s="375"/>
      <c r="OHC45" s="375"/>
      <c r="OHD45" s="375"/>
      <c r="OHE45" s="375"/>
      <c r="OHF45" s="375"/>
      <c r="OHG45" s="375"/>
      <c r="OHH45" s="375"/>
      <c r="OHI45" s="375"/>
      <c r="OHJ45" s="375"/>
      <c r="OHK45" s="375"/>
      <c r="OHL45" s="375"/>
      <c r="OHM45" s="375"/>
      <c r="OHN45" s="375"/>
      <c r="OHO45" s="375"/>
      <c r="OHP45" s="375"/>
      <c r="OHQ45" s="375"/>
      <c r="OHR45" s="375"/>
      <c r="OHS45" s="375"/>
      <c r="OHT45" s="375"/>
      <c r="OHU45" s="375"/>
      <c r="OHV45" s="375"/>
      <c r="OHW45" s="375"/>
      <c r="OHX45" s="375"/>
      <c r="OHY45" s="375"/>
      <c r="OHZ45" s="375"/>
      <c r="OIA45" s="375"/>
      <c r="OIB45" s="375"/>
      <c r="OIC45" s="375"/>
      <c r="OID45" s="375"/>
      <c r="OIE45" s="375"/>
      <c r="OIF45" s="375"/>
      <c r="OIG45" s="375"/>
      <c r="OIH45" s="375"/>
      <c r="OII45" s="375"/>
      <c r="OIJ45" s="375"/>
      <c r="OIK45" s="375"/>
      <c r="OIL45" s="375"/>
      <c r="OIM45" s="375"/>
      <c r="OIN45" s="375"/>
      <c r="OIO45" s="375"/>
      <c r="OIP45" s="375"/>
      <c r="OIQ45" s="375"/>
      <c r="OIR45" s="375"/>
      <c r="OIS45" s="375"/>
      <c r="OIT45" s="375"/>
      <c r="OIU45" s="375"/>
      <c r="OIV45" s="375"/>
      <c r="OIW45" s="375"/>
      <c r="OIX45" s="375"/>
      <c r="OIY45" s="375"/>
      <c r="OIZ45" s="375"/>
      <c r="OJA45" s="375"/>
      <c r="OJB45" s="375"/>
      <c r="OJC45" s="375"/>
      <c r="OJD45" s="375"/>
      <c r="OJE45" s="375"/>
      <c r="OJF45" s="375"/>
      <c r="OJG45" s="375"/>
      <c r="OJH45" s="375"/>
      <c r="OJI45" s="375"/>
      <c r="OJJ45" s="375"/>
      <c r="OJK45" s="375"/>
      <c r="OJL45" s="375"/>
      <c r="OJM45" s="375"/>
      <c r="OJN45" s="375"/>
      <c r="OJO45" s="375"/>
      <c r="OJP45" s="375"/>
      <c r="OJQ45" s="375"/>
      <c r="OJR45" s="375"/>
      <c r="OJS45" s="375"/>
      <c r="OJT45" s="375"/>
      <c r="OJU45" s="375"/>
      <c r="OJV45" s="375"/>
      <c r="OJW45" s="375"/>
      <c r="OJX45" s="375"/>
      <c r="OJY45" s="375"/>
      <c r="OJZ45" s="375"/>
      <c r="OKA45" s="375"/>
      <c r="OKB45" s="375"/>
      <c r="OKC45" s="375"/>
      <c r="OKD45" s="375"/>
      <c r="OKE45" s="375"/>
      <c r="OKF45" s="375"/>
      <c r="OKG45" s="375"/>
      <c r="OKH45" s="375"/>
      <c r="OKI45" s="375"/>
      <c r="OKJ45" s="375"/>
      <c r="OKK45" s="375"/>
      <c r="OKL45" s="375"/>
      <c r="OKM45" s="375"/>
      <c r="OKN45" s="375"/>
      <c r="OKO45" s="375"/>
      <c r="OKP45" s="375"/>
      <c r="OKQ45" s="375"/>
      <c r="OKR45" s="375"/>
      <c r="OKS45" s="375"/>
      <c r="OKT45" s="375"/>
      <c r="OKU45" s="375"/>
      <c r="OKV45" s="375"/>
      <c r="OKW45" s="375"/>
      <c r="OKX45" s="375"/>
      <c r="OKY45" s="375"/>
      <c r="OKZ45" s="375"/>
      <c r="OLA45" s="375"/>
      <c r="OLB45" s="375"/>
      <c r="OLC45" s="375"/>
      <c r="OLD45" s="375"/>
      <c r="OLE45" s="375"/>
      <c r="OLF45" s="375"/>
      <c r="OLG45" s="375"/>
      <c r="OLH45" s="375"/>
      <c r="OLI45" s="375"/>
      <c r="OLJ45" s="375"/>
      <c r="OLK45" s="375"/>
      <c r="OLL45" s="375"/>
      <c r="OLM45" s="375"/>
      <c r="OLN45" s="375"/>
      <c r="OLO45" s="375"/>
      <c r="OLP45" s="375"/>
      <c r="OLQ45" s="375"/>
      <c r="OLR45" s="375"/>
      <c r="OLS45" s="375"/>
      <c r="OLT45" s="375"/>
      <c r="OLU45" s="375"/>
      <c r="OLV45" s="375"/>
      <c r="OLW45" s="375"/>
      <c r="OLX45" s="375"/>
      <c r="OLY45" s="375"/>
      <c r="OLZ45" s="375"/>
      <c r="OMA45" s="375"/>
      <c r="OMB45" s="375"/>
      <c r="OMC45" s="375"/>
      <c r="OMD45" s="375"/>
      <c r="OME45" s="375"/>
      <c r="OMF45" s="375"/>
      <c r="OMG45" s="375"/>
      <c r="OMH45" s="375"/>
      <c r="OMI45" s="375"/>
      <c r="OMJ45" s="375"/>
      <c r="OMK45" s="375"/>
      <c r="OML45" s="375"/>
      <c r="OMM45" s="375"/>
      <c r="OMN45" s="375"/>
      <c r="OMO45" s="375"/>
      <c r="OMP45" s="375"/>
      <c r="OMQ45" s="375"/>
      <c r="OMR45" s="375"/>
      <c r="OMS45" s="375"/>
      <c r="OMT45" s="375"/>
      <c r="OMU45" s="375"/>
      <c r="OMV45" s="375"/>
      <c r="OMW45" s="375"/>
      <c r="OMX45" s="375"/>
      <c r="OMY45" s="375"/>
      <c r="OMZ45" s="375"/>
      <c r="ONA45" s="375"/>
      <c r="ONB45" s="375"/>
      <c r="ONC45" s="375"/>
      <c r="OND45" s="375"/>
      <c r="ONE45" s="375"/>
      <c r="ONF45" s="375"/>
      <c r="ONG45" s="375"/>
      <c r="ONH45" s="375"/>
      <c r="ONI45" s="375"/>
      <c r="ONJ45" s="375"/>
      <c r="ONK45" s="375"/>
      <c r="ONL45" s="375"/>
      <c r="ONM45" s="375"/>
      <c r="ONN45" s="375"/>
      <c r="ONO45" s="375"/>
      <c r="ONP45" s="375"/>
      <c r="ONQ45" s="375"/>
      <c r="ONR45" s="375"/>
      <c r="ONS45" s="375"/>
      <c r="ONT45" s="375"/>
      <c r="ONU45" s="375"/>
      <c r="ONV45" s="375"/>
      <c r="ONW45" s="375"/>
      <c r="ONX45" s="375"/>
      <c r="ONY45" s="375"/>
      <c r="ONZ45" s="375"/>
      <c r="OOA45" s="375"/>
      <c r="OOB45" s="375"/>
      <c r="OOC45" s="375"/>
      <c r="OOD45" s="375"/>
      <c r="OOE45" s="375"/>
      <c r="OOF45" s="375"/>
      <c r="OOG45" s="375"/>
      <c r="OOH45" s="375"/>
      <c r="OOI45" s="375"/>
      <c r="OOJ45" s="375"/>
      <c r="OOK45" s="375"/>
      <c r="OOL45" s="375"/>
      <c r="OOM45" s="375"/>
      <c r="OON45" s="375"/>
      <c r="OOO45" s="375"/>
      <c r="OOP45" s="375"/>
      <c r="OOQ45" s="375"/>
      <c r="OOR45" s="375"/>
      <c r="OOS45" s="375"/>
      <c r="OOT45" s="375"/>
      <c r="OOU45" s="375"/>
      <c r="OOV45" s="375"/>
      <c r="OOW45" s="375"/>
      <c r="OOX45" s="375"/>
      <c r="OOY45" s="375"/>
      <c r="OOZ45" s="375"/>
      <c r="OPA45" s="375"/>
      <c r="OPB45" s="375"/>
      <c r="OPC45" s="375"/>
      <c r="OPD45" s="375"/>
      <c r="OPE45" s="375"/>
      <c r="OPF45" s="375"/>
      <c r="OPG45" s="375"/>
      <c r="OPH45" s="375"/>
      <c r="OPI45" s="375"/>
      <c r="OPJ45" s="375"/>
      <c r="OPK45" s="375"/>
      <c r="OPL45" s="375"/>
      <c r="OPM45" s="375"/>
      <c r="OPN45" s="375"/>
      <c r="OPO45" s="375"/>
      <c r="OPP45" s="375"/>
      <c r="OPQ45" s="375"/>
      <c r="OPR45" s="375"/>
      <c r="OPS45" s="375"/>
      <c r="OPT45" s="375"/>
      <c r="OPU45" s="375"/>
      <c r="OPV45" s="375"/>
      <c r="OPW45" s="375"/>
      <c r="OPX45" s="375"/>
      <c r="OPY45" s="375"/>
      <c r="OPZ45" s="375"/>
      <c r="OQA45" s="375"/>
      <c r="OQB45" s="375"/>
      <c r="OQC45" s="375"/>
      <c r="OQD45" s="375"/>
      <c r="OQE45" s="375"/>
      <c r="OQF45" s="375"/>
      <c r="OQG45" s="375"/>
      <c r="OQH45" s="375"/>
      <c r="OQI45" s="375"/>
      <c r="OQJ45" s="375"/>
      <c r="OQK45" s="375"/>
      <c r="OQL45" s="375"/>
      <c r="OQM45" s="375"/>
      <c r="OQN45" s="375"/>
      <c r="OQO45" s="375"/>
      <c r="OQP45" s="375"/>
      <c r="OQQ45" s="375"/>
      <c r="OQR45" s="375"/>
      <c r="OQS45" s="375"/>
      <c r="OQT45" s="375"/>
      <c r="OQU45" s="375"/>
      <c r="OQV45" s="375"/>
      <c r="OQW45" s="375"/>
      <c r="OQX45" s="375"/>
      <c r="OQY45" s="375"/>
      <c r="OQZ45" s="375"/>
      <c r="ORA45" s="375"/>
      <c r="ORB45" s="375"/>
      <c r="ORC45" s="375"/>
      <c r="ORD45" s="375"/>
      <c r="ORE45" s="375"/>
      <c r="ORF45" s="375"/>
      <c r="ORG45" s="375"/>
      <c r="ORH45" s="375"/>
      <c r="ORI45" s="375"/>
      <c r="ORJ45" s="375"/>
      <c r="ORK45" s="375"/>
      <c r="ORL45" s="375"/>
      <c r="ORM45" s="375"/>
      <c r="ORN45" s="375"/>
      <c r="ORO45" s="375"/>
      <c r="ORP45" s="375"/>
      <c r="ORQ45" s="375"/>
      <c r="ORR45" s="375"/>
      <c r="ORS45" s="375"/>
      <c r="ORT45" s="375"/>
      <c r="ORU45" s="375"/>
      <c r="ORV45" s="375"/>
      <c r="ORW45" s="375"/>
      <c r="ORX45" s="375"/>
      <c r="ORY45" s="375"/>
      <c r="ORZ45" s="375"/>
      <c r="OSA45" s="375"/>
      <c r="OSB45" s="375"/>
      <c r="OSC45" s="375"/>
      <c r="OSD45" s="375"/>
      <c r="OSE45" s="375"/>
      <c r="OSF45" s="375"/>
      <c r="OSG45" s="375"/>
      <c r="OSH45" s="375"/>
      <c r="OSI45" s="375"/>
      <c r="OSJ45" s="375"/>
      <c r="OSK45" s="375"/>
      <c r="OSL45" s="375"/>
      <c r="OSM45" s="375"/>
      <c r="OSN45" s="375"/>
      <c r="OSO45" s="375"/>
      <c r="OSP45" s="375"/>
      <c r="OSQ45" s="375"/>
      <c r="OSR45" s="375"/>
      <c r="OSS45" s="375"/>
      <c r="OST45" s="375"/>
      <c r="OSU45" s="375"/>
      <c r="OSV45" s="375"/>
      <c r="OSW45" s="375"/>
      <c r="OSX45" s="375"/>
      <c r="OSY45" s="375"/>
      <c r="OSZ45" s="375"/>
      <c r="OTA45" s="375"/>
      <c r="OTB45" s="375"/>
      <c r="OTC45" s="375"/>
      <c r="OTD45" s="375"/>
      <c r="OTE45" s="375"/>
      <c r="OTF45" s="375"/>
      <c r="OTG45" s="375"/>
      <c r="OTH45" s="375"/>
      <c r="OTI45" s="375"/>
      <c r="OTJ45" s="375"/>
      <c r="OTK45" s="375"/>
      <c r="OTL45" s="375"/>
      <c r="OTM45" s="375"/>
      <c r="OTN45" s="375"/>
      <c r="OTO45" s="375"/>
      <c r="OTP45" s="375"/>
      <c r="OTQ45" s="375"/>
      <c r="OTR45" s="375"/>
      <c r="OTS45" s="375"/>
      <c r="OTT45" s="375"/>
      <c r="OTU45" s="375"/>
      <c r="OTV45" s="375"/>
      <c r="OTW45" s="375"/>
      <c r="OTX45" s="375"/>
      <c r="OTY45" s="375"/>
      <c r="OTZ45" s="375"/>
      <c r="OUA45" s="375"/>
      <c r="OUB45" s="375"/>
      <c r="OUC45" s="375"/>
      <c r="OUD45" s="375"/>
      <c r="OUE45" s="375"/>
      <c r="OUF45" s="375"/>
      <c r="OUG45" s="375"/>
      <c r="OUH45" s="375"/>
      <c r="OUI45" s="375"/>
      <c r="OUJ45" s="375"/>
      <c r="OUK45" s="375"/>
      <c r="OUL45" s="375"/>
      <c r="OUM45" s="375"/>
      <c r="OUN45" s="375"/>
      <c r="OUO45" s="375"/>
      <c r="OUP45" s="375"/>
      <c r="OUQ45" s="375"/>
      <c r="OUR45" s="375"/>
      <c r="OUS45" s="375"/>
      <c r="OUT45" s="375"/>
      <c r="OUU45" s="375"/>
      <c r="OUV45" s="375"/>
      <c r="OUW45" s="375"/>
      <c r="OUX45" s="375"/>
      <c r="OUY45" s="375"/>
      <c r="OUZ45" s="375"/>
      <c r="OVA45" s="375"/>
      <c r="OVB45" s="375"/>
      <c r="OVC45" s="375"/>
      <c r="OVD45" s="375"/>
      <c r="OVE45" s="375"/>
      <c r="OVF45" s="375"/>
      <c r="OVG45" s="375"/>
      <c r="OVH45" s="375"/>
      <c r="OVI45" s="375"/>
      <c r="OVJ45" s="375"/>
      <c r="OVK45" s="375"/>
      <c r="OVL45" s="375"/>
      <c r="OVM45" s="375"/>
      <c r="OVN45" s="375"/>
      <c r="OVO45" s="375"/>
      <c r="OVP45" s="375"/>
      <c r="OVQ45" s="375"/>
      <c r="OVR45" s="375"/>
      <c r="OVS45" s="375"/>
      <c r="OVT45" s="375"/>
      <c r="OVU45" s="375"/>
      <c r="OVV45" s="375"/>
      <c r="OVW45" s="375"/>
      <c r="OVX45" s="375"/>
      <c r="OVY45" s="375"/>
      <c r="OVZ45" s="375"/>
      <c r="OWA45" s="375"/>
      <c r="OWB45" s="375"/>
      <c r="OWC45" s="375"/>
      <c r="OWD45" s="375"/>
      <c r="OWE45" s="375"/>
      <c r="OWF45" s="375"/>
      <c r="OWG45" s="375"/>
      <c r="OWH45" s="375"/>
      <c r="OWI45" s="375"/>
      <c r="OWJ45" s="375"/>
      <c r="OWK45" s="375"/>
      <c r="OWL45" s="375"/>
      <c r="OWM45" s="375"/>
      <c r="OWN45" s="375"/>
      <c r="OWO45" s="375"/>
      <c r="OWP45" s="375"/>
      <c r="OWQ45" s="375"/>
      <c r="OWR45" s="375"/>
      <c r="OWS45" s="375"/>
      <c r="OWT45" s="375"/>
      <c r="OWU45" s="375"/>
      <c r="OWV45" s="375"/>
      <c r="OWW45" s="375"/>
      <c r="OWX45" s="375"/>
      <c r="OWY45" s="375"/>
      <c r="OWZ45" s="375"/>
      <c r="OXA45" s="375"/>
      <c r="OXB45" s="375"/>
      <c r="OXC45" s="375"/>
      <c r="OXD45" s="375"/>
      <c r="OXE45" s="375"/>
      <c r="OXF45" s="375"/>
      <c r="OXG45" s="375"/>
      <c r="OXH45" s="375"/>
      <c r="OXI45" s="375"/>
      <c r="OXJ45" s="375"/>
      <c r="OXK45" s="375"/>
      <c r="OXL45" s="375"/>
      <c r="OXM45" s="375"/>
      <c r="OXN45" s="375"/>
      <c r="OXO45" s="375"/>
      <c r="OXP45" s="375"/>
      <c r="OXQ45" s="375"/>
      <c r="OXR45" s="375"/>
      <c r="OXS45" s="375"/>
      <c r="OXT45" s="375"/>
      <c r="OXU45" s="375"/>
      <c r="OXV45" s="375"/>
      <c r="OXW45" s="375"/>
      <c r="OXX45" s="375"/>
      <c r="OXY45" s="375"/>
      <c r="OXZ45" s="375"/>
      <c r="OYA45" s="375"/>
      <c r="OYB45" s="375"/>
      <c r="OYC45" s="375"/>
      <c r="OYD45" s="375"/>
      <c r="OYE45" s="375"/>
      <c r="OYF45" s="375"/>
      <c r="OYG45" s="375"/>
      <c r="OYH45" s="375"/>
      <c r="OYI45" s="375"/>
      <c r="OYJ45" s="375"/>
      <c r="OYK45" s="375"/>
      <c r="OYL45" s="375"/>
      <c r="OYM45" s="375"/>
      <c r="OYN45" s="375"/>
      <c r="OYO45" s="375"/>
      <c r="OYP45" s="375"/>
      <c r="OYQ45" s="375"/>
      <c r="OYR45" s="375"/>
      <c r="OYS45" s="375"/>
      <c r="OYT45" s="375"/>
      <c r="OYU45" s="375"/>
      <c r="OYV45" s="375"/>
      <c r="OYW45" s="375"/>
      <c r="OYX45" s="375"/>
      <c r="OYY45" s="375"/>
      <c r="OYZ45" s="375"/>
      <c r="OZA45" s="375"/>
      <c r="OZB45" s="375"/>
      <c r="OZC45" s="375"/>
      <c r="OZD45" s="375"/>
      <c r="OZE45" s="375"/>
      <c r="OZF45" s="375"/>
      <c r="OZG45" s="375"/>
      <c r="OZH45" s="375"/>
      <c r="OZI45" s="375"/>
      <c r="OZJ45" s="375"/>
      <c r="OZK45" s="375"/>
      <c r="OZL45" s="375"/>
      <c r="OZM45" s="375"/>
      <c r="OZN45" s="375"/>
      <c r="OZO45" s="375"/>
      <c r="OZP45" s="375"/>
      <c r="OZQ45" s="375"/>
      <c r="OZR45" s="375"/>
      <c r="OZS45" s="375"/>
      <c r="OZT45" s="375"/>
      <c r="OZU45" s="375"/>
      <c r="OZV45" s="375"/>
      <c r="OZW45" s="375"/>
      <c r="OZX45" s="375"/>
      <c r="OZY45" s="375"/>
      <c r="OZZ45" s="375"/>
      <c r="PAA45" s="375"/>
      <c r="PAB45" s="375"/>
      <c r="PAC45" s="375"/>
      <c r="PAD45" s="375"/>
      <c r="PAE45" s="375"/>
      <c r="PAF45" s="375"/>
      <c r="PAG45" s="375"/>
      <c r="PAH45" s="375"/>
      <c r="PAI45" s="375"/>
      <c r="PAJ45" s="375"/>
      <c r="PAK45" s="375"/>
      <c r="PAL45" s="375"/>
      <c r="PAM45" s="375"/>
      <c r="PAN45" s="375"/>
      <c r="PAO45" s="375"/>
      <c r="PAP45" s="375"/>
      <c r="PAQ45" s="375"/>
      <c r="PAR45" s="375"/>
      <c r="PAS45" s="375"/>
      <c r="PAT45" s="375"/>
      <c r="PAU45" s="375"/>
      <c r="PAV45" s="375"/>
      <c r="PAW45" s="375"/>
      <c r="PAX45" s="375"/>
      <c r="PAY45" s="375"/>
      <c r="PAZ45" s="375"/>
      <c r="PBA45" s="375"/>
      <c r="PBB45" s="375"/>
      <c r="PBC45" s="375"/>
      <c r="PBD45" s="375"/>
      <c r="PBE45" s="375"/>
      <c r="PBF45" s="375"/>
      <c r="PBG45" s="375"/>
      <c r="PBH45" s="375"/>
      <c r="PBI45" s="375"/>
      <c r="PBJ45" s="375"/>
      <c r="PBK45" s="375"/>
      <c r="PBL45" s="375"/>
      <c r="PBM45" s="375"/>
      <c r="PBN45" s="375"/>
      <c r="PBO45" s="375"/>
      <c r="PBP45" s="375"/>
      <c r="PBQ45" s="375"/>
      <c r="PBR45" s="375"/>
      <c r="PBS45" s="375"/>
      <c r="PBT45" s="375"/>
      <c r="PBU45" s="375"/>
      <c r="PBV45" s="375"/>
      <c r="PBW45" s="375"/>
      <c r="PBX45" s="375"/>
      <c r="PBY45" s="375"/>
      <c r="PBZ45" s="375"/>
      <c r="PCA45" s="375"/>
      <c r="PCB45" s="375"/>
      <c r="PCC45" s="375"/>
      <c r="PCD45" s="375"/>
      <c r="PCE45" s="375"/>
      <c r="PCF45" s="375"/>
      <c r="PCG45" s="375"/>
      <c r="PCH45" s="375"/>
      <c r="PCI45" s="375"/>
      <c r="PCJ45" s="375"/>
      <c r="PCK45" s="375"/>
      <c r="PCL45" s="375"/>
      <c r="PCM45" s="375"/>
      <c r="PCN45" s="375"/>
      <c r="PCO45" s="375"/>
      <c r="PCP45" s="375"/>
      <c r="PCQ45" s="375"/>
      <c r="PCR45" s="375"/>
      <c r="PCS45" s="375"/>
      <c r="PCT45" s="375"/>
      <c r="PCU45" s="375"/>
      <c r="PCV45" s="375"/>
      <c r="PCW45" s="375"/>
      <c r="PCX45" s="375"/>
      <c r="PCY45" s="375"/>
      <c r="PCZ45" s="375"/>
      <c r="PDA45" s="375"/>
      <c r="PDB45" s="375"/>
      <c r="PDC45" s="375"/>
      <c r="PDD45" s="375"/>
      <c r="PDE45" s="375"/>
      <c r="PDF45" s="375"/>
      <c r="PDG45" s="375"/>
      <c r="PDH45" s="375"/>
      <c r="PDI45" s="375"/>
      <c r="PDJ45" s="375"/>
      <c r="PDK45" s="375"/>
      <c r="PDL45" s="375"/>
      <c r="PDM45" s="375"/>
      <c r="PDN45" s="375"/>
      <c r="PDO45" s="375"/>
      <c r="PDP45" s="375"/>
      <c r="PDQ45" s="375"/>
      <c r="PDR45" s="375"/>
      <c r="PDS45" s="375"/>
      <c r="PDT45" s="375"/>
      <c r="PDU45" s="375"/>
      <c r="PDV45" s="375"/>
      <c r="PDW45" s="375"/>
      <c r="PDX45" s="375"/>
      <c r="PDY45" s="375"/>
      <c r="PDZ45" s="375"/>
      <c r="PEA45" s="375"/>
      <c r="PEB45" s="375"/>
      <c r="PEC45" s="375"/>
      <c r="PED45" s="375"/>
      <c r="PEE45" s="375"/>
      <c r="PEF45" s="375"/>
      <c r="PEG45" s="375"/>
      <c r="PEH45" s="375"/>
      <c r="PEI45" s="375"/>
      <c r="PEJ45" s="375"/>
      <c r="PEK45" s="375"/>
      <c r="PEL45" s="375"/>
      <c r="PEM45" s="375"/>
      <c r="PEN45" s="375"/>
      <c r="PEO45" s="375"/>
      <c r="PEP45" s="375"/>
      <c r="PEQ45" s="375"/>
      <c r="PER45" s="375"/>
      <c r="PES45" s="375"/>
      <c r="PET45" s="375"/>
      <c r="PEU45" s="375"/>
      <c r="PEV45" s="375"/>
      <c r="PEW45" s="375"/>
      <c r="PEX45" s="375"/>
      <c r="PEY45" s="375"/>
      <c r="PEZ45" s="375"/>
      <c r="PFA45" s="375"/>
      <c r="PFB45" s="375"/>
      <c r="PFC45" s="375"/>
      <c r="PFD45" s="375"/>
      <c r="PFE45" s="375"/>
      <c r="PFF45" s="375"/>
      <c r="PFG45" s="375"/>
      <c r="PFH45" s="375"/>
      <c r="PFI45" s="375"/>
      <c r="PFJ45" s="375"/>
      <c r="PFK45" s="375"/>
      <c r="PFL45" s="375"/>
      <c r="PFM45" s="375"/>
      <c r="PFN45" s="375"/>
      <c r="PFO45" s="375"/>
      <c r="PFP45" s="375"/>
      <c r="PFQ45" s="375"/>
      <c r="PFR45" s="375"/>
      <c r="PFS45" s="375"/>
      <c r="PFT45" s="375"/>
      <c r="PFU45" s="375"/>
      <c r="PFV45" s="375"/>
      <c r="PFW45" s="375"/>
      <c r="PFX45" s="375"/>
      <c r="PFY45" s="375"/>
      <c r="PFZ45" s="375"/>
      <c r="PGA45" s="375"/>
      <c r="PGB45" s="375"/>
      <c r="PGC45" s="375"/>
      <c r="PGD45" s="375"/>
      <c r="PGE45" s="375"/>
      <c r="PGF45" s="375"/>
      <c r="PGG45" s="375"/>
      <c r="PGH45" s="375"/>
      <c r="PGI45" s="375"/>
      <c r="PGJ45" s="375"/>
      <c r="PGK45" s="375"/>
      <c r="PGL45" s="375"/>
      <c r="PGM45" s="375"/>
      <c r="PGN45" s="375"/>
      <c r="PGO45" s="375"/>
      <c r="PGP45" s="375"/>
      <c r="PGQ45" s="375"/>
      <c r="PGR45" s="375"/>
      <c r="PGS45" s="375"/>
      <c r="PGT45" s="375"/>
      <c r="PGU45" s="375"/>
      <c r="PGV45" s="375"/>
      <c r="PGW45" s="375"/>
      <c r="PGX45" s="375"/>
      <c r="PGY45" s="375"/>
      <c r="PGZ45" s="375"/>
      <c r="PHA45" s="375"/>
      <c r="PHB45" s="375"/>
      <c r="PHC45" s="375"/>
      <c r="PHD45" s="375"/>
      <c r="PHE45" s="375"/>
      <c r="PHF45" s="375"/>
      <c r="PHG45" s="375"/>
      <c r="PHH45" s="375"/>
      <c r="PHI45" s="375"/>
      <c r="PHJ45" s="375"/>
      <c r="PHK45" s="375"/>
      <c r="PHL45" s="375"/>
      <c r="PHM45" s="375"/>
      <c r="PHN45" s="375"/>
      <c r="PHO45" s="375"/>
      <c r="PHP45" s="375"/>
      <c r="PHQ45" s="375"/>
      <c r="PHR45" s="375"/>
      <c r="PHS45" s="375"/>
      <c r="PHT45" s="375"/>
      <c r="PHU45" s="375"/>
      <c r="PHV45" s="375"/>
      <c r="PHW45" s="375"/>
      <c r="PHX45" s="375"/>
      <c r="PHY45" s="375"/>
      <c r="PHZ45" s="375"/>
      <c r="PIA45" s="375"/>
      <c r="PIB45" s="375"/>
      <c r="PIC45" s="375"/>
      <c r="PID45" s="375"/>
      <c r="PIE45" s="375"/>
      <c r="PIF45" s="375"/>
      <c r="PIG45" s="375"/>
      <c r="PIH45" s="375"/>
      <c r="PII45" s="375"/>
      <c r="PIJ45" s="375"/>
      <c r="PIK45" s="375"/>
      <c r="PIL45" s="375"/>
      <c r="PIM45" s="375"/>
      <c r="PIN45" s="375"/>
      <c r="PIO45" s="375"/>
      <c r="PIP45" s="375"/>
      <c r="PIQ45" s="375"/>
      <c r="PIR45" s="375"/>
      <c r="PIS45" s="375"/>
      <c r="PIT45" s="375"/>
      <c r="PIU45" s="375"/>
      <c r="PIV45" s="375"/>
      <c r="PIW45" s="375"/>
      <c r="PIX45" s="375"/>
      <c r="PIY45" s="375"/>
      <c r="PIZ45" s="375"/>
      <c r="PJA45" s="375"/>
      <c r="PJB45" s="375"/>
      <c r="PJC45" s="375"/>
      <c r="PJD45" s="375"/>
      <c r="PJE45" s="375"/>
      <c r="PJF45" s="375"/>
      <c r="PJG45" s="375"/>
      <c r="PJH45" s="375"/>
      <c r="PJI45" s="375"/>
      <c r="PJJ45" s="375"/>
      <c r="PJK45" s="375"/>
      <c r="PJL45" s="375"/>
      <c r="PJM45" s="375"/>
      <c r="PJN45" s="375"/>
      <c r="PJO45" s="375"/>
      <c r="PJP45" s="375"/>
      <c r="PJQ45" s="375"/>
      <c r="PJR45" s="375"/>
      <c r="PJS45" s="375"/>
      <c r="PJT45" s="375"/>
      <c r="PJU45" s="375"/>
      <c r="PJV45" s="375"/>
      <c r="PJW45" s="375"/>
      <c r="PJX45" s="375"/>
      <c r="PJY45" s="375"/>
      <c r="PJZ45" s="375"/>
      <c r="PKA45" s="375"/>
      <c r="PKB45" s="375"/>
      <c r="PKC45" s="375"/>
      <c r="PKD45" s="375"/>
      <c r="PKE45" s="375"/>
      <c r="PKF45" s="375"/>
      <c r="PKG45" s="375"/>
      <c r="PKH45" s="375"/>
      <c r="PKI45" s="375"/>
      <c r="PKJ45" s="375"/>
      <c r="PKK45" s="375"/>
      <c r="PKL45" s="375"/>
      <c r="PKM45" s="375"/>
      <c r="PKN45" s="375"/>
      <c r="PKO45" s="375"/>
      <c r="PKP45" s="375"/>
      <c r="PKQ45" s="375"/>
      <c r="PKR45" s="375"/>
      <c r="PKS45" s="375"/>
      <c r="PKT45" s="375"/>
      <c r="PKU45" s="375"/>
      <c r="PKV45" s="375"/>
      <c r="PKW45" s="375"/>
      <c r="PKX45" s="375"/>
      <c r="PKY45" s="375"/>
      <c r="PKZ45" s="375"/>
      <c r="PLA45" s="375"/>
      <c r="PLB45" s="375"/>
      <c r="PLC45" s="375"/>
      <c r="PLD45" s="375"/>
      <c r="PLE45" s="375"/>
      <c r="PLF45" s="375"/>
      <c r="PLG45" s="375"/>
      <c r="PLH45" s="375"/>
      <c r="PLI45" s="375"/>
      <c r="PLJ45" s="375"/>
      <c r="PLK45" s="375"/>
      <c r="PLL45" s="375"/>
      <c r="PLM45" s="375"/>
      <c r="PLN45" s="375"/>
      <c r="PLO45" s="375"/>
      <c r="PLP45" s="375"/>
      <c r="PLQ45" s="375"/>
      <c r="PLR45" s="375"/>
      <c r="PLS45" s="375"/>
      <c r="PLT45" s="375"/>
      <c r="PLU45" s="375"/>
      <c r="PLV45" s="375"/>
      <c r="PLW45" s="375"/>
      <c r="PLX45" s="375"/>
      <c r="PLY45" s="375"/>
      <c r="PLZ45" s="375"/>
      <c r="PMA45" s="375"/>
      <c r="PMB45" s="375"/>
      <c r="PMC45" s="375"/>
      <c r="PMD45" s="375"/>
      <c r="PME45" s="375"/>
      <c r="PMF45" s="375"/>
      <c r="PMG45" s="375"/>
      <c r="PMH45" s="375"/>
      <c r="PMI45" s="375"/>
      <c r="PMJ45" s="375"/>
      <c r="PMK45" s="375"/>
      <c r="PML45" s="375"/>
      <c r="PMM45" s="375"/>
      <c r="PMN45" s="375"/>
      <c r="PMO45" s="375"/>
      <c r="PMP45" s="375"/>
      <c r="PMQ45" s="375"/>
      <c r="PMR45" s="375"/>
      <c r="PMS45" s="375"/>
      <c r="PMT45" s="375"/>
      <c r="PMU45" s="375"/>
      <c r="PMV45" s="375"/>
      <c r="PMW45" s="375"/>
      <c r="PMX45" s="375"/>
      <c r="PMY45" s="375"/>
      <c r="PMZ45" s="375"/>
      <c r="PNA45" s="375"/>
      <c r="PNB45" s="375"/>
      <c r="PNC45" s="375"/>
      <c r="PND45" s="375"/>
      <c r="PNE45" s="375"/>
      <c r="PNF45" s="375"/>
      <c r="PNG45" s="375"/>
      <c r="PNH45" s="375"/>
      <c r="PNI45" s="375"/>
      <c r="PNJ45" s="375"/>
      <c r="PNK45" s="375"/>
      <c r="PNL45" s="375"/>
      <c r="PNM45" s="375"/>
      <c r="PNN45" s="375"/>
      <c r="PNO45" s="375"/>
      <c r="PNP45" s="375"/>
      <c r="PNQ45" s="375"/>
      <c r="PNR45" s="375"/>
      <c r="PNS45" s="375"/>
      <c r="PNT45" s="375"/>
      <c r="PNU45" s="375"/>
      <c r="PNV45" s="375"/>
      <c r="PNW45" s="375"/>
      <c r="PNX45" s="375"/>
      <c r="PNY45" s="375"/>
      <c r="PNZ45" s="375"/>
      <c r="POA45" s="375"/>
      <c r="POB45" s="375"/>
      <c r="POC45" s="375"/>
      <c r="POD45" s="375"/>
      <c r="POE45" s="375"/>
      <c r="POF45" s="375"/>
      <c r="POG45" s="375"/>
      <c r="POH45" s="375"/>
      <c r="POI45" s="375"/>
      <c r="POJ45" s="375"/>
      <c r="POK45" s="375"/>
      <c r="POL45" s="375"/>
      <c r="POM45" s="375"/>
      <c r="PON45" s="375"/>
      <c r="POO45" s="375"/>
      <c r="POP45" s="375"/>
      <c r="POQ45" s="375"/>
      <c r="POR45" s="375"/>
      <c r="POS45" s="375"/>
      <c r="POT45" s="375"/>
      <c r="POU45" s="375"/>
      <c r="POV45" s="375"/>
      <c r="POW45" s="375"/>
      <c r="POX45" s="375"/>
      <c r="POY45" s="375"/>
      <c r="POZ45" s="375"/>
      <c r="PPA45" s="375"/>
      <c r="PPB45" s="375"/>
      <c r="PPC45" s="375"/>
      <c r="PPD45" s="375"/>
      <c r="PPE45" s="375"/>
      <c r="PPF45" s="375"/>
      <c r="PPG45" s="375"/>
      <c r="PPH45" s="375"/>
      <c r="PPI45" s="375"/>
      <c r="PPJ45" s="375"/>
      <c r="PPK45" s="375"/>
      <c r="PPL45" s="375"/>
      <c r="PPM45" s="375"/>
      <c r="PPN45" s="375"/>
      <c r="PPO45" s="375"/>
      <c r="PPP45" s="375"/>
      <c r="PPQ45" s="375"/>
      <c r="PPR45" s="375"/>
      <c r="PPS45" s="375"/>
      <c r="PPT45" s="375"/>
      <c r="PPU45" s="375"/>
      <c r="PPV45" s="375"/>
      <c r="PPW45" s="375"/>
      <c r="PPX45" s="375"/>
      <c r="PPY45" s="375"/>
      <c r="PPZ45" s="375"/>
      <c r="PQA45" s="375"/>
      <c r="PQB45" s="375"/>
      <c r="PQC45" s="375"/>
      <c r="PQD45" s="375"/>
      <c r="PQE45" s="375"/>
      <c r="PQF45" s="375"/>
      <c r="PQG45" s="375"/>
      <c r="PQH45" s="375"/>
      <c r="PQI45" s="375"/>
      <c r="PQJ45" s="375"/>
      <c r="PQK45" s="375"/>
      <c r="PQL45" s="375"/>
      <c r="PQM45" s="375"/>
      <c r="PQN45" s="375"/>
      <c r="PQO45" s="375"/>
      <c r="PQP45" s="375"/>
      <c r="PQQ45" s="375"/>
      <c r="PQR45" s="375"/>
      <c r="PQS45" s="375"/>
      <c r="PQT45" s="375"/>
      <c r="PQU45" s="375"/>
      <c r="PQV45" s="375"/>
      <c r="PQW45" s="375"/>
      <c r="PQX45" s="375"/>
      <c r="PQY45" s="375"/>
      <c r="PQZ45" s="375"/>
      <c r="PRA45" s="375"/>
      <c r="PRB45" s="375"/>
      <c r="PRC45" s="375"/>
      <c r="PRD45" s="375"/>
      <c r="PRE45" s="375"/>
      <c r="PRF45" s="375"/>
      <c r="PRG45" s="375"/>
      <c r="PRH45" s="375"/>
      <c r="PRI45" s="375"/>
      <c r="PRJ45" s="375"/>
      <c r="PRK45" s="375"/>
      <c r="PRL45" s="375"/>
      <c r="PRM45" s="375"/>
      <c r="PRN45" s="375"/>
      <c r="PRO45" s="375"/>
      <c r="PRP45" s="375"/>
      <c r="PRQ45" s="375"/>
      <c r="PRR45" s="375"/>
      <c r="PRS45" s="375"/>
      <c r="PRT45" s="375"/>
      <c r="PRU45" s="375"/>
      <c r="PRV45" s="375"/>
      <c r="PRW45" s="375"/>
      <c r="PRX45" s="375"/>
      <c r="PRY45" s="375"/>
      <c r="PRZ45" s="375"/>
      <c r="PSA45" s="375"/>
      <c r="PSB45" s="375"/>
      <c r="PSC45" s="375"/>
      <c r="PSD45" s="375"/>
      <c r="PSE45" s="375"/>
      <c r="PSF45" s="375"/>
      <c r="PSG45" s="375"/>
      <c r="PSH45" s="375"/>
      <c r="PSI45" s="375"/>
      <c r="PSJ45" s="375"/>
      <c r="PSK45" s="375"/>
      <c r="PSL45" s="375"/>
      <c r="PSM45" s="375"/>
      <c r="PSN45" s="375"/>
      <c r="PSO45" s="375"/>
      <c r="PSP45" s="375"/>
      <c r="PSQ45" s="375"/>
      <c r="PSR45" s="375"/>
      <c r="PSS45" s="375"/>
      <c r="PST45" s="375"/>
      <c r="PSU45" s="375"/>
      <c r="PSV45" s="375"/>
      <c r="PSW45" s="375"/>
      <c r="PSX45" s="375"/>
      <c r="PSY45" s="375"/>
      <c r="PSZ45" s="375"/>
      <c r="PTA45" s="375"/>
      <c r="PTB45" s="375"/>
      <c r="PTC45" s="375"/>
      <c r="PTD45" s="375"/>
      <c r="PTE45" s="375"/>
      <c r="PTF45" s="375"/>
      <c r="PTG45" s="375"/>
      <c r="PTH45" s="375"/>
      <c r="PTI45" s="375"/>
      <c r="PTJ45" s="375"/>
      <c r="PTK45" s="375"/>
      <c r="PTL45" s="375"/>
      <c r="PTM45" s="375"/>
      <c r="PTN45" s="375"/>
      <c r="PTO45" s="375"/>
      <c r="PTP45" s="375"/>
      <c r="PTQ45" s="375"/>
      <c r="PTR45" s="375"/>
      <c r="PTS45" s="375"/>
      <c r="PTT45" s="375"/>
      <c r="PTU45" s="375"/>
      <c r="PTV45" s="375"/>
      <c r="PTW45" s="375"/>
      <c r="PTX45" s="375"/>
      <c r="PTY45" s="375"/>
      <c r="PTZ45" s="375"/>
      <c r="PUA45" s="375"/>
      <c r="PUB45" s="375"/>
      <c r="PUC45" s="375"/>
      <c r="PUD45" s="375"/>
      <c r="PUE45" s="375"/>
      <c r="PUF45" s="375"/>
      <c r="PUG45" s="375"/>
      <c r="PUH45" s="375"/>
      <c r="PUI45" s="375"/>
      <c r="PUJ45" s="375"/>
      <c r="PUK45" s="375"/>
      <c r="PUL45" s="375"/>
      <c r="PUM45" s="375"/>
      <c r="PUN45" s="375"/>
      <c r="PUO45" s="375"/>
      <c r="PUP45" s="375"/>
      <c r="PUQ45" s="375"/>
      <c r="PUR45" s="375"/>
      <c r="PUS45" s="375"/>
      <c r="PUT45" s="375"/>
      <c r="PUU45" s="375"/>
      <c r="PUV45" s="375"/>
      <c r="PUW45" s="375"/>
      <c r="PUX45" s="375"/>
      <c r="PUY45" s="375"/>
      <c r="PUZ45" s="375"/>
      <c r="PVA45" s="375"/>
      <c r="PVB45" s="375"/>
      <c r="PVC45" s="375"/>
      <c r="PVD45" s="375"/>
      <c r="PVE45" s="375"/>
      <c r="PVF45" s="375"/>
      <c r="PVG45" s="375"/>
      <c r="PVH45" s="375"/>
      <c r="PVI45" s="375"/>
      <c r="PVJ45" s="375"/>
      <c r="PVK45" s="375"/>
      <c r="PVL45" s="375"/>
      <c r="PVM45" s="375"/>
      <c r="PVN45" s="375"/>
      <c r="PVO45" s="375"/>
      <c r="PVP45" s="375"/>
      <c r="PVQ45" s="375"/>
      <c r="PVR45" s="375"/>
      <c r="PVS45" s="375"/>
      <c r="PVT45" s="375"/>
      <c r="PVU45" s="375"/>
      <c r="PVV45" s="375"/>
      <c r="PVW45" s="375"/>
      <c r="PVX45" s="375"/>
      <c r="PVY45" s="375"/>
      <c r="PVZ45" s="375"/>
      <c r="PWA45" s="375"/>
      <c r="PWB45" s="375"/>
      <c r="PWC45" s="375"/>
      <c r="PWD45" s="375"/>
      <c r="PWE45" s="375"/>
      <c r="PWF45" s="375"/>
      <c r="PWG45" s="375"/>
      <c r="PWH45" s="375"/>
      <c r="PWI45" s="375"/>
      <c r="PWJ45" s="375"/>
      <c r="PWK45" s="375"/>
      <c r="PWL45" s="375"/>
      <c r="PWM45" s="375"/>
      <c r="PWN45" s="375"/>
      <c r="PWO45" s="375"/>
      <c r="PWP45" s="375"/>
      <c r="PWQ45" s="375"/>
      <c r="PWR45" s="375"/>
      <c r="PWS45" s="375"/>
      <c r="PWT45" s="375"/>
      <c r="PWU45" s="375"/>
      <c r="PWV45" s="375"/>
      <c r="PWW45" s="375"/>
      <c r="PWX45" s="375"/>
      <c r="PWY45" s="375"/>
      <c r="PWZ45" s="375"/>
      <c r="PXA45" s="375"/>
      <c r="PXB45" s="375"/>
      <c r="PXC45" s="375"/>
      <c r="PXD45" s="375"/>
      <c r="PXE45" s="375"/>
      <c r="PXF45" s="375"/>
      <c r="PXG45" s="375"/>
      <c r="PXH45" s="375"/>
      <c r="PXI45" s="375"/>
      <c r="PXJ45" s="375"/>
      <c r="PXK45" s="375"/>
      <c r="PXL45" s="375"/>
      <c r="PXM45" s="375"/>
      <c r="PXN45" s="375"/>
      <c r="PXO45" s="375"/>
      <c r="PXP45" s="375"/>
      <c r="PXQ45" s="375"/>
      <c r="PXR45" s="375"/>
      <c r="PXS45" s="375"/>
      <c r="PXT45" s="375"/>
      <c r="PXU45" s="375"/>
      <c r="PXV45" s="375"/>
      <c r="PXW45" s="375"/>
      <c r="PXX45" s="375"/>
      <c r="PXY45" s="375"/>
      <c r="PXZ45" s="375"/>
      <c r="PYA45" s="375"/>
      <c r="PYB45" s="375"/>
      <c r="PYC45" s="375"/>
      <c r="PYD45" s="375"/>
      <c r="PYE45" s="375"/>
      <c r="PYF45" s="375"/>
      <c r="PYG45" s="375"/>
      <c r="PYH45" s="375"/>
      <c r="PYI45" s="375"/>
      <c r="PYJ45" s="375"/>
      <c r="PYK45" s="375"/>
      <c r="PYL45" s="375"/>
      <c r="PYM45" s="375"/>
      <c r="PYN45" s="375"/>
      <c r="PYO45" s="375"/>
      <c r="PYP45" s="375"/>
      <c r="PYQ45" s="375"/>
      <c r="PYR45" s="375"/>
      <c r="PYS45" s="375"/>
      <c r="PYT45" s="375"/>
      <c r="PYU45" s="375"/>
      <c r="PYV45" s="375"/>
      <c r="PYW45" s="375"/>
      <c r="PYX45" s="375"/>
      <c r="PYY45" s="375"/>
      <c r="PYZ45" s="375"/>
      <c r="PZA45" s="375"/>
      <c r="PZB45" s="375"/>
      <c r="PZC45" s="375"/>
      <c r="PZD45" s="375"/>
      <c r="PZE45" s="375"/>
      <c r="PZF45" s="375"/>
      <c r="PZG45" s="375"/>
      <c r="PZH45" s="375"/>
      <c r="PZI45" s="375"/>
      <c r="PZJ45" s="375"/>
      <c r="PZK45" s="375"/>
      <c r="PZL45" s="375"/>
      <c r="PZM45" s="375"/>
      <c r="PZN45" s="375"/>
      <c r="PZO45" s="375"/>
      <c r="PZP45" s="375"/>
      <c r="PZQ45" s="375"/>
      <c r="PZR45" s="375"/>
      <c r="PZS45" s="375"/>
      <c r="PZT45" s="375"/>
      <c r="PZU45" s="375"/>
      <c r="PZV45" s="375"/>
      <c r="PZW45" s="375"/>
      <c r="PZX45" s="375"/>
      <c r="PZY45" s="375"/>
      <c r="PZZ45" s="375"/>
      <c r="QAA45" s="375"/>
      <c r="QAB45" s="375"/>
      <c r="QAC45" s="375"/>
      <c r="QAD45" s="375"/>
      <c r="QAE45" s="375"/>
      <c r="QAF45" s="375"/>
      <c r="QAG45" s="375"/>
      <c r="QAH45" s="375"/>
      <c r="QAI45" s="375"/>
      <c r="QAJ45" s="375"/>
      <c r="QAK45" s="375"/>
      <c r="QAL45" s="375"/>
      <c r="QAM45" s="375"/>
      <c r="QAN45" s="375"/>
      <c r="QAO45" s="375"/>
      <c r="QAP45" s="375"/>
      <c r="QAQ45" s="375"/>
      <c r="QAR45" s="375"/>
      <c r="QAS45" s="375"/>
      <c r="QAT45" s="375"/>
      <c r="QAU45" s="375"/>
      <c r="QAV45" s="375"/>
      <c r="QAW45" s="375"/>
      <c r="QAX45" s="375"/>
      <c r="QAY45" s="375"/>
      <c r="QAZ45" s="375"/>
      <c r="QBA45" s="375"/>
      <c r="QBB45" s="375"/>
      <c r="QBC45" s="375"/>
      <c r="QBD45" s="375"/>
      <c r="QBE45" s="375"/>
      <c r="QBF45" s="375"/>
      <c r="QBG45" s="375"/>
      <c r="QBH45" s="375"/>
      <c r="QBI45" s="375"/>
      <c r="QBJ45" s="375"/>
      <c r="QBK45" s="375"/>
      <c r="QBL45" s="375"/>
      <c r="QBM45" s="375"/>
      <c r="QBN45" s="375"/>
      <c r="QBO45" s="375"/>
      <c r="QBP45" s="375"/>
      <c r="QBQ45" s="375"/>
      <c r="QBR45" s="375"/>
      <c r="QBS45" s="375"/>
      <c r="QBT45" s="375"/>
      <c r="QBU45" s="375"/>
      <c r="QBV45" s="375"/>
      <c r="QBW45" s="375"/>
      <c r="QBX45" s="375"/>
      <c r="QBY45" s="375"/>
      <c r="QBZ45" s="375"/>
      <c r="QCA45" s="375"/>
      <c r="QCB45" s="375"/>
      <c r="QCC45" s="375"/>
      <c r="QCD45" s="375"/>
      <c r="QCE45" s="375"/>
      <c r="QCF45" s="375"/>
      <c r="QCG45" s="375"/>
      <c r="QCH45" s="375"/>
      <c r="QCI45" s="375"/>
      <c r="QCJ45" s="375"/>
      <c r="QCK45" s="375"/>
      <c r="QCL45" s="375"/>
      <c r="QCM45" s="375"/>
      <c r="QCN45" s="375"/>
      <c r="QCO45" s="375"/>
      <c r="QCP45" s="375"/>
      <c r="QCQ45" s="375"/>
      <c r="QCR45" s="375"/>
      <c r="QCS45" s="375"/>
      <c r="QCT45" s="375"/>
      <c r="QCU45" s="375"/>
      <c r="QCV45" s="375"/>
      <c r="QCW45" s="375"/>
      <c r="QCX45" s="375"/>
      <c r="QCY45" s="375"/>
      <c r="QCZ45" s="375"/>
      <c r="QDA45" s="375"/>
      <c r="QDB45" s="375"/>
      <c r="QDC45" s="375"/>
      <c r="QDD45" s="375"/>
      <c r="QDE45" s="375"/>
      <c r="QDF45" s="375"/>
      <c r="QDG45" s="375"/>
      <c r="QDH45" s="375"/>
      <c r="QDI45" s="375"/>
      <c r="QDJ45" s="375"/>
      <c r="QDK45" s="375"/>
      <c r="QDL45" s="375"/>
      <c r="QDM45" s="375"/>
      <c r="QDN45" s="375"/>
      <c r="QDO45" s="375"/>
      <c r="QDP45" s="375"/>
      <c r="QDQ45" s="375"/>
      <c r="QDR45" s="375"/>
      <c r="QDS45" s="375"/>
      <c r="QDT45" s="375"/>
      <c r="QDU45" s="375"/>
      <c r="QDV45" s="375"/>
      <c r="QDW45" s="375"/>
      <c r="QDX45" s="375"/>
      <c r="QDY45" s="375"/>
      <c r="QDZ45" s="375"/>
      <c r="QEA45" s="375"/>
      <c r="QEB45" s="375"/>
      <c r="QEC45" s="375"/>
      <c r="QED45" s="375"/>
      <c r="QEE45" s="375"/>
      <c r="QEF45" s="375"/>
      <c r="QEG45" s="375"/>
      <c r="QEH45" s="375"/>
      <c r="QEI45" s="375"/>
      <c r="QEJ45" s="375"/>
      <c r="QEK45" s="375"/>
      <c r="QEL45" s="375"/>
      <c r="QEM45" s="375"/>
      <c r="QEN45" s="375"/>
      <c r="QEO45" s="375"/>
      <c r="QEP45" s="375"/>
      <c r="QEQ45" s="375"/>
      <c r="QER45" s="375"/>
      <c r="QES45" s="375"/>
      <c r="QET45" s="375"/>
      <c r="QEU45" s="375"/>
      <c r="QEV45" s="375"/>
      <c r="QEW45" s="375"/>
      <c r="QEX45" s="375"/>
      <c r="QEY45" s="375"/>
      <c r="QEZ45" s="375"/>
      <c r="QFA45" s="375"/>
      <c r="QFB45" s="375"/>
      <c r="QFC45" s="375"/>
      <c r="QFD45" s="375"/>
      <c r="QFE45" s="375"/>
      <c r="QFF45" s="375"/>
      <c r="QFG45" s="375"/>
      <c r="QFH45" s="375"/>
      <c r="QFI45" s="375"/>
      <c r="QFJ45" s="375"/>
      <c r="QFK45" s="375"/>
      <c r="QFL45" s="375"/>
      <c r="QFM45" s="375"/>
      <c r="QFN45" s="375"/>
      <c r="QFO45" s="375"/>
      <c r="QFP45" s="375"/>
      <c r="QFQ45" s="375"/>
      <c r="QFR45" s="375"/>
      <c r="QFS45" s="375"/>
      <c r="QFT45" s="375"/>
      <c r="QFU45" s="375"/>
      <c r="QFV45" s="375"/>
      <c r="QFW45" s="375"/>
      <c r="QFX45" s="375"/>
      <c r="QFY45" s="375"/>
      <c r="QFZ45" s="375"/>
      <c r="QGA45" s="375"/>
      <c r="QGB45" s="375"/>
      <c r="QGC45" s="375"/>
      <c r="QGD45" s="375"/>
      <c r="QGE45" s="375"/>
      <c r="QGF45" s="375"/>
      <c r="QGG45" s="375"/>
      <c r="QGH45" s="375"/>
      <c r="QGI45" s="375"/>
      <c r="QGJ45" s="375"/>
      <c r="QGK45" s="375"/>
      <c r="QGL45" s="375"/>
      <c r="QGM45" s="375"/>
      <c r="QGN45" s="375"/>
      <c r="QGO45" s="375"/>
      <c r="QGP45" s="375"/>
      <c r="QGQ45" s="375"/>
      <c r="QGR45" s="375"/>
      <c r="QGS45" s="375"/>
      <c r="QGT45" s="375"/>
      <c r="QGU45" s="375"/>
      <c r="QGV45" s="375"/>
      <c r="QGW45" s="375"/>
      <c r="QGX45" s="375"/>
      <c r="QGY45" s="375"/>
      <c r="QGZ45" s="375"/>
      <c r="QHA45" s="375"/>
      <c r="QHB45" s="375"/>
      <c r="QHC45" s="375"/>
      <c r="QHD45" s="375"/>
      <c r="QHE45" s="375"/>
      <c r="QHF45" s="375"/>
      <c r="QHG45" s="375"/>
      <c r="QHH45" s="375"/>
      <c r="QHI45" s="375"/>
      <c r="QHJ45" s="375"/>
      <c r="QHK45" s="375"/>
      <c r="QHL45" s="375"/>
      <c r="QHM45" s="375"/>
      <c r="QHN45" s="375"/>
      <c r="QHO45" s="375"/>
      <c r="QHP45" s="375"/>
      <c r="QHQ45" s="375"/>
      <c r="QHR45" s="375"/>
      <c r="QHS45" s="375"/>
      <c r="QHT45" s="375"/>
      <c r="QHU45" s="375"/>
      <c r="QHV45" s="375"/>
      <c r="QHW45" s="375"/>
      <c r="QHX45" s="375"/>
      <c r="QHY45" s="375"/>
      <c r="QHZ45" s="375"/>
      <c r="QIA45" s="375"/>
      <c r="QIB45" s="375"/>
      <c r="QIC45" s="375"/>
      <c r="QID45" s="375"/>
      <c r="QIE45" s="375"/>
      <c r="QIF45" s="375"/>
      <c r="QIG45" s="375"/>
      <c r="QIH45" s="375"/>
      <c r="QII45" s="375"/>
      <c r="QIJ45" s="375"/>
      <c r="QIK45" s="375"/>
      <c r="QIL45" s="375"/>
      <c r="QIM45" s="375"/>
      <c r="QIN45" s="375"/>
      <c r="QIO45" s="375"/>
      <c r="QIP45" s="375"/>
      <c r="QIQ45" s="375"/>
      <c r="QIR45" s="375"/>
      <c r="QIS45" s="375"/>
      <c r="QIT45" s="375"/>
      <c r="QIU45" s="375"/>
      <c r="QIV45" s="375"/>
      <c r="QIW45" s="375"/>
      <c r="QIX45" s="375"/>
      <c r="QIY45" s="375"/>
      <c r="QIZ45" s="375"/>
      <c r="QJA45" s="375"/>
      <c r="QJB45" s="375"/>
      <c r="QJC45" s="375"/>
      <c r="QJD45" s="375"/>
      <c r="QJE45" s="375"/>
      <c r="QJF45" s="375"/>
      <c r="QJG45" s="375"/>
      <c r="QJH45" s="375"/>
      <c r="QJI45" s="375"/>
      <c r="QJJ45" s="375"/>
      <c r="QJK45" s="375"/>
      <c r="QJL45" s="375"/>
      <c r="QJM45" s="375"/>
      <c r="QJN45" s="375"/>
      <c r="QJO45" s="375"/>
      <c r="QJP45" s="375"/>
      <c r="QJQ45" s="375"/>
      <c r="QJR45" s="375"/>
      <c r="QJS45" s="375"/>
      <c r="QJT45" s="375"/>
      <c r="QJU45" s="375"/>
      <c r="QJV45" s="375"/>
      <c r="QJW45" s="375"/>
      <c r="QJX45" s="375"/>
      <c r="QJY45" s="375"/>
      <c r="QJZ45" s="375"/>
      <c r="QKA45" s="375"/>
      <c r="QKB45" s="375"/>
      <c r="QKC45" s="375"/>
      <c r="QKD45" s="375"/>
      <c r="QKE45" s="375"/>
      <c r="QKF45" s="375"/>
      <c r="QKG45" s="375"/>
      <c r="QKH45" s="375"/>
      <c r="QKI45" s="375"/>
      <c r="QKJ45" s="375"/>
      <c r="QKK45" s="375"/>
      <c r="QKL45" s="375"/>
      <c r="QKM45" s="375"/>
      <c r="QKN45" s="375"/>
      <c r="QKO45" s="375"/>
      <c r="QKP45" s="375"/>
      <c r="QKQ45" s="375"/>
      <c r="QKR45" s="375"/>
      <c r="QKS45" s="375"/>
      <c r="QKT45" s="375"/>
      <c r="QKU45" s="375"/>
      <c r="QKV45" s="375"/>
      <c r="QKW45" s="375"/>
      <c r="QKX45" s="375"/>
      <c r="QKY45" s="375"/>
      <c r="QKZ45" s="375"/>
      <c r="QLA45" s="375"/>
      <c r="QLB45" s="375"/>
      <c r="QLC45" s="375"/>
      <c r="QLD45" s="375"/>
      <c r="QLE45" s="375"/>
      <c r="QLF45" s="375"/>
      <c r="QLG45" s="375"/>
      <c r="QLH45" s="375"/>
      <c r="QLI45" s="375"/>
      <c r="QLJ45" s="375"/>
      <c r="QLK45" s="375"/>
      <c r="QLL45" s="375"/>
      <c r="QLM45" s="375"/>
      <c r="QLN45" s="375"/>
      <c r="QLO45" s="375"/>
      <c r="QLP45" s="375"/>
      <c r="QLQ45" s="375"/>
      <c r="QLR45" s="375"/>
      <c r="QLS45" s="375"/>
      <c r="QLT45" s="375"/>
      <c r="QLU45" s="375"/>
      <c r="QLV45" s="375"/>
      <c r="QLW45" s="375"/>
      <c r="QLX45" s="375"/>
      <c r="QLY45" s="375"/>
      <c r="QLZ45" s="375"/>
      <c r="QMA45" s="375"/>
      <c r="QMB45" s="375"/>
      <c r="QMC45" s="375"/>
      <c r="QMD45" s="375"/>
      <c r="QME45" s="375"/>
      <c r="QMF45" s="375"/>
      <c r="QMG45" s="375"/>
      <c r="QMH45" s="375"/>
      <c r="QMI45" s="375"/>
      <c r="QMJ45" s="375"/>
      <c r="QMK45" s="375"/>
      <c r="QML45" s="375"/>
      <c r="QMM45" s="375"/>
      <c r="QMN45" s="375"/>
      <c r="QMO45" s="375"/>
      <c r="QMP45" s="375"/>
      <c r="QMQ45" s="375"/>
      <c r="QMR45" s="375"/>
      <c r="QMS45" s="375"/>
      <c r="QMT45" s="375"/>
      <c r="QMU45" s="375"/>
      <c r="QMV45" s="375"/>
      <c r="QMW45" s="375"/>
      <c r="QMX45" s="375"/>
      <c r="QMY45" s="375"/>
      <c r="QMZ45" s="375"/>
      <c r="QNA45" s="375"/>
      <c r="QNB45" s="375"/>
      <c r="QNC45" s="375"/>
      <c r="QND45" s="375"/>
      <c r="QNE45" s="375"/>
      <c r="QNF45" s="375"/>
      <c r="QNG45" s="375"/>
      <c r="QNH45" s="375"/>
      <c r="QNI45" s="375"/>
      <c r="QNJ45" s="375"/>
      <c r="QNK45" s="375"/>
      <c r="QNL45" s="375"/>
      <c r="QNM45" s="375"/>
      <c r="QNN45" s="375"/>
      <c r="QNO45" s="375"/>
      <c r="QNP45" s="375"/>
      <c r="QNQ45" s="375"/>
      <c r="QNR45" s="375"/>
      <c r="QNS45" s="375"/>
      <c r="QNT45" s="375"/>
      <c r="QNU45" s="375"/>
      <c r="QNV45" s="375"/>
      <c r="QNW45" s="375"/>
      <c r="QNX45" s="375"/>
      <c r="QNY45" s="375"/>
      <c r="QNZ45" s="375"/>
      <c r="QOA45" s="375"/>
      <c r="QOB45" s="375"/>
      <c r="QOC45" s="375"/>
      <c r="QOD45" s="375"/>
      <c r="QOE45" s="375"/>
      <c r="QOF45" s="375"/>
      <c r="QOG45" s="375"/>
      <c r="QOH45" s="375"/>
      <c r="QOI45" s="375"/>
      <c r="QOJ45" s="375"/>
      <c r="QOK45" s="375"/>
      <c r="QOL45" s="375"/>
      <c r="QOM45" s="375"/>
      <c r="QON45" s="375"/>
      <c r="QOO45" s="375"/>
      <c r="QOP45" s="375"/>
      <c r="QOQ45" s="375"/>
      <c r="QOR45" s="375"/>
      <c r="QOS45" s="375"/>
      <c r="QOT45" s="375"/>
      <c r="QOU45" s="375"/>
      <c r="QOV45" s="375"/>
      <c r="QOW45" s="375"/>
      <c r="QOX45" s="375"/>
      <c r="QOY45" s="375"/>
      <c r="QOZ45" s="375"/>
      <c r="QPA45" s="375"/>
      <c r="QPB45" s="375"/>
      <c r="QPC45" s="375"/>
      <c r="QPD45" s="375"/>
      <c r="QPE45" s="375"/>
      <c r="QPF45" s="375"/>
      <c r="QPG45" s="375"/>
      <c r="QPH45" s="375"/>
      <c r="QPI45" s="375"/>
      <c r="QPJ45" s="375"/>
      <c r="QPK45" s="375"/>
      <c r="QPL45" s="375"/>
      <c r="QPM45" s="375"/>
      <c r="QPN45" s="375"/>
      <c r="QPO45" s="375"/>
      <c r="QPP45" s="375"/>
      <c r="QPQ45" s="375"/>
      <c r="QPR45" s="375"/>
      <c r="QPS45" s="375"/>
      <c r="QPT45" s="375"/>
      <c r="QPU45" s="375"/>
      <c r="QPV45" s="375"/>
      <c r="QPW45" s="375"/>
      <c r="QPX45" s="375"/>
      <c r="QPY45" s="375"/>
      <c r="QPZ45" s="375"/>
      <c r="QQA45" s="375"/>
      <c r="QQB45" s="375"/>
      <c r="QQC45" s="375"/>
      <c r="QQD45" s="375"/>
      <c r="QQE45" s="375"/>
      <c r="QQF45" s="375"/>
      <c r="QQG45" s="375"/>
      <c r="QQH45" s="375"/>
      <c r="QQI45" s="375"/>
      <c r="QQJ45" s="375"/>
      <c r="QQK45" s="375"/>
      <c r="QQL45" s="375"/>
      <c r="QQM45" s="375"/>
      <c r="QQN45" s="375"/>
      <c r="QQO45" s="375"/>
      <c r="QQP45" s="375"/>
      <c r="QQQ45" s="375"/>
      <c r="QQR45" s="375"/>
      <c r="QQS45" s="375"/>
      <c r="QQT45" s="375"/>
      <c r="QQU45" s="375"/>
      <c r="QQV45" s="375"/>
      <c r="QQW45" s="375"/>
      <c r="QQX45" s="375"/>
      <c r="QQY45" s="375"/>
      <c r="QQZ45" s="375"/>
      <c r="QRA45" s="375"/>
      <c r="QRB45" s="375"/>
      <c r="QRC45" s="375"/>
      <c r="QRD45" s="375"/>
      <c r="QRE45" s="375"/>
      <c r="QRF45" s="375"/>
      <c r="QRG45" s="375"/>
      <c r="QRH45" s="375"/>
      <c r="QRI45" s="375"/>
      <c r="QRJ45" s="375"/>
      <c r="QRK45" s="375"/>
      <c r="QRL45" s="375"/>
      <c r="QRM45" s="375"/>
      <c r="QRN45" s="375"/>
      <c r="QRO45" s="375"/>
      <c r="QRP45" s="375"/>
      <c r="QRQ45" s="375"/>
      <c r="QRR45" s="375"/>
      <c r="QRS45" s="375"/>
      <c r="QRT45" s="375"/>
      <c r="QRU45" s="375"/>
      <c r="QRV45" s="375"/>
      <c r="QRW45" s="375"/>
      <c r="QRX45" s="375"/>
      <c r="QRY45" s="375"/>
      <c r="QRZ45" s="375"/>
      <c r="QSA45" s="375"/>
      <c r="QSB45" s="375"/>
      <c r="QSC45" s="375"/>
      <c r="QSD45" s="375"/>
      <c r="QSE45" s="375"/>
      <c r="QSF45" s="375"/>
      <c r="QSG45" s="375"/>
      <c r="QSH45" s="375"/>
      <c r="QSI45" s="375"/>
      <c r="QSJ45" s="375"/>
      <c r="QSK45" s="375"/>
      <c r="QSL45" s="375"/>
      <c r="QSM45" s="375"/>
      <c r="QSN45" s="375"/>
      <c r="QSO45" s="375"/>
      <c r="QSP45" s="375"/>
      <c r="QSQ45" s="375"/>
      <c r="QSR45" s="375"/>
      <c r="QSS45" s="375"/>
      <c r="QST45" s="375"/>
      <c r="QSU45" s="375"/>
      <c r="QSV45" s="375"/>
      <c r="QSW45" s="375"/>
      <c r="QSX45" s="375"/>
      <c r="QSY45" s="375"/>
      <c r="QSZ45" s="375"/>
      <c r="QTA45" s="375"/>
      <c r="QTB45" s="375"/>
      <c r="QTC45" s="375"/>
      <c r="QTD45" s="375"/>
      <c r="QTE45" s="375"/>
      <c r="QTF45" s="375"/>
      <c r="QTG45" s="375"/>
      <c r="QTH45" s="375"/>
      <c r="QTI45" s="375"/>
      <c r="QTJ45" s="375"/>
      <c r="QTK45" s="375"/>
      <c r="QTL45" s="375"/>
      <c r="QTM45" s="375"/>
      <c r="QTN45" s="375"/>
      <c r="QTO45" s="375"/>
      <c r="QTP45" s="375"/>
      <c r="QTQ45" s="375"/>
      <c r="QTR45" s="375"/>
      <c r="QTS45" s="375"/>
      <c r="QTT45" s="375"/>
      <c r="QTU45" s="375"/>
      <c r="QTV45" s="375"/>
      <c r="QTW45" s="375"/>
      <c r="QTX45" s="375"/>
      <c r="QTY45" s="375"/>
      <c r="QTZ45" s="375"/>
      <c r="QUA45" s="375"/>
      <c r="QUB45" s="375"/>
      <c r="QUC45" s="375"/>
      <c r="QUD45" s="375"/>
      <c r="QUE45" s="375"/>
      <c r="QUF45" s="375"/>
      <c r="QUG45" s="375"/>
      <c r="QUH45" s="375"/>
      <c r="QUI45" s="375"/>
      <c r="QUJ45" s="375"/>
      <c r="QUK45" s="375"/>
      <c r="QUL45" s="375"/>
      <c r="QUM45" s="375"/>
      <c r="QUN45" s="375"/>
      <c r="QUO45" s="375"/>
      <c r="QUP45" s="375"/>
      <c r="QUQ45" s="375"/>
      <c r="QUR45" s="375"/>
      <c r="QUS45" s="375"/>
      <c r="QUT45" s="375"/>
      <c r="QUU45" s="375"/>
      <c r="QUV45" s="375"/>
      <c r="QUW45" s="375"/>
      <c r="QUX45" s="375"/>
      <c r="QUY45" s="375"/>
      <c r="QUZ45" s="375"/>
      <c r="QVA45" s="375"/>
      <c r="QVB45" s="375"/>
      <c r="QVC45" s="375"/>
      <c r="QVD45" s="375"/>
      <c r="QVE45" s="375"/>
      <c r="QVF45" s="375"/>
      <c r="QVG45" s="375"/>
      <c r="QVH45" s="375"/>
      <c r="QVI45" s="375"/>
      <c r="QVJ45" s="375"/>
      <c r="QVK45" s="375"/>
      <c r="QVL45" s="375"/>
      <c r="QVM45" s="375"/>
      <c r="QVN45" s="375"/>
      <c r="QVO45" s="375"/>
      <c r="QVP45" s="375"/>
      <c r="QVQ45" s="375"/>
      <c r="QVR45" s="375"/>
      <c r="QVS45" s="375"/>
      <c r="QVT45" s="375"/>
      <c r="QVU45" s="375"/>
      <c r="QVV45" s="375"/>
      <c r="QVW45" s="375"/>
      <c r="QVX45" s="375"/>
      <c r="QVY45" s="375"/>
      <c r="QVZ45" s="375"/>
      <c r="QWA45" s="375"/>
      <c r="QWB45" s="375"/>
      <c r="QWC45" s="375"/>
      <c r="QWD45" s="375"/>
      <c r="QWE45" s="375"/>
      <c r="QWF45" s="375"/>
      <c r="QWG45" s="375"/>
      <c r="QWH45" s="375"/>
      <c r="QWI45" s="375"/>
      <c r="QWJ45" s="375"/>
      <c r="QWK45" s="375"/>
      <c r="QWL45" s="375"/>
      <c r="QWM45" s="375"/>
      <c r="QWN45" s="375"/>
      <c r="QWO45" s="375"/>
      <c r="QWP45" s="375"/>
      <c r="QWQ45" s="375"/>
      <c r="QWR45" s="375"/>
      <c r="QWS45" s="375"/>
      <c r="QWT45" s="375"/>
      <c r="QWU45" s="375"/>
      <c r="QWV45" s="375"/>
      <c r="QWW45" s="375"/>
      <c r="QWX45" s="375"/>
      <c r="QWY45" s="375"/>
      <c r="QWZ45" s="375"/>
      <c r="QXA45" s="375"/>
      <c r="QXB45" s="375"/>
      <c r="QXC45" s="375"/>
      <c r="QXD45" s="375"/>
      <c r="QXE45" s="375"/>
      <c r="QXF45" s="375"/>
      <c r="QXG45" s="375"/>
      <c r="QXH45" s="375"/>
      <c r="QXI45" s="375"/>
      <c r="QXJ45" s="375"/>
      <c r="QXK45" s="375"/>
      <c r="QXL45" s="375"/>
      <c r="QXM45" s="375"/>
      <c r="QXN45" s="375"/>
      <c r="QXO45" s="375"/>
      <c r="QXP45" s="375"/>
      <c r="QXQ45" s="375"/>
      <c r="QXR45" s="375"/>
      <c r="QXS45" s="375"/>
      <c r="QXT45" s="375"/>
      <c r="QXU45" s="375"/>
      <c r="QXV45" s="375"/>
      <c r="QXW45" s="375"/>
      <c r="QXX45" s="375"/>
      <c r="QXY45" s="375"/>
      <c r="QXZ45" s="375"/>
      <c r="QYA45" s="375"/>
      <c r="QYB45" s="375"/>
      <c r="QYC45" s="375"/>
      <c r="QYD45" s="375"/>
      <c r="QYE45" s="375"/>
      <c r="QYF45" s="375"/>
      <c r="QYG45" s="375"/>
      <c r="QYH45" s="375"/>
      <c r="QYI45" s="375"/>
      <c r="QYJ45" s="375"/>
      <c r="QYK45" s="375"/>
      <c r="QYL45" s="375"/>
      <c r="QYM45" s="375"/>
      <c r="QYN45" s="375"/>
      <c r="QYO45" s="375"/>
      <c r="QYP45" s="375"/>
      <c r="QYQ45" s="375"/>
      <c r="QYR45" s="375"/>
      <c r="QYS45" s="375"/>
      <c r="QYT45" s="375"/>
      <c r="QYU45" s="375"/>
      <c r="QYV45" s="375"/>
      <c r="QYW45" s="375"/>
      <c r="QYX45" s="375"/>
      <c r="QYY45" s="375"/>
      <c r="QYZ45" s="375"/>
      <c r="QZA45" s="375"/>
      <c r="QZB45" s="375"/>
      <c r="QZC45" s="375"/>
      <c r="QZD45" s="375"/>
      <c r="QZE45" s="375"/>
      <c r="QZF45" s="375"/>
      <c r="QZG45" s="375"/>
      <c r="QZH45" s="375"/>
      <c r="QZI45" s="375"/>
      <c r="QZJ45" s="375"/>
      <c r="QZK45" s="375"/>
      <c r="QZL45" s="375"/>
      <c r="QZM45" s="375"/>
      <c r="QZN45" s="375"/>
      <c r="QZO45" s="375"/>
      <c r="QZP45" s="375"/>
      <c r="QZQ45" s="375"/>
      <c r="QZR45" s="375"/>
      <c r="QZS45" s="375"/>
      <c r="QZT45" s="375"/>
      <c r="QZU45" s="375"/>
      <c r="QZV45" s="375"/>
      <c r="QZW45" s="375"/>
      <c r="QZX45" s="375"/>
      <c r="QZY45" s="375"/>
      <c r="QZZ45" s="375"/>
      <c r="RAA45" s="375"/>
      <c r="RAB45" s="375"/>
      <c r="RAC45" s="375"/>
      <c r="RAD45" s="375"/>
      <c r="RAE45" s="375"/>
      <c r="RAF45" s="375"/>
      <c r="RAG45" s="375"/>
      <c r="RAH45" s="375"/>
      <c r="RAI45" s="375"/>
      <c r="RAJ45" s="375"/>
      <c r="RAK45" s="375"/>
      <c r="RAL45" s="375"/>
      <c r="RAM45" s="375"/>
      <c r="RAN45" s="375"/>
      <c r="RAO45" s="375"/>
      <c r="RAP45" s="375"/>
      <c r="RAQ45" s="375"/>
      <c r="RAR45" s="375"/>
      <c r="RAS45" s="375"/>
      <c r="RAT45" s="375"/>
      <c r="RAU45" s="375"/>
      <c r="RAV45" s="375"/>
      <c r="RAW45" s="375"/>
      <c r="RAX45" s="375"/>
      <c r="RAY45" s="375"/>
      <c r="RAZ45" s="375"/>
      <c r="RBA45" s="375"/>
      <c r="RBB45" s="375"/>
      <c r="RBC45" s="375"/>
      <c r="RBD45" s="375"/>
      <c r="RBE45" s="375"/>
      <c r="RBF45" s="375"/>
      <c r="RBG45" s="375"/>
      <c r="RBH45" s="375"/>
      <c r="RBI45" s="375"/>
      <c r="RBJ45" s="375"/>
      <c r="RBK45" s="375"/>
      <c r="RBL45" s="375"/>
      <c r="RBM45" s="375"/>
      <c r="RBN45" s="375"/>
      <c r="RBO45" s="375"/>
      <c r="RBP45" s="375"/>
      <c r="RBQ45" s="375"/>
      <c r="RBR45" s="375"/>
      <c r="RBS45" s="375"/>
      <c r="RBT45" s="375"/>
      <c r="RBU45" s="375"/>
      <c r="RBV45" s="375"/>
      <c r="RBW45" s="375"/>
      <c r="RBX45" s="375"/>
      <c r="RBY45" s="375"/>
      <c r="RBZ45" s="375"/>
      <c r="RCA45" s="375"/>
      <c r="RCB45" s="375"/>
      <c r="RCC45" s="375"/>
      <c r="RCD45" s="375"/>
      <c r="RCE45" s="375"/>
      <c r="RCF45" s="375"/>
      <c r="RCG45" s="375"/>
      <c r="RCH45" s="375"/>
      <c r="RCI45" s="375"/>
      <c r="RCJ45" s="375"/>
      <c r="RCK45" s="375"/>
      <c r="RCL45" s="375"/>
      <c r="RCM45" s="375"/>
      <c r="RCN45" s="375"/>
      <c r="RCO45" s="375"/>
      <c r="RCP45" s="375"/>
      <c r="RCQ45" s="375"/>
      <c r="RCR45" s="375"/>
      <c r="RCS45" s="375"/>
      <c r="RCT45" s="375"/>
      <c r="RCU45" s="375"/>
      <c r="RCV45" s="375"/>
      <c r="RCW45" s="375"/>
      <c r="RCX45" s="375"/>
      <c r="RCY45" s="375"/>
      <c r="RCZ45" s="375"/>
      <c r="RDA45" s="375"/>
      <c r="RDB45" s="375"/>
      <c r="RDC45" s="375"/>
      <c r="RDD45" s="375"/>
      <c r="RDE45" s="375"/>
      <c r="RDF45" s="375"/>
      <c r="RDG45" s="375"/>
      <c r="RDH45" s="375"/>
      <c r="RDI45" s="375"/>
      <c r="RDJ45" s="375"/>
      <c r="RDK45" s="375"/>
      <c r="RDL45" s="375"/>
      <c r="RDM45" s="375"/>
      <c r="RDN45" s="375"/>
      <c r="RDO45" s="375"/>
      <c r="RDP45" s="375"/>
      <c r="RDQ45" s="375"/>
      <c r="RDR45" s="375"/>
      <c r="RDS45" s="375"/>
      <c r="RDT45" s="375"/>
      <c r="RDU45" s="375"/>
      <c r="RDV45" s="375"/>
      <c r="RDW45" s="375"/>
      <c r="RDX45" s="375"/>
      <c r="RDY45" s="375"/>
      <c r="RDZ45" s="375"/>
      <c r="REA45" s="375"/>
      <c r="REB45" s="375"/>
      <c r="REC45" s="375"/>
      <c r="RED45" s="375"/>
      <c r="REE45" s="375"/>
      <c r="REF45" s="375"/>
      <c r="REG45" s="375"/>
      <c r="REH45" s="375"/>
      <c r="REI45" s="375"/>
      <c r="REJ45" s="375"/>
      <c r="REK45" s="375"/>
      <c r="REL45" s="375"/>
      <c r="REM45" s="375"/>
      <c r="REN45" s="375"/>
      <c r="REO45" s="375"/>
      <c r="REP45" s="375"/>
      <c r="REQ45" s="375"/>
      <c r="RER45" s="375"/>
      <c r="RES45" s="375"/>
      <c r="RET45" s="375"/>
      <c r="REU45" s="375"/>
      <c r="REV45" s="375"/>
      <c r="REW45" s="375"/>
      <c r="REX45" s="375"/>
      <c r="REY45" s="375"/>
      <c r="REZ45" s="375"/>
      <c r="RFA45" s="375"/>
      <c r="RFB45" s="375"/>
      <c r="RFC45" s="375"/>
      <c r="RFD45" s="375"/>
      <c r="RFE45" s="375"/>
      <c r="RFF45" s="375"/>
      <c r="RFG45" s="375"/>
      <c r="RFH45" s="375"/>
      <c r="RFI45" s="375"/>
      <c r="RFJ45" s="375"/>
      <c r="RFK45" s="375"/>
      <c r="RFL45" s="375"/>
      <c r="RFM45" s="375"/>
      <c r="RFN45" s="375"/>
      <c r="RFO45" s="375"/>
      <c r="RFP45" s="375"/>
      <c r="RFQ45" s="375"/>
      <c r="RFR45" s="375"/>
      <c r="RFS45" s="375"/>
      <c r="RFT45" s="375"/>
      <c r="RFU45" s="375"/>
      <c r="RFV45" s="375"/>
      <c r="RFW45" s="375"/>
      <c r="RFX45" s="375"/>
      <c r="RFY45" s="375"/>
      <c r="RFZ45" s="375"/>
      <c r="RGA45" s="375"/>
      <c r="RGB45" s="375"/>
      <c r="RGC45" s="375"/>
      <c r="RGD45" s="375"/>
      <c r="RGE45" s="375"/>
      <c r="RGF45" s="375"/>
      <c r="RGG45" s="375"/>
      <c r="RGH45" s="375"/>
      <c r="RGI45" s="375"/>
      <c r="RGJ45" s="375"/>
      <c r="RGK45" s="375"/>
      <c r="RGL45" s="375"/>
      <c r="RGM45" s="375"/>
      <c r="RGN45" s="375"/>
      <c r="RGO45" s="375"/>
      <c r="RGP45" s="375"/>
      <c r="RGQ45" s="375"/>
      <c r="RGR45" s="375"/>
      <c r="RGS45" s="375"/>
      <c r="RGT45" s="375"/>
      <c r="RGU45" s="375"/>
      <c r="RGV45" s="375"/>
      <c r="RGW45" s="375"/>
      <c r="RGX45" s="375"/>
      <c r="RGY45" s="375"/>
      <c r="RGZ45" s="375"/>
      <c r="RHA45" s="375"/>
      <c r="RHB45" s="375"/>
      <c r="RHC45" s="375"/>
      <c r="RHD45" s="375"/>
      <c r="RHE45" s="375"/>
      <c r="RHF45" s="375"/>
      <c r="RHG45" s="375"/>
      <c r="RHH45" s="375"/>
      <c r="RHI45" s="375"/>
      <c r="RHJ45" s="375"/>
      <c r="RHK45" s="375"/>
      <c r="RHL45" s="375"/>
      <c r="RHM45" s="375"/>
      <c r="RHN45" s="375"/>
      <c r="RHO45" s="375"/>
      <c r="RHP45" s="375"/>
      <c r="RHQ45" s="375"/>
      <c r="RHR45" s="375"/>
      <c r="RHS45" s="375"/>
      <c r="RHT45" s="375"/>
      <c r="RHU45" s="375"/>
      <c r="RHV45" s="375"/>
      <c r="RHW45" s="375"/>
      <c r="RHX45" s="375"/>
      <c r="RHY45" s="375"/>
      <c r="RHZ45" s="375"/>
      <c r="RIA45" s="375"/>
      <c r="RIB45" s="375"/>
      <c r="RIC45" s="375"/>
      <c r="RID45" s="375"/>
      <c r="RIE45" s="375"/>
      <c r="RIF45" s="375"/>
      <c r="RIG45" s="375"/>
      <c r="RIH45" s="375"/>
      <c r="RII45" s="375"/>
      <c r="RIJ45" s="375"/>
      <c r="RIK45" s="375"/>
      <c r="RIL45" s="375"/>
      <c r="RIM45" s="375"/>
      <c r="RIN45" s="375"/>
      <c r="RIO45" s="375"/>
      <c r="RIP45" s="375"/>
      <c r="RIQ45" s="375"/>
      <c r="RIR45" s="375"/>
      <c r="RIS45" s="375"/>
      <c r="RIT45" s="375"/>
      <c r="RIU45" s="375"/>
      <c r="RIV45" s="375"/>
      <c r="RIW45" s="375"/>
      <c r="RIX45" s="375"/>
      <c r="RIY45" s="375"/>
      <c r="RIZ45" s="375"/>
      <c r="RJA45" s="375"/>
      <c r="RJB45" s="375"/>
      <c r="RJC45" s="375"/>
      <c r="RJD45" s="375"/>
      <c r="RJE45" s="375"/>
      <c r="RJF45" s="375"/>
      <c r="RJG45" s="375"/>
      <c r="RJH45" s="375"/>
      <c r="RJI45" s="375"/>
      <c r="RJJ45" s="375"/>
      <c r="RJK45" s="375"/>
      <c r="RJL45" s="375"/>
      <c r="RJM45" s="375"/>
      <c r="RJN45" s="375"/>
      <c r="RJO45" s="375"/>
      <c r="RJP45" s="375"/>
      <c r="RJQ45" s="375"/>
      <c r="RJR45" s="375"/>
      <c r="RJS45" s="375"/>
      <c r="RJT45" s="375"/>
      <c r="RJU45" s="375"/>
      <c r="RJV45" s="375"/>
      <c r="RJW45" s="375"/>
      <c r="RJX45" s="375"/>
      <c r="RJY45" s="375"/>
      <c r="RJZ45" s="375"/>
      <c r="RKA45" s="375"/>
      <c r="RKB45" s="375"/>
      <c r="RKC45" s="375"/>
      <c r="RKD45" s="375"/>
      <c r="RKE45" s="375"/>
      <c r="RKF45" s="375"/>
      <c r="RKG45" s="375"/>
      <c r="RKH45" s="375"/>
      <c r="RKI45" s="375"/>
      <c r="RKJ45" s="375"/>
      <c r="RKK45" s="375"/>
      <c r="RKL45" s="375"/>
      <c r="RKM45" s="375"/>
      <c r="RKN45" s="375"/>
      <c r="RKO45" s="375"/>
      <c r="RKP45" s="375"/>
      <c r="RKQ45" s="375"/>
      <c r="RKR45" s="375"/>
      <c r="RKS45" s="375"/>
      <c r="RKT45" s="375"/>
      <c r="RKU45" s="375"/>
      <c r="RKV45" s="375"/>
      <c r="RKW45" s="375"/>
      <c r="RKX45" s="375"/>
      <c r="RKY45" s="375"/>
      <c r="RKZ45" s="375"/>
      <c r="RLA45" s="375"/>
      <c r="RLB45" s="375"/>
      <c r="RLC45" s="375"/>
      <c r="RLD45" s="375"/>
      <c r="RLE45" s="375"/>
      <c r="RLF45" s="375"/>
      <c r="RLG45" s="375"/>
      <c r="RLH45" s="375"/>
      <c r="RLI45" s="375"/>
      <c r="RLJ45" s="375"/>
      <c r="RLK45" s="375"/>
      <c r="RLL45" s="375"/>
      <c r="RLM45" s="375"/>
      <c r="RLN45" s="375"/>
      <c r="RLO45" s="375"/>
      <c r="RLP45" s="375"/>
      <c r="RLQ45" s="375"/>
      <c r="RLR45" s="375"/>
      <c r="RLS45" s="375"/>
      <c r="RLT45" s="375"/>
      <c r="RLU45" s="375"/>
      <c r="RLV45" s="375"/>
      <c r="RLW45" s="375"/>
      <c r="RLX45" s="375"/>
      <c r="RLY45" s="375"/>
      <c r="RLZ45" s="375"/>
      <c r="RMA45" s="375"/>
      <c r="RMB45" s="375"/>
      <c r="RMC45" s="375"/>
      <c r="RMD45" s="375"/>
      <c r="RME45" s="375"/>
      <c r="RMF45" s="375"/>
      <c r="RMG45" s="375"/>
      <c r="RMH45" s="375"/>
      <c r="RMI45" s="375"/>
      <c r="RMJ45" s="375"/>
      <c r="RMK45" s="375"/>
      <c r="RML45" s="375"/>
      <c r="RMM45" s="375"/>
      <c r="RMN45" s="375"/>
      <c r="RMO45" s="375"/>
      <c r="RMP45" s="375"/>
      <c r="RMQ45" s="375"/>
      <c r="RMR45" s="375"/>
      <c r="RMS45" s="375"/>
      <c r="RMT45" s="375"/>
      <c r="RMU45" s="375"/>
      <c r="RMV45" s="375"/>
      <c r="RMW45" s="375"/>
      <c r="RMX45" s="375"/>
      <c r="RMY45" s="375"/>
      <c r="RMZ45" s="375"/>
      <c r="RNA45" s="375"/>
      <c r="RNB45" s="375"/>
      <c r="RNC45" s="375"/>
      <c r="RND45" s="375"/>
      <c r="RNE45" s="375"/>
      <c r="RNF45" s="375"/>
      <c r="RNG45" s="375"/>
      <c r="RNH45" s="375"/>
      <c r="RNI45" s="375"/>
      <c r="RNJ45" s="375"/>
      <c r="RNK45" s="375"/>
      <c r="RNL45" s="375"/>
      <c r="RNM45" s="375"/>
      <c r="RNN45" s="375"/>
      <c r="RNO45" s="375"/>
      <c r="RNP45" s="375"/>
      <c r="RNQ45" s="375"/>
      <c r="RNR45" s="375"/>
      <c r="RNS45" s="375"/>
      <c r="RNT45" s="375"/>
      <c r="RNU45" s="375"/>
      <c r="RNV45" s="375"/>
      <c r="RNW45" s="375"/>
      <c r="RNX45" s="375"/>
      <c r="RNY45" s="375"/>
      <c r="RNZ45" s="375"/>
      <c r="ROA45" s="375"/>
      <c r="ROB45" s="375"/>
      <c r="ROC45" s="375"/>
      <c r="ROD45" s="375"/>
      <c r="ROE45" s="375"/>
      <c r="ROF45" s="375"/>
      <c r="ROG45" s="375"/>
      <c r="ROH45" s="375"/>
      <c r="ROI45" s="375"/>
      <c r="ROJ45" s="375"/>
      <c r="ROK45" s="375"/>
      <c r="ROL45" s="375"/>
      <c r="ROM45" s="375"/>
      <c r="RON45" s="375"/>
      <c r="ROO45" s="375"/>
      <c r="ROP45" s="375"/>
      <c r="ROQ45" s="375"/>
      <c r="ROR45" s="375"/>
      <c r="ROS45" s="375"/>
      <c r="ROT45" s="375"/>
      <c r="ROU45" s="375"/>
      <c r="ROV45" s="375"/>
      <c r="ROW45" s="375"/>
      <c r="ROX45" s="375"/>
      <c r="ROY45" s="375"/>
      <c r="ROZ45" s="375"/>
      <c r="RPA45" s="375"/>
      <c r="RPB45" s="375"/>
      <c r="RPC45" s="375"/>
      <c r="RPD45" s="375"/>
      <c r="RPE45" s="375"/>
      <c r="RPF45" s="375"/>
      <c r="RPG45" s="375"/>
      <c r="RPH45" s="375"/>
      <c r="RPI45" s="375"/>
      <c r="RPJ45" s="375"/>
      <c r="RPK45" s="375"/>
      <c r="RPL45" s="375"/>
      <c r="RPM45" s="375"/>
      <c r="RPN45" s="375"/>
      <c r="RPO45" s="375"/>
      <c r="RPP45" s="375"/>
      <c r="RPQ45" s="375"/>
      <c r="RPR45" s="375"/>
      <c r="RPS45" s="375"/>
      <c r="RPT45" s="375"/>
      <c r="RPU45" s="375"/>
      <c r="RPV45" s="375"/>
      <c r="RPW45" s="375"/>
      <c r="RPX45" s="375"/>
      <c r="RPY45" s="375"/>
      <c r="RPZ45" s="375"/>
      <c r="RQA45" s="375"/>
      <c r="RQB45" s="375"/>
      <c r="RQC45" s="375"/>
      <c r="RQD45" s="375"/>
      <c r="RQE45" s="375"/>
      <c r="RQF45" s="375"/>
      <c r="RQG45" s="375"/>
      <c r="RQH45" s="375"/>
      <c r="RQI45" s="375"/>
      <c r="RQJ45" s="375"/>
      <c r="RQK45" s="375"/>
      <c r="RQL45" s="375"/>
      <c r="RQM45" s="375"/>
      <c r="RQN45" s="375"/>
      <c r="RQO45" s="375"/>
      <c r="RQP45" s="375"/>
      <c r="RQQ45" s="375"/>
      <c r="RQR45" s="375"/>
      <c r="RQS45" s="375"/>
      <c r="RQT45" s="375"/>
      <c r="RQU45" s="375"/>
      <c r="RQV45" s="375"/>
      <c r="RQW45" s="375"/>
      <c r="RQX45" s="375"/>
      <c r="RQY45" s="375"/>
      <c r="RQZ45" s="375"/>
      <c r="RRA45" s="375"/>
      <c r="RRB45" s="375"/>
      <c r="RRC45" s="375"/>
      <c r="RRD45" s="375"/>
      <c r="RRE45" s="375"/>
      <c r="RRF45" s="375"/>
      <c r="RRG45" s="375"/>
      <c r="RRH45" s="375"/>
      <c r="RRI45" s="375"/>
      <c r="RRJ45" s="375"/>
      <c r="RRK45" s="375"/>
      <c r="RRL45" s="375"/>
      <c r="RRM45" s="375"/>
      <c r="RRN45" s="375"/>
      <c r="RRO45" s="375"/>
      <c r="RRP45" s="375"/>
      <c r="RRQ45" s="375"/>
      <c r="RRR45" s="375"/>
      <c r="RRS45" s="375"/>
      <c r="RRT45" s="375"/>
      <c r="RRU45" s="375"/>
      <c r="RRV45" s="375"/>
      <c r="RRW45" s="375"/>
      <c r="RRX45" s="375"/>
      <c r="RRY45" s="375"/>
      <c r="RRZ45" s="375"/>
      <c r="RSA45" s="375"/>
      <c r="RSB45" s="375"/>
      <c r="RSC45" s="375"/>
      <c r="RSD45" s="375"/>
      <c r="RSE45" s="375"/>
      <c r="RSF45" s="375"/>
      <c r="RSG45" s="375"/>
      <c r="RSH45" s="375"/>
      <c r="RSI45" s="375"/>
      <c r="RSJ45" s="375"/>
      <c r="RSK45" s="375"/>
      <c r="RSL45" s="375"/>
      <c r="RSM45" s="375"/>
      <c r="RSN45" s="375"/>
      <c r="RSO45" s="375"/>
      <c r="RSP45" s="375"/>
      <c r="RSQ45" s="375"/>
      <c r="RSR45" s="375"/>
      <c r="RSS45" s="375"/>
      <c r="RST45" s="375"/>
      <c r="RSU45" s="375"/>
      <c r="RSV45" s="375"/>
      <c r="RSW45" s="375"/>
      <c r="RSX45" s="375"/>
      <c r="RSY45" s="375"/>
      <c r="RSZ45" s="375"/>
      <c r="RTA45" s="375"/>
      <c r="RTB45" s="375"/>
      <c r="RTC45" s="375"/>
      <c r="RTD45" s="375"/>
      <c r="RTE45" s="375"/>
      <c r="RTF45" s="375"/>
      <c r="RTG45" s="375"/>
      <c r="RTH45" s="375"/>
      <c r="RTI45" s="375"/>
      <c r="RTJ45" s="375"/>
      <c r="RTK45" s="375"/>
      <c r="RTL45" s="375"/>
      <c r="RTM45" s="375"/>
      <c r="RTN45" s="375"/>
      <c r="RTO45" s="375"/>
      <c r="RTP45" s="375"/>
      <c r="RTQ45" s="375"/>
      <c r="RTR45" s="375"/>
      <c r="RTS45" s="375"/>
      <c r="RTT45" s="375"/>
      <c r="RTU45" s="375"/>
      <c r="RTV45" s="375"/>
      <c r="RTW45" s="375"/>
      <c r="RTX45" s="375"/>
      <c r="RTY45" s="375"/>
      <c r="RTZ45" s="375"/>
      <c r="RUA45" s="375"/>
      <c r="RUB45" s="375"/>
      <c r="RUC45" s="375"/>
      <c r="RUD45" s="375"/>
      <c r="RUE45" s="375"/>
      <c r="RUF45" s="375"/>
      <c r="RUG45" s="375"/>
      <c r="RUH45" s="375"/>
      <c r="RUI45" s="375"/>
      <c r="RUJ45" s="375"/>
      <c r="RUK45" s="375"/>
      <c r="RUL45" s="375"/>
      <c r="RUM45" s="375"/>
      <c r="RUN45" s="375"/>
      <c r="RUO45" s="375"/>
      <c r="RUP45" s="375"/>
      <c r="RUQ45" s="375"/>
      <c r="RUR45" s="375"/>
      <c r="RUS45" s="375"/>
      <c r="RUT45" s="375"/>
      <c r="RUU45" s="375"/>
      <c r="RUV45" s="375"/>
      <c r="RUW45" s="375"/>
      <c r="RUX45" s="375"/>
      <c r="RUY45" s="375"/>
      <c r="RUZ45" s="375"/>
      <c r="RVA45" s="375"/>
      <c r="RVB45" s="375"/>
      <c r="RVC45" s="375"/>
      <c r="RVD45" s="375"/>
      <c r="RVE45" s="375"/>
      <c r="RVF45" s="375"/>
      <c r="RVG45" s="375"/>
      <c r="RVH45" s="375"/>
      <c r="RVI45" s="375"/>
      <c r="RVJ45" s="375"/>
      <c r="RVK45" s="375"/>
      <c r="RVL45" s="375"/>
      <c r="RVM45" s="375"/>
      <c r="RVN45" s="375"/>
      <c r="RVO45" s="375"/>
      <c r="RVP45" s="375"/>
      <c r="RVQ45" s="375"/>
      <c r="RVR45" s="375"/>
      <c r="RVS45" s="375"/>
      <c r="RVT45" s="375"/>
      <c r="RVU45" s="375"/>
      <c r="RVV45" s="375"/>
      <c r="RVW45" s="375"/>
      <c r="RVX45" s="375"/>
      <c r="RVY45" s="375"/>
      <c r="RVZ45" s="375"/>
      <c r="RWA45" s="375"/>
      <c r="RWB45" s="375"/>
      <c r="RWC45" s="375"/>
      <c r="RWD45" s="375"/>
      <c r="RWE45" s="375"/>
      <c r="RWF45" s="375"/>
      <c r="RWG45" s="375"/>
      <c r="RWH45" s="375"/>
      <c r="RWI45" s="375"/>
      <c r="RWJ45" s="375"/>
      <c r="RWK45" s="375"/>
      <c r="RWL45" s="375"/>
      <c r="RWM45" s="375"/>
      <c r="RWN45" s="375"/>
      <c r="RWO45" s="375"/>
      <c r="RWP45" s="375"/>
      <c r="RWQ45" s="375"/>
      <c r="RWR45" s="375"/>
      <c r="RWS45" s="375"/>
      <c r="RWT45" s="375"/>
      <c r="RWU45" s="375"/>
      <c r="RWV45" s="375"/>
      <c r="RWW45" s="375"/>
      <c r="RWX45" s="375"/>
      <c r="RWY45" s="375"/>
      <c r="RWZ45" s="375"/>
      <c r="RXA45" s="375"/>
      <c r="RXB45" s="375"/>
      <c r="RXC45" s="375"/>
      <c r="RXD45" s="375"/>
      <c r="RXE45" s="375"/>
      <c r="RXF45" s="375"/>
      <c r="RXG45" s="375"/>
      <c r="RXH45" s="375"/>
      <c r="RXI45" s="375"/>
      <c r="RXJ45" s="375"/>
      <c r="RXK45" s="375"/>
      <c r="RXL45" s="375"/>
      <c r="RXM45" s="375"/>
      <c r="RXN45" s="375"/>
      <c r="RXO45" s="375"/>
      <c r="RXP45" s="375"/>
      <c r="RXQ45" s="375"/>
      <c r="RXR45" s="375"/>
      <c r="RXS45" s="375"/>
      <c r="RXT45" s="375"/>
      <c r="RXU45" s="375"/>
      <c r="RXV45" s="375"/>
      <c r="RXW45" s="375"/>
      <c r="RXX45" s="375"/>
      <c r="RXY45" s="375"/>
      <c r="RXZ45" s="375"/>
      <c r="RYA45" s="375"/>
      <c r="RYB45" s="375"/>
      <c r="RYC45" s="375"/>
      <c r="RYD45" s="375"/>
      <c r="RYE45" s="375"/>
      <c r="RYF45" s="375"/>
      <c r="RYG45" s="375"/>
      <c r="RYH45" s="375"/>
      <c r="RYI45" s="375"/>
      <c r="RYJ45" s="375"/>
      <c r="RYK45" s="375"/>
      <c r="RYL45" s="375"/>
      <c r="RYM45" s="375"/>
      <c r="RYN45" s="375"/>
      <c r="RYO45" s="375"/>
      <c r="RYP45" s="375"/>
      <c r="RYQ45" s="375"/>
      <c r="RYR45" s="375"/>
      <c r="RYS45" s="375"/>
      <c r="RYT45" s="375"/>
      <c r="RYU45" s="375"/>
      <c r="RYV45" s="375"/>
      <c r="RYW45" s="375"/>
      <c r="RYX45" s="375"/>
      <c r="RYY45" s="375"/>
      <c r="RYZ45" s="375"/>
      <c r="RZA45" s="375"/>
      <c r="RZB45" s="375"/>
      <c r="RZC45" s="375"/>
      <c r="RZD45" s="375"/>
      <c r="RZE45" s="375"/>
      <c r="RZF45" s="375"/>
      <c r="RZG45" s="375"/>
      <c r="RZH45" s="375"/>
      <c r="RZI45" s="375"/>
      <c r="RZJ45" s="375"/>
      <c r="RZK45" s="375"/>
      <c r="RZL45" s="375"/>
      <c r="RZM45" s="375"/>
      <c r="RZN45" s="375"/>
      <c r="RZO45" s="375"/>
      <c r="RZP45" s="375"/>
      <c r="RZQ45" s="375"/>
      <c r="RZR45" s="375"/>
      <c r="RZS45" s="375"/>
      <c r="RZT45" s="375"/>
      <c r="RZU45" s="375"/>
      <c r="RZV45" s="375"/>
      <c r="RZW45" s="375"/>
      <c r="RZX45" s="375"/>
      <c r="RZY45" s="375"/>
      <c r="RZZ45" s="375"/>
      <c r="SAA45" s="375"/>
      <c r="SAB45" s="375"/>
      <c r="SAC45" s="375"/>
      <c r="SAD45" s="375"/>
      <c r="SAE45" s="375"/>
      <c r="SAF45" s="375"/>
      <c r="SAG45" s="375"/>
      <c r="SAH45" s="375"/>
      <c r="SAI45" s="375"/>
      <c r="SAJ45" s="375"/>
      <c r="SAK45" s="375"/>
      <c r="SAL45" s="375"/>
      <c r="SAM45" s="375"/>
      <c r="SAN45" s="375"/>
      <c r="SAO45" s="375"/>
      <c r="SAP45" s="375"/>
      <c r="SAQ45" s="375"/>
      <c r="SAR45" s="375"/>
      <c r="SAS45" s="375"/>
      <c r="SAT45" s="375"/>
      <c r="SAU45" s="375"/>
      <c r="SAV45" s="375"/>
      <c r="SAW45" s="375"/>
      <c r="SAX45" s="375"/>
      <c r="SAY45" s="375"/>
      <c r="SAZ45" s="375"/>
      <c r="SBA45" s="375"/>
      <c r="SBB45" s="375"/>
      <c r="SBC45" s="375"/>
      <c r="SBD45" s="375"/>
      <c r="SBE45" s="375"/>
      <c r="SBF45" s="375"/>
      <c r="SBG45" s="375"/>
      <c r="SBH45" s="375"/>
      <c r="SBI45" s="375"/>
      <c r="SBJ45" s="375"/>
      <c r="SBK45" s="375"/>
      <c r="SBL45" s="375"/>
      <c r="SBM45" s="375"/>
      <c r="SBN45" s="375"/>
      <c r="SBO45" s="375"/>
      <c r="SBP45" s="375"/>
      <c r="SBQ45" s="375"/>
      <c r="SBR45" s="375"/>
      <c r="SBS45" s="375"/>
      <c r="SBT45" s="375"/>
      <c r="SBU45" s="375"/>
      <c r="SBV45" s="375"/>
      <c r="SBW45" s="375"/>
      <c r="SBX45" s="375"/>
      <c r="SBY45" s="375"/>
      <c r="SBZ45" s="375"/>
      <c r="SCA45" s="375"/>
      <c r="SCB45" s="375"/>
      <c r="SCC45" s="375"/>
      <c r="SCD45" s="375"/>
      <c r="SCE45" s="375"/>
      <c r="SCF45" s="375"/>
      <c r="SCG45" s="375"/>
      <c r="SCH45" s="375"/>
      <c r="SCI45" s="375"/>
      <c r="SCJ45" s="375"/>
      <c r="SCK45" s="375"/>
      <c r="SCL45" s="375"/>
      <c r="SCM45" s="375"/>
      <c r="SCN45" s="375"/>
      <c r="SCO45" s="375"/>
      <c r="SCP45" s="375"/>
      <c r="SCQ45" s="375"/>
      <c r="SCR45" s="375"/>
      <c r="SCS45" s="375"/>
      <c r="SCT45" s="375"/>
      <c r="SCU45" s="375"/>
      <c r="SCV45" s="375"/>
      <c r="SCW45" s="375"/>
      <c r="SCX45" s="375"/>
      <c r="SCY45" s="375"/>
      <c r="SCZ45" s="375"/>
      <c r="SDA45" s="375"/>
      <c r="SDB45" s="375"/>
      <c r="SDC45" s="375"/>
      <c r="SDD45" s="375"/>
      <c r="SDE45" s="375"/>
      <c r="SDF45" s="375"/>
      <c r="SDG45" s="375"/>
      <c r="SDH45" s="375"/>
      <c r="SDI45" s="375"/>
      <c r="SDJ45" s="375"/>
      <c r="SDK45" s="375"/>
      <c r="SDL45" s="375"/>
      <c r="SDM45" s="375"/>
      <c r="SDN45" s="375"/>
      <c r="SDO45" s="375"/>
      <c r="SDP45" s="375"/>
      <c r="SDQ45" s="375"/>
      <c r="SDR45" s="375"/>
      <c r="SDS45" s="375"/>
      <c r="SDT45" s="375"/>
      <c r="SDU45" s="375"/>
      <c r="SDV45" s="375"/>
      <c r="SDW45" s="375"/>
      <c r="SDX45" s="375"/>
      <c r="SDY45" s="375"/>
      <c r="SDZ45" s="375"/>
      <c r="SEA45" s="375"/>
      <c r="SEB45" s="375"/>
      <c r="SEC45" s="375"/>
      <c r="SED45" s="375"/>
      <c r="SEE45" s="375"/>
      <c r="SEF45" s="375"/>
      <c r="SEG45" s="375"/>
      <c r="SEH45" s="375"/>
      <c r="SEI45" s="375"/>
      <c r="SEJ45" s="375"/>
      <c r="SEK45" s="375"/>
      <c r="SEL45" s="375"/>
      <c r="SEM45" s="375"/>
      <c r="SEN45" s="375"/>
      <c r="SEO45" s="375"/>
      <c r="SEP45" s="375"/>
      <c r="SEQ45" s="375"/>
      <c r="SER45" s="375"/>
      <c r="SES45" s="375"/>
      <c r="SET45" s="375"/>
      <c r="SEU45" s="375"/>
      <c r="SEV45" s="375"/>
      <c r="SEW45" s="375"/>
      <c r="SEX45" s="375"/>
      <c r="SEY45" s="375"/>
      <c r="SEZ45" s="375"/>
      <c r="SFA45" s="375"/>
      <c r="SFB45" s="375"/>
      <c r="SFC45" s="375"/>
      <c r="SFD45" s="375"/>
      <c r="SFE45" s="375"/>
      <c r="SFF45" s="375"/>
      <c r="SFG45" s="375"/>
      <c r="SFH45" s="375"/>
      <c r="SFI45" s="375"/>
      <c r="SFJ45" s="375"/>
      <c r="SFK45" s="375"/>
      <c r="SFL45" s="375"/>
      <c r="SFM45" s="375"/>
      <c r="SFN45" s="375"/>
      <c r="SFO45" s="375"/>
      <c r="SFP45" s="375"/>
      <c r="SFQ45" s="375"/>
      <c r="SFR45" s="375"/>
      <c r="SFS45" s="375"/>
      <c r="SFT45" s="375"/>
      <c r="SFU45" s="375"/>
      <c r="SFV45" s="375"/>
      <c r="SFW45" s="375"/>
      <c r="SFX45" s="375"/>
      <c r="SFY45" s="375"/>
      <c r="SFZ45" s="375"/>
      <c r="SGA45" s="375"/>
      <c r="SGB45" s="375"/>
      <c r="SGC45" s="375"/>
      <c r="SGD45" s="375"/>
      <c r="SGE45" s="375"/>
      <c r="SGF45" s="375"/>
      <c r="SGG45" s="375"/>
      <c r="SGH45" s="375"/>
      <c r="SGI45" s="375"/>
      <c r="SGJ45" s="375"/>
      <c r="SGK45" s="375"/>
      <c r="SGL45" s="375"/>
      <c r="SGM45" s="375"/>
      <c r="SGN45" s="375"/>
      <c r="SGO45" s="375"/>
      <c r="SGP45" s="375"/>
      <c r="SGQ45" s="375"/>
      <c r="SGR45" s="375"/>
      <c r="SGS45" s="375"/>
      <c r="SGT45" s="375"/>
      <c r="SGU45" s="375"/>
      <c r="SGV45" s="375"/>
      <c r="SGW45" s="375"/>
      <c r="SGX45" s="375"/>
      <c r="SGY45" s="375"/>
      <c r="SGZ45" s="375"/>
      <c r="SHA45" s="375"/>
      <c r="SHB45" s="375"/>
      <c r="SHC45" s="375"/>
      <c r="SHD45" s="375"/>
      <c r="SHE45" s="375"/>
      <c r="SHF45" s="375"/>
      <c r="SHG45" s="375"/>
      <c r="SHH45" s="375"/>
      <c r="SHI45" s="375"/>
      <c r="SHJ45" s="375"/>
      <c r="SHK45" s="375"/>
      <c r="SHL45" s="375"/>
      <c r="SHM45" s="375"/>
      <c r="SHN45" s="375"/>
      <c r="SHO45" s="375"/>
      <c r="SHP45" s="375"/>
      <c r="SHQ45" s="375"/>
      <c r="SHR45" s="375"/>
      <c r="SHS45" s="375"/>
      <c r="SHT45" s="375"/>
      <c r="SHU45" s="375"/>
      <c r="SHV45" s="375"/>
      <c r="SHW45" s="375"/>
      <c r="SHX45" s="375"/>
      <c r="SHY45" s="375"/>
      <c r="SHZ45" s="375"/>
      <c r="SIA45" s="375"/>
      <c r="SIB45" s="375"/>
      <c r="SIC45" s="375"/>
      <c r="SID45" s="375"/>
      <c r="SIE45" s="375"/>
      <c r="SIF45" s="375"/>
      <c r="SIG45" s="375"/>
      <c r="SIH45" s="375"/>
      <c r="SII45" s="375"/>
      <c r="SIJ45" s="375"/>
      <c r="SIK45" s="375"/>
      <c r="SIL45" s="375"/>
      <c r="SIM45" s="375"/>
      <c r="SIN45" s="375"/>
      <c r="SIO45" s="375"/>
      <c r="SIP45" s="375"/>
      <c r="SIQ45" s="375"/>
      <c r="SIR45" s="375"/>
      <c r="SIS45" s="375"/>
      <c r="SIT45" s="375"/>
      <c r="SIU45" s="375"/>
      <c r="SIV45" s="375"/>
      <c r="SIW45" s="375"/>
      <c r="SIX45" s="375"/>
      <c r="SIY45" s="375"/>
      <c r="SIZ45" s="375"/>
      <c r="SJA45" s="375"/>
      <c r="SJB45" s="375"/>
      <c r="SJC45" s="375"/>
      <c r="SJD45" s="375"/>
      <c r="SJE45" s="375"/>
      <c r="SJF45" s="375"/>
      <c r="SJG45" s="375"/>
      <c r="SJH45" s="375"/>
      <c r="SJI45" s="375"/>
      <c r="SJJ45" s="375"/>
      <c r="SJK45" s="375"/>
      <c r="SJL45" s="375"/>
      <c r="SJM45" s="375"/>
      <c r="SJN45" s="375"/>
      <c r="SJO45" s="375"/>
      <c r="SJP45" s="375"/>
      <c r="SJQ45" s="375"/>
      <c r="SJR45" s="375"/>
      <c r="SJS45" s="375"/>
      <c r="SJT45" s="375"/>
      <c r="SJU45" s="375"/>
      <c r="SJV45" s="375"/>
      <c r="SJW45" s="375"/>
      <c r="SJX45" s="375"/>
      <c r="SJY45" s="375"/>
      <c r="SJZ45" s="375"/>
      <c r="SKA45" s="375"/>
      <c r="SKB45" s="375"/>
      <c r="SKC45" s="375"/>
      <c r="SKD45" s="375"/>
      <c r="SKE45" s="375"/>
      <c r="SKF45" s="375"/>
      <c r="SKG45" s="375"/>
      <c r="SKH45" s="375"/>
      <c r="SKI45" s="375"/>
      <c r="SKJ45" s="375"/>
      <c r="SKK45" s="375"/>
      <c r="SKL45" s="375"/>
      <c r="SKM45" s="375"/>
      <c r="SKN45" s="375"/>
      <c r="SKO45" s="375"/>
      <c r="SKP45" s="375"/>
      <c r="SKQ45" s="375"/>
      <c r="SKR45" s="375"/>
      <c r="SKS45" s="375"/>
      <c r="SKT45" s="375"/>
      <c r="SKU45" s="375"/>
      <c r="SKV45" s="375"/>
      <c r="SKW45" s="375"/>
      <c r="SKX45" s="375"/>
      <c r="SKY45" s="375"/>
      <c r="SKZ45" s="375"/>
      <c r="SLA45" s="375"/>
      <c r="SLB45" s="375"/>
      <c r="SLC45" s="375"/>
      <c r="SLD45" s="375"/>
      <c r="SLE45" s="375"/>
      <c r="SLF45" s="375"/>
      <c r="SLG45" s="375"/>
      <c r="SLH45" s="375"/>
      <c r="SLI45" s="375"/>
      <c r="SLJ45" s="375"/>
      <c r="SLK45" s="375"/>
      <c r="SLL45" s="375"/>
      <c r="SLM45" s="375"/>
      <c r="SLN45" s="375"/>
      <c r="SLO45" s="375"/>
      <c r="SLP45" s="375"/>
      <c r="SLQ45" s="375"/>
      <c r="SLR45" s="375"/>
      <c r="SLS45" s="375"/>
      <c r="SLT45" s="375"/>
      <c r="SLU45" s="375"/>
      <c r="SLV45" s="375"/>
      <c r="SLW45" s="375"/>
      <c r="SLX45" s="375"/>
      <c r="SLY45" s="375"/>
      <c r="SLZ45" s="375"/>
      <c r="SMA45" s="375"/>
      <c r="SMB45" s="375"/>
      <c r="SMC45" s="375"/>
      <c r="SMD45" s="375"/>
      <c r="SME45" s="375"/>
      <c r="SMF45" s="375"/>
      <c r="SMG45" s="375"/>
      <c r="SMH45" s="375"/>
      <c r="SMI45" s="375"/>
      <c r="SMJ45" s="375"/>
      <c r="SMK45" s="375"/>
      <c r="SML45" s="375"/>
      <c r="SMM45" s="375"/>
      <c r="SMN45" s="375"/>
      <c r="SMO45" s="375"/>
      <c r="SMP45" s="375"/>
      <c r="SMQ45" s="375"/>
      <c r="SMR45" s="375"/>
      <c r="SMS45" s="375"/>
      <c r="SMT45" s="375"/>
      <c r="SMU45" s="375"/>
      <c r="SMV45" s="375"/>
      <c r="SMW45" s="375"/>
      <c r="SMX45" s="375"/>
      <c r="SMY45" s="375"/>
      <c r="SMZ45" s="375"/>
      <c r="SNA45" s="375"/>
      <c r="SNB45" s="375"/>
      <c r="SNC45" s="375"/>
      <c r="SND45" s="375"/>
      <c r="SNE45" s="375"/>
      <c r="SNF45" s="375"/>
      <c r="SNG45" s="375"/>
      <c r="SNH45" s="375"/>
      <c r="SNI45" s="375"/>
      <c r="SNJ45" s="375"/>
      <c r="SNK45" s="375"/>
      <c r="SNL45" s="375"/>
      <c r="SNM45" s="375"/>
      <c r="SNN45" s="375"/>
      <c r="SNO45" s="375"/>
      <c r="SNP45" s="375"/>
      <c r="SNQ45" s="375"/>
      <c r="SNR45" s="375"/>
      <c r="SNS45" s="375"/>
      <c r="SNT45" s="375"/>
      <c r="SNU45" s="375"/>
      <c r="SNV45" s="375"/>
      <c r="SNW45" s="375"/>
      <c r="SNX45" s="375"/>
      <c r="SNY45" s="375"/>
      <c r="SNZ45" s="375"/>
      <c r="SOA45" s="375"/>
      <c r="SOB45" s="375"/>
      <c r="SOC45" s="375"/>
      <c r="SOD45" s="375"/>
      <c r="SOE45" s="375"/>
      <c r="SOF45" s="375"/>
      <c r="SOG45" s="375"/>
      <c r="SOH45" s="375"/>
      <c r="SOI45" s="375"/>
      <c r="SOJ45" s="375"/>
      <c r="SOK45" s="375"/>
      <c r="SOL45" s="375"/>
      <c r="SOM45" s="375"/>
      <c r="SON45" s="375"/>
      <c r="SOO45" s="375"/>
      <c r="SOP45" s="375"/>
      <c r="SOQ45" s="375"/>
      <c r="SOR45" s="375"/>
      <c r="SOS45" s="375"/>
      <c r="SOT45" s="375"/>
      <c r="SOU45" s="375"/>
      <c r="SOV45" s="375"/>
      <c r="SOW45" s="375"/>
      <c r="SOX45" s="375"/>
      <c r="SOY45" s="375"/>
      <c r="SOZ45" s="375"/>
      <c r="SPA45" s="375"/>
      <c r="SPB45" s="375"/>
      <c r="SPC45" s="375"/>
      <c r="SPD45" s="375"/>
      <c r="SPE45" s="375"/>
      <c r="SPF45" s="375"/>
      <c r="SPG45" s="375"/>
      <c r="SPH45" s="375"/>
      <c r="SPI45" s="375"/>
      <c r="SPJ45" s="375"/>
      <c r="SPK45" s="375"/>
      <c r="SPL45" s="375"/>
      <c r="SPM45" s="375"/>
      <c r="SPN45" s="375"/>
      <c r="SPO45" s="375"/>
      <c r="SPP45" s="375"/>
      <c r="SPQ45" s="375"/>
      <c r="SPR45" s="375"/>
      <c r="SPS45" s="375"/>
      <c r="SPT45" s="375"/>
      <c r="SPU45" s="375"/>
      <c r="SPV45" s="375"/>
      <c r="SPW45" s="375"/>
      <c r="SPX45" s="375"/>
      <c r="SPY45" s="375"/>
      <c r="SPZ45" s="375"/>
      <c r="SQA45" s="375"/>
      <c r="SQB45" s="375"/>
      <c r="SQC45" s="375"/>
      <c r="SQD45" s="375"/>
      <c r="SQE45" s="375"/>
      <c r="SQF45" s="375"/>
      <c r="SQG45" s="375"/>
      <c r="SQH45" s="375"/>
      <c r="SQI45" s="375"/>
      <c r="SQJ45" s="375"/>
      <c r="SQK45" s="375"/>
      <c r="SQL45" s="375"/>
      <c r="SQM45" s="375"/>
      <c r="SQN45" s="375"/>
      <c r="SQO45" s="375"/>
      <c r="SQP45" s="375"/>
      <c r="SQQ45" s="375"/>
      <c r="SQR45" s="375"/>
      <c r="SQS45" s="375"/>
      <c r="SQT45" s="375"/>
      <c r="SQU45" s="375"/>
      <c r="SQV45" s="375"/>
      <c r="SQW45" s="375"/>
      <c r="SQX45" s="375"/>
      <c r="SQY45" s="375"/>
      <c r="SQZ45" s="375"/>
      <c r="SRA45" s="375"/>
      <c r="SRB45" s="375"/>
      <c r="SRC45" s="375"/>
      <c r="SRD45" s="375"/>
      <c r="SRE45" s="375"/>
      <c r="SRF45" s="375"/>
      <c r="SRG45" s="375"/>
      <c r="SRH45" s="375"/>
      <c r="SRI45" s="375"/>
      <c r="SRJ45" s="375"/>
      <c r="SRK45" s="375"/>
      <c r="SRL45" s="375"/>
      <c r="SRM45" s="375"/>
      <c r="SRN45" s="375"/>
      <c r="SRO45" s="375"/>
      <c r="SRP45" s="375"/>
      <c r="SRQ45" s="375"/>
      <c r="SRR45" s="375"/>
      <c r="SRS45" s="375"/>
      <c r="SRT45" s="375"/>
      <c r="SRU45" s="375"/>
      <c r="SRV45" s="375"/>
      <c r="SRW45" s="375"/>
      <c r="SRX45" s="375"/>
      <c r="SRY45" s="375"/>
      <c r="SRZ45" s="375"/>
      <c r="SSA45" s="375"/>
      <c r="SSB45" s="375"/>
      <c r="SSC45" s="375"/>
      <c r="SSD45" s="375"/>
      <c r="SSE45" s="375"/>
      <c r="SSF45" s="375"/>
      <c r="SSG45" s="375"/>
      <c r="SSH45" s="375"/>
      <c r="SSI45" s="375"/>
      <c r="SSJ45" s="375"/>
      <c r="SSK45" s="375"/>
      <c r="SSL45" s="375"/>
      <c r="SSM45" s="375"/>
      <c r="SSN45" s="375"/>
      <c r="SSO45" s="375"/>
      <c r="SSP45" s="375"/>
      <c r="SSQ45" s="375"/>
      <c r="SSR45" s="375"/>
      <c r="SSS45" s="375"/>
      <c r="SST45" s="375"/>
      <c r="SSU45" s="375"/>
      <c r="SSV45" s="375"/>
      <c r="SSW45" s="375"/>
      <c r="SSX45" s="375"/>
      <c r="SSY45" s="375"/>
      <c r="SSZ45" s="375"/>
      <c r="STA45" s="375"/>
      <c r="STB45" s="375"/>
      <c r="STC45" s="375"/>
      <c r="STD45" s="375"/>
      <c r="STE45" s="375"/>
      <c r="STF45" s="375"/>
      <c r="STG45" s="375"/>
      <c r="STH45" s="375"/>
      <c r="STI45" s="375"/>
      <c r="STJ45" s="375"/>
      <c r="STK45" s="375"/>
      <c r="STL45" s="375"/>
      <c r="STM45" s="375"/>
      <c r="STN45" s="375"/>
      <c r="STO45" s="375"/>
      <c r="STP45" s="375"/>
      <c r="STQ45" s="375"/>
      <c r="STR45" s="375"/>
      <c r="STS45" s="375"/>
      <c r="STT45" s="375"/>
      <c r="STU45" s="375"/>
      <c r="STV45" s="375"/>
      <c r="STW45" s="375"/>
      <c r="STX45" s="375"/>
      <c r="STY45" s="375"/>
      <c r="STZ45" s="375"/>
      <c r="SUA45" s="375"/>
      <c r="SUB45" s="375"/>
      <c r="SUC45" s="375"/>
      <c r="SUD45" s="375"/>
      <c r="SUE45" s="375"/>
      <c r="SUF45" s="375"/>
      <c r="SUG45" s="375"/>
      <c r="SUH45" s="375"/>
      <c r="SUI45" s="375"/>
      <c r="SUJ45" s="375"/>
      <c r="SUK45" s="375"/>
      <c r="SUL45" s="375"/>
      <c r="SUM45" s="375"/>
      <c r="SUN45" s="375"/>
      <c r="SUO45" s="375"/>
      <c r="SUP45" s="375"/>
      <c r="SUQ45" s="375"/>
      <c r="SUR45" s="375"/>
      <c r="SUS45" s="375"/>
      <c r="SUT45" s="375"/>
      <c r="SUU45" s="375"/>
      <c r="SUV45" s="375"/>
      <c r="SUW45" s="375"/>
      <c r="SUX45" s="375"/>
      <c r="SUY45" s="375"/>
      <c r="SUZ45" s="375"/>
      <c r="SVA45" s="375"/>
      <c r="SVB45" s="375"/>
      <c r="SVC45" s="375"/>
      <c r="SVD45" s="375"/>
      <c r="SVE45" s="375"/>
      <c r="SVF45" s="375"/>
      <c r="SVG45" s="375"/>
      <c r="SVH45" s="375"/>
      <c r="SVI45" s="375"/>
      <c r="SVJ45" s="375"/>
      <c r="SVK45" s="375"/>
      <c r="SVL45" s="375"/>
      <c r="SVM45" s="375"/>
      <c r="SVN45" s="375"/>
      <c r="SVO45" s="375"/>
      <c r="SVP45" s="375"/>
      <c r="SVQ45" s="375"/>
      <c r="SVR45" s="375"/>
      <c r="SVS45" s="375"/>
      <c r="SVT45" s="375"/>
      <c r="SVU45" s="375"/>
      <c r="SVV45" s="375"/>
      <c r="SVW45" s="375"/>
      <c r="SVX45" s="375"/>
      <c r="SVY45" s="375"/>
      <c r="SVZ45" s="375"/>
      <c r="SWA45" s="375"/>
      <c r="SWB45" s="375"/>
      <c r="SWC45" s="375"/>
      <c r="SWD45" s="375"/>
      <c r="SWE45" s="375"/>
      <c r="SWF45" s="375"/>
      <c r="SWG45" s="375"/>
      <c r="SWH45" s="375"/>
      <c r="SWI45" s="375"/>
      <c r="SWJ45" s="375"/>
      <c r="SWK45" s="375"/>
      <c r="SWL45" s="375"/>
      <c r="SWM45" s="375"/>
      <c r="SWN45" s="375"/>
      <c r="SWO45" s="375"/>
      <c r="SWP45" s="375"/>
      <c r="SWQ45" s="375"/>
      <c r="SWR45" s="375"/>
      <c r="SWS45" s="375"/>
      <c r="SWT45" s="375"/>
      <c r="SWU45" s="375"/>
      <c r="SWV45" s="375"/>
      <c r="SWW45" s="375"/>
      <c r="SWX45" s="375"/>
      <c r="SWY45" s="375"/>
      <c r="SWZ45" s="375"/>
      <c r="SXA45" s="375"/>
      <c r="SXB45" s="375"/>
      <c r="SXC45" s="375"/>
      <c r="SXD45" s="375"/>
      <c r="SXE45" s="375"/>
      <c r="SXF45" s="375"/>
      <c r="SXG45" s="375"/>
      <c r="SXH45" s="375"/>
      <c r="SXI45" s="375"/>
      <c r="SXJ45" s="375"/>
      <c r="SXK45" s="375"/>
      <c r="SXL45" s="375"/>
      <c r="SXM45" s="375"/>
      <c r="SXN45" s="375"/>
      <c r="SXO45" s="375"/>
      <c r="SXP45" s="375"/>
      <c r="SXQ45" s="375"/>
      <c r="SXR45" s="375"/>
      <c r="SXS45" s="375"/>
      <c r="SXT45" s="375"/>
      <c r="SXU45" s="375"/>
      <c r="SXV45" s="375"/>
      <c r="SXW45" s="375"/>
      <c r="SXX45" s="375"/>
      <c r="SXY45" s="375"/>
      <c r="SXZ45" s="375"/>
      <c r="SYA45" s="375"/>
      <c r="SYB45" s="375"/>
      <c r="SYC45" s="375"/>
      <c r="SYD45" s="375"/>
      <c r="SYE45" s="375"/>
      <c r="SYF45" s="375"/>
      <c r="SYG45" s="375"/>
      <c r="SYH45" s="375"/>
      <c r="SYI45" s="375"/>
      <c r="SYJ45" s="375"/>
      <c r="SYK45" s="375"/>
      <c r="SYL45" s="375"/>
      <c r="SYM45" s="375"/>
      <c r="SYN45" s="375"/>
      <c r="SYO45" s="375"/>
      <c r="SYP45" s="375"/>
      <c r="SYQ45" s="375"/>
      <c r="SYR45" s="375"/>
      <c r="SYS45" s="375"/>
      <c r="SYT45" s="375"/>
      <c r="SYU45" s="375"/>
      <c r="SYV45" s="375"/>
      <c r="SYW45" s="375"/>
      <c r="SYX45" s="375"/>
      <c r="SYY45" s="375"/>
      <c r="SYZ45" s="375"/>
      <c r="SZA45" s="375"/>
      <c r="SZB45" s="375"/>
      <c r="SZC45" s="375"/>
      <c r="SZD45" s="375"/>
      <c r="SZE45" s="375"/>
      <c r="SZF45" s="375"/>
      <c r="SZG45" s="375"/>
      <c r="SZH45" s="375"/>
      <c r="SZI45" s="375"/>
      <c r="SZJ45" s="375"/>
      <c r="SZK45" s="375"/>
      <c r="SZL45" s="375"/>
      <c r="SZM45" s="375"/>
      <c r="SZN45" s="375"/>
      <c r="SZO45" s="375"/>
      <c r="SZP45" s="375"/>
      <c r="SZQ45" s="375"/>
      <c r="SZR45" s="375"/>
      <c r="SZS45" s="375"/>
      <c r="SZT45" s="375"/>
      <c r="SZU45" s="375"/>
      <c r="SZV45" s="375"/>
      <c r="SZW45" s="375"/>
      <c r="SZX45" s="375"/>
      <c r="SZY45" s="375"/>
      <c r="SZZ45" s="375"/>
      <c r="TAA45" s="375"/>
      <c r="TAB45" s="375"/>
      <c r="TAC45" s="375"/>
      <c r="TAD45" s="375"/>
      <c r="TAE45" s="375"/>
      <c r="TAF45" s="375"/>
      <c r="TAG45" s="375"/>
      <c r="TAH45" s="375"/>
      <c r="TAI45" s="375"/>
      <c r="TAJ45" s="375"/>
      <c r="TAK45" s="375"/>
      <c r="TAL45" s="375"/>
      <c r="TAM45" s="375"/>
      <c r="TAN45" s="375"/>
      <c r="TAO45" s="375"/>
      <c r="TAP45" s="375"/>
      <c r="TAQ45" s="375"/>
      <c r="TAR45" s="375"/>
      <c r="TAS45" s="375"/>
      <c r="TAT45" s="375"/>
      <c r="TAU45" s="375"/>
      <c r="TAV45" s="375"/>
      <c r="TAW45" s="375"/>
      <c r="TAX45" s="375"/>
      <c r="TAY45" s="375"/>
      <c r="TAZ45" s="375"/>
      <c r="TBA45" s="375"/>
      <c r="TBB45" s="375"/>
      <c r="TBC45" s="375"/>
      <c r="TBD45" s="375"/>
      <c r="TBE45" s="375"/>
      <c r="TBF45" s="375"/>
      <c r="TBG45" s="375"/>
      <c r="TBH45" s="375"/>
      <c r="TBI45" s="375"/>
      <c r="TBJ45" s="375"/>
      <c r="TBK45" s="375"/>
      <c r="TBL45" s="375"/>
      <c r="TBM45" s="375"/>
      <c r="TBN45" s="375"/>
      <c r="TBO45" s="375"/>
      <c r="TBP45" s="375"/>
      <c r="TBQ45" s="375"/>
      <c r="TBR45" s="375"/>
      <c r="TBS45" s="375"/>
      <c r="TBT45" s="375"/>
      <c r="TBU45" s="375"/>
      <c r="TBV45" s="375"/>
      <c r="TBW45" s="375"/>
      <c r="TBX45" s="375"/>
      <c r="TBY45" s="375"/>
      <c r="TBZ45" s="375"/>
      <c r="TCA45" s="375"/>
      <c r="TCB45" s="375"/>
      <c r="TCC45" s="375"/>
      <c r="TCD45" s="375"/>
      <c r="TCE45" s="375"/>
      <c r="TCF45" s="375"/>
      <c r="TCG45" s="375"/>
      <c r="TCH45" s="375"/>
      <c r="TCI45" s="375"/>
      <c r="TCJ45" s="375"/>
      <c r="TCK45" s="375"/>
      <c r="TCL45" s="375"/>
      <c r="TCM45" s="375"/>
      <c r="TCN45" s="375"/>
      <c r="TCO45" s="375"/>
      <c r="TCP45" s="375"/>
      <c r="TCQ45" s="375"/>
      <c r="TCR45" s="375"/>
      <c r="TCS45" s="375"/>
      <c r="TCT45" s="375"/>
      <c r="TCU45" s="375"/>
      <c r="TCV45" s="375"/>
      <c r="TCW45" s="375"/>
      <c r="TCX45" s="375"/>
      <c r="TCY45" s="375"/>
      <c r="TCZ45" s="375"/>
      <c r="TDA45" s="375"/>
      <c r="TDB45" s="375"/>
      <c r="TDC45" s="375"/>
      <c r="TDD45" s="375"/>
      <c r="TDE45" s="375"/>
      <c r="TDF45" s="375"/>
      <c r="TDG45" s="375"/>
      <c r="TDH45" s="375"/>
      <c r="TDI45" s="375"/>
      <c r="TDJ45" s="375"/>
      <c r="TDK45" s="375"/>
      <c r="TDL45" s="375"/>
      <c r="TDM45" s="375"/>
      <c r="TDN45" s="375"/>
      <c r="TDO45" s="375"/>
      <c r="TDP45" s="375"/>
      <c r="TDQ45" s="375"/>
      <c r="TDR45" s="375"/>
      <c r="TDS45" s="375"/>
      <c r="TDT45" s="375"/>
      <c r="TDU45" s="375"/>
      <c r="TDV45" s="375"/>
      <c r="TDW45" s="375"/>
      <c r="TDX45" s="375"/>
      <c r="TDY45" s="375"/>
      <c r="TDZ45" s="375"/>
      <c r="TEA45" s="375"/>
      <c r="TEB45" s="375"/>
      <c r="TEC45" s="375"/>
      <c r="TED45" s="375"/>
      <c r="TEE45" s="375"/>
      <c r="TEF45" s="375"/>
      <c r="TEG45" s="375"/>
      <c r="TEH45" s="375"/>
      <c r="TEI45" s="375"/>
      <c r="TEJ45" s="375"/>
      <c r="TEK45" s="375"/>
      <c r="TEL45" s="375"/>
      <c r="TEM45" s="375"/>
      <c r="TEN45" s="375"/>
      <c r="TEO45" s="375"/>
      <c r="TEP45" s="375"/>
      <c r="TEQ45" s="375"/>
      <c r="TER45" s="375"/>
      <c r="TES45" s="375"/>
      <c r="TET45" s="375"/>
      <c r="TEU45" s="375"/>
      <c r="TEV45" s="375"/>
      <c r="TEW45" s="375"/>
      <c r="TEX45" s="375"/>
      <c r="TEY45" s="375"/>
      <c r="TEZ45" s="375"/>
      <c r="TFA45" s="375"/>
      <c r="TFB45" s="375"/>
      <c r="TFC45" s="375"/>
      <c r="TFD45" s="375"/>
      <c r="TFE45" s="375"/>
      <c r="TFF45" s="375"/>
      <c r="TFG45" s="375"/>
      <c r="TFH45" s="375"/>
      <c r="TFI45" s="375"/>
      <c r="TFJ45" s="375"/>
      <c r="TFK45" s="375"/>
      <c r="TFL45" s="375"/>
      <c r="TFM45" s="375"/>
      <c r="TFN45" s="375"/>
      <c r="TFO45" s="375"/>
      <c r="TFP45" s="375"/>
      <c r="TFQ45" s="375"/>
      <c r="TFR45" s="375"/>
      <c r="TFS45" s="375"/>
      <c r="TFT45" s="375"/>
      <c r="TFU45" s="375"/>
      <c r="TFV45" s="375"/>
      <c r="TFW45" s="375"/>
      <c r="TFX45" s="375"/>
      <c r="TFY45" s="375"/>
      <c r="TFZ45" s="375"/>
      <c r="TGA45" s="375"/>
      <c r="TGB45" s="375"/>
      <c r="TGC45" s="375"/>
      <c r="TGD45" s="375"/>
      <c r="TGE45" s="375"/>
      <c r="TGF45" s="375"/>
      <c r="TGG45" s="375"/>
      <c r="TGH45" s="375"/>
      <c r="TGI45" s="375"/>
      <c r="TGJ45" s="375"/>
      <c r="TGK45" s="375"/>
      <c r="TGL45" s="375"/>
      <c r="TGM45" s="375"/>
      <c r="TGN45" s="375"/>
      <c r="TGO45" s="375"/>
      <c r="TGP45" s="375"/>
      <c r="TGQ45" s="375"/>
      <c r="TGR45" s="375"/>
      <c r="TGS45" s="375"/>
      <c r="TGT45" s="375"/>
      <c r="TGU45" s="375"/>
      <c r="TGV45" s="375"/>
      <c r="TGW45" s="375"/>
      <c r="TGX45" s="375"/>
      <c r="TGY45" s="375"/>
      <c r="TGZ45" s="375"/>
      <c r="THA45" s="375"/>
      <c r="THB45" s="375"/>
      <c r="THC45" s="375"/>
      <c r="THD45" s="375"/>
      <c r="THE45" s="375"/>
      <c r="THF45" s="375"/>
      <c r="THG45" s="375"/>
      <c r="THH45" s="375"/>
      <c r="THI45" s="375"/>
      <c r="THJ45" s="375"/>
      <c r="THK45" s="375"/>
      <c r="THL45" s="375"/>
      <c r="THM45" s="375"/>
      <c r="THN45" s="375"/>
      <c r="THO45" s="375"/>
      <c r="THP45" s="375"/>
      <c r="THQ45" s="375"/>
      <c r="THR45" s="375"/>
      <c r="THS45" s="375"/>
      <c r="THT45" s="375"/>
      <c r="THU45" s="375"/>
      <c r="THV45" s="375"/>
      <c r="THW45" s="375"/>
      <c r="THX45" s="375"/>
      <c r="THY45" s="375"/>
      <c r="THZ45" s="375"/>
      <c r="TIA45" s="375"/>
      <c r="TIB45" s="375"/>
      <c r="TIC45" s="375"/>
      <c r="TID45" s="375"/>
      <c r="TIE45" s="375"/>
      <c r="TIF45" s="375"/>
      <c r="TIG45" s="375"/>
      <c r="TIH45" s="375"/>
      <c r="TII45" s="375"/>
      <c r="TIJ45" s="375"/>
      <c r="TIK45" s="375"/>
      <c r="TIL45" s="375"/>
      <c r="TIM45" s="375"/>
      <c r="TIN45" s="375"/>
      <c r="TIO45" s="375"/>
      <c r="TIP45" s="375"/>
      <c r="TIQ45" s="375"/>
      <c r="TIR45" s="375"/>
      <c r="TIS45" s="375"/>
      <c r="TIT45" s="375"/>
      <c r="TIU45" s="375"/>
      <c r="TIV45" s="375"/>
      <c r="TIW45" s="375"/>
      <c r="TIX45" s="375"/>
      <c r="TIY45" s="375"/>
      <c r="TIZ45" s="375"/>
      <c r="TJA45" s="375"/>
      <c r="TJB45" s="375"/>
      <c r="TJC45" s="375"/>
      <c r="TJD45" s="375"/>
      <c r="TJE45" s="375"/>
      <c r="TJF45" s="375"/>
      <c r="TJG45" s="375"/>
      <c r="TJH45" s="375"/>
      <c r="TJI45" s="375"/>
      <c r="TJJ45" s="375"/>
      <c r="TJK45" s="375"/>
      <c r="TJL45" s="375"/>
      <c r="TJM45" s="375"/>
      <c r="TJN45" s="375"/>
      <c r="TJO45" s="375"/>
      <c r="TJP45" s="375"/>
      <c r="TJQ45" s="375"/>
      <c r="TJR45" s="375"/>
      <c r="TJS45" s="375"/>
      <c r="TJT45" s="375"/>
      <c r="TJU45" s="375"/>
      <c r="TJV45" s="375"/>
      <c r="TJW45" s="375"/>
      <c r="TJX45" s="375"/>
      <c r="TJY45" s="375"/>
      <c r="TJZ45" s="375"/>
      <c r="TKA45" s="375"/>
      <c r="TKB45" s="375"/>
      <c r="TKC45" s="375"/>
      <c r="TKD45" s="375"/>
      <c r="TKE45" s="375"/>
      <c r="TKF45" s="375"/>
      <c r="TKG45" s="375"/>
      <c r="TKH45" s="375"/>
      <c r="TKI45" s="375"/>
      <c r="TKJ45" s="375"/>
      <c r="TKK45" s="375"/>
      <c r="TKL45" s="375"/>
      <c r="TKM45" s="375"/>
      <c r="TKN45" s="375"/>
      <c r="TKO45" s="375"/>
      <c r="TKP45" s="375"/>
      <c r="TKQ45" s="375"/>
      <c r="TKR45" s="375"/>
      <c r="TKS45" s="375"/>
      <c r="TKT45" s="375"/>
      <c r="TKU45" s="375"/>
      <c r="TKV45" s="375"/>
      <c r="TKW45" s="375"/>
      <c r="TKX45" s="375"/>
      <c r="TKY45" s="375"/>
      <c r="TKZ45" s="375"/>
      <c r="TLA45" s="375"/>
      <c r="TLB45" s="375"/>
      <c r="TLC45" s="375"/>
      <c r="TLD45" s="375"/>
      <c r="TLE45" s="375"/>
      <c r="TLF45" s="375"/>
      <c r="TLG45" s="375"/>
      <c r="TLH45" s="375"/>
      <c r="TLI45" s="375"/>
      <c r="TLJ45" s="375"/>
      <c r="TLK45" s="375"/>
      <c r="TLL45" s="375"/>
      <c r="TLM45" s="375"/>
      <c r="TLN45" s="375"/>
      <c r="TLO45" s="375"/>
      <c r="TLP45" s="375"/>
      <c r="TLQ45" s="375"/>
      <c r="TLR45" s="375"/>
      <c r="TLS45" s="375"/>
      <c r="TLT45" s="375"/>
      <c r="TLU45" s="375"/>
      <c r="TLV45" s="375"/>
      <c r="TLW45" s="375"/>
      <c r="TLX45" s="375"/>
      <c r="TLY45" s="375"/>
      <c r="TLZ45" s="375"/>
      <c r="TMA45" s="375"/>
      <c r="TMB45" s="375"/>
      <c r="TMC45" s="375"/>
      <c r="TMD45" s="375"/>
      <c r="TME45" s="375"/>
      <c r="TMF45" s="375"/>
      <c r="TMG45" s="375"/>
      <c r="TMH45" s="375"/>
      <c r="TMI45" s="375"/>
      <c r="TMJ45" s="375"/>
      <c r="TMK45" s="375"/>
      <c r="TML45" s="375"/>
      <c r="TMM45" s="375"/>
      <c r="TMN45" s="375"/>
      <c r="TMO45" s="375"/>
      <c r="TMP45" s="375"/>
      <c r="TMQ45" s="375"/>
      <c r="TMR45" s="375"/>
      <c r="TMS45" s="375"/>
      <c r="TMT45" s="375"/>
      <c r="TMU45" s="375"/>
      <c r="TMV45" s="375"/>
      <c r="TMW45" s="375"/>
      <c r="TMX45" s="375"/>
      <c r="TMY45" s="375"/>
      <c r="TMZ45" s="375"/>
      <c r="TNA45" s="375"/>
      <c r="TNB45" s="375"/>
      <c r="TNC45" s="375"/>
      <c r="TND45" s="375"/>
      <c r="TNE45" s="375"/>
      <c r="TNF45" s="375"/>
      <c r="TNG45" s="375"/>
      <c r="TNH45" s="375"/>
      <c r="TNI45" s="375"/>
      <c r="TNJ45" s="375"/>
      <c r="TNK45" s="375"/>
      <c r="TNL45" s="375"/>
      <c r="TNM45" s="375"/>
      <c r="TNN45" s="375"/>
      <c r="TNO45" s="375"/>
      <c r="TNP45" s="375"/>
      <c r="TNQ45" s="375"/>
      <c r="TNR45" s="375"/>
      <c r="TNS45" s="375"/>
      <c r="TNT45" s="375"/>
      <c r="TNU45" s="375"/>
      <c r="TNV45" s="375"/>
      <c r="TNW45" s="375"/>
      <c r="TNX45" s="375"/>
      <c r="TNY45" s="375"/>
      <c r="TNZ45" s="375"/>
      <c r="TOA45" s="375"/>
      <c r="TOB45" s="375"/>
      <c r="TOC45" s="375"/>
      <c r="TOD45" s="375"/>
      <c r="TOE45" s="375"/>
      <c r="TOF45" s="375"/>
      <c r="TOG45" s="375"/>
      <c r="TOH45" s="375"/>
      <c r="TOI45" s="375"/>
      <c r="TOJ45" s="375"/>
      <c r="TOK45" s="375"/>
      <c r="TOL45" s="375"/>
      <c r="TOM45" s="375"/>
      <c r="TON45" s="375"/>
      <c r="TOO45" s="375"/>
      <c r="TOP45" s="375"/>
      <c r="TOQ45" s="375"/>
      <c r="TOR45" s="375"/>
      <c r="TOS45" s="375"/>
      <c r="TOT45" s="375"/>
      <c r="TOU45" s="375"/>
      <c r="TOV45" s="375"/>
      <c r="TOW45" s="375"/>
      <c r="TOX45" s="375"/>
      <c r="TOY45" s="375"/>
      <c r="TOZ45" s="375"/>
      <c r="TPA45" s="375"/>
      <c r="TPB45" s="375"/>
      <c r="TPC45" s="375"/>
      <c r="TPD45" s="375"/>
      <c r="TPE45" s="375"/>
      <c r="TPF45" s="375"/>
      <c r="TPG45" s="375"/>
      <c r="TPH45" s="375"/>
      <c r="TPI45" s="375"/>
      <c r="TPJ45" s="375"/>
      <c r="TPK45" s="375"/>
      <c r="TPL45" s="375"/>
      <c r="TPM45" s="375"/>
      <c r="TPN45" s="375"/>
      <c r="TPO45" s="375"/>
      <c r="TPP45" s="375"/>
      <c r="TPQ45" s="375"/>
      <c r="TPR45" s="375"/>
      <c r="TPS45" s="375"/>
      <c r="TPT45" s="375"/>
      <c r="TPU45" s="375"/>
      <c r="TPV45" s="375"/>
      <c r="TPW45" s="375"/>
      <c r="TPX45" s="375"/>
      <c r="TPY45" s="375"/>
      <c r="TPZ45" s="375"/>
      <c r="TQA45" s="375"/>
      <c r="TQB45" s="375"/>
      <c r="TQC45" s="375"/>
      <c r="TQD45" s="375"/>
      <c r="TQE45" s="375"/>
      <c r="TQF45" s="375"/>
      <c r="TQG45" s="375"/>
      <c r="TQH45" s="375"/>
      <c r="TQI45" s="375"/>
      <c r="TQJ45" s="375"/>
      <c r="TQK45" s="375"/>
      <c r="TQL45" s="375"/>
      <c r="TQM45" s="375"/>
      <c r="TQN45" s="375"/>
      <c r="TQO45" s="375"/>
      <c r="TQP45" s="375"/>
      <c r="TQQ45" s="375"/>
      <c r="TQR45" s="375"/>
      <c r="TQS45" s="375"/>
      <c r="TQT45" s="375"/>
      <c r="TQU45" s="375"/>
      <c r="TQV45" s="375"/>
      <c r="TQW45" s="375"/>
      <c r="TQX45" s="375"/>
      <c r="TQY45" s="375"/>
      <c r="TQZ45" s="375"/>
      <c r="TRA45" s="375"/>
      <c r="TRB45" s="375"/>
      <c r="TRC45" s="375"/>
      <c r="TRD45" s="375"/>
      <c r="TRE45" s="375"/>
      <c r="TRF45" s="375"/>
      <c r="TRG45" s="375"/>
      <c r="TRH45" s="375"/>
      <c r="TRI45" s="375"/>
      <c r="TRJ45" s="375"/>
      <c r="TRK45" s="375"/>
      <c r="TRL45" s="375"/>
      <c r="TRM45" s="375"/>
      <c r="TRN45" s="375"/>
      <c r="TRO45" s="375"/>
      <c r="TRP45" s="375"/>
      <c r="TRQ45" s="375"/>
      <c r="TRR45" s="375"/>
      <c r="TRS45" s="375"/>
      <c r="TRT45" s="375"/>
      <c r="TRU45" s="375"/>
      <c r="TRV45" s="375"/>
      <c r="TRW45" s="375"/>
      <c r="TRX45" s="375"/>
      <c r="TRY45" s="375"/>
      <c r="TRZ45" s="375"/>
      <c r="TSA45" s="375"/>
      <c r="TSB45" s="375"/>
      <c r="TSC45" s="375"/>
      <c r="TSD45" s="375"/>
      <c r="TSE45" s="375"/>
      <c r="TSF45" s="375"/>
      <c r="TSG45" s="375"/>
      <c r="TSH45" s="375"/>
      <c r="TSI45" s="375"/>
      <c r="TSJ45" s="375"/>
      <c r="TSK45" s="375"/>
      <c r="TSL45" s="375"/>
      <c r="TSM45" s="375"/>
      <c r="TSN45" s="375"/>
      <c r="TSO45" s="375"/>
      <c r="TSP45" s="375"/>
      <c r="TSQ45" s="375"/>
      <c r="TSR45" s="375"/>
      <c r="TSS45" s="375"/>
      <c r="TST45" s="375"/>
      <c r="TSU45" s="375"/>
      <c r="TSV45" s="375"/>
      <c r="TSW45" s="375"/>
      <c r="TSX45" s="375"/>
      <c r="TSY45" s="375"/>
      <c r="TSZ45" s="375"/>
      <c r="TTA45" s="375"/>
      <c r="TTB45" s="375"/>
      <c r="TTC45" s="375"/>
      <c r="TTD45" s="375"/>
      <c r="TTE45" s="375"/>
      <c r="TTF45" s="375"/>
      <c r="TTG45" s="375"/>
      <c r="TTH45" s="375"/>
      <c r="TTI45" s="375"/>
      <c r="TTJ45" s="375"/>
      <c r="TTK45" s="375"/>
      <c r="TTL45" s="375"/>
      <c r="TTM45" s="375"/>
      <c r="TTN45" s="375"/>
      <c r="TTO45" s="375"/>
      <c r="TTP45" s="375"/>
      <c r="TTQ45" s="375"/>
      <c r="TTR45" s="375"/>
      <c r="TTS45" s="375"/>
      <c r="TTT45" s="375"/>
      <c r="TTU45" s="375"/>
      <c r="TTV45" s="375"/>
      <c r="TTW45" s="375"/>
      <c r="TTX45" s="375"/>
      <c r="TTY45" s="375"/>
      <c r="TTZ45" s="375"/>
      <c r="TUA45" s="375"/>
      <c r="TUB45" s="375"/>
      <c r="TUC45" s="375"/>
      <c r="TUD45" s="375"/>
      <c r="TUE45" s="375"/>
      <c r="TUF45" s="375"/>
      <c r="TUG45" s="375"/>
      <c r="TUH45" s="375"/>
      <c r="TUI45" s="375"/>
      <c r="TUJ45" s="375"/>
      <c r="TUK45" s="375"/>
      <c r="TUL45" s="375"/>
      <c r="TUM45" s="375"/>
      <c r="TUN45" s="375"/>
      <c r="TUO45" s="375"/>
      <c r="TUP45" s="375"/>
      <c r="TUQ45" s="375"/>
      <c r="TUR45" s="375"/>
      <c r="TUS45" s="375"/>
      <c r="TUT45" s="375"/>
      <c r="TUU45" s="375"/>
      <c r="TUV45" s="375"/>
      <c r="TUW45" s="375"/>
      <c r="TUX45" s="375"/>
      <c r="TUY45" s="375"/>
      <c r="TUZ45" s="375"/>
      <c r="TVA45" s="375"/>
      <c r="TVB45" s="375"/>
      <c r="TVC45" s="375"/>
      <c r="TVD45" s="375"/>
      <c r="TVE45" s="375"/>
      <c r="TVF45" s="375"/>
      <c r="TVG45" s="375"/>
      <c r="TVH45" s="375"/>
      <c r="TVI45" s="375"/>
      <c r="TVJ45" s="375"/>
      <c r="TVK45" s="375"/>
      <c r="TVL45" s="375"/>
      <c r="TVM45" s="375"/>
      <c r="TVN45" s="375"/>
      <c r="TVO45" s="375"/>
      <c r="TVP45" s="375"/>
      <c r="TVQ45" s="375"/>
      <c r="TVR45" s="375"/>
      <c r="TVS45" s="375"/>
      <c r="TVT45" s="375"/>
      <c r="TVU45" s="375"/>
      <c r="TVV45" s="375"/>
      <c r="TVW45" s="375"/>
      <c r="TVX45" s="375"/>
      <c r="TVY45" s="375"/>
      <c r="TVZ45" s="375"/>
      <c r="TWA45" s="375"/>
      <c r="TWB45" s="375"/>
      <c r="TWC45" s="375"/>
      <c r="TWD45" s="375"/>
      <c r="TWE45" s="375"/>
      <c r="TWF45" s="375"/>
      <c r="TWG45" s="375"/>
      <c r="TWH45" s="375"/>
      <c r="TWI45" s="375"/>
      <c r="TWJ45" s="375"/>
      <c r="TWK45" s="375"/>
      <c r="TWL45" s="375"/>
      <c r="TWM45" s="375"/>
      <c r="TWN45" s="375"/>
      <c r="TWO45" s="375"/>
      <c r="TWP45" s="375"/>
      <c r="TWQ45" s="375"/>
      <c r="TWR45" s="375"/>
      <c r="TWS45" s="375"/>
      <c r="TWT45" s="375"/>
      <c r="TWU45" s="375"/>
      <c r="TWV45" s="375"/>
      <c r="TWW45" s="375"/>
      <c r="TWX45" s="375"/>
      <c r="TWY45" s="375"/>
      <c r="TWZ45" s="375"/>
      <c r="TXA45" s="375"/>
      <c r="TXB45" s="375"/>
      <c r="TXC45" s="375"/>
      <c r="TXD45" s="375"/>
      <c r="TXE45" s="375"/>
      <c r="TXF45" s="375"/>
      <c r="TXG45" s="375"/>
      <c r="TXH45" s="375"/>
      <c r="TXI45" s="375"/>
      <c r="TXJ45" s="375"/>
      <c r="TXK45" s="375"/>
      <c r="TXL45" s="375"/>
      <c r="TXM45" s="375"/>
      <c r="TXN45" s="375"/>
      <c r="TXO45" s="375"/>
      <c r="TXP45" s="375"/>
      <c r="TXQ45" s="375"/>
      <c r="TXR45" s="375"/>
      <c r="TXS45" s="375"/>
      <c r="TXT45" s="375"/>
      <c r="TXU45" s="375"/>
      <c r="TXV45" s="375"/>
      <c r="TXW45" s="375"/>
      <c r="TXX45" s="375"/>
      <c r="TXY45" s="375"/>
      <c r="TXZ45" s="375"/>
      <c r="TYA45" s="375"/>
      <c r="TYB45" s="375"/>
      <c r="TYC45" s="375"/>
      <c r="TYD45" s="375"/>
      <c r="TYE45" s="375"/>
      <c r="TYF45" s="375"/>
      <c r="TYG45" s="375"/>
      <c r="TYH45" s="375"/>
      <c r="TYI45" s="375"/>
      <c r="TYJ45" s="375"/>
      <c r="TYK45" s="375"/>
      <c r="TYL45" s="375"/>
      <c r="TYM45" s="375"/>
      <c r="TYN45" s="375"/>
      <c r="TYO45" s="375"/>
      <c r="TYP45" s="375"/>
      <c r="TYQ45" s="375"/>
      <c r="TYR45" s="375"/>
      <c r="TYS45" s="375"/>
      <c r="TYT45" s="375"/>
      <c r="TYU45" s="375"/>
      <c r="TYV45" s="375"/>
      <c r="TYW45" s="375"/>
      <c r="TYX45" s="375"/>
      <c r="TYY45" s="375"/>
      <c r="TYZ45" s="375"/>
      <c r="TZA45" s="375"/>
      <c r="TZB45" s="375"/>
      <c r="TZC45" s="375"/>
      <c r="TZD45" s="375"/>
      <c r="TZE45" s="375"/>
      <c r="TZF45" s="375"/>
      <c r="TZG45" s="375"/>
      <c r="TZH45" s="375"/>
      <c r="TZI45" s="375"/>
      <c r="TZJ45" s="375"/>
      <c r="TZK45" s="375"/>
      <c r="TZL45" s="375"/>
      <c r="TZM45" s="375"/>
      <c r="TZN45" s="375"/>
      <c r="TZO45" s="375"/>
      <c r="TZP45" s="375"/>
      <c r="TZQ45" s="375"/>
      <c r="TZR45" s="375"/>
      <c r="TZS45" s="375"/>
      <c r="TZT45" s="375"/>
      <c r="TZU45" s="375"/>
      <c r="TZV45" s="375"/>
      <c r="TZW45" s="375"/>
      <c r="TZX45" s="375"/>
      <c r="TZY45" s="375"/>
      <c r="TZZ45" s="375"/>
      <c r="UAA45" s="375"/>
      <c r="UAB45" s="375"/>
      <c r="UAC45" s="375"/>
      <c r="UAD45" s="375"/>
      <c r="UAE45" s="375"/>
      <c r="UAF45" s="375"/>
      <c r="UAG45" s="375"/>
      <c r="UAH45" s="375"/>
      <c r="UAI45" s="375"/>
      <c r="UAJ45" s="375"/>
      <c r="UAK45" s="375"/>
      <c r="UAL45" s="375"/>
      <c r="UAM45" s="375"/>
      <c r="UAN45" s="375"/>
      <c r="UAO45" s="375"/>
      <c r="UAP45" s="375"/>
      <c r="UAQ45" s="375"/>
      <c r="UAR45" s="375"/>
      <c r="UAS45" s="375"/>
      <c r="UAT45" s="375"/>
      <c r="UAU45" s="375"/>
      <c r="UAV45" s="375"/>
      <c r="UAW45" s="375"/>
      <c r="UAX45" s="375"/>
      <c r="UAY45" s="375"/>
      <c r="UAZ45" s="375"/>
      <c r="UBA45" s="375"/>
      <c r="UBB45" s="375"/>
      <c r="UBC45" s="375"/>
      <c r="UBD45" s="375"/>
      <c r="UBE45" s="375"/>
      <c r="UBF45" s="375"/>
      <c r="UBG45" s="375"/>
      <c r="UBH45" s="375"/>
      <c r="UBI45" s="375"/>
      <c r="UBJ45" s="375"/>
      <c r="UBK45" s="375"/>
      <c r="UBL45" s="375"/>
      <c r="UBM45" s="375"/>
      <c r="UBN45" s="375"/>
      <c r="UBO45" s="375"/>
      <c r="UBP45" s="375"/>
      <c r="UBQ45" s="375"/>
      <c r="UBR45" s="375"/>
      <c r="UBS45" s="375"/>
      <c r="UBT45" s="375"/>
      <c r="UBU45" s="375"/>
      <c r="UBV45" s="375"/>
      <c r="UBW45" s="375"/>
      <c r="UBX45" s="375"/>
      <c r="UBY45" s="375"/>
      <c r="UBZ45" s="375"/>
      <c r="UCA45" s="375"/>
      <c r="UCB45" s="375"/>
      <c r="UCC45" s="375"/>
      <c r="UCD45" s="375"/>
      <c r="UCE45" s="375"/>
      <c r="UCF45" s="375"/>
      <c r="UCG45" s="375"/>
      <c r="UCH45" s="375"/>
      <c r="UCI45" s="375"/>
      <c r="UCJ45" s="375"/>
      <c r="UCK45" s="375"/>
      <c r="UCL45" s="375"/>
      <c r="UCM45" s="375"/>
      <c r="UCN45" s="375"/>
      <c r="UCO45" s="375"/>
      <c r="UCP45" s="375"/>
      <c r="UCQ45" s="375"/>
      <c r="UCR45" s="375"/>
      <c r="UCS45" s="375"/>
      <c r="UCT45" s="375"/>
      <c r="UCU45" s="375"/>
      <c r="UCV45" s="375"/>
      <c r="UCW45" s="375"/>
      <c r="UCX45" s="375"/>
      <c r="UCY45" s="375"/>
      <c r="UCZ45" s="375"/>
      <c r="UDA45" s="375"/>
      <c r="UDB45" s="375"/>
      <c r="UDC45" s="375"/>
      <c r="UDD45" s="375"/>
      <c r="UDE45" s="375"/>
      <c r="UDF45" s="375"/>
      <c r="UDG45" s="375"/>
      <c r="UDH45" s="375"/>
      <c r="UDI45" s="375"/>
      <c r="UDJ45" s="375"/>
      <c r="UDK45" s="375"/>
      <c r="UDL45" s="375"/>
      <c r="UDM45" s="375"/>
      <c r="UDN45" s="375"/>
      <c r="UDO45" s="375"/>
      <c r="UDP45" s="375"/>
      <c r="UDQ45" s="375"/>
      <c r="UDR45" s="375"/>
      <c r="UDS45" s="375"/>
      <c r="UDT45" s="375"/>
      <c r="UDU45" s="375"/>
      <c r="UDV45" s="375"/>
      <c r="UDW45" s="375"/>
      <c r="UDX45" s="375"/>
      <c r="UDY45" s="375"/>
      <c r="UDZ45" s="375"/>
      <c r="UEA45" s="375"/>
      <c r="UEB45" s="375"/>
      <c r="UEC45" s="375"/>
      <c r="UED45" s="375"/>
      <c r="UEE45" s="375"/>
      <c r="UEF45" s="375"/>
      <c r="UEG45" s="375"/>
      <c r="UEH45" s="375"/>
      <c r="UEI45" s="375"/>
      <c r="UEJ45" s="375"/>
      <c r="UEK45" s="375"/>
      <c r="UEL45" s="375"/>
      <c r="UEM45" s="375"/>
      <c r="UEN45" s="375"/>
      <c r="UEO45" s="375"/>
      <c r="UEP45" s="375"/>
      <c r="UEQ45" s="375"/>
      <c r="UER45" s="375"/>
      <c r="UES45" s="375"/>
      <c r="UET45" s="375"/>
      <c r="UEU45" s="375"/>
      <c r="UEV45" s="375"/>
      <c r="UEW45" s="375"/>
      <c r="UEX45" s="375"/>
      <c r="UEY45" s="375"/>
      <c r="UEZ45" s="375"/>
      <c r="UFA45" s="375"/>
      <c r="UFB45" s="375"/>
      <c r="UFC45" s="375"/>
      <c r="UFD45" s="375"/>
      <c r="UFE45" s="375"/>
      <c r="UFF45" s="375"/>
      <c r="UFG45" s="375"/>
      <c r="UFH45" s="375"/>
      <c r="UFI45" s="375"/>
      <c r="UFJ45" s="375"/>
      <c r="UFK45" s="375"/>
      <c r="UFL45" s="375"/>
      <c r="UFM45" s="375"/>
      <c r="UFN45" s="375"/>
      <c r="UFO45" s="375"/>
      <c r="UFP45" s="375"/>
      <c r="UFQ45" s="375"/>
      <c r="UFR45" s="375"/>
      <c r="UFS45" s="375"/>
      <c r="UFT45" s="375"/>
      <c r="UFU45" s="375"/>
      <c r="UFV45" s="375"/>
      <c r="UFW45" s="375"/>
      <c r="UFX45" s="375"/>
      <c r="UFY45" s="375"/>
      <c r="UFZ45" s="375"/>
      <c r="UGA45" s="375"/>
      <c r="UGB45" s="375"/>
      <c r="UGC45" s="375"/>
      <c r="UGD45" s="375"/>
      <c r="UGE45" s="375"/>
      <c r="UGF45" s="375"/>
      <c r="UGG45" s="375"/>
      <c r="UGH45" s="375"/>
      <c r="UGI45" s="375"/>
      <c r="UGJ45" s="375"/>
      <c r="UGK45" s="375"/>
      <c r="UGL45" s="375"/>
      <c r="UGM45" s="375"/>
      <c r="UGN45" s="375"/>
      <c r="UGO45" s="375"/>
      <c r="UGP45" s="375"/>
      <c r="UGQ45" s="375"/>
      <c r="UGR45" s="375"/>
      <c r="UGS45" s="375"/>
      <c r="UGT45" s="375"/>
      <c r="UGU45" s="375"/>
      <c r="UGV45" s="375"/>
      <c r="UGW45" s="375"/>
      <c r="UGX45" s="375"/>
      <c r="UGY45" s="375"/>
      <c r="UGZ45" s="375"/>
      <c r="UHA45" s="375"/>
      <c r="UHB45" s="375"/>
      <c r="UHC45" s="375"/>
      <c r="UHD45" s="375"/>
      <c r="UHE45" s="375"/>
      <c r="UHF45" s="375"/>
      <c r="UHG45" s="375"/>
      <c r="UHH45" s="375"/>
      <c r="UHI45" s="375"/>
      <c r="UHJ45" s="375"/>
      <c r="UHK45" s="375"/>
      <c r="UHL45" s="375"/>
      <c r="UHM45" s="375"/>
      <c r="UHN45" s="375"/>
      <c r="UHO45" s="375"/>
      <c r="UHP45" s="375"/>
      <c r="UHQ45" s="375"/>
      <c r="UHR45" s="375"/>
      <c r="UHS45" s="375"/>
      <c r="UHT45" s="375"/>
      <c r="UHU45" s="375"/>
      <c r="UHV45" s="375"/>
      <c r="UHW45" s="375"/>
      <c r="UHX45" s="375"/>
      <c r="UHY45" s="375"/>
      <c r="UHZ45" s="375"/>
      <c r="UIA45" s="375"/>
      <c r="UIB45" s="375"/>
      <c r="UIC45" s="375"/>
      <c r="UID45" s="375"/>
      <c r="UIE45" s="375"/>
      <c r="UIF45" s="375"/>
      <c r="UIG45" s="375"/>
      <c r="UIH45" s="375"/>
      <c r="UII45" s="375"/>
      <c r="UIJ45" s="375"/>
      <c r="UIK45" s="375"/>
      <c r="UIL45" s="375"/>
      <c r="UIM45" s="375"/>
      <c r="UIN45" s="375"/>
      <c r="UIO45" s="375"/>
      <c r="UIP45" s="375"/>
      <c r="UIQ45" s="375"/>
      <c r="UIR45" s="375"/>
      <c r="UIS45" s="375"/>
      <c r="UIT45" s="375"/>
      <c r="UIU45" s="375"/>
      <c r="UIV45" s="375"/>
      <c r="UIW45" s="375"/>
      <c r="UIX45" s="375"/>
      <c r="UIY45" s="375"/>
      <c r="UIZ45" s="375"/>
      <c r="UJA45" s="375"/>
      <c r="UJB45" s="375"/>
      <c r="UJC45" s="375"/>
      <c r="UJD45" s="375"/>
      <c r="UJE45" s="375"/>
      <c r="UJF45" s="375"/>
      <c r="UJG45" s="375"/>
      <c r="UJH45" s="375"/>
      <c r="UJI45" s="375"/>
      <c r="UJJ45" s="375"/>
      <c r="UJK45" s="375"/>
      <c r="UJL45" s="375"/>
      <c r="UJM45" s="375"/>
      <c r="UJN45" s="375"/>
      <c r="UJO45" s="375"/>
      <c r="UJP45" s="375"/>
      <c r="UJQ45" s="375"/>
      <c r="UJR45" s="375"/>
      <c r="UJS45" s="375"/>
      <c r="UJT45" s="375"/>
      <c r="UJU45" s="375"/>
      <c r="UJV45" s="375"/>
      <c r="UJW45" s="375"/>
      <c r="UJX45" s="375"/>
      <c r="UJY45" s="375"/>
      <c r="UJZ45" s="375"/>
      <c r="UKA45" s="375"/>
      <c r="UKB45" s="375"/>
      <c r="UKC45" s="375"/>
      <c r="UKD45" s="375"/>
      <c r="UKE45" s="375"/>
      <c r="UKF45" s="375"/>
      <c r="UKG45" s="375"/>
      <c r="UKH45" s="375"/>
      <c r="UKI45" s="375"/>
      <c r="UKJ45" s="375"/>
      <c r="UKK45" s="375"/>
      <c r="UKL45" s="375"/>
      <c r="UKM45" s="375"/>
      <c r="UKN45" s="375"/>
      <c r="UKO45" s="375"/>
      <c r="UKP45" s="375"/>
      <c r="UKQ45" s="375"/>
      <c r="UKR45" s="375"/>
      <c r="UKS45" s="375"/>
      <c r="UKT45" s="375"/>
      <c r="UKU45" s="375"/>
      <c r="UKV45" s="375"/>
      <c r="UKW45" s="375"/>
      <c r="UKX45" s="375"/>
      <c r="UKY45" s="375"/>
      <c r="UKZ45" s="375"/>
      <c r="ULA45" s="375"/>
      <c r="ULB45" s="375"/>
      <c r="ULC45" s="375"/>
      <c r="ULD45" s="375"/>
      <c r="ULE45" s="375"/>
      <c r="ULF45" s="375"/>
      <c r="ULG45" s="375"/>
      <c r="ULH45" s="375"/>
      <c r="ULI45" s="375"/>
      <c r="ULJ45" s="375"/>
      <c r="ULK45" s="375"/>
      <c r="ULL45" s="375"/>
      <c r="ULM45" s="375"/>
      <c r="ULN45" s="375"/>
      <c r="ULO45" s="375"/>
      <c r="ULP45" s="375"/>
      <c r="ULQ45" s="375"/>
      <c r="ULR45" s="375"/>
      <c r="ULS45" s="375"/>
      <c r="ULT45" s="375"/>
      <c r="ULU45" s="375"/>
      <c r="ULV45" s="375"/>
      <c r="ULW45" s="375"/>
      <c r="ULX45" s="375"/>
      <c r="ULY45" s="375"/>
      <c r="ULZ45" s="375"/>
      <c r="UMA45" s="375"/>
      <c r="UMB45" s="375"/>
      <c r="UMC45" s="375"/>
      <c r="UMD45" s="375"/>
      <c r="UME45" s="375"/>
      <c r="UMF45" s="375"/>
      <c r="UMG45" s="375"/>
      <c r="UMH45" s="375"/>
      <c r="UMI45" s="375"/>
      <c r="UMJ45" s="375"/>
      <c r="UMK45" s="375"/>
      <c r="UML45" s="375"/>
      <c r="UMM45" s="375"/>
      <c r="UMN45" s="375"/>
      <c r="UMO45" s="375"/>
      <c r="UMP45" s="375"/>
      <c r="UMQ45" s="375"/>
      <c r="UMR45" s="375"/>
      <c r="UMS45" s="375"/>
      <c r="UMT45" s="375"/>
      <c r="UMU45" s="375"/>
      <c r="UMV45" s="375"/>
      <c r="UMW45" s="375"/>
      <c r="UMX45" s="375"/>
      <c r="UMY45" s="375"/>
      <c r="UMZ45" s="375"/>
      <c r="UNA45" s="375"/>
      <c r="UNB45" s="375"/>
      <c r="UNC45" s="375"/>
      <c r="UND45" s="375"/>
      <c r="UNE45" s="375"/>
      <c r="UNF45" s="375"/>
      <c r="UNG45" s="375"/>
      <c r="UNH45" s="375"/>
      <c r="UNI45" s="375"/>
      <c r="UNJ45" s="375"/>
      <c r="UNK45" s="375"/>
      <c r="UNL45" s="375"/>
      <c r="UNM45" s="375"/>
      <c r="UNN45" s="375"/>
      <c r="UNO45" s="375"/>
      <c r="UNP45" s="375"/>
      <c r="UNQ45" s="375"/>
      <c r="UNR45" s="375"/>
      <c r="UNS45" s="375"/>
      <c r="UNT45" s="375"/>
      <c r="UNU45" s="375"/>
      <c r="UNV45" s="375"/>
      <c r="UNW45" s="375"/>
      <c r="UNX45" s="375"/>
      <c r="UNY45" s="375"/>
      <c r="UNZ45" s="375"/>
      <c r="UOA45" s="375"/>
      <c r="UOB45" s="375"/>
      <c r="UOC45" s="375"/>
      <c r="UOD45" s="375"/>
      <c r="UOE45" s="375"/>
      <c r="UOF45" s="375"/>
      <c r="UOG45" s="375"/>
      <c r="UOH45" s="375"/>
      <c r="UOI45" s="375"/>
      <c r="UOJ45" s="375"/>
      <c r="UOK45" s="375"/>
      <c r="UOL45" s="375"/>
      <c r="UOM45" s="375"/>
      <c r="UON45" s="375"/>
      <c r="UOO45" s="375"/>
      <c r="UOP45" s="375"/>
      <c r="UOQ45" s="375"/>
      <c r="UOR45" s="375"/>
      <c r="UOS45" s="375"/>
      <c r="UOT45" s="375"/>
      <c r="UOU45" s="375"/>
      <c r="UOV45" s="375"/>
      <c r="UOW45" s="375"/>
      <c r="UOX45" s="375"/>
      <c r="UOY45" s="375"/>
      <c r="UOZ45" s="375"/>
      <c r="UPA45" s="375"/>
      <c r="UPB45" s="375"/>
      <c r="UPC45" s="375"/>
      <c r="UPD45" s="375"/>
      <c r="UPE45" s="375"/>
      <c r="UPF45" s="375"/>
      <c r="UPG45" s="375"/>
      <c r="UPH45" s="375"/>
      <c r="UPI45" s="375"/>
      <c r="UPJ45" s="375"/>
      <c r="UPK45" s="375"/>
      <c r="UPL45" s="375"/>
      <c r="UPM45" s="375"/>
      <c r="UPN45" s="375"/>
      <c r="UPO45" s="375"/>
      <c r="UPP45" s="375"/>
      <c r="UPQ45" s="375"/>
      <c r="UPR45" s="375"/>
      <c r="UPS45" s="375"/>
      <c r="UPT45" s="375"/>
      <c r="UPU45" s="375"/>
      <c r="UPV45" s="375"/>
      <c r="UPW45" s="375"/>
      <c r="UPX45" s="375"/>
      <c r="UPY45" s="375"/>
      <c r="UPZ45" s="375"/>
      <c r="UQA45" s="375"/>
      <c r="UQB45" s="375"/>
      <c r="UQC45" s="375"/>
      <c r="UQD45" s="375"/>
      <c r="UQE45" s="375"/>
      <c r="UQF45" s="375"/>
      <c r="UQG45" s="375"/>
      <c r="UQH45" s="375"/>
      <c r="UQI45" s="375"/>
      <c r="UQJ45" s="375"/>
      <c r="UQK45" s="375"/>
      <c r="UQL45" s="375"/>
      <c r="UQM45" s="375"/>
      <c r="UQN45" s="375"/>
      <c r="UQO45" s="375"/>
      <c r="UQP45" s="375"/>
      <c r="UQQ45" s="375"/>
      <c r="UQR45" s="375"/>
      <c r="UQS45" s="375"/>
      <c r="UQT45" s="375"/>
      <c r="UQU45" s="375"/>
      <c r="UQV45" s="375"/>
      <c r="UQW45" s="375"/>
      <c r="UQX45" s="375"/>
      <c r="UQY45" s="375"/>
      <c r="UQZ45" s="375"/>
      <c r="URA45" s="375"/>
      <c r="URB45" s="375"/>
      <c r="URC45" s="375"/>
      <c r="URD45" s="375"/>
      <c r="URE45" s="375"/>
      <c r="URF45" s="375"/>
      <c r="URG45" s="375"/>
      <c r="URH45" s="375"/>
      <c r="URI45" s="375"/>
      <c r="URJ45" s="375"/>
      <c r="URK45" s="375"/>
      <c r="URL45" s="375"/>
      <c r="URM45" s="375"/>
      <c r="URN45" s="375"/>
      <c r="URO45" s="375"/>
      <c r="URP45" s="375"/>
      <c r="URQ45" s="375"/>
      <c r="URR45" s="375"/>
      <c r="URS45" s="375"/>
      <c r="URT45" s="375"/>
      <c r="URU45" s="375"/>
      <c r="URV45" s="375"/>
      <c r="URW45" s="375"/>
      <c r="URX45" s="375"/>
      <c r="URY45" s="375"/>
      <c r="URZ45" s="375"/>
      <c r="USA45" s="375"/>
      <c r="USB45" s="375"/>
      <c r="USC45" s="375"/>
      <c r="USD45" s="375"/>
      <c r="USE45" s="375"/>
      <c r="USF45" s="375"/>
      <c r="USG45" s="375"/>
      <c r="USH45" s="375"/>
      <c r="USI45" s="375"/>
      <c r="USJ45" s="375"/>
      <c r="USK45" s="375"/>
      <c r="USL45" s="375"/>
      <c r="USM45" s="375"/>
      <c r="USN45" s="375"/>
      <c r="USO45" s="375"/>
      <c r="USP45" s="375"/>
      <c r="USQ45" s="375"/>
      <c r="USR45" s="375"/>
      <c r="USS45" s="375"/>
      <c r="UST45" s="375"/>
      <c r="USU45" s="375"/>
      <c r="USV45" s="375"/>
      <c r="USW45" s="375"/>
      <c r="USX45" s="375"/>
      <c r="USY45" s="375"/>
      <c r="USZ45" s="375"/>
      <c r="UTA45" s="375"/>
      <c r="UTB45" s="375"/>
      <c r="UTC45" s="375"/>
      <c r="UTD45" s="375"/>
      <c r="UTE45" s="375"/>
      <c r="UTF45" s="375"/>
      <c r="UTG45" s="375"/>
      <c r="UTH45" s="375"/>
      <c r="UTI45" s="375"/>
      <c r="UTJ45" s="375"/>
      <c r="UTK45" s="375"/>
      <c r="UTL45" s="375"/>
      <c r="UTM45" s="375"/>
      <c r="UTN45" s="375"/>
      <c r="UTO45" s="375"/>
      <c r="UTP45" s="375"/>
      <c r="UTQ45" s="375"/>
      <c r="UTR45" s="375"/>
      <c r="UTS45" s="375"/>
      <c r="UTT45" s="375"/>
      <c r="UTU45" s="375"/>
      <c r="UTV45" s="375"/>
      <c r="UTW45" s="375"/>
      <c r="UTX45" s="375"/>
      <c r="UTY45" s="375"/>
      <c r="UTZ45" s="375"/>
      <c r="UUA45" s="375"/>
      <c r="UUB45" s="375"/>
      <c r="UUC45" s="375"/>
      <c r="UUD45" s="375"/>
      <c r="UUE45" s="375"/>
      <c r="UUF45" s="375"/>
      <c r="UUG45" s="375"/>
      <c r="UUH45" s="375"/>
      <c r="UUI45" s="375"/>
      <c r="UUJ45" s="375"/>
      <c r="UUK45" s="375"/>
      <c r="UUL45" s="375"/>
      <c r="UUM45" s="375"/>
      <c r="UUN45" s="375"/>
      <c r="UUO45" s="375"/>
      <c r="UUP45" s="375"/>
      <c r="UUQ45" s="375"/>
      <c r="UUR45" s="375"/>
      <c r="UUS45" s="375"/>
      <c r="UUT45" s="375"/>
      <c r="UUU45" s="375"/>
      <c r="UUV45" s="375"/>
      <c r="UUW45" s="375"/>
      <c r="UUX45" s="375"/>
      <c r="UUY45" s="375"/>
      <c r="UUZ45" s="375"/>
      <c r="UVA45" s="375"/>
      <c r="UVB45" s="375"/>
      <c r="UVC45" s="375"/>
      <c r="UVD45" s="375"/>
      <c r="UVE45" s="375"/>
      <c r="UVF45" s="375"/>
      <c r="UVG45" s="375"/>
      <c r="UVH45" s="375"/>
      <c r="UVI45" s="375"/>
      <c r="UVJ45" s="375"/>
      <c r="UVK45" s="375"/>
      <c r="UVL45" s="375"/>
      <c r="UVM45" s="375"/>
      <c r="UVN45" s="375"/>
      <c r="UVO45" s="375"/>
      <c r="UVP45" s="375"/>
      <c r="UVQ45" s="375"/>
      <c r="UVR45" s="375"/>
      <c r="UVS45" s="375"/>
      <c r="UVT45" s="375"/>
      <c r="UVU45" s="375"/>
      <c r="UVV45" s="375"/>
      <c r="UVW45" s="375"/>
      <c r="UVX45" s="375"/>
      <c r="UVY45" s="375"/>
      <c r="UVZ45" s="375"/>
      <c r="UWA45" s="375"/>
      <c r="UWB45" s="375"/>
      <c r="UWC45" s="375"/>
      <c r="UWD45" s="375"/>
      <c r="UWE45" s="375"/>
      <c r="UWF45" s="375"/>
      <c r="UWG45" s="375"/>
      <c r="UWH45" s="375"/>
      <c r="UWI45" s="375"/>
      <c r="UWJ45" s="375"/>
      <c r="UWK45" s="375"/>
      <c r="UWL45" s="375"/>
      <c r="UWM45" s="375"/>
      <c r="UWN45" s="375"/>
      <c r="UWO45" s="375"/>
      <c r="UWP45" s="375"/>
      <c r="UWQ45" s="375"/>
      <c r="UWR45" s="375"/>
      <c r="UWS45" s="375"/>
      <c r="UWT45" s="375"/>
      <c r="UWU45" s="375"/>
      <c r="UWV45" s="375"/>
      <c r="UWW45" s="375"/>
      <c r="UWX45" s="375"/>
      <c r="UWY45" s="375"/>
      <c r="UWZ45" s="375"/>
      <c r="UXA45" s="375"/>
      <c r="UXB45" s="375"/>
      <c r="UXC45" s="375"/>
      <c r="UXD45" s="375"/>
      <c r="UXE45" s="375"/>
      <c r="UXF45" s="375"/>
      <c r="UXG45" s="375"/>
      <c r="UXH45" s="375"/>
      <c r="UXI45" s="375"/>
      <c r="UXJ45" s="375"/>
      <c r="UXK45" s="375"/>
      <c r="UXL45" s="375"/>
      <c r="UXM45" s="375"/>
      <c r="UXN45" s="375"/>
      <c r="UXO45" s="375"/>
      <c r="UXP45" s="375"/>
      <c r="UXQ45" s="375"/>
      <c r="UXR45" s="375"/>
      <c r="UXS45" s="375"/>
      <c r="UXT45" s="375"/>
      <c r="UXU45" s="375"/>
      <c r="UXV45" s="375"/>
      <c r="UXW45" s="375"/>
      <c r="UXX45" s="375"/>
      <c r="UXY45" s="375"/>
      <c r="UXZ45" s="375"/>
      <c r="UYA45" s="375"/>
      <c r="UYB45" s="375"/>
      <c r="UYC45" s="375"/>
      <c r="UYD45" s="375"/>
      <c r="UYE45" s="375"/>
      <c r="UYF45" s="375"/>
      <c r="UYG45" s="375"/>
      <c r="UYH45" s="375"/>
      <c r="UYI45" s="375"/>
      <c r="UYJ45" s="375"/>
      <c r="UYK45" s="375"/>
      <c r="UYL45" s="375"/>
      <c r="UYM45" s="375"/>
      <c r="UYN45" s="375"/>
      <c r="UYO45" s="375"/>
      <c r="UYP45" s="375"/>
      <c r="UYQ45" s="375"/>
      <c r="UYR45" s="375"/>
      <c r="UYS45" s="375"/>
      <c r="UYT45" s="375"/>
      <c r="UYU45" s="375"/>
      <c r="UYV45" s="375"/>
      <c r="UYW45" s="375"/>
      <c r="UYX45" s="375"/>
      <c r="UYY45" s="375"/>
      <c r="UYZ45" s="375"/>
      <c r="UZA45" s="375"/>
      <c r="UZB45" s="375"/>
      <c r="UZC45" s="375"/>
      <c r="UZD45" s="375"/>
      <c r="UZE45" s="375"/>
      <c r="UZF45" s="375"/>
      <c r="UZG45" s="375"/>
      <c r="UZH45" s="375"/>
      <c r="UZI45" s="375"/>
      <c r="UZJ45" s="375"/>
      <c r="UZK45" s="375"/>
      <c r="UZL45" s="375"/>
      <c r="UZM45" s="375"/>
      <c r="UZN45" s="375"/>
      <c r="UZO45" s="375"/>
      <c r="UZP45" s="375"/>
      <c r="UZQ45" s="375"/>
      <c r="UZR45" s="375"/>
      <c r="UZS45" s="375"/>
      <c r="UZT45" s="375"/>
      <c r="UZU45" s="375"/>
      <c r="UZV45" s="375"/>
      <c r="UZW45" s="375"/>
      <c r="UZX45" s="375"/>
      <c r="UZY45" s="375"/>
      <c r="UZZ45" s="375"/>
      <c r="VAA45" s="375"/>
      <c r="VAB45" s="375"/>
      <c r="VAC45" s="375"/>
      <c r="VAD45" s="375"/>
      <c r="VAE45" s="375"/>
      <c r="VAF45" s="375"/>
      <c r="VAG45" s="375"/>
      <c r="VAH45" s="375"/>
      <c r="VAI45" s="375"/>
      <c r="VAJ45" s="375"/>
      <c r="VAK45" s="375"/>
      <c r="VAL45" s="375"/>
      <c r="VAM45" s="375"/>
      <c r="VAN45" s="375"/>
      <c r="VAO45" s="375"/>
      <c r="VAP45" s="375"/>
      <c r="VAQ45" s="375"/>
      <c r="VAR45" s="375"/>
      <c r="VAS45" s="375"/>
      <c r="VAT45" s="375"/>
      <c r="VAU45" s="375"/>
      <c r="VAV45" s="375"/>
      <c r="VAW45" s="375"/>
      <c r="VAX45" s="375"/>
      <c r="VAY45" s="375"/>
      <c r="VAZ45" s="375"/>
      <c r="VBA45" s="375"/>
      <c r="VBB45" s="375"/>
      <c r="VBC45" s="375"/>
      <c r="VBD45" s="375"/>
      <c r="VBE45" s="375"/>
      <c r="VBF45" s="375"/>
      <c r="VBG45" s="375"/>
      <c r="VBH45" s="375"/>
      <c r="VBI45" s="375"/>
      <c r="VBJ45" s="375"/>
      <c r="VBK45" s="375"/>
      <c r="VBL45" s="375"/>
      <c r="VBM45" s="375"/>
      <c r="VBN45" s="375"/>
      <c r="VBO45" s="375"/>
      <c r="VBP45" s="375"/>
      <c r="VBQ45" s="375"/>
      <c r="VBR45" s="375"/>
      <c r="VBS45" s="375"/>
      <c r="VBT45" s="375"/>
      <c r="VBU45" s="375"/>
      <c r="VBV45" s="375"/>
      <c r="VBW45" s="375"/>
      <c r="VBX45" s="375"/>
      <c r="VBY45" s="375"/>
      <c r="VBZ45" s="375"/>
      <c r="VCA45" s="375"/>
      <c r="VCB45" s="375"/>
      <c r="VCC45" s="375"/>
      <c r="VCD45" s="375"/>
      <c r="VCE45" s="375"/>
      <c r="VCF45" s="375"/>
      <c r="VCG45" s="375"/>
      <c r="VCH45" s="375"/>
      <c r="VCI45" s="375"/>
      <c r="VCJ45" s="375"/>
      <c r="VCK45" s="375"/>
      <c r="VCL45" s="375"/>
      <c r="VCM45" s="375"/>
      <c r="VCN45" s="375"/>
      <c r="VCO45" s="375"/>
      <c r="VCP45" s="375"/>
      <c r="VCQ45" s="375"/>
      <c r="VCR45" s="375"/>
      <c r="VCS45" s="375"/>
      <c r="VCT45" s="375"/>
      <c r="VCU45" s="375"/>
      <c r="VCV45" s="375"/>
      <c r="VCW45" s="375"/>
      <c r="VCX45" s="375"/>
      <c r="VCY45" s="375"/>
      <c r="VCZ45" s="375"/>
      <c r="VDA45" s="375"/>
      <c r="VDB45" s="375"/>
      <c r="VDC45" s="375"/>
      <c r="VDD45" s="375"/>
      <c r="VDE45" s="375"/>
      <c r="VDF45" s="375"/>
      <c r="VDG45" s="375"/>
      <c r="VDH45" s="375"/>
      <c r="VDI45" s="375"/>
      <c r="VDJ45" s="375"/>
      <c r="VDK45" s="375"/>
      <c r="VDL45" s="375"/>
      <c r="VDM45" s="375"/>
      <c r="VDN45" s="375"/>
      <c r="VDO45" s="375"/>
      <c r="VDP45" s="375"/>
      <c r="VDQ45" s="375"/>
      <c r="VDR45" s="375"/>
      <c r="VDS45" s="375"/>
      <c r="VDT45" s="375"/>
      <c r="VDU45" s="375"/>
      <c r="VDV45" s="375"/>
      <c r="VDW45" s="375"/>
      <c r="VDX45" s="375"/>
      <c r="VDY45" s="375"/>
      <c r="VDZ45" s="375"/>
      <c r="VEA45" s="375"/>
      <c r="VEB45" s="375"/>
      <c r="VEC45" s="375"/>
      <c r="VED45" s="375"/>
      <c r="VEE45" s="375"/>
      <c r="VEF45" s="375"/>
      <c r="VEG45" s="375"/>
      <c r="VEH45" s="375"/>
      <c r="VEI45" s="375"/>
      <c r="VEJ45" s="375"/>
      <c r="VEK45" s="375"/>
      <c r="VEL45" s="375"/>
      <c r="VEM45" s="375"/>
      <c r="VEN45" s="375"/>
      <c r="VEO45" s="375"/>
      <c r="VEP45" s="375"/>
      <c r="VEQ45" s="375"/>
      <c r="VER45" s="375"/>
      <c r="VES45" s="375"/>
      <c r="VET45" s="375"/>
      <c r="VEU45" s="375"/>
      <c r="VEV45" s="375"/>
      <c r="VEW45" s="375"/>
      <c r="VEX45" s="375"/>
      <c r="VEY45" s="375"/>
      <c r="VEZ45" s="375"/>
      <c r="VFA45" s="375"/>
      <c r="VFB45" s="375"/>
      <c r="VFC45" s="375"/>
      <c r="VFD45" s="375"/>
      <c r="VFE45" s="375"/>
      <c r="VFF45" s="375"/>
      <c r="VFG45" s="375"/>
      <c r="VFH45" s="375"/>
      <c r="VFI45" s="375"/>
      <c r="VFJ45" s="375"/>
      <c r="VFK45" s="375"/>
      <c r="VFL45" s="375"/>
      <c r="VFM45" s="375"/>
      <c r="VFN45" s="375"/>
      <c r="VFO45" s="375"/>
      <c r="VFP45" s="375"/>
      <c r="VFQ45" s="375"/>
      <c r="VFR45" s="375"/>
      <c r="VFS45" s="375"/>
      <c r="VFT45" s="375"/>
      <c r="VFU45" s="375"/>
      <c r="VFV45" s="375"/>
      <c r="VFW45" s="375"/>
      <c r="VFX45" s="375"/>
      <c r="VFY45" s="375"/>
      <c r="VFZ45" s="375"/>
      <c r="VGA45" s="375"/>
      <c r="VGB45" s="375"/>
      <c r="VGC45" s="375"/>
      <c r="VGD45" s="375"/>
      <c r="VGE45" s="375"/>
      <c r="VGF45" s="375"/>
      <c r="VGG45" s="375"/>
      <c r="VGH45" s="375"/>
      <c r="VGI45" s="375"/>
      <c r="VGJ45" s="375"/>
      <c r="VGK45" s="375"/>
      <c r="VGL45" s="375"/>
      <c r="VGM45" s="375"/>
      <c r="VGN45" s="375"/>
      <c r="VGO45" s="375"/>
      <c r="VGP45" s="375"/>
      <c r="VGQ45" s="375"/>
      <c r="VGR45" s="375"/>
      <c r="VGS45" s="375"/>
      <c r="VGT45" s="375"/>
      <c r="VGU45" s="375"/>
      <c r="VGV45" s="375"/>
      <c r="VGW45" s="375"/>
      <c r="VGX45" s="375"/>
      <c r="VGY45" s="375"/>
      <c r="VGZ45" s="375"/>
      <c r="VHA45" s="375"/>
      <c r="VHB45" s="375"/>
      <c r="VHC45" s="375"/>
      <c r="VHD45" s="375"/>
      <c r="VHE45" s="375"/>
      <c r="VHF45" s="375"/>
      <c r="VHG45" s="375"/>
      <c r="VHH45" s="375"/>
      <c r="VHI45" s="375"/>
      <c r="VHJ45" s="375"/>
      <c r="VHK45" s="375"/>
      <c r="VHL45" s="375"/>
      <c r="VHM45" s="375"/>
      <c r="VHN45" s="375"/>
      <c r="VHO45" s="375"/>
      <c r="VHP45" s="375"/>
      <c r="VHQ45" s="375"/>
      <c r="VHR45" s="375"/>
      <c r="VHS45" s="375"/>
      <c r="VHT45" s="375"/>
      <c r="VHU45" s="375"/>
      <c r="VHV45" s="375"/>
      <c r="VHW45" s="375"/>
      <c r="VHX45" s="375"/>
      <c r="VHY45" s="375"/>
      <c r="VHZ45" s="375"/>
      <c r="VIA45" s="375"/>
      <c r="VIB45" s="375"/>
      <c r="VIC45" s="375"/>
      <c r="VID45" s="375"/>
      <c r="VIE45" s="375"/>
      <c r="VIF45" s="375"/>
      <c r="VIG45" s="375"/>
      <c r="VIH45" s="375"/>
      <c r="VII45" s="375"/>
      <c r="VIJ45" s="375"/>
      <c r="VIK45" s="375"/>
      <c r="VIL45" s="375"/>
      <c r="VIM45" s="375"/>
      <c r="VIN45" s="375"/>
      <c r="VIO45" s="375"/>
      <c r="VIP45" s="375"/>
      <c r="VIQ45" s="375"/>
      <c r="VIR45" s="375"/>
      <c r="VIS45" s="375"/>
      <c r="VIT45" s="375"/>
      <c r="VIU45" s="375"/>
      <c r="VIV45" s="375"/>
      <c r="VIW45" s="375"/>
      <c r="VIX45" s="375"/>
      <c r="VIY45" s="375"/>
      <c r="VIZ45" s="375"/>
      <c r="VJA45" s="375"/>
      <c r="VJB45" s="375"/>
      <c r="VJC45" s="375"/>
      <c r="VJD45" s="375"/>
      <c r="VJE45" s="375"/>
      <c r="VJF45" s="375"/>
      <c r="VJG45" s="375"/>
      <c r="VJH45" s="375"/>
      <c r="VJI45" s="375"/>
      <c r="VJJ45" s="375"/>
      <c r="VJK45" s="375"/>
      <c r="VJL45" s="375"/>
      <c r="VJM45" s="375"/>
      <c r="VJN45" s="375"/>
      <c r="VJO45" s="375"/>
      <c r="VJP45" s="375"/>
      <c r="VJQ45" s="375"/>
      <c r="VJR45" s="375"/>
      <c r="VJS45" s="375"/>
      <c r="VJT45" s="375"/>
      <c r="VJU45" s="375"/>
      <c r="VJV45" s="375"/>
      <c r="VJW45" s="375"/>
      <c r="VJX45" s="375"/>
      <c r="VJY45" s="375"/>
      <c r="VJZ45" s="375"/>
      <c r="VKA45" s="375"/>
      <c r="VKB45" s="375"/>
      <c r="VKC45" s="375"/>
      <c r="VKD45" s="375"/>
      <c r="VKE45" s="375"/>
      <c r="VKF45" s="375"/>
      <c r="VKG45" s="375"/>
      <c r="VKH45" s="375"/>
      <c r="VKI45" s="375"/>
      <c r="VKJ45" s="375"/>
      <c r="VKK45" s="375"/>
      <c r="VKL45" s="375"/>
      <c r="VKM45" s="375"/>
      <c r="VKN45" s="375"/>
      <c r="VKO45" s="375"/>
      <c r="VKP45" s="375"/>
      <c r="VKQ45" s="375"/>
      <c r="VKR45" s="375"/>
      <c r="VKS45" s="375"/>
      <c r="VKT45" s="375"/>
      <c r="VKU45" s="375"/>
      <c r="VKV45" s="375"/>
      <c r="VKW45" s="375"/>
      <c r="VKX45" s="375"/>
      <c r="VKY45" s="375"/>
      <c r="VKZ45" s="375"/>
      <c r="VLA45" s="375"/>
      <c r="VLB45" s="375"/>
      <c r="VLC45" s="375"/>
      <c r="VLD45" s="375"/>
      <c r="VLE45" s="375"/>
      <c r="VLF45" s="375"/>
      <c r="VLG45" s="375"/>
      <c r="VLH45" s="375"/>
      <c r="VLI45" s="375"/>
      <c r="VLJ45" s="375"/>
      <c r="VLK45" s="375"/>
      <c r="VLL45" s="375"/>
      <c r="VLM45" s="375"/>
      <c r="VLN45" s="375"/>
      <c r="VLO45" s="375"/>
      <c r="VLP45" s="375"/>
      <c r="VLQ45" s="375"/>
      <c r="VLR45" s="375"/>
      <c r="VLS45" s="375"/>
      <c r="VLT45" s="375"/>
      <c r="VLU45" s="375"/>
      <c r="VLV45" s="375"/>
      <c r="VLW45" s="375"/>
      <c r="VLX45" s="375"/>
      <c r="VLY45" s="375"/>
      <c r="VLZ45" s="375"/>
      <c r="VMA45" s="375"/>
      <c r="VMB45" s="375"/>
      <c r="VMC45" s="375"/>
      <c r="VMD45" s="375"/>
      <c r="VME45" s="375"/>
      <c r="VMF45" s="375"/>
      <c r="VMG45" s="375"/>
      <c r="VMH45" s="375"/>
      <c r="VMI45" s="375"/>
      <c r="VMJ45" s="375"/>
      <c r="VMK45" s="375"/>
      <c r="VML45" s="375"/>
      <c r="VMM45" s="375"/>
      <c r="VMN45" s="375"/>
      <c r="VMO45" s="375"/>
      <c r="VMP45" s="375"/>
      <c r="VMQ45" s="375"/>
      <c r="VMR45" s="375"/>
      <c r="VMS45" s="375"/>
      <c r="VMT45" s="375"/>
      <c r="VMU45" s="375"/>
      <c r="VMV45" s="375"/>
      <c r="VMW45" s="375"/>
      <c r="VMX45" s="375"/>
      <c r="VMY45" s="375"/>
      <c r="VMZ45" s="375"/>
      <c r="VNA45" s="375"/>
      <c r="VNB45" s="375"/>
      <c r="VNC45" s="375"/>
      <c r="VND45" s="375"/>
      <c r="VNE45" s="375"/>
      <c r="VNF45" s="375"/>
      <c r="VNG45" s="375"/>
      <c r="VNH45" s="375"/>
      <c r="VNI45" s="375"/>
      <c r="VNJ45" s="375"/>
      <c r="VNK45" s="375"/>
      <c r="VNL45" s="375"/>
      <c r="VNM45" s="375"/>
      <c r="VNN45" s="375"/>
      <c r="VNO45" s="375"/>
      <c r="VNP45" s="375"/>
      <c r="VNQ45" s="375"/>
      <c r="VNR45" s="375"/>
      <c r="VNS45" s="375"/>
      <c r="VNT45" s="375"/>
      <c r="VNU45" s="375"/>
      <c r="VNV45" s="375"/>
      <c r="VNW45" s="375"/>
      <c r="VNX45" s="375"/>
      <c r="VNY45" s="375"/>
      <c r="VNZ45" s="375"/>
      <c r="VOA45" s="375"/>
      <c r="VOB45" s="375"/>
      <c r="VOC45" s="375"/>
      <c r="VOD45" s="375"/>
      <c r="VOE45" s="375"/>
      <c r="VOF45" s="375"/>
      <c r="VOG45" s="375"/>
      <c r="VOH45" s="375"/>
      <c r="VOI45" s="375"/>
      <c r="VOJ45" s="375"/>
      <c r="VOK45" s="375"/>
      <c r="VOL45" s="375"/>
      <c r="VOM45" s="375"/>
      <c r="VON45" s="375"/>
      <c r="VOO45" s="375"/>
      <c r="VOP45" s="375"/>
      <c r="VOQ45" s="375"/>
      <c r="VOR45" s="375"/>
      <c r="VOS45" s="375"/>
      <c r="VOT45" s="375"/>
      <c r="VOU45" s="375"/>
      <c r="VOV45" s="375"/>
      <c r="VOW45" s="375"/>
      <c r="VOX45" s="375"/>
      <c r="VOY45" s="375"/>
      <c r="VOZ45" s="375"/>
      <c r="VPA45" s="375"/>
      <c r="VPB45" s="375"/>
      <c r="VPC45" s="375"/>
      <c r="VPD45" s="375"/>
      <c r="VPE45" s="375"/>
      <c r="VPF45" s="375"/>
      <c r="VPG45" s="375"/>
      <c r="VPH45" s="375"/>
      <c r="VPI45" s="375"/>
      <c r="VPJ45" s="375"/>
      <c r="VPK45" s="375"/>
      <c r="VPL45" s="375"/>
      <c r="VPM45" s="375"/>
      <c r="VPN45" s="375"/>
      <c r="VPO45" s="375"/>
      <c r="VPP45" s="375"/>
      <c r="VPQ45" s="375"/>
      <c r="VPR45" s="375"/>
      <c r="VPS45" s="375"/>
      <c r="VPT45" s="375"/>
      <c r="VPU45" s="375"/>
      <c r="VPV45" s="375"/>
      <c r="VPW45" s="375"/>
      <c r="VPX45" s="375"/>
      <c r="VPY45" s="375"/>
      <c r="VPZ45" s="375"/>
      <c r="VQA45" s="375"/>
      <c r="VQB45" s="375"/>
      <c r="VQC45" s="375"/>
      <c r="VQD45" s="375"/>
      <c r="VQE45" s="375"/>
      <c r="VQF45" s="375"/>
      <c r="VQG45" s="375"/>
      <c r="VQH45" s="375"/>
      <c r="VQI45" s="375"/>
      <c r="VQJ45" s="375"/>
      <c r="VQK45" s="375"/>
      <c r="VQL45" s="375"/>
      <c r="VQM45" s="375"/>
      <c r="VQN45" s="375"/>
      <c r="VQO45" s="375"/>
      <c r="VQP45" s="375"/>
      <c r="VQQ45" s="375"/>
      <c r="VQR45" s="375"/>
      <c r="VQS45" s="375"/>
      <c r="VQT45" s="375"/>
      <c r="VQU45" s="375"/>
      <c r="VQV45" s="375"/>
      <c r="VQW45" s="375"/>
      <c r="VQX45" s="375"/>
      <c r="VQY45" s="375"/>
      <c r="VQZ45" s="375"/>
      <c r="VRA45" s="375"/>
      <c r="VRB45" s="375"/>
      <c r="VRC45" s="375"/>
      <c r="VRD45" s="375"/>
      <c r="VRE45" s="375"/>
      <c r="VRF45" s="375"/>
      <c r="VRG45" s="375"/>
      <c r="VRH45" s="375"/>
      <c r="VRI45" s="375"/>
      <c r="VRJ45" s="375"/>
      <c r="VRK45" s="375"/>
      <c r="VRL45" s="375"/>
      <c r="VRM45" s="375"/>
      <c r="VRN45" s="375"/>
      <c r="VRO45" s="375"/>
      <c r="VRP45" s="375"/>
      <c r="VRQ45" s="375"/>
      <c r="VRR45" s="375"/>
      <c r="VRS45" s="375"/>
      <c r="VRT45" s="375"/>
      <c r="VRU45" s="375"/>
      <c r="VRV45" s="375"/>
      <c r="VRW45" s="375"/>
      <c r="VRX45" s="375"/>
      <c r="VRY45" s="375"/>
      <c r="VRZ45" s="375"/>
      <c r="VSA45" s="375"/>
      <c r="VSB45" s="375"/>
      <c r="VSC45" s="375"/>
      <c r="VSD45" s="375"/>
      <c r="VSE45" s="375"/>
      <c r="VSF45" s="375"/>
      <c r="VSG45" s="375"/>
      <c r="VSH45" s="375"/>
      <c r="VSI45" s="375"/>
      <c r="VSJ45" s="375"/>
      <c r="VSK45" s="375"/>
      <c r="VSL45" s="375"/>
      <c r="VSM45" s="375"/>
      <c r="VSN45" s="375"/>
      <c r="VSO45" s="375"/>
      <c r="VSP45" s="375"/>
      <c r="VSQ45" s="375"/>
      <c r="VSR45" s="375"/>
      <c r="VSS45" s="375"/>
      <c r="VST45" s="375"/>
      <c r="VSU45" s="375"/>
      <c r="VSV45" s="375"/>
      <c r="VSW45" s="375"/>
      <c r="VSX45" s="375"/>
      <c r="VSY45" s="375"/>
      <c r="VSZ45" s="375"/>
      <c r="VTA45" s="375"/>
      <c r="VTB45" s="375"/>
      <c r="VTC45" s="375"/>
      <c r="VTD45" s="375"/>
      <c r="VTE45" s="375"/>
      <c r="VTF45" s="375"/>
      <c r="VTG45" s="375"/>
      <c r="VTH45" s="375"/>
      <c r="VTI45" s="375"/>
      <c r="VTJ45" s="375"/>
      <c r="VTK45" s="375"/>
      <c r="VTL45" s="375"/>
      <c r="VTM45" s="375"/>
      <c r="VTN45" s="375"/>
      <c r="VTO45" s="375"/>
      <c r="VTP45" s="375"/>
      <c r="VTQ45" s="375"/>
      <c r="VTR45" s="375"/>
      <c r="VTS45" s="375"/>
      <c r="VTT45" s="375"/>
      <c r="VTU45" s="375"/>
      <c r="VTV45" s="375"/>
      <c r="VTW45" s="375"/>
      <c r="VTX45" s="375"/>
      <c r="VTY45" s="375"/>
      <c r="VTZ45" s="375"/>
      <c r="VUA45" s="375"/>
      <c r="VUB45" s="375"/>
      <c r="VUC45" s="375"/>
      <c r="VUD45" s="375"/>
      <c r="VUE45" s="375"/>
      <c r="VUF45" s="375"/>
      <c r="VUG45" s="375"/>
      <c r="VUH45" s="375"/>
      <c r="VUI45" s="375"/>
      <c r="VUJ45" s="375"/>
      <c r="VUK45" s="375"/>
      <c r="VUL45" s="375"/>
      <c r="VUM45" s="375"/>
      <c r="VUN45" s="375"/>
      <c r="VUO45" s="375"/>
      <c r="VUP45" s="375"/>
      <c r="VUQ45" s="375"/>
      <c r="VUR45" s="375"/>
      <c r="VUS45" s="375"/>
      <c r="VUT45" s="375"/>
      <c r="VUU45" s="375"/>
      <c r="VUV45" s="375"/>
      <c r="VUW45" s="375"/>
      <c r="VUX45" s="375"/>
      <c r="VUY45" s="375"/>
      <c r="VUZ45" s="375"/>
      <c r="VVA45" s="375"/>
      <c r="VVB45" s="375"/>
      <c r="VVC45" s="375"/>
      <c r="VVD45" s="375"/>
      <c r="VVE45" s="375"/>
      <c r="VVF45" s="375"/>
      <c r="VVG45" s="375"/>
      <c r="VVH45" s="375"/>
      <c r="VVI45" s="375"/>
      <c r="VVJ45" s="375"/>
      <c r="VVK45" s="375"/>
      <c r="VVL45" s="375"/>
      <c r="VVM45" s="375"/>
      <c r="VVN45" s="375"/>
      <c r="VVO45" s="375"/>
      <c r="VVP45" s="375"/>
      <c r="VVQ45" s="375"/>
      <c r="VVR45" s="375"/>
      <c r="VVS45" s="375"/>
      <c r="VVT45" s="375"/>
      <c r="VVU45" s="375"/>
      <c r="VVV45" s="375"/>
      <c r="VVW45" s="375"/>
      <c r="VVX45" s="375"/>
      <c r="VVY45" s="375"/>
      <c r="VVZ45" s="375"/>
      <c r="VWA45" s="375"/>
      <c r="VWB45" s="375"/>
      <c r="VWC45" s="375"/>
      <c r="VWD45" s="375"/>
      <c r="VWE45" s="375"/>
      <c r="VWF45" s="375"/>
      <c r="VWG45" s="375"/>
      <c r="VWH45" s="375"/>
      <c r="VWI45" s="375"/>
      <c r="VWJ45" s="375"/>
      <c r="VWK45" s="375"/>
      <c r="VWL45" s="375"/>
      <c r="VWM45" s="375"/>
      <c r="VWN45" s="375"/>
      <c r="VWO45" s="375"/>
      <c r="VWP45" s="375"/>
      <c r="VWQ45" s="375"/>
      <c r="VWR45" s="375"/>
      <c r="VWS45" s="375"/>
      <c r="VWT45" s="375"/>
      <c r="VWU45" s="375"/>
      <c r="VWV45" s="375"/>
      <c r="VWW45" s="375"/>
      <c r="VWX45" s="375"/>
      <c r="VWY45" s="375"/>
      <c r="VWZ45" s="375"/>
      <c r="VXA45" s="375"/>
      <c r="VXB45" s="375"/>
      <c r="VXC45" s="375"/>
      <c r="VXD45" s="375"/>
      <c r="VXE45" s="375"/>
      <c r="VXF45" s="375"/>
      <c r="VXG45" s="375"/>
      <c r="VXH45" s="375"/>
      <c r="VXI45" s="375"/>
      <c r="VXJ45" s="375"/>
      <c r="VXK45" s="375"/>
      <c r="VXL45" s="375"/>
      <c r="VXM45" s="375"/>
      <c r="VXN45" s="375"/>
      <c r="VXO45" s="375"/>
      <c r="VXP45" s="375"/>
      <c r="VXQ45" s="375"/>
      <c r="VXR45" s="375"/>
      <c r="VXS45" s="375"/>
      <c r="VXT45" s="375"/>
      <c r="VXU45" s="375"/>
      <c r="VXV45" s="375"/>
      <c r="VXW45" s="375"/>
      <c r="VXX45" s="375"/>
      <c r="VXY45" s="375"/>
      <c r="VXZ45" s="375"/>
      <c r="VYA45" s="375"/>
      <c r="VYB45" s="375"/>
      <c r="VYC45" s="375"/>
      <c r="VYD45" s="375"/>
      <c r="VYE45" s="375"/>
      <c r="VYF45" s="375"/>
      <c r="VYG45" s="375"/>
      <c r="VYH45" s="375"/>
      <c r="VYI45" s="375"/>
      <c r="VYJ45" s="375"/>
      <c r="VYK45" s="375"/>
      <c r="VYL45" s="375"/>
      <c r="VYM45" s="375"/>
      <c r="VYN45" s="375"/>
      <c r="VYO45" s="375"/>
      <c r="VYP45" s="375"/>
      <c r="VYQ45" s="375"/>
      <c r="VYR45" s="375"/>
      <c r="VYS45" s="375"/>
      <c r="VYT45" s="375"/>
      <c r="VYU45" s="375"/>
      <c r="VYV45" s="375"/>
      <c r="VYW45" s="375"/>
      <c r="VYX45" s="375"/>
      <c r="VYY45" s="375"/>
      <c r="VYZ45" s="375"/>
      <c r="VZA45" s="375"/>
      <c r="VZB45" s="375"/>
      <c r="VZC45" s="375"/>
      <c r="VZD45" s="375"/>
      <c r="VZE45" s="375"/>
      <c r="VZF45" s="375"/>
      <c r="VZG45" s="375"/>
      <c r="VZH45" s="375"/>
      <c r="VZI45" s="375"/>
      <c r="VZJ45" s="375"/>
      <c r="VZK45" s="375"/>
      <c r="VZL45" s="375"/>
      <c r="VZM45" s="375"/>
      <c r="VZN45" s="375"/>
      <c r="VZO45" s="375"/>
      <c r="VZP45" s="375"/>
      <c r="VZQ45" s="375"/>
      <c r="VZR45" s="375"/>
      <c r="VZS45" s="375"/>
      <c r="VZT45" s="375"/>
      <c r="VZU45" s="375"/>
      <c r="VZV45" s="375"/>
      <c r="VZW45" s="375"/>
      <c r="VZX45" s="375"/>
      <c r="VZY45" s="375"/>
      <c r="VZZ45" s="375"/>
      <c r="WAA45" s="375"/>
      <c r="WAB45" s="375"/>
      <c r="WAC45" s="375"/>
      <c r="WAD45" s="375"/>
      <c r="WAE45" s="375"/>
      <c r="WAF45" s="375"/>
      <c r="WAG45" s="375"/>
      <c r="WAH45" s="375"/>
      <c r="WAI45" s="375"/>
      <c r="WAJ45" s="375"/>
      <c r="WAK45" s="375"/>
      <c r="WAL45" s="375"/>
      <c r="WAM45" s="375"/>
      <c r="WAN45" s="375"/>
      <c r="WAO45" s="375"/>
      <c r="WAP45" s="375"/>
      <c r="WAQ45" s="375"/>
      <c r="WAR45" s="375"/>
      <c r="WAS45" s="375"/>
      <c r="WAT45" s="375"/>
      <c r="WAU45" s="375"/>
      <c r="WAV45" s="375"/>
      <c r="WAW45" s="375"/>
      <c r="WAX45" s="375"/>
      <c r="WAY45" s="375"/>
      <c r="WAZ45" s="375"/>
      <c r="WBA45" s="375"/>
      <c r="WBB45" s="375"/>
      <c r="WBC45" s="375"/>
      <c r="WBD45" s="375"/>
      <c r="WBE45" s="375"/>
      <c r="WBF45" s="375"/>
      <c r="WBG45" s="375"/>
      <c r="WBH45" s="375"/>
      <c r="WBI45" s="375"/>
      <c r="WBJ45" s="375"/>
      <c r="WBK45" s="375"/>
      <c r="WBL45" s="375"/>
      <c r="WBM45" s="375"/>
      <c r="WBN45" s="375"/>
      <c r="WBO45" s="375"/>
      <c r="WBP45" s="375"/>
      <c r="WBQ45" s="375"/>
      <c r="WBR45" s="375"/>
      <c r="WBS45" s="375"/>
      <c r="WBT45" s="375"/>
      <c r="WBU45" s="375"/>
      <c r="WBV45" s="375"/>
      <c r="WBW45" s="375"/>
      <c r="WBX45" s="375"/>
      <c r="WBY45" s="375"/>
      <c r="WBZ45" s="375"/>
      <c r="WCA45" s="375"/>
      <c r="WCB45" s="375"/>
      <c r="WCC45" s="375"/>
      <c r="WCD45" s="375"/>
      <c r="WCE45" s="375"/>
      <c r="WCF45" s="375"/>
      <c r="WCG45" s="375"/>
      <c r="WCH45" s="375"/>
      <c r="WCI45" s="375"/>
      <c r="WCJ45" s="375"/>
      <c r="WCK45" s="375"/>
      <c r="WCL45" s="375"/>
      <c r="WCM45" s="375"/>
      <c r="WCN45" s="375"/>
      <c r="WCO45" s="375"/>
      <c r="WCP45" s="375"/>
      <c r="WCQ45" s="375"/>
      <c r="WCR45" s="375"/>
      <c r="WCS45" s="375"/>
      <c r="WCT45" s="375"/>
      <c r="WCU45" s="375"/>
      <c r="WCV45" s="375"/>
      <c r="WCW45" s="375"/>
      <c r="WCX45" s="375"/>
      <c r="WCY45" s="375"/>
      <c r="WCZ45" s="375"/>
      <c r="WDA45" s="375"/>
      <c r="WDB45" s="375"/>
      <c r="WDC45" s="375"/>
      <c r="WDD45" s="375"/>
      <c r="WDE45" s="375"/>
      <c r="WDF45" s="375"/>
      <c r="WDG45" s="375"/>
      <c r="WDH45" s="375"/>
      <c r="WDI45" s="375"/>
      <c r="WDJ45" s="375"/>
      <c r="WDK45" s="375"/>
      <c r="WDL45" s="375"/>
      <c r="WDM45" s="375"/>
      <c r="WDN45" s="375"/>
      <c r="WDO45" s="375"/>
      <c r="WDP45" s="375"/>
      <c r="WDQ45" s="375"/>
      <c r="WDR45" s="375"/>
      <c r="WDS45" s="375"/>
      <c r="WDT45" s="375"/>
      <c r="WDU45" s="375"/>
      <c r="WDV45" s="375"/>
      <c r="WDW45" s="375"/>
      <c r="WDX45" s="375"/>
      <c r="WDY45" s="375"/>
      <c r="WDZ45" s="375"/>
      <c r="WEA45" s="375"/>
      <c r="WEB45" s="375"/>
      <c r="WEC45" s="375"/>
      <c r="WED45" s="375"/>
      <c r="WEE45" s="375"/>
      <c r="WEF45" s="375"/>
      <c r="WEG45" s="375"/>
      <c r="WEH45" s="375"/>
      <c r="WEI45" s="375"/>
      <c r="WEJ45" s="375"/>
      <c r="WEK45" s="375"/>
      <c r="WEL45" s="375"/>
      <c r="WEM45" s="375"/>
      <c r="WEN45" s="375"/>
      <c r="WEO45" s="375"/>
      <c r="WEP45" s="375"/>
      <c r="WEQ45" s="375"/>
      <c r="WER45" s="375"/>
      <c r="WES45" s="375"/>
      <c r="WET45" s="375"/>
      <c r="WEU45" s="375"/>
      <c r="WEV45" s="375"/>
      <c r="WEW45" s="375"/>
      <c r="WEX45" s="375"/>
      <c r="WEY45" s="375"/>
      <c r="WEZ45" s="375"/>
      <c r="WFA45" s="375"/>
      <c r="WFB45" s="375"/>
      <c r="WFC45" s="375"/>
      <c r="WFD45" s="375"/>
      <c r="WFE45" s="375"/>
      <c r="WFF45" s="375"/>
      <c r="WFG45" s="375"/>
      <c r="WFH45" s="375"/>
      <c r="WFI45" s="375"/>
      <c r="WFJ45" s="375"/>
      <c r="WFK45" s="375"/>
      <c r="WFL45" s="375"/>
      <c r="WFM45" s="375"/>
      <c r="WFN45" s="375"/>
      <c r="WFO45" s="375"/>
      <c r="WFP45" s="375"/>
      <c r="WFQ45" s="375"/>
      <c r="WFR45" s="375"/>
      <c r="WFS45" s="375"/>
      <c r="WFT45" s="375"/>
      <c r="WFU45" s="375"/>
      <c r="WFV45" s="375"/>
      <c r="WFW45" s="375"/>
      <c r="WFX45" s="375"/>
      <c r="WFY45" s="375"/>
      <c r="WFZ45" s="375"/>
      <c r="WGA45" s="375"/>
      <c r="WGB45" s="375"/>
      <c r="WGC45" s="375"/>
      <c r="WGD45" s="375"/>
      <c r="WGE45" s="375"/>
      <c r="WGF45" s="375"/>
      <c r="WGG45" s="375"/>
      <c r="WGH45" s="375"/>
      <c r="WGI45" s="375"/>
      <c r="WGJ45" s="375"/>
      <c r="WGK45" s="375"/>
      <c r="WGL45" s="375"/>
      <c r="WGM45" s="375"/>
      <c r="WGN45" s="375"/>
      <c r="WGO45" s="375"/>
      <c r="WGP45" s="375"/>
      <c r="WGQ45" s="375"/>
      <c r="WGR45" s="375"/>
      <c r="WGS45" s="375"/>
      <c r="WGT45" s="375"/>
      <c r="WGU45" s="375"/>
      <c r="WGV45" s="375"/>
      <c r="WGW45" s="375"/>
      <c r="WGX45" s="375"/>
      <c r="WGY45" s="375"/>
      <c r="WGZ45" s="375"/>
      <c r="WHA45" s="375"/>
      <c r="WHB45" s="375"/>
      <c r="WHC45" s="375"/>
      <c r="WHD45" s="375"/>
      <c r="WHE45" s="375"/>
      <c r="WHF45" s="375"/>
      <c r="WHG45" s="375"/>
      <c r="WHH45" s="375"/>
      <c r="WHI45" s="375"/>
      <c r="WHJ45" s="375"/>
      <c r="WHK45" s="375"/>
      <c r="WHL45" s="375"/>
      <c r="WHM45" s="375"/>
      <c r="WHN45" s="375"/>
      <c r="WHO45" s="375"/>
      <c r="WHP45" s="375"/>
      <c r="WHQ45" s="375"/>
      <c r="WHR45" s="375"/>
      <c r="WHS45" s="375"/>
      <c r="WHT45" s="375"/>
      <c r="WHU45" s="375"/>
      <c r="WHV45" s="375"/>
      <c r="WHW45" s="375"/>
      <c r="WHX45" s="375"/>
      <c r="WHY45" s="375"/>
      <c r="WHZ45" s="375"/>
      <c r="WIA45" s="375"/>
      <c r="WIB45" s="375"/>
      <c r="WIC45" s="375"/>
      <c r="WID45" s="375"/>
      <c r="WIE45" s="375"/>
      <c r="WIF45" s="375"/>
      <c r="WIG45" s="375"/>
      <c r="WIH45" s="375"/>
      <c r="WII45" s="375"/>
      <c r="WIJ45" s="375"/>
      <c r="WIK45" s="375"/>
      <c r="WIL45" s="375"/>
      <c r="WIM45" s="375"/>
      <c r="WIN45" s="375"/>
      <c r="WIO45" s="375"/>
      <c r="WIP45" s="375"/>
      <c r="WIQ45" s="375"/>
      <c r="WIR45" s="375"/>
      <c r="WIS45" s="375"/>
      <c r="WIT45" s="375"/>
      <c r="WIU45" s="375"/>
      <c r="WIV45" s="375"/>
      <c r="WIW45" s="375"/>
      <c r="WIX45" s="375"/>
      <c r="WIY45" s="375"/>
      <c r="WIZ45" s="375"/>
      <c r="WJA45" s="375"/>
      <c r="WJB45" s="375"/>
      <c r="WJC45" s="375"/>
      <c r="WJD45" s="375"/>
      <c r="WJE45" s="375"/>
      <c r="WJF45" s="375"/>
      <c r="WJG45" s="375"/>
      <c r="WJH45" s="375"/>
      <c r="WJI45" s="375"/>
      <c r="WJJ45" s="375"/>
      <c r="WJK45" s="375"/>
      <c r="WJL45" s="375"/>
      <c r="WJM45" s="375"/>
      <c r="WJN45" s="375"/>
      <c r="WJO45" s="375"/>
      <c r="WJP45" s="375"/>
      <c r="WJQ45" s="375"/>
      <c r="WJR45" s="375"/>
      <c r="WJS45" s="375"/>
      <c r="WJT45" s="375"/>
      <c r="WJU45" s="375"/>
      <c r="WJV45" s="375"/>
      <c r="WJW45" s="375"/>
      <c r="WJX45" s="375"/>
      <c r="WJY45" s="375"/>
      <c r="WJZ45" s="375"/>
      <c r="WKA45" s="375"/>
      <c r="WKB45" s="375"/>
      <c r="WKC45" s="375"/>
      <c r="WKD45" s="375"/>
      <c r="WKE45" s="375"/>
      <c r="WKF45" s="375"/>
      <c r="WKG45" s="375"/>
      <c r="WKH45" s="375"/>
      <c r="WKI45" s="375"/>
      <c r="WKJ45" s="375"/>
      <c r="WKK45" s="375"/>
      <c r="WKL45" s="375"/>
      <c r="WKM45" s="375"/>
      <c r="WKN45" s="375"/>
      <c r="WKO45" s="375"/>
      <c r="WKP45" s="375"/>
      <c r="WKQ45" s="375"/>
      <c r="WKR45" s="375"/>
      <c r="WKS45" s="375"/>
      <c r="WKT45" s="375"/>
      <c r="WKU45" s="375"/>
      <c r="WKV45" s="375"/>
      <c r="WKW45" s="375"/>
      <c r="WKX45" s="375"/>
      <c r="WKY45" s="375"/>
      <c r="WKZ45" s="375"/>
      <c r="WLA45" s="375"/>
      <c r="WLB45" s="375"/>
      <c r="WLC45" s="375"/>
      <c r="WLD45" s="375"/>
      <c r="WLE45" s="375"/>
      <c r="WLF45" s="375"/>
      <c r="WLG45" s="375"/>
      <c r="WLH45" s="375"/>
      <c r="WLI45" s="375"/>
      <c r="WLJ45" s="375"/>
      <c r="WLK45" s="375"/>
      <c r="WLL45" s="375"/>
      <c r="WLM45" s="375"/>
      <c r="WLN45" s="375"/>
      <c r="WLO45" s="375"/>
      <c r="WLP45" s="375"/>
      <c r="WLQ45" s="375"/>
      <c r="WLR45" s="375"/>
      <c r="WLS45" s="375"/>
      <c r="WLT45" s="375"/>
      <c r="WLU45" s="375"/>
      <c r="WLV45" s="375"/>
      <c r="WLW45" s="375"/>
      <c r="WLX45" s="375"/>
      <c r="WLY45" s="375"/>
      <c r="WLZ45" s="375"/>
      <c r="WMA45" s="375"/>
      <c r="WMB45" s="375"/>
      <c r="WMC45" s="375"/>
      <c r="WMD45" s="375"/>
      <c r="WME45" s="375"/>
      <c r="WMF45" s="375"/>
      <c r="WMG45" s="375"/>
      <c r="WMH45" s="375"/>
      <c r="WMI45" s="375"/>
      <c r="WMJ45" s="375"/>
      <c r="WMK45" s="375"/>
      <c r="WML45" s="375"/>
      <c r="WMM45" s="375"/>
      <c r="WMN45" s="375"/>
      <c r="WMO45" s="375"/>
      <c r="WMP45" s="375"/>
      <c r="WMQ45" s="375"/>
      <c r="WMR45" s="375"/>
      <c r="WMS45" s="375"/>
      <c r="WMT45" s="375"/>
      <c r="WMU45" s="375"/>
      <c r="WMV45" s="375"/>
      <c r="WMW45" s="375"/>
      <c r="WMX45" s="375"/>
      <c r="WMY45" s="375"/>
      <c r="WMZ45" s="375"/>
      <c r="WNA45" s="375"/>
      <c r="WNB45" s="375"/>
      <c r="WNC45" s="375"/>
      <c r="WND45" s="375"/>
      <c r="WNE45" s="375"/>
      <c r="WNF45" s="375"/>
      <c r="WNG45" s="375"/>
      <c r="WNH45" s="375"/>
      <c r="WNI45" s="375"/>
      <c r="WNJ45" s="375"/>
      <c r="WNK45" s="375"/>
      <c r="WNL45" s="375"/>
      <c r="WNM45" s="375"/>
      <c r="WNN45" s="375"/>
      <c r="WNO45" s="375"/>
      <c r="WNP45" s="375"/>
      <c r="WNQ45" s="375"/>
      <c r="WNR45" s="375"/>
      <c r="WNS45" s="375"/>
      <c r="WNT45" s="375"/>
      <c r="WNU45" s="375"/>
      <c r="WNV45" s="375"/>
      <c r="WNW45" s="375"/>
      <c r="WNX45" s="375"/>
      <c r="WNY45" s="375"/>
      <c r="WNZ45" s="375"/>
      <c r="WOA45" s="375"/>
      <c r="WOB45" s="375"/>
      <c r="WOC45" s="375"/>
      <c r="WOD45" s="375"/>
      <c r="WOE45" s="375"/>
      <c r="WOF45" s="375"/>
      <c r="WOG45" s="375"/>
      <c r="WOH45" s="375"/>
      <c r="WOI45" s="375"/>
      <c r="WOJ45" s="375"/>
      <c r="WOK45" s="375"/>
      <c r="WOL45" s="375"/>
      <c r="WOM45" s="375"/>
      <c r="WON45" s="375"/>
      <c r="WOO45" s="375"/>
      <c r="WOP45" s="375"/>
      <c r="WOQ45" s="375"/>
      <c r="WOR45" s="375"/>
      <c r="WOS45" s="375"/>
      <c r="WOT45" s="375"/>
      <c r="WOU45" s="375"/>
      <c r="WOV45" s="375"/>
      <c r="WOW45" s="375"/>
      <c r="WOX45" s="375"/>
      <c r="WOY45" s="375"/>
      <c r="WOZ45" s="375"/>
      <c r="WPA45" s="375"/>
      <c r="WPB45" s="375"/>
      <c r="WPC45" s="375"/>
      <c r="WPD45" s="375"/>
      <c r="WPE45" s="375"/>
      <c r="WPF45" s="375"/>
      <c r="WPG45" s="375"/>
      <c r="WPH45" s="375"/>
      <c r="WPI45" s="375"/>
      <c r="WPJ45" s="375"/>
      <c r="WPK45" s="375"/>
      <c r="WPL45" s="375"/>
      <c r="WPM45" s="375"/>
      <c r="WPN45" s="375"/>
      <c r="WPO45" s="375"/>
      <c r="WPP45" s="375"/>
      <c r="WPQ45" s="375"/>
      <c r="WPR45" s="375"/>
      <c r="WPS45" s="375"/>
      <c r="WPT45" s="375"/>
      <c r="WPU45" s="375"/>
      <c r="WPV45" s="375"/>
      <c r="WPW45" s="375"/>
      <c r="WPX45" s="375"/>
      <c r="WPY45" s="375"/>
      <c r="WPZ45" s="375"/>
      <c r="WQA45" s="375"/>
      <c r="WQB45" s="375"/>
      <c r="WQC45" s="375"/>
      <c r="WQD45" s="375"/>
      <c r="WQE45" s="375"/>
      <c r="WQF45" s="375"/>
      <c r="WQG45" s="375"/>
      <c r="WQH45" s="375"/>
      <c r="WQI45" s="375"/>
      <c r="WQJ45" s="375"/>
      <c r="WQK45" s="375"/>
      <c r="WQL45" s="375"/>
      <c r="WQM45" s="375"/>
      <c r="WQN45" s="375"/>
      <c r="WQO45" s="375"/>
      <c r="WQP45" s="375"/>
      <c r="WQQ45" s="375"/>
      <c r="WQR45" s="375"/>
      <c r="WQS45" s="375"/>
      <c r="WQT45" s="375"/>
      <c r="WQU45" s="375"/>
      <c r="WQV45" s="375"/>
      <c r="WQW45" s="375"/>
      <c r="WQX45" s="375"/>
      <c r="WQY45" s="375"/>
      <c r="WQZ45" s="375"/>
      <c r="WRA45" s="375"/>
      <c r="WRB45" s="375"/>
      <c r="WRC45" s="375"/>
      <c r="WRD45" s="375"/>
      <c r="WRE45" s="375"/>
      <c r="WRF45" s="375"/>
      <c r="WRG45" s="375"/>
      <c r="WRH45" s="375"/>
      <c r="WRI45" s="375"/>
      <c r="WRJ45" s="375"/>
      <c r="WRK45" s="375"/>
      <c r="WRL45" s="375"/>
      <c r="WRM45" s="375"/>
      <c r="WRN45" s="375"/>
      <c r="WRO45" s="375"/>
      <c r="WRP45" s="375"/>
      <c r="WRQ45" s="375"/>
      <c r="WRR45" s="375"/>
      <c r="WRS45" s="375"/>
      <c r="WRT45" s="375"/>
      <c r="WRU45" s="375"/>
      <c r="WRV45" s="375"/>
      <c r="WRW45" s="375"/>
      <c r="WRX45" s="375"/>
      <c r="WRY45" s="375"/>
      <c r="WRZ45" s="375"/>
      <c r="WSA45" s="375"/>
      <c r="WSB45" s="375"/>
      <c r="WSC45" s="375"/>
      <c r="WSD45" s="375"/>
      <c r="WSE45" s="375"/>
      <c r="WSF45" s="375"/>
      <c r="WSG45" s="375"/>
      <c r="WSH45" s="375"/>
      <c r="WSI45" s="375"/>
      <c r="WSJ45" s="375"/>
      <c r="WSK45" s="375"/>
      <c r="WSL45" s="375"/>
      <c r="WSM45" s="375"/>
      <c r="WSN45" s="375"/>
      <c r="WSO45" s="375"/>
      <c r="WSP45" s="375"/>
      <c r="WSQ45" s="375"/>
      <c r="WSR45" s="375"/>
      <c r="WSS45" s="375"/>
      <c r="WST45" s="375"/>
      <c r="WSU45" s="375"/>
      <c r="WSV45" s="375"/>
      <c r="WSW45" s="375"/>
      <c r="WSX45" s="375"/>
      <c r="WSY45" s="375"/>
      <c r="WSZ45" s="375"/>
      <c r="WTA45" s="375"/>
      <c r="WTB45" s="375"/>
      <c r="WTC45" s="375"/>
      <c r="WTD45" s="375"/>
      <c r="WTE45" s="375"/>
      <c r="WTF45" s="375"/>
      <c r="WTG45" s="375"/>
      <c r="WTH45" s="375"/>
      <c r="WTI45" s="375"/>
      <c r="WTJ45" s="375"/>
      <c r="WTK45" s="375"/>
      <c r="WTL45" s="375"/>
      <c r="WTM45" s="375"/>
      <c r="WTN45" s="375"/>
      <c r="WTO45" s="375"/>
      <c r="WTP45" s="375"/>
      <c r="WTQ45" s="375"/>
      <c r="WTR45" s="375"/>
      <c r="WTS45" s="375"/>
      <c r="WTT45" s="375"/>
      <c r="WTU45" s="375"/>
      <c r="WTV45" s="375"/>
      <c r="WTW45" s="375"/>
      <c r="WTX45" s="375"/>
      <c r="WTY45" s="375"/>
      <c r="WTZ45" s="375"/>
      <c r="WUA45" s="375"/>
      <c r="WUB45" s="375"/>
      <c r="WUC45" s="375"/>
      <c r="WUD45" s="375"/>
      <c r="WUE45" s="375"/>
      <c r="WUF45" s="375"/>
      <c r="WUG45" s="375"/>
      <c r="WUH45" s="375"/>
      <c r="WUI45" s="375"/>
      <c r="WUJ45" s="375"/>
      <c r="WUK45" s="375"/>
      <c r="WUL45" s="375"/>
      <c r="WUM45" s="375"/>
      <c r="WUN45" s="375"/>
      <c r="WUO45" s="375"/>
      <c r="WUP45" s="375"/>
      <c r="WUQ45" s="375"/>
      <c r="WUR45" s="375"/>
      <c r="WUS45" s="375"/>
      <c r="WUT45" s="375"/>
      <c r="WUU45" s="375"/>
      <c r="WUV45" s="375"/>
      <c r="WUW45" s="375"/>
      <c r="WUX45" s="375"/>
      <c r="WUY45" s="375"/>
      <c r="WUZ45" s="375"/>
      <c r="WVA45" s="375"/>
      <c r="WVB45" s="375"/>
      <c r="WVC45" s="375"/>
      <c r="WVD45" s="375"/>
      <c r="WVE45" s="375"/>
      <c r="WVF45" s="375"/>
      <c r="WVG45" s="375"/>
      <c r="WVH45" s="375"/>
      <c r="WVI45" s="375"/>
      <c r="WVJ45" s="375"/>
      <c r="WVK45" s="375"/>
      <c r="WVL45" s="375"/>
      <c r="WVM45" s="375"/>
      <c r="WVN45" s="375"/>
      <c r="WVO45" s="375"/>
      <c r="WVP45" s="375"/>
      <c r="WVQ45" s="375"/>
      <c r="WVR45" s="375"/>
      <c r="WVS45" s="375"/>
      <c r="WVT45" s="375"/>
      <c r="WVU45" s="375"/>
      <c r="WVV45" s="375"/>
      <c r="WVW45" s="375"/>
      <c r="WVX45" s="375"/>
      <c r="WVY45" s="375"/>
      <c r="WVZ45" s="375"/>
      <c r="WWA45" s="375"/>
      <c r="WWB45" s="375"/>
      <c r="WWC45" s="375"/>
      <c r="WWD45" s="375"/>
      <c r="WWE45" s="375"/>
      <c r="WWF45" s="375"/>
      <c r="WWG45" s="375"/>
      <c r="WWH45" s="375"/>
      <c r="WWI45" s="375"/>
      <c r="WWJ45" s="375"/>
      <c r="WWK45" s="375"/>
      <c r="WWL45" s="375"/>
      <c r="WWM45" s="375"/>
      <c r="WWN45" s="375"/>
      <c r="WWO45" s="375"/>
      <c r="WWP45" s="375"/>
      <c r="WWQ45" s="375"/>
      <c r="WWR45" s="375"/>
      <c r="WWS45" s="375"/>
      <c r="WWT45" s="375"/>
      <c r="WWU45" s="375"/>
      <c r="WWV45" s="375"/>
      <c r="WWW45" s="375"/>
      <c r="WWX45" s="375"/>
      <c r="WWY45" s="375"/>
      <c r="WWZ45" s="375"/>
      <c r="WXA45" s="375"/>
      <c r="WXB45" s="375"/>
      <c r="WXC45" s="375"/>
      <c r="WXD45" s="375"/>
      <c r="WXE45" s="375"/>
      <c r="WXF45" s="375"/>
      <c r="WXG45" s="375"/>
      <c r="WXH45" s="375"/>
      <c r="WXI45" s="375"/>
      <c r="WXJ45" s="375"/>
      <c r="WXK45" s="375"/>
      <c r="WXL45" s="375"/>
      <c r="WXM45" s="375"/>
      <c r="WXN45" s="375"/>
      <c r="WXO45" s="375"/>
      <c r="WXP45" s="375"/>
      <c r="WXQ45" s="375"/>
      <c r="WXR45" s="375"/>
      <c r="WXS45" s="375"/>
      <c r="WXT45" s="375"/>
      <c r="WXU45" s="375"/>
      <c r="WXV45" s="375"/>
      <c r="WXW45" s="375"/>
      <c r="WXX45" s="375"/>
      <c r="WXY45" s="375"/>
      <c r="WXZ45" s="375"/>
      <c r="WYA45" s="375"/>
      <c r="WYB45" s="375"/>
      <c r="WYC45" s="375"/>
      <c r="WYD45" s="375"/>
      <c r="WYE45" s="375"/>
      <c r="WYF45" s="375"/>
      <c r="WYG45" s="375"/>
      <c r="WYH45" s="375"/>
      <c r="WYI45" s="375"/>
      <c r="WYJ45" s="375"/>
      <c r="WYK45" s="375"/>
      <c r="WYL45" s="375"/>
      <c r="WYM45" s="375"/>
      <c r="WYN45" s="375"/>
      <c r="WYO45" s="375"/>
      <c r="WYP45" s="375"/>
      <c r="WYQ45" s="375"/>
      <c r="WYR45" s="375"/>
      <c r="WYS45" s="375"/>
      <c r="WYT45" s="375"/>
      <c r="WYU45" s="375"/>
      <c r="WYV45" s="375"/>
      <c r="WYW45" s="375"/>
      <c r="WYX45" s="375"/>
      <c r="WYY45" s="375"/>
      <c r="WYZ45" s="375"/>
      <c r="WZA45" s="375"/>
      <c r="WZB45" s="375"/>
      <c r="WZC45" s="375"/>
      <c r="WZD45" s="375"/>
      <c r="WZE45" s="375"/>
      <c r="WZF45" s="375"/>
      <c r="WZG45" s="375"/>
      <c r="WZH45" s="375"/>
      <c r="WZI45" s="375"/>
      <c r="WZJ45" s="375"/>
      <c r="WZK45" s="375"/>
      <c r="WZL45" s="375"/>
      <c r="WZM45" s="375"/>
      <c r="WZN45" s="375"/>
      <c r="WZO45" s="375"/>
      <c r="WZP45" s="375"/>
      <c r="WZQ45" s="375"/>
      <c r="WZR45" s="375"/>
      <c r="WZS45" s="375"/>
      <c r="WZT45" s="375"/>
      <c r="WZU45" s="375"/>
      <c r="WZV45" s="375"/>
      <c r="WZW45" s="375"/>
      <c r="WZX45" s="375"/>
      <c r="WZY45" s="375"/>
      <c r="WZZ45" s="375"/>
      <c r="XAA45" s="375"/>
      <c r="XAB45" s="375"/>
      <c r="XAC45" s="375"/>
      <c r="XAD45" s="375"/>
      <c r="XAE45" s="375"/>
      <c r="XAF45" s="375"/>
      <c r="XAG45" s="375"/>
      <c r="XAH45" s="375"/>
      <c r="XAI45" s="375"/>
      <c r="XAJ45" s="375"/>
      <c r="XAK45" s="375"/>
      <c r="XAL45" s="375"/>
      <c r="XAM45" s="375"/>
      <c r="XAN45" s="375"/>
      <c r="XAO45" s="375"/>
      <c r="XAP45" s="375"/>
      <c r="XAQ45" s="375"/>
      <c r="XAR45" s="375"/>
      <c r="XAS45" s="375"/>
      <c r="XAT45" s="375"/>
      <c r="XAU45" s="375"/>
      <c r="XAV45" s="375"/>
      <c r="XAW45" s="375"/>
      <c r="XAX45" s="375"/>
      <c r="XAY45" s="375"/>
      <c r="XAZ45" s="375"/>
      <c r="XBA45" s="375"/>
      <c r="XBB45" s="375"/>
      <c r="XBC45" s="375"/>
      <c r="XBD45" s="375"/>
      <c r="XBE45" s="375"/>
      <c r="XBF45" s="375"/>
      <c r="XBG45" s="375"/>
      <c r="XBH45" s="375"/>
      <c r="XBI45" s="375"/>
      <c r="XBJ45" s="375"/>
      <c r="XBK45" s="375"/>
      <c r="XBL45" s="375"/>
      <c r="XBM45" s="375"/>
      <c r="XBN45" s="375"/>
      <c r="XBO45" s="375"/>
      <c r="XBP45" s="375"/>
      <c r="XBQ45" s="375"/>
      <c r="XBR45" s="375"/>
      <c r="XBS45" s="375"/>
      <c r="XBT45" s="375"/>
      <c r="XBU45" s="375"/>
      <c r="XBV45" s="375"/>
      <c r="XBW45" s="375"/>
      <c r="XBX45" s="375"/>
      <c r="XBY45" s="375"/>
      <c r="XBZ45" s="375"/>
      <c r="XCA45" s="375"/>
      <c r="XCB45" s="375"/>
      <c r="XCC45" s="375"/>
      <c r="XCD45" s="375"/>
      <c r="XCE45" s="375"/>
      <c r="XCF45" s="375"/>
      <c r="XCG45" s="375"/>
      <c r="XCH45" s="375"/>
      <c r="XCI45" s="375"/>
      <c r="XCJ45" s="375"/>
      <c r="XCK45" s="375"/>
      <c r="XCL45" s="375"/>
      <c r="XCM45" s="375"/>
      <c r="XCN45" s="375"/>
      <c r="XCO45" s="375"/>
      <c r="XCP45" s="375"/>
      <c r="XCQ45" s="375"/>
      <c r="XCR45" s="375"/>
      <c r="XCS45" s="375"/>
      <c r="XCT45" s="375"/>
      <c r="XCU45" s="375"/>
      <c r="XCV45" s="375"/>
      <c r="XCW45" s="375"/>
      <c r="XCX45" s="375"/>
      <c r="XCY45" s="375"/>
      <c r="XCZ45" s="375"/>
      <c r="XDA45" s="375"/>
      <c r="XDB45" s="375"/>
      <c r="XDC45" s="375"/>
      <c r="XDD45" s="375"/>
      <c r="XDE45" s="375"/>
      <c r="XDF45" s="375"/>
      <c r="XDG45" s="375"/>
      <c r="XDH45" s="375"/>
      <c r="XDI45" s="375"/>
      <c r="XDJ45" s="375"/>
      <c r="XDK45" s="375"/>
      <c r="XDL45" s="375"/>
      <c r="XDM45" s="375"/>
      <c r="XDN45" s="375"/>
      <c r="XDO45" s="375"/>
      <c r="XDP45" s="375"/>
      <c r="XDQ45" s="375"/>
      <c r="XDR45" s="375"/>
      <c r="XDS45" s="375"/>
      <c r="XDT45" s="375"/>
      <c r="XDU45" s="375"/>
      <c r="XDV45" s="375"/>
      <c r="XDW45" s="375"/>
      <c r="XDX45" s="375"/>
      <c r="XDY45" s="375"/>
      <c r="XDZ45" s="375"/>
      <c r="XEA45" s="375"/>
      <c r="XEB45" s="375"/>
      <c r="XEC45" s="375"/>
      <c r="XED45" s="375"/>
      <c r="XEE45" s="375"/>
      <c r="XEF45" s="375"/>
      <c r="XEG45" s="375"/>
      <c r="XEH45" s="375"/>
      <c r="XEI45" s="375"/>
      <c r="XEJ45" s="375"/>
      <c r="XEK45" s="375"/>
      <c r="XEL45" s="375"/>
      <c r="XEM45" s="375"/>
      <c r="XEN45" s="375"/>
      <c r="XEO45" s="375"/>
      <c r="XEP45" s="375"/>
      <c r="XEQ45" s="375"/>
      <c r="XER45" s="375"/>
      <c r="XES45" s="375"/>
      <c r="XET45" s="375"/>
      <c r="XEU45" s="375"/>
      <c r="XEV45" s="375"/>
      <c r="XEW45" s="375"/>
      <c r="XEX45" s="375"/>
      <c r="XEY45" s="375"/>
      <c r="XEZ45" s="375"/>
      <c r="XFA45" s="375"/>
      <c r="XFB45" s="375"/>
      <c r="XFC45" s="375"/>
      <c r="XFD45" s="375"/>
    </row>
    <row r="46" spans="1:16384" s="353" customFormat="1" x14ac:dyDescent="0.25">
      <c r="B46" s="379" t="s">
        <v>493</v>
      </c>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459"/>
      <c r="AB46" s="459"/>
      <c r="AC46" s="459"/>
      <c r="AD46" s="459"/>
      <c r="AE46" s="459"/>
      <c r="AF46" s="459"/>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c r="BW46" s="375"/>
      <c r="BX46" s="375"/>
      <c r="BY46" s="375"/>
      <c r="BZ46" s="375"/>
      <c r="CA46" s="375"/>
      <c r="CB46" s="375"/>
      <c r="CC46" s="375"/>
      <c r="CD46" s="375"/>
      <c r="CE46" s="375"/>
      <c r="CF46" s="375"/>
      <c r="CG46" s="375"/>
      <c r="CH46" s="375"/>
      <c r="CI46" s="375"/>
      <c r="CJ46" s="375"/>
      <c r="CK46" s="375"/>
      <c r="CL46" s="375"/>
      <c r="CM46" s="375"/>
      <c r="CN46" s="375"/>
      <c r="CO46" s="375"/>
      <c r="CP46" s="375"/>
      <c r="CQ46" s="375"/>
      <c r="CR46" s="375"/>
      <c r="CS46" s="375"/>
      <c r="CT46" s="375"/>
      <c r="CU46" s="375"/>
      <c r="CV46" s="375"/>
      <c r="CW46" s="375"/>
      <c r="CX46" s="375"/>
      <c r="CY46" s="375"/>
      <c r="CZ46" s="375"/>
      <c r="DA46" s="375"/>
      <c r="DB46" s="375"/>
      <c r="DC46" s="375"/>
      <c r="DD46" s="375"/>
      <c r="DE46" s="375"/>
      <c r="DF46" s="375"/>
      <c r="DG46" s="375"/>
      <c r="DH46" s="375"/>
      <c r="DI46" s="375"/>
      <c r="DJ46" s="375"/>
      <c r="DK46" s="375"/>
      <c r="DL46" s="375"/>
      <c r="DM46" s="375"/>
      <c r="DN46" s="375"/>
      <c r="DO46" s="375"/>
      <c r="DP46" s="375"/>
      <c r="DQ46" s="375"/>
      <c r="DR46" s="375"/>
      <c r="DS46" s="375"/>
      <c r="DT46" s="375"/>
      <c r="DU46" s="375"/>
      <c r="DV46" s="375"/>
      <c r="DW46" s="375"/>
      <c r="DX46" s="375"/>
      <c r="DY46" s="375"/>
      <c r="DZ46" s="375"/>
      <c r="EA46" s="375"/>
      <c r="EB46" s="375"/>
      <c r="EC46" s="375"/>
      <c r="ED46" s="375"/>
      <c r="EE46" s="375"/>
      <c r="EF46" s="375"/>
      <c r="EG46" s="375"/>
      <c r="EH46" s="375"/>
      <c r="EI46" s="375"/>
      <c r="EJ46" s="375"/>
      <c r="EK46" s="375"/>
      <c r="EL46" s="375"/>
      <c r="EM46" s="375"/>
      <c r="EN46" s="375"/>
      <c r="EO46" s="375"/>
      <c r="EP46" s="375"/>
      <c r="EQ46" s="375"/>
      <c r="ER46" s="375"/>
      <c r="ES46" s="375"/>
      <c r="ET46" s="375"/>
      <c r="EU46" s="375"/>
      <c r="EV46" s="375"/>
      <c r="EW46" s="375"/>
      <c r="EX46" s="375"/>
      <c r="EY46" s="375"/>
      <c r="EZ46" s="375"/>
      <c r="FA46" s="375"/>
      <c r="FB46" s="375"/>
      <c r="FC46" s="375"/>
      <c r="FD46" s="375"/>
      <c r="FE46" s="375"/>
      <c r="FF46" s="375"/>
      <c r="FG46" s="375"/>
      <c r="FH46" s="375"/>
      <c r="FI46" s="375"/>
      <c r="FJ46" s="375"/>
      <c r="FK46" s="375"/>
      <c r="FL46" s="375"/>
      <c r="FM46" s="375"/>
      <c r="FN46" s="375"/>
      <c r="FO46" s="375"/>
      <c r="FP46" s="375"/>
      <c r="FQ46" s="375"/>
      <c r="FR46" s="375"/>
      <c r="FS46" s="375"/>
      <c r="FT46" s="375"/>
      <c r="FU46" s="375"/>
      <c r="FV46" s="375"/>
      <c r="FW46" s="375"/>
      <c r="FX46" s="375"/>
      <c r="FY46" s="375"/>
      <c r="FZ46" s="375"/>
      <c r="GA46" s="375"/>
      <c r="GB46" s="375"/>
      <c r="GC46" s="375"/>
      <c r="GD46" s="375"/>
      <c r="GE46" s="375"/>
      <c r="GF46" s="375"/>
      <c r="GG46" s="375"/>
      <c r="GH46" s="375"/>
      <c r="GI46" s="375"/>
      <c r="GJ46" s="375"/>
      <c r="GK46" s="375"/>
      <c r="GL46" s="375"/>
      <c r="GM46" s="375"/>
      <c r="GN46" s="375"/>
      <c r="GO46" s="375"/>
      <c r="GP46" s="375"/>
      <c r="GQ46" s="375"/>
      <c r="GR46" s="375"/>
      <c r="GS46" s="375"/>
      <c r="GT46" s="375"/>
      <c r="GU46" s="375"/>
      <c r="GV46" s="375"/>
      <c r="GW46" s="375"/>
      <c r="GX46" s="375"/>
      <c r="GY46" s="375"/>
      <c r="GZ46" s="375"/>
      <c r="HA46" s="375"/>
      <c r="HB46" s="375"/>
      <c r="HC46" s="375"/>
      <c r="HD46" s="375"/>
      <c r="HE46" s="375"/>
      <c r="HF46" s="375"/>
      <c r="HG46" s="375"/>
      <c r="HH46" s="375"/>
      <c r="HI46" s="375"/>
      <c r="HJ46" s="375"/>
      <c r="HK46" s="375"/>
      <c r="HL46" s="375"/>
      <c r="HM46" s="375"/>
      <c r="HN46" s="375"/>
      <c r="HO46" s="375"/>
      <c r="HP46" s="375"/>
      <c r="HQ46" s="375"/>
      <c r="HR46" s="375"/>
      <c r="HS46" s="375"/>
      <c r="HT46" s="375"/>
      <c r="HU46" s="375"/>
      <c r="HV46" s="375"/>
      <c r="HW46" s="375"/>
      <c r="HX46" s="375"/>
      <c r="HY46" s="375"/>
      <c r="HZ46" s="375"/>
      <c r="IA46" s="375"/>
      <c r="IB46" s="375"/>
      <c r="IC46" s="375"/>
      <c r="ID46" s="375"/>
      <c r="IE46" s="375"/>
      <c r="IF46" s="375"/>
      <c r="IG46" s="375"/>
      <c r="IH46" s="375"/>
      <c r="II46" s="375"/>
      <c r="IJ46" s="375"/>
      <c r="IK46" s="375"/>
      <c r="IL46" s="375"/>
      <c r="IM46" s="375"/>
      <c r="IN46" s="375"/>
      <c r="IO46" s="375"/>
      <c r="IP46" s="375"/>
      <c r="IQ46" s="375"/>
      <c r="IR46" s="375"/>
      <c r="IS46" s="375"/>
      <c r="IT46" s="375"/>
      <c r="IU46" s="375"/>
      <c r="IV46" s="375"/>
      <c r="IW46" s="375"/>
      <c r="IX46" s="375"/>
      <c r="IY46" s="375"/>
      <c r="IZ46" s="375"/>
      <c r="JA46" s="375"/>
      <c r="JB46" s="375"/>
      <c r="JC46" s="375"/>
      <c r="JD46" s="375"/>
      <c r="JE46" s="375"/>
      <c r="JF46" s="375"/>
      <c r="JG46" s="375"/>
      <c r="JH46" s="375"/>
      <c r="JI46" s="375"/>
      <c r="JJ46" s="375"/>
      <c r="JK46" s="375"/>
      <c r="JL46" s="375"/>
      <c r="JM46" s="375"/>
      <c r="JN46" s="375"/>
      <c r="JO46" s="375"/>
      <c r="JP46" s="375"/>
      <c r="JQ46" s="375"/>
      <c r="JR46" s="375"/>
      <c r="JS46" s="375"/>
      <c r="JT46" s="375"/>
      <c r="JU46" s="375"/>
      <c r="JV46" s="375"/>
      <c r="JW46" s="375"/>
      <c r="JX46" s="375"/>
      <c r="JY46" s="375"/>
      <c r="JZ46" s="375"/>
      <c r="KA46" s="375"/>
      <c r="KB46" s="375"/>
      <c r="KC46" s="375"/>
      <c r="KD46" s="375"/>
      <c r="KE46" s="375"/>
      <c r="KF46" s="375"/>
      <c r="KG46" s="375"/>
      <c r="KH46" s="375"/>
      <c r="KI46" s="375"/>
      <c r="KJ46" s="375"/>
      <c r="KK46" s="375"/>
      <c r="KL46" s="375"/>
      <c r="KM46" s="375"/>
      <c r="KN46" s="375"/>
      <c r="KO46" s="375"/>
      <c r="KP46" s="375"/>
      <c r="KQ46" s="375"/>
      <c r="KR46" s="375"/>
      <c r="KS46" s="375"/>
      <c r="KT46" s="375"/>
      <c r="KU46" s="375"/>
      <c r="KV46" s="375"/>
      <c r="KW46" s="375"/>
      <c r="KX46" s="375"/>
      <c r="KY46" s="375"/>
      <c r="KZ46" s="375"/>
      <c r="LA46" s="375"/>
      <c r="LB46" s="375"/>
      <c r="LC46" s="375"/>
      <c r="LD46" s="375"/>
      <c r="LE46" s="375"/>
      <c r="LF46" s="375"/>
      <c r="LG46" s="375"/>
      <c r="LH46" s="375"/>
      <c r="LI46" s="375"/>
      <c r="LJ46" s="375"/>
      <c r="LK46" s="375"/>
      <c r="LL46" s="375"/>
      <c r="LM46" s="375"/>
      <c r="LN46" s="375"/>
      <c r="LO46" s="375"/>
      <c r="LP46" s="375"/>
      <c r="LQ46" s="375"/>
      <c r="LR46" s="375"/>
      <c r="LS46" s="375"/>
      <c r="LT46" s="375"/>
      <c r="LU46" s="375"/>
      <c r="LV46" s="375"/>
      <c r="LW46" s="375"/>
      <c r="LX46" s="375"/>
      <c r="LY46" s="375"/>
      <c r="LZ46" s="375"/>
      <c r="MA46" s="375"/>
      <c r="MB46" s="375"/>
      <c r="MC46" s="375"/>
      <c r="MD46" s="375"/>
      <c r="ME46" s="375"/>
      <c r="MF46" s="375"/>
      <c r="MG46" s="375"/>
      <c r="MH46" s="375"/>
      <c r="MI46" s="375"/>
      <c r="MJ46" s="375"/>
      <c r="MK46" s="375"/>
      <c r="ML46" s="375"/>
      <c r="MM46" s="375"/>
      <c r="MN46" s="375"/>
      <c r="MO46" s="375"/>
      <c r="MP46" s="375"/>
      <c r="MQ46" s="375"/>
      <c r="MR46" s="375"/>
      <c r="MS46" s="375"/>
      <c r="MT46" s="375"/>
      <c r="MU46" s="375"/>
      <c r="MV46" s="375"/>
      <c r="MW46" s="375"/>
      <c r="MX46" s="375"/>
      <c r="MY46" s="375"/>
      <c r="MZ46" s="375"/>
      <c r="NA46" s="375"/>
      <c r="NB46" s="375"/>
      <c r="NC46" s="375"/>
      <c r="ND46" s="375"/>
      <c r="NE46" s="375"/>
      <c r="NF46" s="375"/>
      <c r="NG46" s="375"/>
      <c r="NH46" s="375"/>
      <c r="NI46" s="375"/>
      <c r="NJ46" s="375"/>
      <c r="NK46" s="375"/>
      <c r="NL46" s="375"/>
      <c r="NM46" s="375"/>
      <c r="NN46" s="375"/>
      <c r="NO46" s="375"/>
      <c r="NP46" s="375"/>
      <c r="NQ46" s="375"/>
      <c r="NR46" s="375"/>
      <c r="NS46" s="375"/>
      <c r="NT46" s="375"/>
      <c r="NU46" s="375"/>
      <c r="NV46" s="375"/>
      <c r="NW46" s="375"/>
      <c r="NX46" s="375"/>
      <c r="NY46" s="375"/>
      <c r="NZ46" s="375"/>
      <c r="OA46" s="375"/>
      <c r="OB46" s="375"/>
      <c r="OC46" s="375"/>
      <c r="OD46" s="375"/>
      <c r="OE46" s="375"/>
      <c r="OF46" s="375"/>
      <c r="OG46" s="375"/>
      <c r="OH46" s="375"/>
      <c r="OI46" s="375"/>
      <c r="OJ46" s="375"/>
      <c r="OK46" s="375"/>
      <c r="OL46" s="375"/>
      <c r="OM46" s="375"/>
      <c r="ON46" s="375"/>
      <c r="OO46" s="375"/>
      <c r="OP46" s="375"/>
      <c r="OQ46" s="375"/>
      <c r="OR46" s="375"/>
      <c r="OS46" s="375"/>
      <c r="OT46" s="375"/>
      <c r="OU46" s="375"/>
      <c r="OV46" s="375"/>
      <c r="OW46" s="375"/>
      <c r="OX46" s="375"/>
      <c r="OY46" s="375"/>
      <c r="OZ46" s="375"/>
      <c r="PA46" s="375"/>
      <c r="PB46" s="375"/>
      <c r="PC46" s="375"/>
      <c r="PD46" s="375"/>
      <c r="PE46" s="375"/>
      <c r="PF46" s="375"/>
      <c r="PG46" s="375"/>
      <c r="PH46" s="375"/>
      <c r="PI46" s="375"/>
      <c r="PJ46" s="375"/>
      <c r="PK46" s="375"/>
      <c r="PL46" s="375"/>
      <c r="PM46" s="375"/>
      <c r="PN46" s="375"/>
      <c r="PO46" s="375"/>
      <c r="PP46" s="375"/>
      <c r="PQ46" s="375"/>
      <c r="PR46" s="375"/>
      <c r="PS46" s="375"/>
      <c r="PT46" s="375"/>
      <c r="PU46" s="375"/>
      <c r="PV46" s="375"/>
      <c r="PW46" s="375"/>
      <c r="PX46" s="375"/>
      <c r="PY46" s="375"/>
      <c r="PZ46" s="375"/>
      <c r="QA46" s="375"/>
      <c r="QB46" s="375"/>
      <c r="QC46" s="375"/>
      <c r="QD46" s="375"/>
      <c r="QE46" s="375"/>
      <c r="QF46" s="375"/>
      <c r="QG46" s="375"/>
      <c r="QH46" s="375"/>
      <c r="QI46" s="375"/>
      <c r="QJ46" s="375"/>
      <c r="QK46" s="375"/>
      <c r="QL46" s="375"/>
      <c r="QM46" s="375"/>
      <c r="QN46" s="375"/>
      <c r="QO46" s="375"/>
      <c r="QP46" s="375"/>
      <c r="QQ46" s="375"/>
      <c r="QR46" s="375"/>
      <c r="QS46" s="375"/>
      <c r="QT46" s="375"/>
      <c r="QU46" s="375"/>
      <c r="QV46" s="375"/>
      <c r="QW46" s="375"/>
      <c r="QX46" s="375"/>
      <c r="QY46" s="375"/>
      <c r="QZ46" s="375"/>
      <c r="RA46" s="375"/>
      <c r="RB46" s="375"/>
      <c r="RC46" s="375"/>
      <c r="RD46" s="375"/>
      <c r="RE46" s="375"/>
      <c r="RF46" s="375"/>
      <c r="RG46" s="375"/>
      <c r="RH46" s="375"/>
      <c r="RI46" s="375"/>
      <c r="RJ46" s="375"/>
      <c r="RK46" s="375"/>
      <c r="RL46" s="375"/>
      <c r="RM46" s="375"/>
      <c r="RN46" s="375"/>
      <c r="RO46" s="375"/>
      <c r="RP46" s="375"/>
      <c r="RQ46" s="375"/>
      <c r="RR46" s="375"/>
      <c r="RS46" s="375"/>
      <c r="RT46" s="375"/>
      <c r="RU46" s="375"/>
      <c r="RV46" s="375"/>
      <c r="RW46" s="375"/>
      <c r="RX46" s="375"/>
      <c r="RY46" s="375"/>
      <c r="RZ46" s="375"/>
      <c r="SA46" s="375"/>
      <c r="SB46" s="375"/>
      <c r="SC46" s="375"/>
      <c r="SD46" s="375"/>
      <c r="SE46" s="375"/>
      <c r="SF46" s="375"/>
      <c r="SG46" s="375"/>
      <c r="SH46" s="375"/>
      <c r="SI46" s="375"/>
      <c r="SJ46" s="375"/>
      <c r="SK46" s="375"/>
      <c r="SL46" s="375"/>
      <c r="SM46" s="375"/>
      <c r="SN46" s="375"/>
      <c r="SO46" s="375"/>
      <c r="SP46" s="375"/>
      <c r="SQ46" s="375"/>
      <c r="SR46" s="375"/>
      <c r="SS46" s="375"/>
      <c r="ST46" s="375"/>
      <c r="SU46" s="375"/>
      <c r="SV46" s="375"/>
      <c r="SW46" s="375"/>
      <c r="SX46" s="375"/>
      <c r="SY46" s="375"/>
      <c r="SZ46" s="375"/>
      <c r="TA46" s="375"/>
      <c r="TB46" s="375"/>
      <c r="TC46" s="375"/>
      <c r="TD46" s="375"/>
      <c r="TE46" s="375"/>
      <c r="TF46" s="375"/>
      <c r="TG46" s="375"/>
      <c r="TH46" s="375"/>
      <c r="TI46" s="375"/>
      <c r="TJ46" s="375"/>
      <c r="TK46" s="375"/>
      <c r="TL46" s="375"/>
      <c r="TM46" s="375"/>
      <c r="TN46" s="375"/>
      <c r="TO46" s="375"/>
      <c r="TP46" s="375"/>
      <c r="TQ46" s="375"/>
      <c r="TR46" s="375"/>
      <c r="TS46" s="375"/>
      <c r="TT46" s="375"/>
      <c r="TU46" s="375"/>
      <c r="TV46" s="375"/>
      <c r="TW46" s="375"/>
      <c r="TX46" s="375"/>
      <c r="TY46" s="375"/>
      <c r="TZ46" s="375"/>
      <c r="UA46" s="375"/>
      <c r="UB46" s="375"/>
      <c r="UC46" s="375"/>
      <c r="UD46" s="375"/>
      <c r="UE46" s="375"/>
      <c r="UF46" s="375"/>
      <c r="UG46" s="375"/>
      <c r="UH46" s="375"/>
      <c r="UI46" s="375"/>
      <c r="UJ46" s="375"/>
      <c r="UK46" s="375"/>
      <c r="UL46" s="375"/>
      <c r="UM46" s="375"/>
      <c r="UN46" s="375"/>
      <c r="UO46" s="375"/>
      <c r="UP46" s="375"/>
      <c r="UQ46" s="375"/>
      <c r="UR46" s="375"/>
      <c r="US46" s="375"/>
      <c r="UT46" s="375"/>
      <c r="UU46" s="375"/>
      <c r="UV46" s="375"/>
      <c r="UW46" s="375"/>
      <c r="UX46" s="375"/>
      <c r="UY46" s="375"/>
      <c r="UZ46" s="375"/>
      <c r="VA46" s="375"/>
      <c r="VB46" s="375"/>
      <c r="VC46" s="375"/>
      <c r="VD46" s="375"/>
      <c r="VE46" s="375"/>
      <c r="VF46" s="375"/>
      <c r="VG46" s="375"/>
      <c r="VH46" s="375"/>
      <c r="VI46" s="375"/>
      <c r="VJ46" s="375"/>
      <c r="VK46" s="375"/>
      <c r="VL46" s="375"/>
      <c r="VM46" s="375"/>
      <c r="VN46" s="375"/>
      <c r="VO46" s="375"/>
      <c r="VP46" s="375"/>
      <c r="VQ46" s="375"/>
      <c r="VR46" s="375"/>
      <c r="VS46" s="375"/>
      <c r="VT46" s="375"/>
      <c r="VU46" s="375"/>
      <c r="VV46" s="375"/>
      <c r="VW46" s="375"/>
      <c r="VX46" s="375"/>
      <c r="VY46" s="375"/>
      <c r="VZ46" s="375"/>
      <c r="WA46" s="375"/>
      <c r="WB46" s="375"/>
      <c r="WC46" s="375"/>
      <c r="WD46" s="375"/>
      <c r="WE46" s="375"/>
      <c r="WF46" s="375"/>
      <c r="WG46" s="375"/>
      <c r="WH46" s="375"/>
      <c r="WI46" s="375"/>
      <c r="WJ46" s="375"/>
      <c r="WK46" s="375"/>
      <c r="WL46" s="375"/>
      <c r="WM46" s="375"/>
      <c r="WN46" s="375"/>
      <c r="WO46" s="375"/>
      <c r="WP46" s="375"/>
      <c r="WQ46" s="375"/>
      <c r="WR46" s="375"/>
      <c r="WS46" s="375"/>
      <c r="WT46" s="375"/>
      <c r="WU46" s="375"/>
      <c r="WV46" s="375"/>
      <c r="WW46" s="375"/>
      <c r="WX46" s="375"/>
      <c r="WY46" s="375"/>
      <c r="WZ46" s="375"/>
      <c r="XA46" s="375"/>
      <c r="XB46" s="375"/>
      <c r="XC46" s="375"/>
      <c r="XD46" s="375"/>
      <c r="XE46" s="375"/>
      <c r="XF46" s="375"/>
      <c r="XG46" s="375"/>
      <c r="XH46" s="375"/>
      <c r="XI46" s="375"/>
      <c r="XJ46" s="375"/>
      <c r="XK46" s="375"/>
      <c r="XL46" s="375"/>
      <c r="XM46" s="375"/>
      <c r="XN46" s="375"/>
      <c r="XO46" s="375"/>
      <c r="XP46" s="375"/>
      <c r="XQ46" s="375"/>
      <c r="XR46" s="375"/>
      <c r="XS46" s="375"/>
      <c r="XT46" s="375"/>
      <c r="XU46" s="375"/>
      <c r="XV46" s="375"/>
      <c r="XW46" s="375"/>
      <c r="XX46" s="375"/>
      <c r="XY46" s="375"/>
      <c r="XZ46" s="375"/>
      <c r="YA46" s="375"/>
      <c r="YB46" s="375"/>
      <c r="YC46" s="375"/>
      <c r="YD46" s="375"/>
      <c r="YE46" s="375"/>
      <c r="YF46" s="375"/>
      <c r="YG46" s="375"/>
      <c r="YH46" s="375"/>
      <c r="YI46" s="375"/>
      <c r="YJ46" s="375"/>
      <c r="YK46" s="375"/>
      <c r="YL46" s="375"/>
      <c r="YM46" s="375"/>
      <c r="YN46" s="375"/>
      <c r="YO46" s="375"/>
      <c r="YP46" s="375"/>
      <c r="YQ46" s="375"/>
      <c r="YR46" s="375"/>
      <c r="YS46" s="375"/>
      <c r="YT46" s="375"/>
      <c r="YU46" s="375"/>
      <c r="YV46" s="375"/>
      <c r="YW46" s="375"/>
      <c r="YX46" s="375"/>
      <c r="YY46" s="375"/>
      <c r="YZ46" s="375"/>
      <c r="ZA46" s="375"/>
      <c r="ZB46" s="375"/>
      <c r="ZC46" s="375"/>
      <c r="ZD46" s="375"/>
      <c r="ZE46" s="375"/>
      <c r="ZF46" s="375"/>
      <c r="ZG46" s="375"/>
      <c r="ZH46" s="375"/>
      <c r="ZI46" s="375"/>
      <c r="ZJ46" s="375"/>
      <c r="ZK46" s="375"/>
      <c r="ZL46" s="375"/>
      <c r="ZM46" s="375"/>
      <c r="ZN46" s="375"/>
      <c r="ZO46" s="375"/>
      <c r="ZP46" s="375"/>
      <c r="ZQ46" s="375"/>
      <c r="ZR46" s="375"/>
      <c r="ZS46" s="375"/>
      <c r="ZT46" s="375"/>
      <c r="ZU46" s="375"/>
      <c r="ZV46" s="375"/>
      <c r="ZW46" s="375"/>
      <c r="ZX46" s="375"/>
      <c r="ZY46" s="375"/>
      <c r="ZZ46" s="375"/>
      <c r="AAA46" s="375"/>
      <c r="AAB46" s="375"/>
      <c r="AAC46" s="375"/>
      <c r="AAD46" s="375"/>
      <c r="AAE46" s="375"/>
      <c r="AAF46" s="375"/>
      <c r="AAG46" s="375"/>
      <c r="AAH46" s="375"/>
      <c r="AAI46" s="375"/>
      <c r="AAJ46" s="375"/>
      <c r="AAK46" s="375"/>
      <c r="AAL46" s="375"/>
      <c r="AAM46" s="375"/>
      <c r="AAN46" s="375"/>
      <c r="AAO46" s="375"/>
      <c r="AAP46" s="375"/>
      <c r="AAQ46" s="375"/>
      <c r="AAR46" s="375"/>
      <c r="AAS46" s="375"/>
      <c r="AAT46" s="375"/>
      <c r="AAU46" s="375"/>
      <c r="AAV46" s="375"/>
      <c r="AAW46" s="375"/>
      <c r="AAX46" s="375"/>
      <c r="AAY46" s="375"/>
      <c r="AAZ46" s="375"/>
      <c r="ABA46" s="375"/>
      <c r="ABB46" s="375"/>
      <c r="ABC46" s="375"/>
      <c r="ABD46" s="375"/>
      <c r="ABE46" s="375"/>
      <c r="ABF46" s="375"/>
      <c r="ABG46" s="375"/>
      <c r="ABH46" s="375"/>
      <c r="ABI46" s="375"/>
      <c r="ABJ46" s="375"/>
      <c r="ABK46" s="375"/>
      <c r="ABL46" s="375"/>
      <c r="ABM46" s="375"/>
      <c r="ABN46" s="375"/>
      <c r="ABO46" s="375"/>
      <c r="ABP46" s="375"/>
      <c r="ABQ46" s="375"/>
      <c r="ABR46" s="375"/>
      <c r="ABS46" s="375"/>
      <c r="ABT46" s="375"/>
      <c r="ABU46" s="375"/>
      <c r="ABV46" s="375"/>
      <c r="ABW46" s="375"/>
      <c r="ABX46" s="375"/>
      <c r="ABY46" s="375"/>
      <c r="ABZ46" s="375"/>
      <c r="ACA46" s="375"/>
      <c r="ACB46" s="375"/>
      <c r="ACC46" s="375"/>
      <c r="ACD46" s="375"/>
      <c r="ACE46" s="375"/>
      <c r="ACF46" s="375"/>
      <c r="ACG46" s="375"/>
      <c r="ACH46" s="375"/>
      <c r="ACI46" s="375"/>
      <c r="ACJ46" s="375"/>
      <c r="ACK46" s="375"/>
      <c r="ACL46" s="375"/>
      <c r="ACM46" s="375"/>
      <c r="ACN46" s="375"/>
      <c r="ACO46" s="375"/>
      <c r="ACP46" s="375"/>
      <c r="ACQ46" s="375"/>
      <c r="ACR46" s="375"/>
      <c r="ACS46" s="375"/>
      <c r="ACT46" s="375"/>
      <c r="ACU46" s="375"/>
      <c r="ACV46" s="375"/>
      <c r="ACW46" s="375"/>
      <c r="ACX46" s="375"/>
      <c r="ACY46" s="375"/>
      <c r="ACZ46" s="375"/>
      <c r="ADA46" s="375"/>
      <c r="ADB46" s="375"/>
      <c r="ADC46" s="375"/>
      <c r="ADD46" s="375"/>
      <c r="ADE46" s="375"/>
      <c r="ADF46" s="375"/>
      <c r="ADG46" s="375"/>
      <c r="ADH46" s="375"/>
      <c r="ADI46" s="375"/>
      <c r="ADJ46" s="375"/>
      <c r="ADK46" s="375"/>
      <c r="ADL46" s="375"/>
      <c r="ADM46" s="375"/>
      <c r="ADN46" s="375"/>
      <c r="ADO46" s="375"/>
      <c r="ADP46" s="375"/>
      <c r="ADQ46" s="375"/>
      <c r="ADR46" s="375"/>
      <c r="ADS46" s="375"/>
      <c r="ADT46" s="375"/>
      <c r="ADU46" s="375"/>
      <c r="ADV46" s="375"/>
      <c r="ADW46" s="375"/>
      <c r="ADX46" s="375"/>
      <c r="ADY46" s="375"/>
      <c r="ADZ46" s="375"/>
      <c r="AEA46" s="375"/>
      <c r="AEB46" s="375"/>
      <c r="AEC46" s="375"/>
      <c r="AED46" s="375"/>
      <c r="AEE46" s="375"/>
      <c r="AEF46" s="375"/>
      <c r="AEG46" s="375"/>
      <c r="AEH46" s="375"/>
      <c r="AEI46" s="375"/>
      <c r="AEJ46" s="375"/>
      <c r="AEK46" s="375"/>
      <c r="AEL46" s="375"/>
      <c r="AEM46" s="375"/>
      <c r="AEN46" s="375"/>
      <c r="AEO46" s="375"/>
      <c r="AEP46" s="375"/>
      <c r="AEQ46" s="375"/>
      <c r="AER46" s="375"/>
      <c r="AES46" s="375"/>
      <c r="AET46" s="375"/>
      <c r="AEU46" s="375"/>
      <c r="AEV46" s="375"/>
      <c r="AEW46" s="375"/>
      <c r="AEX46" s="375"/>
      <c r="AEY46" s="375"/>
      <c r="AEZ46" s="375"/>
      <c r="AFA46" s="375"/>
      <c r="AFB46" s="375"/>
      <c r="AFC46" s="375"/>
      <c r="AFD46" s="375"/>
      <c r="AFE46" s="375"/>
      <c r="AFF46" s="375"/>
      <c r="AFG46" s="375"/>
      <c r="AFH46" s="375"/>
      <c r="AFI46" s="375"/>
      <c r="AFJ46" s="375"/>
      <c r="AFK46" s="375"/>
      <c r="AFL46" s="375"/>
      <c r="AFM46" s="375"/>
      <c r="AFN46" s="375"/>
      <c r="AFO46" s="375"/>
      <c r="AFP46" s="375"/>
      <c r="AFQ46" s="375"/>
      <c r="AFR46" s="375"/>
      <c r="AFS46" s="375"/>
      <c r="AFT46" s="375"/>
      <c r="AFU46" s="375"/>
      <c r="AFV46" s="375"/>
      <c r="AFW46" s="375"/>
      <c r="AFX46" s="375"/>
      <c r="AFY46" s="375"/>
      <c r="AFZ46" s="375"/>
      <c r="AGA46" s="375"/>
      <c r="AGB46" s="375"/>
      <c r="AGC46" s="375"/>
      <c r="AGD46" s="375"/>
      <c r="AGE46" s="375"/>
      <c r="AGF46" s="375"/>
      <c r="AGG46" s="375"/>
      <c r="AGH46" s="375"/>
      <c r="AGI46" s="375"/>
      <c r="AGJ46" s="375"/>
      <c r="AGK46" s="375"/>
      <c r="AGL46" s="375"/>
      <c r="AGM46" s="375"/>
      <c r="AGN46" s="375"/>
      <c r="AGO46" s="375"/>
      <c r="AGP46" s="375"/>
      <c r="AGQ46" s="375"/>
      <c r="AGR46" s="375"/>
      <c r="AGS46" s="375"/>
      <c r="AGT46" s="375"/>
      <c r="AGU46" s="375"/>
      <c r="AGV46" s="375"/>
      <c r="AGW46" s="375"/>
      <c r="AGX46" s="375"/>
      <c r="AGY46" s="375"/>
      <c r="AGZ46" s="375"/>
      <c r="AHA46" s="375"/>
      <c r="AHB46" s="375"/>
      <c r="AHC46" s="375"/>
      <c r="AHD46" s="375"/>
      <c r="AHE46" s="375"/>
      <c r="AHF46" s="375"/>
      <c r="AHG46" s="375"/>
      <c r="AHH46" s="375"/>
      <c r="AHI46" s="375"/>
      <c r="AHJ46" s="375"/>
      <c r="AHK46" s="375"/>
      <c r="AHL46" s="375"/>
      <c r="AHM46" s="375"/>
      <c r="AHN46" s="375"/>
      <c r="AHO46" s="375"/>
      <c r="AHP46" s="375"/>
      <c r="AHQ46" s="375"/>
      <c r="AHR46" s="375"/>
      <c r="AHS46" s="375"/>
      <c r="AHT46" s="375"/>
      <c r="AHU46" s="375"/>
      <c r="AHV46" s="375"/>
      <c r="AHW46" s="375"/>
      <c r="AHX46" s="375"/>
      <c r="AHY46" s="375"/>
      <c r="AHZ46" s="375"/>
      <c r="AIA46" s="375"/>
      <c r="AIB46" s="375"/>
      <c r="AIC46" s="375"/>
      <c r="AID46" s="375"/>
      <c r="AIE46" s="375"/>
      <c r="AIF46" s="375"/>
      <c r="AIG46" s="375"/>
      <c r="AIH46" s="375"/>
      <c r="AII46" s="375"/>
      <c r="AIJ46" s="375"/>
      <c r="AIK46" s="375"/>
      <c r="AIL46" s="375"/>
      <c r="AIM46" s="375"/>
      <c r="AIN46" s="375"/>
      <c r="AIO46" s="375"/>
      <c r="AIP46" s="375"/>
      <c r="AIQ46" s="375"/>
      <c r="AIR46" s="375"/>
      <c r="AIS46" s="375"/>
      <c r="AIT46" s="375"/>
      <c r="AIU46" s="375"/>
      <c r="AIV46" s="375"/>
      <c r="AIW46" s="375"/>
      <c r="AIX46" s="375"/>
      <c r="AIY46" s="375"/>
      <c r="AIZ46" s="375"/>
      <c r="AJA46" s="375"/>
      <c r="AJB46" s="375"/>
      <c r="AJC46" s="375"/>
      <c r="AJD46" s="375"/>
      <c r="AJE46" s="375"/>
      <c r="AJF46" s="375"/>
      <c r="AJG46" s="375"/>
      <c r="AJH46" s="375"/>
      <c r="AJI46" s="375"/>
      <c r="AJJ46" s="375"/>
      <c r="AJK46" s="375"/>
      <c r="AJL46" s="375"/>
      <c r="AJM46" s="375"/>
      <c r="AJN46" s="375"/>
      <c r="AJO46" s="375"/>
      <c r="AJP46" s="375"/>
      <c r="AJQ46" s="375"/>
      <c r="AJR46" s="375"/>
      <c r="AJS46" s="375"/>
      <c r="AJT46" s="375"/>
      <c r="AJU46" s="375"/>
      <c r="AJV46" s="375"/>
      <c r="AJW46" s="375"/>
      <c r="AJX46" s="375"/>
      <c r="AJY46" s="375"/>
      <c r="AJZ46" s="375"/>
      <c r="AKA46" s="375"/>
      <c r="AKB46" s="375"/>
      <c r="AKC46" s="375"/>
      <c r="AKD46" s="375"/>
      <c r="AKE46" s="375"/>
      <c r="AKF46" s="375"/>
      <c r="AKG46" s="375"/>
      <c r="AKH46" s="375"/>
      <c r="AKI46" s="375"/>
      <c r="AKJ46" s="375"/>
      <c r="AKK46" s="375"/>
      <c r="AKL46" s="375"/>
      <c r="AKM46" s="375"/>
      <c r="AKN46" s="375"/>
      <c r="AKO46" s="375"/>
      <c r="AKP46" s="375"/>
      <c r="AKQ46" s="375"/>
      <c r="AKR46" s="375"/>
      <c r="AKS46" s="375"/>
      <c r="AKT46" s="375"/>
      <c r="AKU46" s="375"/>
      <c r="AKV46" s="375"/>
      <c r="AKW46" s="375"/>
      <c r="AKX46" s="375"/>
      <c r="AKY46" s="375"/>
      <c r="AKZ46" s="375"/>
      <c r="ALA46" s="375"/>
      <c r="ALB46" s="375"/>
      <c r="ALC46" s="375"/>
      <c r="ALD46" s="375"/>
      <c r="ALE46" s="375"/>
      <c r="ALF46" s="375"/>
      <c r="ALG46" s="375"/>
      <c r="ALH46" s="375"/>
      <c r="ALI46" s="375"/>
      <c r="ALJ46" s="375"/>
      <c r="ALK46" s="375"/>
      <c r="ALL46" s="375"/>
      <c r="ALM46" s="375"/>
      <c r="ALN46" s="375"/>
      <c r="ALO46" s="375"/>
      <c r="ALP46" s="375"/>
      <c r="ALQ46" s="375"/>
      <c r="ALR46" s="375"/>
      <c r="ALS46" s="375"/>
      <c r="ALT46" s="375"/>
      <c r="ALU46" s="375"/>
      <c r="ALV46" s="375"/>
      <c r="ALW46" s="375"/>
      <c r="ALX46" s="375"/>
      <c r="ALY46" s="375"/>
      <c r="ALZ46" s="375"/>
      <c r="AMA46" s="375"/>
      <c r="AMB46" s="375"/>
      <c r="AMC46" s="375"/>
      <c r="AMD46" s="375"/>
      <c r="AME46" s="375"/>
      <c r="AMF46" s="375"/>
      <c r="AMG46" s="375"/>
      <c r="AMH46" s="375"/>
      <c r="AMI46" s="375"/>
      <c r="AMJ46" s="375"/>
      <c r="AMK46" s="375"/>
      <c r="AML46" s="375"/>
      <c r="AMM46" s="375"/>
      <c r="AMN46" s="375"/>
      <c r="AMO46" s="375"/>
      <c r="AMP46" s="375"/>
      <c r="AMQ46" s="375"/>
      <c r="AMR46" s="375"/>
      <c r="AMS46" s="375"/>
      <c r="AMT46" s="375"/>
      <c r="AMU46" s="375"/>
      <c r="AMV46" s="375"/>
      <c r="AMW46" s="375"/>
      <c r="AMX46" s="375"/>
      <c r="AMY46" s="375"/>
      <c r="AMZ46" s="375"/>
      <c r="ANA46" s="375"/>
      <c r="ANB46" s="375"/>
      <c r="ANC46" s="375"/>
      <c r="AND46" s="375"/>
      <c r="ANE46" s="375"/>
      <c r="ANF46" s="375"/>
      <c r="ANG46" s="375"/>
      <c r="ANH46" s="375"/>
      <c r="ANI46" s="375"/>
      <c r="ANJ46" s="375"/>
      <c r="ANK46" s="375"/>
      <c r="ANL46" s="375"/>
      <c r="ANM46" s="375"/>
      <c r="ANN46" s="375"/>
      <c r="ANO46" s="375"/>
      <c r="ANP46" s="375"/>
      <c r="ANQ46" s="375"/>
      <c r="ANR46" s="375"/>
      <c r="ANS46" s="375"/>
      <c r="ANT46" s="375"/>
      <c r="ANU46" s="375"/>
      <c r="ANV46" s="375"/>
      <c r="ANW46" s="375"/>
      <c r="ANX46" s="375"/>
      <c r="ANY46" s="375"/>
      <c r="ANZ46" s="375"/>
      <c r="AOA46" s="375"/>
      <c r="AOB46" s="375"/>
      <c r="AOC46" s="375"/>
      <c r="AOD46" s="375"/>
      <c r="AOE46" s="375"/>
      <c r="AOF46" s="375"/>
      <c r="AOG46" s="375"/>
      <c r="AOH46" s="375"/>
      <c r="AOI46" s="375"/>
      <c r="AOJ46" s="375"/>
      <c r="AOK46" s="375"/>
      <c r="AOL46" s="375"/>
      <c r="AOM46" s="375"/>
      <c r="AON46" s="375"/>
      <c r="AOO46" s="375"/>
      <c r="AOP46" s="375"/>
      <c r="AOQ46" s="375"/>
      <c r="AOR46" s="375"/>
      <c r="AOS46" s="375"/>
      <c r="AOT46" s="375"/>
      <c r="AOU46" s="375"/>
      <c r="AOV46" s="375"/>
      <c r="AOW46" s="375"/>
      <c r="AOX46" s="375"/>
      <c r="AOY46" s="375"/>
      <c r="AOZ46" s="375"/>
      <c r="APA46" s="375"/>
      <c r="APB46" s="375"/>
      <c r="APC46" s="375"/>
      <c r="APD46" s="375"/>
      <c r="APE46" s="375"/>
      <c r="APF46" s="375"/>
      <c r="APG46" s="375"/>
      <c r="APH46" s="375"/>
      <c r="API46" s="375"/>
      <c r="APJ46" s="375"/>
      <c r="APK46" s="375"/>
      <c r="APL46" s="375"/>
      <c r="APM46" s="375"/>
      <c r="APN46" s="375"/>
      <c r="APO46" s="375"/>
      <c r="APP46" s="375"/>
      <c r="APQ46" s="375"/>
      <c r="APR46" s="375"/>
      <c r="APS46" s="375"/>
      <c r="APT46" s="375"/>
      <c r="APU46" s="375"/>
      <c r="APV46" s="375"/>
      <c r="APW46" s="375"/>
      <c r="APX46" s="375"/>
      <c r="APY46" s="375"/>
      <c r="APZ46" s="375"/>
      <c r="AQA46" s="375"/>
      <c r="AQB46" s="375"/>
      <c r="AQC46" s="375"/>
      <c r="AQD46" s="375"/>
      <c r="AQE46" s="375"/>
      <c r="AQF46" s="375"/>
      <c r="AQG46" s="375"/>
      <c r="AQH46" s="375"/>
      <c r="AQI46" s="375"/>
      <c r="AQJ46" s="375"/>
      <c r="AQK46" s="375"/>
      <c r="AQL46" s="375"/>
      <c r="AQM46" s="375"/>
      <c r="AQN46" s="375"/>
      <c r="AQO46" s="375"/>
      <c r="AQP46" s="375"/>
      <c r="AQQ46" s="375"/>
      <c r="AQR46" s="375"/>
      <c r="AQS46" s="375"/>
      <c r="AQT46" s="375"/>
      <c r="AQU46" s="375"/>
      <c r="AQV46" s="375"/>
      <c r="AQW46" s="375"/>
      <c r="AQX46" s="375"/>
      <c r="AQY46" s="375"/>
      <c r="AQZ46" s="375"/>
      <c r="ARA46" s="375"/>
      <c r="ARB46" s="375"/>
      <c r="ARC46" s="375"/>
      <c r="ARD46" s="375"/>
      <c r="ARE46" s="375"/>
      <c r="ARF46" s="375"/>
      <c r="ARG46" s="375"/>
      <c r="ARH46" s="375"/>
      <c r="ARI46" s="375"/>
      <c r="ARJ46" s="375"/>
      <c r="ARK46" s="375"/>
      <c r="ARL46" s="375"/>
      <c r="ARM46" s="375"/>
      <c r="ARN46" s="375"/>
      <c r="ARO46" s="375"/>
      <c r="ARP46" s="375"/>
      <c r="ARQ46" s="375"/>
      <c r="ARR46" s="375"/>
      <c r="ARS46" s="375"/>
      <c r="ART46" s="375"/>
      <c r="ARU46" s="375"/>
      <c r="ARV46" s="375"/>
      <c r="ARW46" s="375"/>
      <c r="ARX46" s="375"/>
      <c r="ARY46" s="375"/>
      <c r="ARZ46" s="375"/>
      <c r="ASA46" s="375"/>
      <c r="ASB46" s="375"/>
      <c r="ASC46" s="375"/>
      <c r="ASD46" s="375"/>
      <c r="ASE46" s="375"/>
      <c r="ASF46" s="375"/>
      <c r="ASG46" s="375"/>
      <c r="ASH46" s="375"/>
      <c r="ASI46" s="375"/>
      <c r="ASJ46" s="375"/>
      <c r="ASK46" s="375"/>
      <c r="ASL46" s="375"/>
      <c r="ASM46" s="375"/>
      <c r="ASN46" s="375"/>
      <c r="ASO46" s="375"/>
      <c r="ASP46" s="375"/>
      <c r="ASQ46" s="375"/>
      <c r="ASR46" s="375"/>
      <c r="ASS46" s="375"/>
      <c r="AST46" s="375"/>
      <c r="ASU46" s="375"/>
      <c r="ASV46" s="375"/>
      <c r="ASW46" s="375"/>
      <c r="ASX46" s="375"/>
      <c r="ASY46" s="375"/>
      <c r="ASZ46" s="375"/>
      <c r="ATA46" s="375"/>
      <c r="ATB46" s="375"/>
      <c r="ATC46" s="375"/>
      <c r="ATD46" s="375"/>
      <c r="ATE46" s="375"/>
      <c r="ATF46" s="375"/>
      <c r="ATG46" s="375"/>
      <c r="ATH46" s="375"/>
      <c r="ATI46" s="375"/>
      <c r="ATJ46" s="375"/>
      <c r="ATK46" s="375"/>
      <c r="ATL46" s="375"/>
      <c r="ATM46" s="375"/>
      <c r="ATN46" s="375"/>
      <c r="ATO46" s="375"/>
      <c r="ATP46" s="375"/>
      <c r="ATQ46" s="375"/>
      <c r="ATR46" s="375"/>
      <c r="ATS46" s="375"/>
      <c r="ATT46" s="375"/>
      <c r="ATU46" s="375"/>
      <c r="ATV46" s="375"/>
      <c r="ATW46" s="375"/>
      <c r="ATX46" s="375"/>
      <c r="ATY46" s="375"/>
      <c r="ATZ46" s="375"/>
      <c r="AUA46" s="375"/>
      <c r="AUB46" s="375"/>
      <c r="AUC46" s="375"/>
      <c r="AUD46" s="375"/>
      <c r="AUE46" s="375"/>
      <c r="AUF46" s="375"/>
      <c r="AUG46" s="375"/>
      <c r="AUH46" s="375"/>
      <c r="AUI46" s="375"/>
      <c r="AUJ46" s="375"/>
      <c r="AUK46" s="375"/>
      <c r="AUL46" s="375"/>
      <c r="AUM46" s="375"/>
      <c r="AUN46" s="375"/>
      <c r="AUO46" s="375"/>
      <c r="AUP46" s="375"/>
      <c r="AUQ46" s="375"/>
      <c r="AUR46" s="375"/>
      <c r="AUS46" s="375"/>
      <c r="AUT46" s="375"/>
      <c r="AUU46" s="375"/>
      <c r="AUV46" s="375"/>
      <c r="AUW46" s="375"/>
      <c r="AUX46" s="375"/>
      <c r="AUY46" s="375"/>
      <c r="AUZ46" s="375"/>
      <c r="AVA46" s="375"/>
      <c r="AVB46" s="375"/>
      <c r="AVC46" s="375"/>
      <c r="AVD46" s="375"/>
      <c r="AVE46" s="375"/>
      <c r="AVF46" s="375"/>
      <c r="AVG46" s="375"/>
      <c r="AVH46" s="375"/>
      <c r="AVI46" s="375"/>
      <c r="AVJ46" s="375"/>
      <c r="AVK46" s="375"/>
      <c r="AVL46" s="375"/>
      <c r="AVM46" s="375"/>
      <c r="AVN46" s="375"/>
      <c r="AVO46" s="375"/>
      <c r="AVP46" s="375"/>
      <c r="AVQ46" s="375"/>
      <c r="AVR46" s="375"/>
      <c r="AVS46" s="375"/>
      <c r="AVT46" s="375"/>
      <c r="AVU46" s="375"/>
      <c r="AVV46" s="375"/>
      <c r="AVW46" s="375"/>
      <c r="AVX46" s="375"/>
      <c r="AVY46" s="375"/>
      <c r="AVZ46" s="375"/>
      <c r="AWA46" s="375"/>
      <c r="AWB46" s="375"/>
      <c r="AWC46" s="375"/>
      <c r="AWD46" s="375"/>
      <c r="AWE46" s="375"/>
      <c r="AWF46" s="375"/>
      <c r="AWG46" s="375"/>
      <c r="AWH46" s="375"/>
      <c r="AWI46" s="375"/>
      <c r="AWJ46" s="375"/>
      <c r="AWK46" s="375"/>
      <c r="AWL46" s="375"/>
      <c r="AWM46" s="375"/>
      <c r="AWN46" s="375"/>
      <c r="AWO46" s="375"/>
      <c r="AWP46" s="375"/>
      <c r="AWQ46" s="375"/>
      <c r="AWR46" s="375"/>
      <c r="AWS46" s="375"/>
      <c r="AWT46" s="375"/>
      <c r="AWU46" s="375"/>
      <c r="AWV46" s="375"/>
      <c r="AWW46" s="375"/>
      <c r="AWX46" s="375"/>
      <c r="AWY46" s="375"/>
      <c r="AWZ46" s="375"/>
      <c r="AXA46" s="375"/>
      <c r="AXB46" s="375"/>
      <c r="AXC46" s="375"/>
      <c r="AXD46" s="375"/>
      <c r="AXE46" s="375"/>
      <c r="AXF46" s="375"/>
      <c r="AXG46" s="375"/>
      <c r="AXH46" s="375"/>
      <c r="AXI46" s="375"/>
      <c r="AXJ46" s="375"/>
      <c r="AXK46" s="375"/>
      <c r="AXL46" s="375"/>
      <c r="AXM46" s="375"/>
      <c r="AXN46" s="375"/>
      <c r="AXO46" s="375"/>
      <c r="AXP46" s="375"/>
      <c r="AXQ46" s="375"/>
      <c r="AXR46" s="375"/>
      <c r="AXS46" s="375"/>
      <c r="AXT46" s="375"/>
      <c r="AXU46" s="375"/>
      <c r="AXV46" s="375"/>
      <c r="AXW46" s="375"/>
      <c r="AXX46" s="375"/>
      <c r="AXY46" s="375"/>
      <c r="AXZ46" s="375"/>
      <c r="AYA46" s="375"/>
      <c r="AYB46" s="375"/>
      <c r="AYC46" s="375"/>
      <c r="AYD46" s="375"/>
      <c r="AYE46" s="375"/>
      <c r="AYF46" s="375"/>
      <c r="AYG46" s="375"/>
      <c r="AYH46" s="375"/>
      <c r="AYI46" s="375"/>
      <c r="AYJ46" s="375"/>
      <c r="AYK46" s="375"/>
      <c r="AYL46" s="375"/>
      <c r="AYM46" s="375"/>
      <c r="AYN46" s="375"/>
      <c r="AYO46" s="375"/>
      <c r="AYP46" s="375"/>
      <c r="AYQ46" s="375"/>
      <c r="AYR46" s="375"/>
      <c r="AYS46" s="375"/>
      <c r="AYT46" s="375"/>
      <c r="AYU46" s="375"/>
      <c r="AYV46" s="375"/>
      <c r="AYW46" s="375"/>
      <c r="AYX46" s="375"/>
      <c r="AYY46" s="375"/>
      <c r="AYZ46" s="375"/>
      <c r="AZA46" s="375"/>
      <c r="AZB46" s="375"/>
      <c r="AZC46" s="375"/>
      <c r="AZD46" s="375"/>
      <c r="AZE46" s="375"/>
      <c r="AZF46" s="375"/>
      <c r="AZG46" s="375"/>
      <c r="AZH46" s="375"/>
      <c r="AZI46" s="375"/>
      <c r="AZJ46" s="375"/>
      <c r="AZK46" s="375"/>
      <c r="AZL46" s="375"/>
      <c r="AZM46" s="375"/>
      <c r="AZN46" s="375"/>
      <c r="AZO46" s="375"/>
      <c r="AZP46" s="375"/>
      <c r="AZQ46" s="375"/>
      <c r="AZR46" s="375"/>
      <c r="AZS46" s="375"/>
      <c r="AZT46" s="375"/>
      <c r="AZU46" s="375"/>
      <c r="AZV46" s="375"/>
      <c r="AZW46" s="375"/>
      <c r="AZX46" s="375"/>
      <c r="AZY46" s="375"/>
      <c r="AZZ46" s="375"/>
      <c r="BAA46" s="375"/>
      <c r="BAB46" s="375"/>
      <c r="BAC46" s="375"/>
      <c r="BAD46" s="375"/>
      <c r="BAE46" s="375"/>
      <c r="BAF46" s="375"/>
      <c r="BAG46" s="375"/>
      <c r="BAH46" s="375"/>
      <c r="BAI46" s="375"/>
      <c r="BAJ46" s="375"/>
      <c r="BAK46" s="375"/>
      <c r="BAL46" s="375"/>
      <c r="BAM46" s="375"/>
      <c r="BAN46" s="375"/>
      <c r="BAO46" s="375"/>
      <c r="BAP46" s="375"/>
      <c r="BAQ46" s="375"/>
      <c r="BAR46" s="375"/>
      <c r="BAS46" s="375"/>
      <c r="BAT46" s="375"/>
      <c r="BAU46" s="375"/>
      <c r="BAV46" s="375"/>
      <c r="BAW46" s="375"/>
      <c r="BAX46" s="375"/>
      <c r="BAY46" s="375"/>
      <c r="BAZ46" s="375"/>
      <c r="BBA46" s="375"/>
      <c r="BBB46" s="375"/>
      <c r="BBC46" s="375"/>
      <c r="BBD46" s="375"/>
      <c r="BBE46" s="375"/>
      <c r="BBF46" s="375"/>
      <c r="BBG46" s="375"/>
      <c r="BBH46" s="375"/>
      <c r="BBI46" s="375"/>
      <c r="BBJ46" s="375"/>
      <c r="BBK46" s="375"/>
      <c r="BBL46" s="375"/>
      <c r="BBM46" s="375"/>
      <c r="BBN46" s="375"/>
      <c r="BBO46" s="375"/>
      <c r="BBP46" s="375"/>
      <c r="BBQ46" s="375"/>
      <c r="BBR46" s="375"/>
      <c r="BBS46" s="375"/>
      <c r="BBT46" s="375"/>
      <c r="BBU46" s="375"/>
      <c r="BBV46" s="375"/>
      <c r="BBW46" s="375"/>
      <c r="BBX46" s="375"/>
      <c r="BBY46" s="375"/>
      <c r="BBZ46" s="375"/>
      <c r="BCA46" s="375"/>
      <c r="BCB46" s="375"/>
      <c r="BCC46" s="375"/>
      <c r="BCD46" s="375"/>
      <c r="BCE46" s="375"/>
      <c r="BCF46" s="375"/>
      <c r="BCG46" s="375"/>
      <c r="BCH46" s="375"/>
      <c r="BCI46" s="375"/>
      <c r="BCJ46" s="375"/>
      <c r="BCK46" s="375"/>
      <c r="BCL46" s="375"/>
      <c r="BCM46" s="375"/>
      <c r="BCN46" s="375"/>
      <c r="BCO46" s="375"/>
      <c r="BCP46" s="375"/>
      <c r="BCQ46" s="375"/>
      <c r="BCR46" s="375"/>
      <c r="BCS46" s="375"/>
      <c r="BCT46" s="375"/>
      <c r="BCU46" s="375"/>
      <c r="BCV46" s="375"/>
      <c r="BCW46" s="375"/>
      <c r="BCX46" s="375"/>
      <c r="BCY46" s="375"/>
      <c r="BCZ46" s="375"/>
      <c r="BDA46" s="375"/>
      <c r="BDB46" s="375"/>
      <c r="BDC46" s="375"/>
      <c r="BDD46" s="375"/>
      <c r="BDE46" s="375"/>
      <c r="BDF46" s="375"/>
      <c r="BDG46" s="375"/>
      <c r="BDH46" s="375"/>
      <c r="BDI46" s="375"/>
      <c r="BDJ46" s="375"/>
      <c r="BDK46" s="375"/>
      <c r="BDL46" s="375"/>
      <c r="BDM46" s="375"/>
      <c r="BDN46" s="375"/>
      <c r="BDO46" s="375"/>
      <c r="BDP46" s="375"/>
      <c r="BDQ46" s="375"/>
      <c r="BDR46" s="375"/>
      <c r="BDS46" s="375"/>
      <c r="BDT46" s="375"/>
      <c r="BDU46" s="375"/>
      <c r="BDV46" s="375"/>
      <c r="BDW46" s="375"/>
      <c r="BDX46" s="375"/>
      <c r="BDY46" s="375"/>
      <c r="BDZ46" s="375"/>
      <c r="BEA46" s="375"/>
      <c r="BEB46" s="375"/>
      <c r="BEC46" s="375"/>
      <c r="BED46" s="375"/>
      <c r="BEE46" s="375"/>
      <c r="BEF46" s="375"/>
      <c r="BEG46" s="375"/>
      <c r="BEH46" s="375"/>
      <c r="BEI46" s="375"/>
      <c r="BEJ46" s="375"/>
      <c r="BEK46" s="375"/>
      <c r="BEL46" s="375"/>
      <c r="BEM46" s="375"/>
      <c r="BEN46" s="375"/>
      <c r="BEO46" s="375"/>
      <c r="BEP46" s="375"/>
      <c r="BEQ46" s="375"/>
      <c r="BER46" s="375"/>
      <c r="BES46" s="375"/>
      <c r="BET46" s="375"/>
      <c r="BEU46" s="375"/>
      <c r="BEV46" s="375"/>
      <c r="BEW46" s="375"/>
      <c r="BEX46" s="375"/>
      <c r="BEY46" s="375"/>
      <c r="BEZ46" s="375"/>
      <c r="BFA46" s="375"/>
      <c r="BFB46" s="375"/>
      <c r="BFC46" s="375"/>
      <c r="BFD46" s="375"/>
      <c r="BFE46" s="375"/>
      <c r="BFF46" s="375"/>
      <c r="BFG46" s="375"/>
      <c r="BFH46" s="375"/>
      <c r="BFI46" s="375"/>
      <c r="BFJ46" s="375"/>
      <c r="BFK46" s="375"/>
      <c r="BFL46" s="375"/>
      <c r="BFM46" s="375"/>
      <c r="BFN46" s="375"/>
      <c r="BFO46" s="375"/>
      <c r="BFP46" s="375"/>
      <c r="BFQ46" s="375"/>
      <c r="BFR46" s="375"/>
      <c r="BFS46" s="375"/>
      <c r="BFT46" s="375"/>
      <c r="BFU46" s="375"/>
      <c r="BFV46" s="375"/>
      <c r="BFW46" s="375"/>
      <c r="BFX46" s="375"/>
      <c r="BFY46" s="375"/>
      <c r="BFZ46" s="375"/>
      <c r="BGA46" s="375"/>
      <c r="BGB46" s="375"/>
      <c r="BGC46" s="375"/>
      <c r="BGD46" s="375"/>
      <c r="BGE46" s="375"/>
      <c r="BGF46" s="375"/>
      <c r="BGG46" s="375"/>
      <c r="BGH46" s="375"/>
      <c r="BGI46" s="375"/>
      <c r="BGJ46" s="375"/>
      <c r="BGK46" s="375"/>
      <c r="BGL46" s="375"/>
      <c r="BGM46" s="375"/>
      <c r="BGN46" s="375"/>
      <c r="BGO46" s="375"/>
      <c r="BGP46" s="375"/>
      <c r="BGQ46" s="375"/>
      <c r="BGR46" s="375"/>
      <c r="BGS46" s="375"/>
      <c r="BGT46" s="375"/>
      <c r="BGU46" s="375"/>
      <c r="BGV46" s="375"/>
      <c r="BGW46" s="375"/>
      <c r="BGX46" s="375"/>
      <c r="BGY46" s="375"/>
      <c r="BGZ46" s="375"/>
      <c r="BHA46" s="375"/>
      <c r="BHB46" s="375"/>
      <c r="BHC46" s="375"/>
      <c r="BHD46" s="375"/>
      <c r="BHE46" s="375"/>
      <c r="BHF46" s="375"/>
      <c r="BHG46" s="375"/>
      <c r="BHH46" s="375"/>
      <c r="BHI46" s="375"/>
      <c r="BHJ46" s="375"/>
      <c r="BHK46" s="375"/>
      <c r="BHL46" s="375"/>
      <c r="BHM46" s="375"/>
      <c r="BHN46" s="375"/>
      <c r="BHO46" s="375"/>
      <c r="BHP46" s="375"/>
      <c r="BHQ46" s="375"/>
      <c r="BHR46" s="375"/>
      <c r="BHS46" s="375"/>
      <c r="BHT46" s="375"/>
      <c r="BHU46" s="375"/>
      <c r="BHV46" s="375"/>
      <c r="BHW46" s="375"/>
      <c r="BHX46" s="375"/>
      <c r="BHY46" s="375"/>
      <c r="BHZ46" s="375"/>
      <c r="BIA46" s="375"/>
      <c r="BIB46" s="375"/>
      <c r="BIC46" s="375"/>
      <c r="BID46" s="375"/>
      <c r="BIE46" s="375"/>
      <c r="BIF46" s="375"/>
      <c r="BIG46" s="375"/>
      <c r="BIH46" s="375"/>
      <c r="BII46" s="375"/>
      <c r="BIJ46" s="375"/>
      <c r="BIK46" s="375"/>
      <c r="BIL46" s="375"/>
      <c r="BIM46" s="375"/>
      <c r="BIN46" s="375"/>
      <c r="BIO46" s="375"/>
      <c r="BIP46" s="375"/>
      <c r="BIQ46" s="375"/>
      <c r="BIR46" s="375"/>
      <c r="BIS46" s="375"/>
      <c r="BIT46" s="375"/>
      <c r="BIU46" s="375"/>
      <c r="BIV46" s="375"/>
      <c r="BIW46" s="375"/>
      <c r="BIX46" s="375"/>
      <c r="BIY46" s="375"/>
      <c r="BIZ46" s="375"/>
      <c r="BJA46" s="375"/>
      <c r="BJB46" s="375"/>
      <c r="BJC46" s="375"/>
      <c r="BJD46" s="375"/>
      <c r="BJE46" s="375"/>
      <c r="BJF46" s="375"/>
      <c r="BJG46" s="375"/>
      <c r="BJH46" s="375"/>
      <c r="BJI46" s="375"/>
      <c r="BJJ46" s="375"/>
      <c r="BJK46" s="375"/>
      <c r="BJL46" s="375"/>
      <c r="BJM46" s="375"/>
      <c r="BJN46" s="375"/>
      <c r="BJO46" s="375"/>
      <c r="BJP46" s="375"/>
      <c r="BJQ46" s="375"/>
      <c r="BJR46" s="375"/>
      <c r="BJS46" s="375"/>
      <c r="BJT46" s="375"/>
      <c r="BJU46" s="375"/>
      <c r="BJV46" s="375"/>
      <c r="BJW46" s="375"/>
      <c r="BJX46" s="375"/>
      <c r="BJY46" s="375"/>
      <c r="BJZ46" s="375"/>
      <c r="BKA46" s="375"/>
      <c r="BKB46" s="375"/>
      <c r="BKC46" s="375"/>
      <c r="BKD46" s="375"/>
      <c r="BKE46" s="375"/>
      <c r="BKF46" s="375"/>
      <c r="BKG46" s="375"/>
      <c r="BKH46" s="375"/>
      <c r="BKI46" s="375"/>
      <c r="BKJ46" s="375"/>
      <c r="BKK46" s="375"/>
      <c r="BKL46" s="375"/>
      <c r="BKM46" s="375"/>
      <c r="BKN46" s="375"/>
      <c r="BKO46" s="375"/>
      <c r="BKP46" s="375"/>
      <c r="BKQ46" s="375"/>
      <c r="BKR46" s="375"/>
      <c r="BKS46" s="375"/>
      <c r="BKT46" s="375"/>
      <c r="BKU46" s="375"/>
      <c r="BKV46" s="375"/>
      <c r="BKW46" s="375"/>
      <c r="BKX46" s="375"/>
      <c r="BKY46" s="375"/>
      <c r="BKZ46" s="375"/>
      <c r="BLA46" s="375"/>
      <c r="BLB46" s="375"/>
      <c r="BLC46" s="375"/>
      <c r="BLD46" s="375"/>
      <c r="BLE46" s="375"/>
      <c r="BLF46" s="375"/>
      <c r="BLG46" s="375"/>
      <c r="BLH46" s="375"/>
      <c r="BLI46" s="375"/>
      <c r="BLJ46" s="375"/>
      <c r="BLK46" s="375"/>
      <c r="BLL46" s="375"/>
      <c r="BLM46" s="375"/>
      <c r="BLN46" s="375"/>
      <c r="BLO46" s="375"/>
      <c r="BLP46" s="375"/>
      <c r="BLQ46" s="375"/>
      <c r="BLR46" s="375"/>
      <c r="BLS46" s="375"/>
      <c r="BLT46" s="375"/>
      <c r="BLU46" s="375"/>
      <c r="BLV46" s="375"/>
      <c r="BLW46" s="375"/>
      <c r="BLX46" s="375"/>
      <c r="BLY46" s="375"/>
      <c r="BLZ46" s="375"/>
      <c r="BMA46" s="375"/>
      <c r="BMB46" s="375"/>
      <c r="BMC46" s="375"/>
      <c r="BMD46" s="375"/>
      <c r="BME46" s="375"/>
      <c r="BMF46" s="375"/>
      <c r="BMG46" s="375"/>
      <c r="BMH46" s="375"/>
      <c r="BMI46" s="375"/>
      <c r="BMJ46" s="375"/>
      <c r="BMK46" s="375"/>
      <c r="BML46" s="375"/>
      <c r="BMM46" s="375"/>
      <c r="BMN46" s="375"/>
      <c r="BMO46" s="375"/>
      <c r="BMP46" s="375"/>
      <c r="BMQ46" s="375"/>
      <c r="BMR46" s="375"/>
      <c r="BMS46" s="375"/>
      <c r="BMT46" s="375"/>
      <c r="BMU46" s="375"/>
      <c r="BMV46" s="375"/>
      <c r="BMW46" s="375"/>
      <c r="BMX46" s="375"/>
      <c r="BMY46" s="375"/>
      <c r="BMZ46" s="375"/>
      <c r="BNA46" s="375"/>
      <c r="BNB46" s="375"/>
      <c r="BNC46" s="375"/>
      <c r="BND46" s="375"/>
      <c r="BNE46" s="375"/>
      <c r="BNF46" s="375"/>
      <c r="BNG46" s="375"/>
      <c r="BNH46" s="375"/>
      <c r="BNI46" s="375"/>
      <c r="BNJ46" s="375"/>
      <c r="BNK46" s="375"/>
      <c r="BNL46" s="375"/>
      <c r="BNM46" s="375"/>
      <c r="BNN46" s="375"/>
      <c r="BNO46" s="375"/>
      <c r="BNP46" s="375"/>
      <c r="BNQ46" s="375"/>
      <c r="BNR46" s="375"/>
      <c r="BNS46" s="375"/>
      <c r="BNT46" s="375"/>
      <c r="BNU46" s="375"/>
      <c r="BNV46" s="375"/>
      <c r="BNW46" s="375"/>
      <c r="BNX46" s="375"/>
      <c r="BNY46" s="375"/>
      <c r="BNZ46" s="375"/>
      <c r="BOA46" s="375"/>
      <c r="BOB46" s="375"/>
      <c r="BOC46" s="375"/>
      <c r="BOD46" s="375"/>
      <c r="BOE46" s="375"/>
      <c r="BOF46" s="375"/>
      <c r="BOG46" s="375"/>
      <c r="BOH46" s="375"/>
      <c r="BOI46" s="375"/>
      <c r="BOJ46" s="375"/>
      <c r="BOK46" s="375"/>
      <c r="BOL46" s="375"/>
      <c r="BOM46" s="375"/>
      <c r="BON46" s="375"/>
      <c r="BOO46" s="375"/>
      <c r="BOP46" s="375"/>
      <c r="BOQ46" s="375"/>
      <c r="BOR46" s="375"/>
      <c r="BOS46" s="375"/>
      <c r="BOT46" s="375"/>
      <c r="BOU46" s="375"/>
      <c r="BOV46" s="375"/>
      <c r="BOW46" s="375"/>
      <c r="BOX46" s="375"/>
      <c r="BOY46" s="375"/>
      <c r="BOZ46" s="375"/>
      <c r="BPA46" s="375"/>
      <c r="BPB46" s="375"/>
      <c r="BPC46" s="375"/>
      <c r="BPD46" s="375"/>
      <c r="BPE46" s="375"/>
      <c r="BPF46" s="375"/>
      <c r="BPG46" s="375"/>
      <c r="BPH46" s="375"/>
      <c r="BPI46" s="375"/>
      <c r="BPJ46" s="375"/>
      <c r="BPK46" s="375"/>
      <c r="BPL46" s="375"/>
      <c r="BPM46" s="375"/>
      <c r="BPN46" s="375"/>
      <c r="BPO46" s="375"/>
      <c r="BPP46" s="375"/>
      <c r="BPQ46" s="375"/>
      <c r="BPR46" s="375"/>
      <c r="BPS46" s="375"/>
      <c r="BPT46" s="375"/>
      <c r="BPU46" s="375"/>
      <c r="BPV46" s="375"/>
      <c r="BPW46" s="375"/>
      <c r="BPX46" s="375"/>
      <c r="BPY46" s="375"/>
      <c r="BPZ46" s="375"/>
      <c r="BQA46" s="375"/>
      <c r="BQB46" s="375"/>
      <c r="BQC46" s="375"/>
      <c r="BQD46" s="375"/>
      <c r="BQE46" s="375"/>
      <c r="BQF46" s="375"/>
      <c r="BQG46" s="375"/>
      <c r="BQH46" s="375"/>
      <c r="BQI46" s="375"/>
      <c r="BQJ46" s="375"/>
      <c r="BQK46" s="375"/>
      <c r="BQL46" s="375"/>
      <c r="BQM46" s="375"/>
      <c r="BQN46" s="375"/>
      <c r="BQO46" s="375"/>
      <c r="BQP46" s="375"/>
      <c r="BQQ46" s="375"/>
      <c r="BQR46" s="375"/>
      <c r="BQS46" s="375"/>
      <c r="BQT46" s="375"/>
      <c r="BQU46" s="375"/>
      <c r="BQV46" s="375"/>
      <c r="BQW46" s="375"/>
      <c r="BQX46" s="375"/>
      <c r="BQY46" s="375"/>
      <c r="BQZ46" s="375"/>
      <c r="BRA46" s="375"/>
      <c r="BRB46" s="375"/>
      <c r="BRC46" s="375"/>
      <c r="BRD46" s="375"/>
      <c r="BRE46" s="375"/>
      <c r="BRF46" s="375"/>
      <c r="BRG46" s="375"/>
      <c r="BRH46" s="375"/>
      <c r="BRI46" s="375"/>
      <c r="BRJ46" s="375"/>
      <c r="BRK46" s="375"/>
      <c r="BRL46" s="375"/>
      <c r="BRM46" s="375"/>
      <c r="BRN46" s="375"/>
      <c r="BRO46" s="375"/>
      <c r="BRP46" s="375"/>
      <c r="BRQ46" s="375"/>
      <c r="BRR46" s="375"/>
      <c r="BRS46" s="375"/>
      <c r="BRT46" s="375"/>
      <c r="BRU46" s="375"/>
      <c r="BRV46" s="375"/>
      <c r="BRW46" s="375"/>
      <c r="BRX46" s="375"/>
      <c r="BRY46" s="375"/>
      <c r="BRZ46" s="375"/>
      <c r="BSA46" s="375"/>
      <c r="BSB46" s="375"/>
      <c r="BSC46" s="375"/>
      <c r="BSD46" s="375"/>
      <c r="BSE46" s="375"/>
      <c r="BSF46" s="375"/>
      <c r="BSG46" s="375"/>
      <c r="BSH46" s="375"/>
      <c r="BSI46" s="375"/>
      <c r="BSJ46" s="375"/>
      <c r="BSK46" s="375"/>
      <c r="BSL46" s="375"/>
      <c r="BSM46" s="375"/>
      <c r="BSN46" s="375"/>
      <c r="BSO46" s="375"/>
      <c r="BSP46" s="375"/>
      <c r="BSQ46" s="375"/>
      <c r="BSR46" s="375"/>
      <c r="BSS46" s="375"/>
      <c r="BST46" s="375"/>
      <c r="BSU46" s="375"/>
      <c r="BSV46" s="375"/>
      <c r="BSW46" s="375"/>
      <c r="BSX46" s="375"/>
      <c r="BSY46" s="375"/>
      <c r="BSZ46" s="375"/>
      <c r="BTA46" s="375"/>
      <c r="BTB46" s="375"/>
      <c r="BTC46" s="375"/>
      <c r="BTD46" s="375"/>
      <c r="BTE46" s="375"/>
      <c r="BTF46" s="375"/>
      <c r="BTG46" s="375"/>
      <c r="BTH46" s="375"/>
      <c r="BTI46" s="375"/>
      <c r="BTJ46" s="375"/>
      <c r="BTK46" s="375"/>
      <c r="BTL46" s="375"/>
      <c r="BTM46" s="375"/>
      <c r="BTN46" s="375"/>
      <c r="BTO46" s="375"/>
      <c r="BTP46" s="375"/>
      <c r="BTQ46" s="375"/>
      <c r="BTR46" s="375"/>
      <c r="BTS46" s="375"/>
      <c r="BTT46" s="375"/>
      <c r="BTU46" s="375"/>
      <c r="BTV46" s="375"/>
      <c r="BTW46" s="375"/>
      <c r="BTX46" s="375"/>
      <c r="BTY46" s="375"/>
      <c r="BTZ46" s="375"/>
      <c r="BUA46" s="375"/>
      <c r="BUB46" s="375"/>
      <c r="BUC46" s="375"/>
      <c r="BUD46" s="375"/>
      <c r="BUE46" s="375"/>
      <c r="BUF46" s="375"/>
      <c r="BUG46" s="375"/>
      <c r="BUH46" s="375"/>
      <c r="BUI46" s="375"/>
      <c r="BUJ46" s="375"/>
      <c r="BUK46" s="375"/>
      <c r="BUL46" s="375"/>
      <c r="BUM46" s="375"/>
      <c r="BUN46" s="375"/>
      <c r="BUO46" s="375"/>
      <c r="BUP46" s="375"/>
      <c r="BUQ46" s="375"/>
      <c r="BUR46" s="375"/>
      <c r="BUS46" s="375"/>
      <c r="BUT46" s="375"/>
      <c r="BUU46" s="375"/>
      <c r="BUV46" s="375"/>
      <c r="BUW46" s="375"/>
      <c r="BUX46" s="375"/>
      <c r="BUY46" s="375"/>
      <c r="BUZ46" s="375"/>
      <c r="BVA46" s="375"/>
      <c r="BVB46" s="375"/>
      <c r="BVC46" s="375"/>
      <c r="BVD46" s="375"/>
      <c r="BVE46" s="375"/>
      <c r="BVF46" s="375"/>
      <c r="BVG46" s="375"/>
      <c r="BVH46" s="375"/>
      <c r="BVI46" s="375"/>
      <c r="BVJ46" s="375"/>
      <c r="BVK46" s="375"/>
      <c r="BVL46" s="375"/>
      <c r="BVM46" s="375"/>
      <c r="BVN46" s="375"/>
      <c r="BVO46" s="375"/>
      <c r="BVP46" s="375"/>
      <c r="BVQ46" s="375"/>
      <c r="BVR46" s="375"/>
      <c r="BVS46" s="375"/>
      <c r="BVT46" s="375"/>
      <c r="BVU46" s="375"/>
      <c r="BVV46" s="375"/>
      <c r="BVW46" s="375"/>
      <c r="BVX46" s="375"/>
      <c r="BVY46" s="375"/>
      <c r="BVZ46" s="375"/>
      <c r="BWA46" s="375"/>
      <c r="BWB46" s="375"/>
      <c r="BWC46" s="375"/>
      <c r="BWD46" s="375"/>
      <c r="BWE46" s="375"/>
      <c r="BWF46" s="375"/>
      <c r="BWG46" s="375"/>
      <c r="BWH46" s="375"/>
      <c r="BWI46" s="375"/>
      <c r="BWJ46" s="375"/>
      <c r="BWK46" s="375"/>
      <c r="BWL46" s="375"/>
      <c r="BWM46" s="375"/>
      <c r="BWN46" s="375"/>
      <c r="BWO46" s="375"/>
      <c r="BWP46" s="375"/>
      <c r="BWQ46" s="375"/>
      <c r="BWR46" s="375"/>
      <c r="BWS46" s="375"/>
      <c r="BWT46" s="375"/>
      <c r="BWU46" s="375"/>
      <c r="BWV46" s="375"/>
      <c r="BWW46" s="375"/>
      <c r="BWX46" s="375"/>
      <c r="BWY46" s="375"/>
      <c r="BWZ46" s="375"/>
      <c r="BXA46" s="375"/>
      <c r="BXB46" s="375"/>
      <c r="BXC46" s="375"/>
      <c r="BXD46" s="375"/>
      <c r="BXE46" s="375"/>
      <c r="BXF46" s="375"/>
      <c r="BXG46" s="375"/>
      <c r="BXH46" s="375"/>
      <c r="BXI46" s="375"/>
      <c r="BXJ46" s="375"/>
      <c r="BXK46" s="375"/>
      <c r="BXL46" s="375"/>
      <c r="BXM46" s="375"/>
      <c r="BXN46" s="375"/>
      <c r="BXO46" s="375"/>
      <c r="BXP46" s="375"/>
      <c r="BXQ46" s="375"/>
      <c r="BXR46" s="375"/>
      <c r="BXS46" s="375"/>
      <c r="BXT46" s="375"/>
      <c r="BXU46" s="375"/>
      <c r="BXV46" s="375"/>
      <c r="BXW46" s="375"/>
      <c r="BXX46" s="375"/>
      <c r="BXY46" s="375"/>
      <c r="BXZ46" s="375"/>
      <c r="BYA46" s="375"/>
      <c r="BYB46" s="375"/>
      <c r="BYC46" s="375"/>
      <c r="BYD46" s="375"/>
      <c r="BYE46" s="375"/>
      <c r="BYF46" s="375"/>
      <c r="BYG46" s="375"/>
      <c r="BYH46" s="375"/>
      <c r="BYI46" s="375"/>
      <c r="BYJ46" s="375"/>
      <c r="BYK46" s="375"/>
      <c r="BYL46" s="375"/>
      <c r="BYM46" s="375"/>
      <c r="BYN46" s="375"/>
      <c r="BYO46" s="375"/>
      <c r="BYP46" s="375"/>
      <c r="BYQ46" s="375"/>
      <c r="BYR46" s="375"/>
      <c r="BYS46" s="375"/>
      <c r="BYT46" s="375"/>
      <c r="BYU46" s="375"/>
      <c r="BYV46" s="375"/>
      <c r="BYW46" s="375"/>
      <c r="BYX46" s="375"/>
      <c r="BYY46" s="375"/>
      <c r="BYZ46" s="375"/>
      <c r="BZA46" s="375"/>
      <c r="BZB46" s="375"/>
      <c r="BZC46" s="375"/>
      <c r="BZD46" s="375"/>
      <c r="BZE46" s="375"/>
      <c r="BZF46" s="375"/>
      <c r="BZG46" s="375"/>
      <c r="BZH46" s="375"/>
      <c r="BZI46" s="375"/>
      <c r="BZJ46" s="375"/>
      <c r="BZK46" s="375"/>
      <c r="BZL46" s="375"/>
      <c r="BZM46" s="375"/>
      <c r="BZN46" s="375"/>
      <c r="BZO46" s="375"/>
      <c r="BZP46" s="375"/>
      <c r="BZQ46" s="375"/>
      <c r="BZR46" s="375"/>
      <c r="BZS46" s="375"/>
      <c r="BZT46" s="375"/>
      <c r="BZU46" s="375"/>
      <c r="BZV46" s="375"/>
      <c r="BZW46" s="375"/>
      <c r="BZX46" s="375"/>
      <c r="BZY46" s="375"/>
      <c r="BZZ46" s="375"/>
      <c r="CAA46" s="375"/>
      <c r="CAB46" s="375"/>
      <c r="CAC46" s="375"/>
      <c r="CAD46" s="375"/>
      <c r="CAE46" s="375"/>
      <c r="CAF46" s="375"/>
      <c r="CAG46" s="375"/>
      <c r="CAH46" s="375"/>
      <c r="CAI46" s="375"/>
      <c r="CAJ46" s="375"/>
      <c r="CAK46" s="375"/>
      <c r="CAL46" s="375"/>
      <c r="CAM46" s="375"/>
      <c r="CAN46" s="375"/>
      <c r="CAO46" s="375"/>
      <c r="CAP46" s="375"/>
      <c r="CAQ46" s="375"/>
      <c r="CAR46" s="375"/>
      <c r="CAS46" s="375"/>
      <c r="CAT46" s="375"/>
      <c r="CAU46" s="375"/>
      <c r="CAV46" s="375"/>
      <c r="CAW46" s="375"/>
      <c r="CAX46" s="375"/>
      <c r="CAY46" s="375"/>
      <c r="CAZ46" s="375"/>
      <c r="CBA46" s="375"/>
      <c r="CBB46" s="375"/>
      <c r="CBC46" s="375"/>
      <c r="CBD46" s="375"/>
      <c r="CBE46" s="375"/>
      <c r="CBF46" s="375"/>
      <c r="CBG46" s="375"/>
      <c r="CBH46" s="375"/>
      <c r="CBI46" s="375"/>
      <c r="CBJ46" s="375"/>
      <c r="CBK46" s="375"/>
      <c r="CBL46" s="375"/>
      <c r="CBM46" s="375"/>
      <c r="CBN46" s="375"/>
      <c r="CBO46" s="375"/>
      <c r="CBP46" s="375"/>
      <c r="CBQ46" s="375"/>
      <c r="CBR46" s="375"/>
      <c r="CBS46" s="375"/>
      <c r="CBT46" s="375"/>
      <c r="CBU46" s="375"/>
      <c r="CBV46" s="375"/>
      <c r="CBW46" s="375"/>
      <c r="CBX46" s="375"/>
      <c r="CBY46" s="375"/>
      <c r="CBZ46" s="375"/>
      <c r="CCA46" s="375"/>
      <c r="CCB46" s="375"/>
      <c r="CCC46" s="375"/>
      <c r="CCD46" s="375"/>
      <c r="CCE46" s="375"/>
      <c r="CCF46" s="375"/>
      <c r="CCG46" s="375"/>
      <c r="CCH46" s="375"/>
      <c r="CCI46" s="375"/>
      <c r="CCJ46" s="375"/>
      <c r="CCK46" s="375"/>
      <c r="CCL46" s="375"/>
      <c r="CCM46" s="375"/>
      <c r="CCN46" s="375"/>
      <c r="CCO46" s="375"/>
      <c r="CCP46" s="375"/>
      <c r="CCQ46" s="375"/>
      <c r="CCR46" s="375"/>
      <c r="CCS46" s="375"/>
      <c r="CCT46" s="375"/>
      <c r="CCU46" s="375"/>
      <c r="CCV46" s="375"/>
      <c r="CCW46" s="375"/>
      <c r="CCX46" s="375"/>
      <c r="CCY46" s="375"/>
      <c r="CCZ46" s="375"/>
      <c r="CDA46" s="375"/>
      <c r="CDB46" s="375"/>
      <c r="CDC46" s="375"/>
      <c r="CDD46" s="375"/>
      <c r="CDE46" s="375"/>
      <c r="CDF46" s="375"/>
      <c r="CDG46" s="375"/>
      <c r="CDH46" s="375"/>
      <c r="CDI46" s="375"/>
      <c r="CDJ46" s="375"/>
      <c r="CDK46" s="375"/>
      <c r="CDL46" s="375"/>
      <c r="CDM46" s="375"/>
      <c r="CDN46" s="375"/>
      <c r="CDO46" s="375"/>
      <c r="CDP46" s="375"/>
      <c r="CDQ46" s="375"/>
      <c r="CDR46" s="375"/>
      <c r="CDS46" s="375"/>
      <c r="CDT46" s="375"/>
      <c r="CDU46" s="375"/>
      <c r="CDV46" s="375"/>
      <c r="CDW46" s="375"/>
      <c r="CDX46" s="375"/>
      <c r="CDY46" s="375"/>
      <c r="CDZ46" s="375"/>
      <c r="CEA46" s="375"/>
      <c r="CEB46" s="375"/>
      <c r="CEC46" s="375"/>
      <c r="CED46" s="375"/>
      <c r="CEE46" s="375"/>
      <c r="CEF46" s="375"/>
      <c r="CEG46" s="375"/>
      <c r="CEH46" s="375"/>
      <c r="CEI46" s="375"/>
      <c r="CEJ46" s="375"/>
      <c r="CEK46" s="375"/>
      <c r="CEL46" s="375"/>
      <c r="CEM46" s="375"/>
      <c r="CEN46" s="375"/>
      <c r="CEO46" s="375"/>
      <c r="CEP46" s="375"/>
      <c r="CEQ46" s="375"/>
      <c r="CER46" s="375"/>
      <c r="CES46" s="375"/>
      <c r="CET46" s="375"/>
      <c r="CEU46" s="375"/>
      <c r="CEV46" s="375"/>
      <c r="CEW46" s="375"/>
      <c r="CEX46" s="375"/>
      <c r="CEY46" s="375"/>
      <c r="CEZ46" s="375"/>
      <c r="CFA46" s="375"/>
      <c r="CFB46" s="375"/>
      <c r="CFC46" s="375"/>
      <c r="CFD46" s="375"/>
      <c r="CFE46" s="375"/>
      <c r="CFF46" s="375"/>
      <c r="CFG46" s="375"/>
      <c r="CFH46" s="375"/>
      <c r="CFI46" s="375"/>
      <c r="CFJ46" s="375"/>
      <c r="CFK46" s="375"/>
      <c r="CFL46" s="375"/>
      <c r="CFM46" s="375"/>
      <c r="CFN46" s="375"/>
      <c r="CFO46" s="375"/>
      <c r="CFP46" s="375"/>
      <c r="CFQ46" s="375"/>
      <c r="CFR46" s="375"/>
      <c r="CFS46" s="375"/>
      <c r="CFT46" s="375"/>
      <c r="CFU46" s="375"/>
      <c r="CFV46" s="375"/>
      <c r="CFW46" s="375"/>
      <c r="CFX46" s="375"/>
      <c r="CFY46" s="375"/>
      <c r="CFZ46" s="375"/>
      <c r="CGA46" s="375"/>
      <c r="CGB46" s="375"/>
      <c r="CGC46" s="375"/>
      <c r="CGD46" s="375"/>
      <c r="CGE46" s="375"/>
      <c r="CGF46" s="375"/>
      <c r="CGG46" s="375"/>
      <c r="CGH46" s="375"/>
      <c r="CGI46" s="375"/>
      <c r="CGJ46" s="375"/>
      <c r="CGK46" s="375"/>
      <c r="CGL46" s="375"/>
      <c r="CGM46" s="375"/>
      <c r="CGN46" s="375"/>
      <c r="CGO46" s="375"/>
      <c r="CGP46" s="375"/>
      <c r="CGQ46" s="375"/>
      <c r="CGR46" s="375"/>
      <c r="CGS46" s="375"/>
      <c r="CGT46" s="375"/>
      <c r="CGU46" s="375"/>
      <c r="CGV46" s="375"/>
      <c r="CGW46" s="375"/>
      <c r="CGX46" s="375"/>
      <c r="CGY46" s="375"/>
      <c r="CGZ46" s="375"/>
      <c r="CHA46" s="375"/>
      <c r="CHB46" s="375"/>
      <c r="CHC46" s="375"/>
      <c r="CHD46" s="375"/>
      <c r="CHE46" s="375"/>
      <c r="CHF46" s="375"/>
      <c r="CHG46" s="375"/>
      <c r="CHH46" s="375"/>
      <c r="CHI46" s="375"/>
      <c r="CHJ46" s="375"/>
      <c r="CHK46" s="375"/>
      <c r="CHL46" s="375"/>
      <c r="CHM46" s="375"/>
      <c r="CHN46" s="375"/>
      <c r="CHO46" s="375"/>
      <c r="CHP46" s="375"/>
      <c r="CHQ46" s="375"/>
      <c r="CHR46" s="375"/>
      <c r="CHS46" s="375"/>
      <c r="CHT46" s="375"/>
      <c r="CHU46" s="375"/>
      <c r="CHV46" s="375"/>
      <c r="CHW46" s="375"/>
      <c r="CHX46" s="375"/>
      <c r="CHY46" s="375"/>
      <c r="CHZ46" s="375"/>
      <c r="CIA46" s="375"/>
      <c r="CIB46" s="375"/>
      <c r="CIC46" s="375"/>
      <c r="CID46" s="375"/>
      <c r="CIE46" s="375"/>
      <c r="CIF46" s="375"/>
      <c r="CIG46" s="375"/>
      <c r="CIH46" s="375"/>
      <c r="CII46" s="375"/>
      <c r="CIJ46" s="375"/>
      <c r="CIK46" s="375"/>
      <c r="CIL46" s="375"/>
      <c r="CIM46" s="375"/>
      <c r="CIN46" s="375"/>
      <c r="CIO46" s="375"/>
      <c r="CIP46" s="375"/>
      <c r="CIQ46" s="375"/>
      <c r="CIR46" s="375"/>
      <c r="CIS46" s="375"/>
      <c r="CIT46" s="375"/>
      <c r="CIU46" s="375"/>
      <c r="CIV46" s="375"/>
      <c r="CIW46" s="375"/>
      <c r="CIX46" s="375"/>
      <c r="CIY46" s="375"/>
      <c r="CIZ46" s="375"/>
      <c r="CJA46" s="375"/>
      <c r="CJB46" s="375"/>
      <c r="CJC46" s="375"/>
      <c r="CJD46" s="375"/>
      <c r="CJE46" s="375"/>
      <c r="CJF46" s="375"/>
      <c r="CJG46" s="375"/>
      <c r="CJH46" s="375"/>
      <c r="CJI46" s="375"/>
      <c r="CJJ46" s="375"/>
      <c r="CJK46" s="375"/>
      <c r="CJL46" s="375"/>
      <c r="CJM46" s="375"/>
      <c r="CJN46" s="375"/>
      <c r="CJO46" s="375"/>
      <c r="CJP46" s="375"/>
      <c r="CJQ46" s="375"/>
      <c r="CJR46" s="375"/>
      <c r="CJS46" s="375"/>
      <c r="CJT46" s="375"/>
      <c r="CJU46" s="375"/>
      <c r="CJV46" s="375"/>
      <c r="CJW46" s="375"/>
      <c r="CJX46" s="375"/>
      <c r="CJY46" s="375"/>
      <c r="CJZ46" s="375"/>
      <c r="CKA46" s="375"/>
      <c r="CKB46" s="375"/>
      <c r="CKC46" s="375"/>
      <c r="CKD46" s="375"/>
      <c r="CKE46" s="375"/>
      <c r="CKF46" s="375"/>
      <c r="CKG46" s="375"/>
      <c r="CKH46" s="375"/>
      <c r="CKI46" s="375"/>
      <c r="CKJ46" s="375"/>
      <c r="CKK46" s="375"/>
      <c r="CKL46" s="375"/>
      <c r="CKM46" s="375"/>
      <c r="CKN46" s="375"/>
      <c r="CKO46" s="375"/>
      <c r="CKP46" s="375"/>
      <c r="CKQ46" s="375"/>
      <c r="CKR46" s="375"/>
      <c r="CKS46" s="375"/>
      <c r="CKT46" s="375"/>
      <c r="CKU46" s="375"/>
      <c r="CKV46" s="375"/>
      <c r="CKW46" s="375"/>
      <c r="CKX46" s="375"/>
      <c r="CKY46" s="375"/>
      <c r="CKZ46" s="375"/>
      <c r="CLA46" s="375"/>
      <c r="CLB46" s="375"/>
      <c r="CLC46" s="375"/>
      <c r="CLD46" s="375"/>
      <c r="CLE46" s="375"/>
      <c r="CLF46" s="375"/>
      <c r="CLG46" s="375"/>
      <c r="CLH46" s="375"/>
      <c r="CLI46" s="375"/>
      <c r="CLJ46" s="375"/>
      <c r="CLK46" s="375"/>
      <c r="CLL46" s="375"/>
      <c r="CLM46" s="375"/>
      <c r="CLN46" s="375"/>
      <c r="CLO46" s="375"/>
      <c r="CLP46" s="375"/>
      <c r="CLQ46" s="375"/>
      <c r="CLR46" s="375"/>
      <c r="CLS46" s="375"/>
      <c r="CLT46" s="375"/>
      <c r="CLU46" s="375"/>
      <c r="CLV46" s="375"/>
      <c r="CLW46" s="375"/>
      <c r="CLX46" s="375"/>
      <c r="CLY46" s="375"/>
      <c r="CLZ46" s="375"/>
      <c r="CMA46" s="375"/>
      <c r="CMB46" s="375"/>
      <c r="CMC46" s="375"/>
      <c r="CMD46" s="375"/>
      <c r="CME46" s="375"/>
      <c r="CMF46" s="375"/>
      <c r="CMG46" s="375"/>
      <c r="CMH46" s="375"/>
      <c r="CMI46" s="375"/>
      <c r="CMJ46" s="375"/>
      <c r="CMK46" s="375"/>
      <c r="CML46" s="375"/>
      <c r="CMM46" s="375"/>
      <c r="CMN46" s="375"/>
      <c r="CMO46" s="375"/>
      <c r="CMP46" s="375"/>
      <c r="CMQ46" s="375"/>
      <c r="CMR46" s="375"/>
      <c r="CMS46" s="375"/>
      <c r="CMT46" s="375"/>
      <c r="CMU46" s="375"/>
      <c r="CMV46" s="375"/>
      <c r="CMW46" s="375"/>
      <c r="CMX46" s="375"/>
      <c r="CMY46" s="375"/>
      <c r="CMZ46" s="375"/>
      <c r="CNA46" s="375"/>
      <c r="CNB46" s="375"/>
      <c r="CNC46" s="375"/>
      <c r="CND46" s="375"/>
      <c r="CNE46" s="375"/>
      <c r="CNF46" s="375"/>
      <c r="CNG46" s="375"/>
      <c r="CNH46" s="375"/>
      <c r="CNI46" s="375"/>
      <c r="CNJ46" s="375"/>
      <c r="CNK46" s="375"/>
      <c r="CNL46" s="375"/>
      <c r="CNM46" s="375"/>
      <c r="CNN46" s="375"/>
      <c r="CNO46" s="375"/>
      <c r="CNP46" s="375"/>
      <c r="CNQ46" s="375"/>
      <c r="CNR46" s="375"/>
      <c r="CNS46" s="375"/>
      <c r="CNT46" s="375"/>
      <c r="CNU46" s="375"/>
      <c r="CNV46" s="375"/>
      <c r="CNW46" s="375"/>
      <c r="CNX46" s="375"/>
      <c r="CNY46" s="375"/>
      <c r="CNZ46" s="375"/>
      <c r="COA46" s="375"/>
      <c r="COB46" s="375"/>
      <c r="COC46" s="375"/>
      <c r="COD46" s="375"/>
      <c r="COE46" s="375"/>
      <c r="COF46" s="375"/>
      <c r="COG46" s="375"/>
      <c r="COH46" s="375"/>
      <c r="COI46" s="375"/>
      <c r="COJ46" s="375"/>
      <c r="COK46" s="375"/>
      <c r="COL46" s="375"/>
      <c r="COM46" s="375"/>
      <c r="CON46" s="375"/>
      <c r="COO46" s="375"/>
      <c r="COP46" s="375"/>
      <c r="COQ46" s="375"/>
      <c r="COR46" s="375"/>
      <c r="COS46" s="375"/>
      <c r="COT46" s="375"/>
      <c r="COU46" s="375"/>
      <c r="COV46" s="375"/>
      <c r="COW46" s="375"/>
      <c r="COX46" s="375"/>
      <c r="COY46" s="375"/>
      <c r="COZ46" s="375"/>
      <c r="CPA46" s="375"/>
      <c r="CPB46" s="375"/>
      <c r="CPC46" s="375"/>
      <c r="CPD46" s="375"/>
      <c r="CPE46" s="375"/>
      <c r="CPF46" s="375"/>
      <c r="CPG46" s="375"/>
      <c r="CPH46" s="375"/>
      <c r="CPI46" s="375"/>
      <c r="CPJ46" s="375"/>
      <c r="CPK46" s="375"/>
      <c r="CPL46" s="375"/>
      <c r="CPM46" s="375"/>
      <c r="CPN46" s="375"/>
      <c r="CPO46" s="375"/>
      <c r="CPP46" s="375"/>
      <c r="CPQ46" s="375"/>
      <c r="CPR46" s="375"/>
      <c r="CPS46" s="375"/>
      <c r="CPT46" s="375"/>
      <c r="CPU46" s="375"/>
      <c r="CPV46" s="375"/>
      <c r="CPW46" s="375"/>
      <c r="CPX46" s="375"/>
      <c r="CPY46" s="375"/>
      <c r="CPZ46" s="375"/>
      <c r="CQA46" s="375"/>
      <c r="CQB46" s="375"/>
      <c r="CQC46" s="375"/>
      <c r="CQD46" s="375"/>
      <c r="CQE46" s="375"/>
      <c r="CQF46" s="375"/>
      <c r="CQG46" s="375"/>
      <c r="CQH46" s="375"/>
      <c r="CQI46" s="375"/>
      <c r="CQJ46" s="375"/>
      <c r="CQK46" s="375"/>
      <c r="CQL46" s="375"/>
      <c r="CQM46" s="375"/>
      <c r="CQN46" s="375"/>
      <c r="CQO46" s="375"/>
      <c r="CQP46" s="375"/>
      <c r="CQQ46" s="375"/>
      <c r="CQR46" s="375"/>
      <c r="CQS46" s="375"/>
      <c r="CQT46" s="375"/>
      <c r="CQU46" s="375"/>
      <c r="CQV46" s="375"/>
      <c r="CQW46" s="375"/>
      <c r="CQX46" s="375"/>
      <c r="CQY46" s="375"/>
      <c r="CQZ46" s="375"/>
      <c r="CRA46" s="375"/>
      <c r="CRB46" s="375"/>
      <c r="CRC46" s="375"/>
      <c r="CRD46" s="375"/>
      <c r="CRE46" s="375"/>
      <c r="CRF46" s="375"/>
      <c r="CRG46" s="375"/>
      <c r="CRH46" s="375"/>
      <c r="CRI46" s="375"/>
      <c r="CRJ46" s="375"/>
      <c r="CRK46" s="375"/>
      <c r="CRL46" s="375"/>
      <c r="CRM46" s="375"/>
      <c r="CRN46" s="375"/>
      <c r="CRO46" s="375"/>
      <c r="CRP46" s="375"/>
      <c r="CRQ46" s="375"/>
      <c r="CRR46" s="375"/>
      <c r="CRS46" s="375"/>
      <c r="CRT46" s="375"/>
      <c r="CRU46" s="375"/>
      <c r="CRV46" s="375"/>
      <c r="CRW46" s="375"/>
      <c r="CRX46" s="375"/>
      <c r="CRY46" s="375"/>
      <c r="CRZ46" s="375"/>
      <c r="CSA46" s="375"/>
      <c r="CSB46" s="375"/>
      <c r="CSC46" s="375"/>
      <c r="CSD46" s="375"/>
      <c r="CSE46" s="375"/>
      <c r="CSF46" s="375"/>
      <c r="CSG46" s="375"/>
      <c r="CSH46" s="375"/>
      <c r="CSI46" s="375"/>
      <c r="CSJ46" s="375"/>
      <c r="CSK46" s="375"/>
      <c r="CSL46" s="375"/>
      <c r="CSM46" s="375"/>
      <c r="CSN46" s="375"/>
      <c r="CSO46" s="375"/>
      <c r="CSP46" s="375"/>
      <c r="CSQ46" s="375"/>
      <c r="CSR46" s="375"/>
      <c r="CSS46" s="375"/>
      <c r="CST46" s="375"/>
      <c r="CSU46" s="375"/>
      <c r="CSV46" s="375"/>
      <c r="CSW46" s="375"/>
      <c r="CSX46" s="375"/>
      <c r="CSY46" s="375"/>
      <c r="CSZ46" s="375"/>
      <c r="CTA46" s="375"/>
      <c r="CTB46" s="375"/>
      <c r="CTC46" s="375"/>
      <c r="CTD46" s="375"/>
      <c r="CTE46" s="375"/>
      <c r="CTF46" s="375"/>
      <c r="CTG46" s="375"/>
      <c r="CTH46" s="375"/>
      <c r="CTI46" s="375"/>
      <c r="CTJ46" s="375"/>
      <c r="CTK46" s="375"/>
      <c r="CTL46" s="375"/>
      <c r="CTM46" s="375"/>
      <c r="CTN46" s="375"/>
      <c r="CTO46" s="375"/>
      <c r="CTP46" s="375"/>
      <c r="CTQ46" s="375"/>
      <c r="CTR46" s="375"/>
      <c r="CTS46" s="375"/>
      <c r="CTT46" s="375"/>
      <c r="CTU46" s="375"/>
      <c r="CTV46" s="375"/>
      <c r="CTW46" s="375"/>
      <c r="CTX46" s="375"/>
      <c r="CTY46" s="375"/>
      <c r="CTZ46" s="375"/>
      <c r="CUA46" s="375"/>
      <c r="CUB46" s="375"/>
      <c r="CUC46" s="375"/>
      <c r="CUD46" s="375"/>
      <c r="CUE46" s="375"/>
      <c r="CUF46" s="375"/>
      <c r="CUG46" s="375"/>
      <c r="CUH46" s="375"/>
      <c r="CUI46" s="375"/>
      <c r="CUJ46" s="375"/>
      <c r="CUK46" s="375"/>
      <c r="CUL46" s="375"/>
      <c r="CUM46" s="375"/>
      <c r="CUN46" s="375"/>
      <c r="CUO46" s="375"/>
      <c r="CUP46" s="375"/>
      <c r="CUQ46" s="375"/>
      <c r="CUR46" s="375"/>
      <c r="CUS46" s="375"/>
      <c r="CUT46" s="375"/>
      <c r="CUU46" s="375"/>
      <c r="CUV46" s="375"/>
      <c r="CUW46" s="375"/>
      <c r="CUX46" s="375"/>
      <c r="CUY46" s="375"/>
      <c r="CUZ46" s="375"/>
      <c r="CVA46" s="375"/>
      <c r="CVB46" s="375"/>
      <c r="CVC46" s="375"/>
      <c r="CVD46" s="375"/>
      <c r="CVE46" s="375"/>
      <c r="CVF46" s="375"/>
      <c r="CVG46" s="375"/>
      <c r="CVH46" s="375"/>
      <c r="CVI46" s="375"/>
      <c r="CVJ46" s="375"/>
      <c r="CVK46" s="375"/>
      <c r="CVL46" s="375"/>
      <c r="CVM46" s="375"/>
      <c r="CVN46" s="375"/>
      <c r="CVO46" s="375"/>
      <c r="CVP46" s="375"/>
      <c r="CVQ46" s="375"/>
      <c r="CVR46" s="375"/>
      <c r="CVS46" s="375"/>
      <c r="CVT46" s="375"/>
      <c r="CVU46" s="375"/>
      <c r="CVV46" s="375"/>
      <c r="CVW46" s="375"/>
      <c r="CVX46" s="375"/>
      <c r="CVY46" s="375"/>
      <c r="CVZ46" s="375"/>
      <c r="CWA46" s="375"/>
      <c r="CWB46" s="375"/>
      <c r="CWC46" s="375"/>
      <c r="CWD46" s="375"/>
      <c r="CWE46" s="375"/>
      <c r="CWF46" s="375"/>
      <c r="CWG46" s="375"/>
      <c r="CWH46" s="375"/>
      <c r="CWI46" s="375"/>
      <c r="CWJ46" s="375"/>
      <c r="CWK46" s="375"/>
      <c r="CWL46" s="375"/>
      <c r="CWM46" s="375"/>
      <c r="CWN46" s="375"/>
      <c r="CWO46" s="375"/>
      <c r="CWP46" s="375"/>
      <c r="CWQ46" s="375"/>
      <c r="CWR46" s="375"/>
      <c r="CWS46" s="375"/>
      <c r="CWT46" s="375"/>
      <c r="CWU46" s="375"/>
      <c r="CWV46" s="375"/>
      <c r="CWW46" s="375"/>
      <c r="CWX46" s="375"/>
      <c r="CWY46" s="375"/>
      <c r="CWZ46" s="375"/>
      <c r="CXA46" s="375"/>
      <c r="CXB46" s="375"/>
      <c r="CXC46" s="375"/>
      <c r="CXD46" s="375"/>
      <c r="CXE46" s="375"/>
      <c r="CXF46" s="375"/>
      <c r="CXG46" s="375"/>
      <c r="CXH46" s="375"/>
      <c r="CXI46" s="375"/>
      <c r="CXJ46" s="375"/>
      <c r="CXK46" s="375"/>
      <c r="CXL46" s="375"/>
      <c r="CXM46" s="375"/>
      <c r="CXN46" s="375"/>
      <c r="CXO46" s="375"/>
      <c r="CXP46" s="375"/>
      <c r="CXQ46" s="375"/>
      <c r="CXR46" s="375"/>
      <c r="CXS46" s="375"/>
      <c r="CXT46" s="375"/>
      <c r="CXU46" s="375"/>
      <c r="CXV46" s="375"/>
      <c r="CXW46" s="375"/>
      <c r="CXX46" s="375"/>
      <c r="CXY46" s="375"/>
      <c r="CXZ46" s="375"/>
      <c r="CYA46" s="375"/>
      <c r="CYB46" s="375"/>
      <c r="CYC46" s="375"/>
      <c r="CYD46" s="375"/>
      <c r="CYE46" s="375"/>
      <c r="CYF46" s="375"/>
      <c r="CYG46" s="375"/>
      <c r="CYH46" s="375"/>
      <c r="CYI46" s="375"/>
      <c r="CYJ46" s="375"/>
      <c r="CYK46" s="375"/>
      <c r="CYL46" s="375"/>
      <c r="CYM46" s="375"/>
      <c r="CYN46" s="375"/>
      <c r="CYO46" s="375"/>
      <c r="CYP46" s="375"/>
      <c r="CYQ46" s="375"/>
      <c r="CYR46" s="375"/>
      <c r="CYS46" s="375"/>
      <c r="CYT46" s="375"/>
      <c r="CYU46" s="375"/>
      <c r="CYV46" s="375"/>
      <c r="CYW46" s="375"/>
      <c r="CYX46" s="375"/>
      <c r="CYY46" s="375"/>
      <c r="CYZ46" s="375"/>
      <c r="CZA46" s="375"/>
      <c r="CZB46" s="375"/>
      <c r="CZC46" s="375"/>
      <c r="CZD46" s="375"/>
      <c r="CZE46" s="375"/>
      <c r="CZF46" s="375"/>
      <c r="CZG46" s="375"/>
      <c r="CZH46" s="375"/>
      <c r="CZI46" s="375"/>
      <c r="CZJ46" s="375"/>
      <c r="CZK46" s="375"/>
      <c r="CZL46" s="375"/>
      <c r="CZM46" s="375"/>
      <c r="CZN46" s="375"/>
      <c r="CZO46" s="375"/>
      <c r="CZP46" s="375"/>
      <c r="CZQ46" s="375"/>
      <c r="CZR46" s="375"/>
      <c r="CZS46" s="375"/>
      <c r="CZT46" s="375"/>
      <c r="CZU46" s="375"/>
      <c r="CZV46" s="375"/>
      <c r="CZW46" s="375"/>
      <c r="CZX46" s="375"/>
      <c r="CZY46" s="375"/>
      <c r="CZZ46" s="375"/>
      <c r="DAA46" s="375"/>
      <c r="DAB46" s="375"/>
      <c r="DAC46" s="375"/>
      <c r="DAD46" s="375"/>
      <c r="DAE46" s="375"/>
      <c r="DAF46" s="375"/>
      <c r="DAG46" s="375"/>
      <c r="DAH46" s="375"/>
      <c r="DAI46" s="375"/>
      <c r="DAJ46" s="375"/>
      <c r="DAK46" s="375"/>
      <c r="DAL46" s="375"/>
      <c r="DAM46" s="375"/>
      <c r="DAN46" s="375"/>
      <c r="DAO46" s="375"/>
      <c r="DAP46" s="375"/>
      <c r="DAQ46" s="375"/>
      <c r="DAR46" s="375"/>
      <c r="DAS46" s="375"/>
      <c r="DAT46" s="375"/>
      <c r="DAU46" s="375"/>
      <c r="DAV46" s="375"/>
      <c r="DAW46" s="375"/>
      <c r="DAX46" s="375"/>
      <c r="DAY46" s="375"/>
      <c r="DAZ46" s="375"/>
      <c r="DBA46" s="375"/>
      <c r="DBB46" s="375"/>
      <c r="DBC46" s="375"/>
      <c r="DBD46" s="375"/>
      <c r="DBE46" s="375"/>
      <c r="DBF46" s="375"/>
      <c r="DBG46" s="375"/>
      <c r="DBH46" s="375"/>
      <c r="DBI46" s="375"/>
      <c r="DBJ46" s="375"/>
      <c r="DBK46" s="375"/>
      <c r="DBL46" s="375"/>
      <c r="DBM46" s="375"/>
      <c r="DBN46" s="375"/>
      <c r="DBO46" s="375"/>
      <c r="DBP46" s="375"/>
      <c r="DBQ46" s="375"/>
      <c r="DBR46" s="375"/>
      <c r="DBS46" s="375"/>
      <c r="DBT46" s="375"/>
      <c r="DBU46" s="375"/>
      <c r="DBV46" s="375"/>
      <c r="DBW46" s="375"/>
      <c r="DBX46" s="375"/>
      <c r="DBY46" s="375"/>
      <c r="DBZ46" s="375"/>
      <c r="DCA46" s="375"/>
      <c r="DCB46" s="375"/>
      <c r="DCC46" s="375"/>
      <c r="DCD46" s="375"/>
      <c r="DCE46" s="375"/>
      <c r="DCF46" s="375"/>
      <c r="DCG46" s="375"/>
      <c r="DCH46" s="375"/>
      <c r="DCI46" s="375"/>
      <c r="DCJ46" s="375"/>
      <c r="DCK46" s="375"/>
      <c r="DCL46" s="375"/>
      <c r="DCM46" s="375"/>
      <c r="DCN46" s="375"/>
      <c r="DCO46" s="375"/>
      <c r="DCP46" s="375"/>
      <c r="DCQ46" s="375"/>
      <c r="DCR46" s="375"/>
      <c r="DCS46" s="375"/>
      <c r="DCT46" s="375"/>
      <c r="DCU46" s="375"/>
      <c r="DCV46" s="375"/>
      <c r="DCW46" s="375"/>
      <c r="DCX46" s="375"/>
      <c r="DCY46" s="375"/>
      <c r="DCZ46" s="375"/>
      <c r="DDA46" s="375"/>
      <c r="DDB46" s="375"/>
      <c r="DDC46" s="375"/>
      <c r="DDD46" s="375"/>
      <c r="DDE46" s="375"/>
      <c r="DDF46" s="375"/>
      <c r="DDG46" s="375"/>
      <c r="DDH46" s="375"/>
      <c r="DDI46" s="375"/>
      <c r="DDJ46" s="375"/>
      <c r="DDK46" s="375"/>
      <c r="DDL46" s="375"/>
      <c r="DDM46" s="375"/>
      <c r="DDN46" s="375"/>
      <c r="DDO46" s="375"/>
      <c r="DDP46" s="375"/>
      <c r="DDQ46" s="375"/>
      <c r="DDR46" s="375"/>
      <c r="DDS46" s="375"/>
      <c r="DDT46" s="375"/>
      <c r="DDU46" s="375"/>
      <c r="DDV46" s="375"/>
      <c r="DDW46" s="375"/>
      <c r="DDX46" s="375"/>
      <c r="DDY46" s="375"/>
      <c r="DDZ46" s="375"/>
      <c r="DEA46" s="375"/>
      <c r="DEB46" s="375"/>
      <c r="DEC46" s="375"/>
      <c r="DED46" s="375"/>
      <c r="DEE46" s="375"/>
      <c r="DEF46" s="375"/>
      <c r="DEG46" s="375"/>
      <c r="DEH46" s="375"/>
      <c r="DEI46" s="375"/>
      <c r="DEJ46" s="375"/>
      <c r="DEK46" s="375"/>
      <c r="DEL46" s="375"/>
      <c r="DEM46" s="375"/>
      <c r="DEN46" s="375"/>
      <c r="DEO46" s="375"/>
      <c r="DEP46" s="375"/>
      <c r="DEQ46" s="375"/>
      <c r="DER46" s="375"/>
      <c r="DES46" s="375"/>
      <c r="DET46" s="375"/>
      <c r="DEU46" s="375"/>
      <c r="DEV46" s="375"/>
      <c r="DEW46" s="375"/>
      <c r="DEX46" s="375"/>
      <c r="DEY46" s="375"/>
      <c r="DEZ46" s="375"/>
      <c r="DFA46" s="375"/>
      <c r="DFB46" s="375"/>
      <c r="DFC46" s="375"/>
      <c r="DFD46" s="375"/>
      <c r="DFE46" s="375"/>
      <c r="DFF46" s="375"/>
      <c r="DFG46" s="375"/>
      <c r="DFH46" s="375"/>
      <c r="DFI46" s="375"/>
      <c r="DFJ46" s="375"/>
      <c r="DFK46" s="375"/>
      <c r="DFL46" s="375"/>
      <c r="DFM46" s="375"/>
      <c r="DFN46" s="375"/>
      <c r="DFO46" s="375"/>
      <c r="DFP46" s="375"/>
      <c r="DFQ46" s="375"/>
      <c r="DFR46" s="375"/>
      <c r="DFS46" s="375"/>
      <c r="DFT46" s="375"/>
      <c r="DFU46" s="375"/>
      <c r="DFV46" s="375"/>
      <c r="DFW46" s="375"/>
      <c r="DFX46" s="375"/>
      <c r="DFY46" s="375"/>
      <c r="DFZ46" s="375"/>
      <c r="DGA46" s="375"/>
      <c r="DGB46" s="375"/>
      <c r="DGC46" s="375"/>
      <c r="DGD46" s="375"/>
      <c r="DGE46" s="375"/>
      <c r="DGF46" s="375"/>
      <c r="DGG46" s="375"/>
      <c r="DGH46" s="375"/>
      <c r="DGI46" s="375"/>
      <c r="DGJ46" s="375"/>
      <c r="DGK46" s="375"/>
      <c r="DGL46" s="375"/>
      <c r="DGM46" s="375"/>
      <c r="DGN46" s="375"/>
      <c r="DGO46" s="375"/>
      <c r="DGP46" s="375"/>
      <c r="DGQ46" s="375"/>
      <c r="DGR46" s="375"/>
      <c r="DGS46" s="375"/>
      <c r="DGT46" s="375"/>
      <c r="DGU46" s="375"/>
      <c r="DGV46" s="375"/>
      <c r="DGW46" s="375"/>
      <c r="DGX46" s="375"/>
      <c r="DGY46" s="375"/>
      <c r="DGZ46" s="375"/>
      <c r="DHA46" s="375"/>
      <c r="DHB46" s="375"/>
      <c r="DHC46" s="375"/>
      <c r="DHD46" s="375"/>
      <c r="DHE46" s="375"/>
      <c r="DHF46" s="375"/>
      <c r="DHG46" s="375"/>
      <c r="DHH46" s="375"/>
      <c r="DHI46" s="375"/>
      <c r="DHJ46" s="375"/>
      <c r="DHK46" s="375"/>
      <c r="DHL46" s="375"/>
      <c r="DHM46" s="375"/>
      <c r="DHN46" s="375"/>
      <c r="DHO46" s="375"/>
      <c r="DHP46" s="375"/>
      <c r="DHQ46" s="375"/>
      <c r="DHR46" s="375"/>
      <c r="DHS46" s="375"/>
      <c r="DHT46" s="375"/>
      <c r="DHU46" s="375"/>
      <c r="DHV46" s="375"/>
      <c r="DHW46" s="375"/>
      <c r="DHX46" s="375"/>
      <c r="DHY46" s="375"/>
      <c r="DHZ46" s="375"/>
      <c r="DIA46" s="375"/>
      <c r="DIB46" s="375"/>
      <c r="DIC46" s="375"/>
      <c r="DID46" s="375"/>
      <c r="DIE46" s="375"/>
      <c r="DIF46" s="375"/>
      <c r="DIG46" s="375"/>
      <c r="DIH46" s="375"/>
      <c r="DII46" s="375"/>
      <c r="DIJ46" s="375"/>
      <c r="DIK46" s="375"/>
      <c r="DIL46" s="375"/>
      <c r="DIM46" s="375"/>
      <c r="DIN46" s="375"/>
      <c r="DIO46" s="375"/>
      <c r="DIP46" s="375"/>
      <c r="DIQ46" s="375"/>
      <c r="DIR46" s="375"/>
      <c r="DIS46" s="375"/>
      <c r="DIT46" s="375"/>
      <c r="DIU46" s="375"/>
      <c r="DIV46" s="375"/>
      <c r="DIW46" s="375"/>
      <c r="DIX46" s="375"/>
      <c r="DIY46" s="375"/>
      <c r="DIZ46" s="375"/>
      <c r="DJA46" s="375"/>
      <c r="DJB46" s="375"/>
      <c r="DJC46" s="375"/>
      <c r="DJD46" s="375"/>
      <c r="DJE46" s="375"/>
      <c r="DJF46" s="375"/>
      <c r="DJG46" s="375"/>
      <c r="DJH46" s="375"/>
      <c r="DJI46" s="375"/>
      <c r="DJJ46" s="375"/>
      <c r="DJK46" s="375"/>
      <c r="DJL46" s="375"/>
      <c r="DJM46" s="375"/>
      <c r="DJN46" s="375"/>
      <c r="DJO46" s="375"/>
      <c r="DJP46" s="375"/>
      <c r="DJQ46" s="375"/>
      <c r="DJR46" s="375"/>
      <c r="DJS46" s="375"/>
      <c r="DJT46" s="375"/>
      <c r="DJU46" s="375"/>
      <c r="DJV46" s="375"/>
      <c r="DJW46" s="375"/>
      <c r="DJX46" s="375"/>
      <c r="DJY46" s="375"/>
      <c r="DJZ46" s="375"/>
      <c r="DKA46" s="375"/>
      <c r="DKB46" s="375"/>
      <c r="DKC46" s="375"/>
      <c r="DKD46" s="375"/>
      <c r="DKE46" s="375"/>
      <c r="DKF46" s="375"/>
      <c r="DKG46" s="375"/>
      <c r="DKH46" s="375"/>
      <c r="DKI46" s="375"/>
      <c r="DKJ46" s="375"/>
      <c r="DKK46" s="375"/>
      <c r="DKL46" s="375"/>
      <c r="DKM46" s="375"/>
      <c r="DKN46" s="375"/>
      <c r="DKO46" s="375"/>
      <c r="DKP46" s="375"/>
      <c r="DKQ46" s="375"/>
      <c r="DKR46" s="375"/>
      <c r="DKS46" s="375"/>
      <c r="DKT46" s="375"/>
      <c r="DKU46" s="375"/>
      <c r="DKV46" s="375"/>
      <c r="DKW46" s="375"/>
      <c r="DKX46" s="375"/>
      <c r="DKY46" s="375"/>
      <c r="DKZ46" s="375"/>
      <c r="DLA46" s="375"/>
      <c r="DLB46" s="375"/>
      <c r="DLC46" s="375"/>
      <c r="DLD46" s="375"/>
      <c r="DLE46" s="375"/>
      <c r="DLF46" s="375"/>
      <c r="DLG46" s="375"/>
      <c r="DLH46" s="375"/>
      <c r="DLI46" s="375"/>
      <c r="DLJ46" s="375"/>
      <c r="DLK46" s="375"/>
      <c r="DLL46" s="375"/>
      <c r="DLM46" s="375"/>
      <c r="DLN46" s="375"/>
      <c r="DLO46" s="375"/>
      <c r="DLP46" s="375"/>
      <c r="DLQ46" s="375"/>
      <c r="DLR46" s="375"/>
      <c r="DLS46" s="375"/>
      <c r="DLT46" s="375"/>
      <c r="DLU46" s="375"/>
      <c r="DLV46" s="375"/>
      <c r="DLW46" s="375"/>
      <c r="DLX46" s="375"/>
      <c r="DLY46" s="375"/>
      <c r="DLZ46" s="375"/>
      <c r="DMA46" s="375"/>
      <c r="DMB46" s="375"/>
      <c r="DMC46" s="375"/>
      <c r="DMD46" s="375"/>
      <c r="DME46" s="375"/>
      <c r="DMF46" s="375"/>
      <c r="DMG46" s="375"/>
      <c r="DMH46" s="375"/>
      <c r="DMI46" s="375"/>
      <c r="DMJ46" s="375"/>
      <c r="DMK46" s="375"/>
      <c r="DML46" s="375"/>
      <c r="DMM46" s="375"/>
      <c r="DMN46" s="375"/>
      <c r="DMO46" s="375"/>
      <c r="DMP46" s="375"/>
      <c r="DMQ46" s="375"/>
      <c r="DMR46" s="375"/>
      <c r="DMS46" s="375"/>
      <c r="DMT46" s="375"/>
      <c r="DMU46" s="375"/>
      <c r="DMV46" s="375"/>
      <c r="DMW46" s="375"/>
      <c r="DMX46" s="375"/>
      <c r="DMY46" s="375"/>
      <c r="DMZ46" s="375"/>
      <c r="DNA46" s="375"/>
      <c r="DNB46" s="375"/>
      <c r="DNC46" s="375"/>
      <c r="DND46" s="375"/>
      <c r="DNE46" s="375"/>
      <c r="DNF46" s="375"/>
      <c r="DNG46" s="375"/>
      <c r="DNH46" s="375"/>
      <c r="DNI46" s="375"/>
      <c r="DNJ46" s="375"/>
      <c r="DNK46" s="375"/>
      <c r="DNL46" s="375"/>
      <c r="DNM46" s="375"/>
      <c r="DNN46" s="375"/>
      <c r="DNO46" s="375"/>
      <c r="DNP46" s="375"/>
      <c r="DNQ46" s="375"/>
      <c r="DNR46" s="375"/>
      <c r="DNS46" s="375"/>
      <c r="DNT46" s="375"/>
      <c r="DNU46" s="375"/>
      <c r="DNV46" s="375"/>
      <c r="DNW46" s="375"/>
      <c r="DNX46" s="375"/>
      <c r="DNY46" s="375"/>
      <c r="DNZ46" s="375"/>
      <c r="DOA46" s="375"/>
      <c r="DOB46" s="375"/>
      <c r="DOC46" s="375"/>
      <c r="DOD46" s="375"/>
      <c r="DOE46" s="375"/>
      <c r="DOF46" s="375"/>
      <c r="DOG46" s="375"/>
      <c r="DOH46" s="375"/>
      <c r="DOI46" s="375"/>
      <c r="DOJ46" s="375"/>
      <c r="DOK46" s="375"/>
      <c r="DOL46" s="375"/>
      <c r="DOM46" s="375"/>
      <c r="DON46" s="375"/>
      <c r="DOO46" s="375"/>
      <c r="DOP46" s="375"/>
      <c r="DOQ46" s="375"/>
      <c r="DOR46" s="375"/>
      <c r="DOS46" s="375"/>
      <c r="DOT46" s="375"/>
      <c r="DOU46" s="375"/>
      <c r="DOV46" s="375"/>
      <c r="DOW46" s="375"/>
      <c r="DOX46" s="375"/>
      <c r="DOY46" s="375"/>
      <c r="DOZ46" s="375"/>
      <c r="DPA46" s="375"/>
      <c r="DPB46" s="375"/>
      <c r="DPC46" s="375"/>
      <c r="DPD46" s="375"/>
      <c r="DPE46" s="375"/>
      <c r="DPF46" s="375"/>
      <c r="DPG46" s="375"/>
      <c r="DPH46" s="375"/>
      <c r="DPI46" s="375"/>
      <c r="DPJ46" s="375"/>
      <c r="DPK46" s="375"/>
      <c r="DPL46" s="375"/>
      <c r="DPM46" s="375"/>
      <c r="DPN46" s="375"/>
      <c r="DPO46" s="375"/>
      <c r="DPP46" s="375"/>
      <c r="DPQ46" s="375"/>
      <c r="DPR46" s="375"/>
      <c r="DPS46" s="375"/>
      <c r="DPT46" s="375"/>
      <c r="DPU46" s="375"/>
      <c r="DPV46" s="375"/>
      <c r="DPW46" s="375"/>
      <c r="DPX46" s="375"/>
      <c r="DPY46" s="375"/>
      <c r="DPZ46" s="375"/>
      <c r="DQA46" s="375"/>
      <c r="DQB46" s="375"/>
      <c r="DQC46" s="375"/>
      <c r="DQD46" s="375"/>
      <c r="DQE46" s="375"/>
      <c r="DQF46" s="375"/>
      <c r="DQG46" s="375"/>
      <c r="DQH46" s="375"/>
      <c r="DQI46" s="375"/>
      <c r="DQJ46" s="375"/>
      <c r="DQK46" s="375"/>
      <c r="DQL46" s="375"/>
      <c r="DQM46" s="375"/>
      <c r="DQN46" s="375"/>
      <c r="DQO46" s="375"/>
      <c r="DQP46" s="375"/>
      <c r="DQQ46" s="375"/>
      <c r="DQR46" s="375"/>
      <c r="DQS46" s="375"/>
      <c r="DQT46" s="375"/>
      <c r="DQU46" s="375"/>
      <c r="DQV46" s="375"/>
      <c r="DQW46" s="375"/>
      <c r="DQX46" s="375"/>
      <c r="DQY46" s="375"/>
      <c r="DQZ46" s="375"/>
      <c r="DRA46" s="375"/>
      <c r="DRB46" s="375"/>
      <c r="DRC46" s="375"/>
      <c r="DRD46" s="375"/>
      <c r="DRE46" s="375"/>
      <c r="DRF46" s="375"/>
      <c r="DRG46" s="375"/>
      <c r="DRH46" s="375"/>
      <c r="DRI46" s="375"/>
      <c r="DRJ46" s="375"/>
      <c r="DRK46" s="375"/>
      <c r="DRL46" s="375"/>
      <c r="DRM46" s="375"/>
      <c r="DRN46" s="375"/>
      <c r="DRO46" s="375"/>
      <c r="DRP46" s="375"/>
      <c r="DRQ46" s="375"/>
      <c r="DRR46" s="375"/>
      <c r="DRS46" s="375"/>
      <c r="DRT46" s="375"/>
      <c r="DRU46" s="375"/>
      <c r="DRV46" s="375"/>
      <c r="DRW46" s="375"/>
      <c r="DRX46" s="375"/>
      <c r="DRY46" s="375"/>
      <c r="DRZ46" s="375"/>
      <c r="DSA46" s="375"/>
      <c r="DSB46" s="375"/>
      <c r="DSC46" s="375"/>
      <c r="DSD46" s="375"/>
      <c r="DSE46" s="375"/>
      <c r="DSF46" s="375"/>
      <c r="DSG46" s="375"/>
      <c r="DSH46" s="375"/>
      <c r="DSI46" s="375"/>
      <c r="DSJ46" s="375"/>
      <c r="DSK46" s="375"/>
      <c r="DSL46" s="375"/>
      <c r="DSM46" s="375"/>
      <c r="DSN46" s="375"/>
      <c r="DSO46" s="375"/>
      <c r="DSP46" s="375"/>
      <c r="DSQ46" s="375"/>
      <c r="DSR46" s="375"/>
      <c r="DSS46" s="375"/>
      <c r="DST46" s="375"/>
      <c r="DSU46" s="375"/>
      <c r="DSV46" s="375"/>
      <c r="DSW46" s="375"/>
      <c r="DSX46" s="375"/>
      <c r="DSY46" s="375"/>
      <c r="DSZ46" s="375"/>
      <c r="DTA46" s="375"/>
      <c r="DTB46" s="375"/>
      <c r="DTC46" s="375"/>
      <c r="DTD46" s="375"/>
      <c r="DTE46" s="375"/>
      <c r="DTF46" s="375"/>
      <c r="DTG46" s="375"/>
      <c r="DTH46" s="375"/>
      <c r="DTI46" s="375"/>
      <c r="DTJ46" s="375"/>
      <c r="DTK46" s="375"/>
      <c r="DTL46" s="375"/>
      <c r="DTM46" s="375"/>
      <c r="DTN46" s="375"/>
      <c r="DTO46" s="375"/>
      <c r="DTP46" s="375"/>
      <c r="DTQ46" s="375"/>
      <c r="DTR46" s="375"/>
      <c r="DTS46" s="375"/>
      <c r="DTT46" s="375"/>
      <c r="DTU46" s="375"/>
      <c r="DTV46" s="375"/>
      <c r="DTW46" s="375"/>
      <c r="DTX46" s="375"/>
      <c r="DTY46" s="375"/>
      <c r="DTZ46" s="375"/>
      <c r="DUA46" s="375"/>
      <c r="DUB46" s="375"/>
      <c r="DUC46" s="375"/>
      <c r="DUD46" s="375"/>
      <c r="DUE46" s="375"/>
      <c r="DUF46" s="375"/>
      <c r="DUG46" s="375"/>
      <c r="DUH46" s="375"/>
      <c r="DUI46" s="375"/>
      <c r="DUJ46" s="375"/>
      <c r="DUK46" s="375"/>
      <c r="DUL46" s="375"/>
      <c r="DUM46" s="375"/>
      <c r="DUN46" s="375"/>
      <c r="DUO46" s="375"/>
      <c r="DUP46" s="375"/>
      <c r="DUQ46" s="375"/>
      <c r="DUR46" s="375"/>
      <c r="DUS46" s="375"/>
      <c r="DUT46" s="375"/>
      <c r="DUU46" s="375"/>
      <c r="DUV46" s="375"/>
      <c r="DUW46" s="375"/>
      <c r="DUX46" s="375"/>
      <c r="DUY46" s="375"/>
      <c r="DUZ46" s="375"/>
      <c r="DVA46" s="375"/>
      <c r="DVB46" s="375"/>
      <c r="DVC46" s="375"/>
      <c r="DVD46" s="375"/>
      <c r="DVE46" s="375"/>
      <c r="DVF46" s="375"/>
      <c r="DVG46" s="375"/>
      <c r="DVH46" s="375"/>
      <c r="DVI46" s="375"/>
      <c r="DVJ46" s="375"/>
      <c r="DVK46" s="375"/>
      <c r="DVL46" s="375"/>
      <c r="DVM46" s="375"/>
      <c r="DVN46" s="375"/>
      <c r="DVO46" s="375"/>
      <c r="DVP46" s="375"/>
      <c r="DVQ46" s="375"/>
      <c r="DVR46" s="375"/>
      <c r="DVS46" s="375"/>
      <c r="DVT46" s="375"/>
      <c r="DVU46" s="375"/>
      <c r="DVV46" s="375"/>
      <c r="DVW46" s="375"/>
      <c r="DVX46" s="375"/>
      <c r="DVY46" s="375"/>
      <c r="DVZ46" s="375"/>
      <c r="DWA46" s="375"/>
      <c r="DWB46" s="375"/>
      <c r="DWC46" s="375"/>
      <c r="DWD46" s="375"/>
      <c r="DWE46" s="375"/>
      <c r="DWF46" s="375"/>
      <c r="DWG46" s="375"/>
      <c r="DWH46" s="375"/>
      <c r="DWI46" s="375"/>
      <c r="DWJ46" s="375"/>
      <c r="DWK46" s="375"/>
      <c r="DWL46" s="375"/>
      <c r="DWM46" s="375"/>
      <c r="DWN46" s="375"/>
      <c r="DWO46" s="375"/>
      <c r="DWP46" s="375"/>
      <c r="DWQ46" s="375"/>
      <c r="DWR46" s="375"/>
      <c r="DWS46" s="375"/>
      <c r="DWT46" s="375"/>
      <c r="DWU46" s="375"/>
      <c r="DWV46" s="375"/>
      <c r="DWW46" s="375"/>
      <c r="DWX46" s="375"/>
      <c r="DWY46" s="375"/>
      <c r="DWZ46" s="375"/>
      <c r="DXA46" s="375"/>
      <c r="DXB46" s="375"/>
      <c r="DXC46" s="375"/>
      <c r="DXD46" s="375"/>
      <c r="DXE46" s="375"/>
      <c r="DXF46" s="375"/>
      <c r="DXG46" s="375"/>
      <c r="DXH46" s="375"/>
      <c r="DXI46" s="375"/>
      <c r="DXJ46" s="375"/>
      <c r="DXK46" s="375"/>
      <c r="DXL46" s="375"/>
      <c r="DXM46" s="375"/>
      <c r="DXN46" s="375"/>
      <c r="DXO46" s="375"/>
      <c r="DXP46" s="375"/>
      <c r="DXQ46" s="375"/>
      <c r="DXR46" s="375"/>
      <c r="DXS46" s="375"/>
      <c r="DXT46" s="375"/>
      <c r="DXU46" s="375"/>
      <c r="DXV46" s="375"/>
      <c r="DXW46" s="375"/>
      <c r="DXX46" s="375"/>
      <c r="DXY46" s="375"/>
      <c r="DXZ46" s="375"/>
      <c r="DYA46" s="375"/>
      <c r="DYB46" s="375"/>
      <c r="DYC46" s="375"/>
      <c r="DYD46" s="375"/>
      <c r="DYE46" s="375"/>
      <c r="DYF46" s="375"/>
      <c r="DYG46" s="375"/>
      <c r="DYH46" s="375"/>
      <c r="DYI46" s="375"/>
      <c r="DYJ46" s="375"/>
      <c r="DYK46" s="375"/>
      <c r="DYL46" s="375"/>
      <c r="DYM46" s="375"/>
      <c r="DYN46" s="375"/>
      <c r="DYO46" s="375"/>
      <c r="DYP46" s="375"/>
      <c r="DYQ46" s="375"/>
      <c r="DYR46" s="375"/>
      <c r="DYS46" s="375"/>
      <c r="DYT46" s="375"/>
      <c r="DYU46" s="375"/>
      <c r="DYV46" s="375"/>
      <c r="DYW46" s="375"/>
      <c r="DYX46" s="375"/>
      <c r="DYY46" s="375"/>
      <c r="DYZ46" s="375"/>
      <c r="DZA46" s="375"/>
      <c r="DZB46" s="375"/>
      <c r="DZC46" s="375"/>
      <c r="DZD46" s="375"/>
      <c r="DZE46" s="375"/>
      <c r="DZF46" s="375"/>
      <c r="DZG46" s="375"/>
      <c r="DZH46" s="375"/>
      <c r="DZI46" s="375"/>
      <c r="DZJ46" s="375"/>
      <c r="DZK46" s="375"/>
      <c r="DZL46" s="375"/>
      <c r="DZM46" s="375"/>
      <c r="DZN46" s="375"/>
      <c r="DZO46" s="375"/>
      <c r="DZP46" s="375"/>
      <c r="DZQ46" s="375"/>
      <c r="DZR46" s="375"/>
      <c r="DZS46" s="375"/>
      <c r="DZT46" s="375"/>
      <c r="DZU46" s="375"/>
      <c r="DZV46" s="375"/>
      <c r="DZW46" s="375"/>
      <c r="DZX46" s="375"/>
      <c r="DZY46" s="375"/>
      <c r="DZZ46" s="375"/>
      <c r="EAA46" s="375"/>
      <c r="EAB46" s="375"/>
      <c r="EAC46" s="375"/>
      <c r="EAD46" s="375"/>
      <c r="EAE46" s="375"/>
      <c r="EAF46" s="375"/>
      <c r="EAG46" s="375"/>
      <c r="EAH46" s="375"/>
      <c r="EAI46" s="375"/>
      <c r="EAJ46" s="375"/>
      <c r="EAK46" s="375"/>
      <c r="EAL46" s="375"/>
      <c r="EAM46" s="375"/>
      <c r="EAN46" s="375"/>
      <c r="EAO46" s="375"/>
      <c r="EAP46" s="375"/>
      <c r="EAQ46" s="375"/>
      <c r="EAR46" s="375"/>
      <c r="EAS46" s="375"/>
      <c r="EAT46" s="375"/>
      <c r="EAU46" s="375"/>
      <c r="EAV46" s="375"/>
      <c r="EAW46" s="375"/>
      <c r="EAX46" s="375"/>
      <c r="EAY46" s="375"/>
      <c r="EAZ46" s="375"/>
      <c r="EBA46" s="375"/>
      <c r="EBB46" s="375"/>
      <c r="EBC46" s="375"/>
      <c r="EBD46" s="375"/>
      <c r="EBE46" s="375"/>
      <c r="EBF46" s="375"/>
      <c r="EBG46" s="375"/>
      <c r="EBH46" s="375"/>
      <c r="EBI46" s="375"/>
      <c r="EBJ46" s="375"/>
      <c r="EBK46" s="375"/>
      <c r="EBL46" s="375"/>
      <c r="EBM46" s="375"/>
      <c r="EBN46" s="375"/>
      <c r="EBO46" s="375"/>
      <c r="EBP46" s="375"/>
      <c r="EBQ46" s="375"/>
      <c r="EBR46" s="375"/>
      <c r="EBS46" s="375"/>
      <c r="EBT46" s="375"/>
      <c r="EBU46" s="375"/>
      <c r="EBV46" s="375"/>
      <c r="EBW46" s="375"/>
      <c r="EBX46" s="375"/>
      <c r="EBY46" s="375"/>
      <c r="EBZ46" s="375"/>
      <c r="ECA46" s="375"/>
      <c r="ECB46" s="375"/>
      <c r="ECC46" s="375"/>
      <c r="ECD46" s="375"/>
      <c r="ECE46" s="375"/>
      <c r="ECF46" s="375"/>
      <c r="ECG46" s="375"/>
      <c r="ECH46" s="375"/>
      <c r="ECI46" s="375"/>
      <c r="ECJ46" s="375"/>
      <c r="ECK46" s="375"/>
      <c r="ECL46" s="375"/>
      <c r="ECM46" s="375"/>
      <c r="ECN46" s="375"/>
      <c r="ECO46" s="375"/>
      <c r="ECP46" s="375"/>
      <c r="ECQ46" s="375"/>
      <c r="ECR46" s="375"/>
      <c r="ECS46" s="375"/>
      <c r="ECT46" s="375"/>
      <c r="ECU46" s="375"/>
      <c r="ECV46" s="375"/>
      <c r="ECW46" s="375"/>
      <c r="ECX46" s="375"/>
      <c r="ECY46" s="375"/>
      <c r="ECZ46" s="375"/>
      <c r="EDA46" s="375"/>
      <c r="EDB46" s="375"/>
      <c r="EDC46" s="375"/>
      <c r="EDD46" s="375"/>
      <c r="EDE46" s="375"/>
      <c r="EDF46" s="375"/>
      <c r="EDG46" s="375"/>
      <c r="EDH46" s="375"/>
      <c r="EDI46" s="375"/>
      <c r="EDJ46" s="375"/>
      <c r="EDK46" s="375"/>
      <c r="EDL46" s="375"/>
      <c r="EDM46" s="375"/>
      <c r="EDN46" s="375"/>
      <c r="EDO46" s="375"/>
      <c r="EDP46" s="375"/>
      <c r="EDQ46" s="375"/>
      <c r="EDR46" s="375"/>
      <c r="EDS46" s="375"/>
      <c r="EDT46" s="375"/>
      <c r="EDU46" s="375"/>
      <c r="EDV46" s="375"/>
      <c r="EDW46" s="375"/>
      <c r="EDX46" s="375"/>
      <c r="EDY46" s="375"/>
      <c r="EDZ46" s="375"/>
      <c r="EEA46" s="375"/>
      <c r="EEB46" s="375"/>
      <c r="EEC46" s="375"/>
      <c r="EED46" s="375"/>
      <c r="EEE46" s="375"/>
      <c r="EEF46" s="375"/>
      <c r="EEG46" s="375"/>
      <c r="EEH46" s="375"/>
      <c r="EEI46" s="375"/>
      <c r="EEJ46" s="375"/>
      <c r="EEK46" s="375"/>
      <c r="EEL46" s="375"/>
      <c r="EEM46" s="375"/>
      <c r="EEN46" s="375"/>
      <c r="EEO46" s="375"/>
      <c r="EEP46" s="375"/>
      <c r="EEQ46" s="375"/>
      <c r="EER46" s="375"/>
      <c r="EES46" s="375"/>
      <c r="EET46" s="375"/>
      <c r="EEU46" s="375"/>
      <c r="EEV46" s="375"/>
      <c r="EEW46" s="375"/>
      <c r="EEX46" s="375"/>
      <c r="EEY46" s="375"/>
      <c r="EEZ46" s="375"/>
      <c r="EFA46" s="375"/>
      <c r="EFB46" s="375"/>
      <c r="EFC46" s="375"/>
      <c r="EFD46" s="375"/>
      <c r="EFE46" s="375"/>
      <c r="EFF46" s="375"/>
      <c r="EFG46" s="375"/>
      <c r="EFH46" s="375"/>
      <c r="EFI46" s="375"/>
      <c r="EFJ46" s="375"/>
      <c r="EFK46" s="375"/>
      <c r="EFL46" s="375"/>
      <c r="EFM46" s="375"/>
      <c r="EFN46" s="375"/>
      <c r="EFO46" s="375"/>
      <c r="EFP46" s="375"/>
      <c r="EFQ46" s="375"/>
      <c r="EFR46" s="375"/>
      <c r="EFS46" s="375"/>
      <c r="EFT46" s="375"/>
      <c r="EFU46" s="375"/>
      <c r="EFV46" s="375"/>
      <c r="EFW46" s="375"/>
      <c r="EFX46" s="375"/>
      <c r="EFY46" s="375"/>
      <c r="EFZ46" s="375"/>
      <c r="EGA46" s="375"/>
      <c r="EGB46" s="375"/>
      <c r="EGC46" s="375"/>
      <c r="EGD46" s="375"/>
      <c r="EGE46" s="375"/>
      <c r="EGF46" s="375"/>
      <c r="EGG46" s="375"/>
      <c r="EGH46" s="375"/>
      <c r="EGI46" s="375"/>
      <c r="EGJ46" s="375"/>
      <c r="EGK46" s="375"/>
      <c r="EGL46" s="375"/>
      <c r="EGM46" s="375"/>
      <c r="EGN46" s="375"/>
      <c r="EGO46" s="375"/>
      <c r="EGP46" s="375"/>
      <c r="EGQ46" s="375"/>
      <c r="EGR46" s="375"/>
      <c r="EGS46" s="375"/>
      <c r="EGT46" s="375"/>
      <c r="EGU46" s="375"/>
      <c r="EGV46" s="375"/>
      <c r="EGW46" s="375"/>
      <c r="EGX46" s="375"/>
      <c r="EGY46" s="375"/>
      <c r="EGZ46" s="375"/>
      <c r="EHA46" s="375"/>
      <c r="EHB46" s="375"/>
      <c r="EHC46" s="375"/>
      <c r="EHD46" s="375"/>
      <c r="EHE46" s="375"/>
      <c r="EHF46" s="375"/>
      <c r="EHG46" s="375"/>
      <c r="EHH46" s="375"/>
      <c r="EHI46" s="375"/>
      <c r="EHJ46" s="375"/>
      <c r="EHK46" s="375"/>
      <c r="EHL46" s="375"/>
      <c r="EHM46" s="375"/>
      <c r="EHN46" s="375"/>
      <c r="EHO46" s="375"/>
      <c r="EHP46" s="375"/>
      <c r="EHQ46" s="375"/>
      <c r="EHR46" s="375"/>
      <c r="EHS46" s="375"/>
      <c r="EHT46" s="375"/>
      <c r="EHU46" s="375"/>
      <c r="EHV46" s="375"/>
      <c r="EHW46" s="375"/>
      <c r="EHX46" s="375"/>
      <c r="EHY46" s="375"/>
      <c r="EHZ46" s="375"/>
      <c r="EIA46" s="375"/>
      <c r="EIB46" s="375"/>
      <c r="EIC46" s="375"/>
      <c r="EID46" s="375"/>
      <c r="EIE46" s="375"/>
      <c r="EIF46" s="375"/>
      <c r="EIG46" s="375"/>
      <c r="EIH46" s="375"/>
      <c r="EII46" s="375"/>
      <c r="EIJ46" s="375"/>
      <c r="EIK46" s="375"/>
      <c r="EIL46" s="375"/>
      <c r="EIM46" s="375"/>
      <c r="EIN46" s="375"/>
      <c r="EIO46" s="375"/>
      <c r="EIP46" s="375"/>
      <c r="EIQ46" s="375"/>
      <c r="EIR46" s="375"/>
      <c r="EIS46" s="375"/>
      <c r="EIT46" s="375"/>
      <c r="EIU46" s="375"/>
      <c r="EIV46" s="375"/>
      <c r="EIW46" s="375"/>
      <c r="EIX46" s="375"/>
      <c r="EIY46" s="375"/>
      <c r="EIZ46" s="375"/>
      <c r="EJA46" s="375"/>
      <c r="EJB46" s="375"/>
      <c r="EJC46" s="375"/>
      <c r="EJD46" s="375"/>
      <c r="EJE46" s="375"/>
      <c r="EJF46" s="375"/>
      <c r="EJG46" s="375"/>
      <c r="EJH46" s="375"/>
      <c r="EJI46" s="375"/>
      <c r="EJJ46" s="375"/>
      <c r="EJK46" s="375"/>
      <c r="EJL46" s="375"/>
      <c r="EJM46" s="375"/>
      <c r="EJN46" s="375"/>
      <c r="EJO46" s="375"/>
      <c r="EJP46" s="375"/>
      <c r="EJQ46" s="375"/>
      <c r="EJR46" s="375"/>
      <c r="EJS46" s="375"/>
      <c r="EJT46" s="375"/>
      <c r="EJU46" s="375"/>
      <c r="EJV46" s="375"/>
      <c r="EJW46" s="375"/>
      <c r="EJX46" s="375"/>
      <c r="EJY46" s="375"/>
      <c r="EJZ46" s="375"/>
      <c r="EKA46" s="375"/>
      <c r="EKB46" s="375"/>
      <c r="EKC46" s="375"/>
      <c r="EKD46" s="375"/>
      <c r="EKE46" s="375"/>
      <c r="EKF46" s="375"/>
      <c r="EKG46" s="375"/>
      <c r="EKH46" s="375"/>
      <c r="EKI46" s="375"/>
      <c r="EKJ46" s="375"/>
      <c r="EKK46" s="375"/>
      <c r="EKL46" s="375"/>
      <c r="EKM46" s="375"/>
      <c r="EKN46" s="375"/>
      <c r="EKO46" s="375"/>
      <c r="EKP46" s="375"/>
      <c r="EKQ46" s="375"/>
      <c r="EKR46" s="375"/>
      <c r="EKS46" s="375"/>
      <c r="EKT46" s="375"/>
      <c r="EKU46" s="375"/>
      <c r="EKV46" s="375"/>
      <c r="EKW46" s="375"/>
      <c r="EKX46" s="375"/>
      <c r="EKY46" s="375"/>
      <c r="EKZ46" s="375"/>
      <c r="ELA46" s="375"/>
      <c r="ELB46" s="375"/>
      <c r="ELC46" s="375"/>
      <c r="ELD46" s="375"/>
      <c r="ELE46" s="375"/>
      <c r="ELF46" s="375"/>
      <c r="ELG46" s="375"/>
      <c r="ELH46" s="375"/>
      <c r="ELI46" s="375"/>
      <c r="ELJ46" s="375"/>
      <c r="ELK46" s="375"/>
      <c r="ELL46" s="375"/>
      <c r="ELM46" s="375"/>
      <c r="ELN46" s="375"/>
      <c r="ELO46" s="375"/>
      <c r="ELP46" s="375"/>
      <c r="ELQ46" s="375"/>
      <c r="ELR46" s="375"/>
      <c r="ELS46" s="375"/>
      <c r="ELT46" s="375"/>
      <c r="ELU46" s="375"/>
      <c r="ELV46" s="375"/>
      <c r="ELW46" s="375"/>
      <c r="ELX46" s="375"/>
      <c r="ELY46" s="375"/>
      <c r="ELZ46" s="375"/>
      <c r="EMA46" s="375"/>
      <c r="EMB46" s="375"/>
      <c r="EMC46" s="375"/>
      <c r="EMD46" s="375"/>
      <c r="EME46" s="375"/>
      <c r="EMF46" s="375"/>
      <c r="EMG46" s="375"/>
      <c r="EMH46" s="375"/>
      <c r="EMI46" s="375"/>
      <c r="EMJ46" s="375"/>
      <c r="EMK46" s="375"/>
      <c r="EML46" s="375"/>
      <c r="EMM46" s="375"/>
      <c r="EMN46" s="375"/>
      <c r="EMO46" s="375"/>
      <c r="EMP46" s="375"/>
      <c r="EMQ46" s="375"/>
      <c r="EMR46" s="375"/>
      <c r="EMS46" s="375"/>
      <c r="EMT46" s="375"/>
      <c r="EMU46" s="375"/>
      <c r="EMV46" s="375"/>
      <c r="EMW46" s="375"/>
      <c r="EMX46" s="375"/>
      <c r="EMY46" s="375"/>
      <c r="EMZ46" s="375"/>
      <c r="ENA46" s="375"/>
      <c r="ENB46" s="375"/>
      <c r="ENC46" s="375"/>
      <c r="END46" s="375"/>
      <c r="ENE46" s="375"/>
      <c r="ENF46" s="375"/>
      <c r="ENG46" s="375"/>
      <c r="ENH46" s="375"/>
      <c r="ENI46" s="375"/>
      <c r="ENJ46" s="375"/>
      <c r="ENK46" s="375"/>
      <c r="ENL46" s="375"/>
      <c r="ENM46" s="375"/>
      <c r="ENN46" s="375"/>
      <c r="ENO46" s="375"/>
      <c r="ENP46" s="375"/>
      <c r="ENQ46" s="375"/>
      <c r="ENR46" s="375"/>
      <c r="ENS46" s="375"/>
      <c r="ENT46" s="375"/>
      <c r="ENU46" s="375"/>
      <c r="ENV46" s="375"/>
      <c r="ENW46" s="375"/>
      <c r="ENX46" s="375"/>
      <c r="ENY46" s="375"/>
      <c r="ENZ46" s="375"/>
      <c r="EOA46" s="375"/>
      <c r="EOB46" s="375"/>
      <c r="EOC46" s="375"/>
      <c r="EOD46" s="375"/>
      <c r="EOE46" s="375"/>
      <c r="EOF46" s="375"/>
      <c r="EOG46" s="375"/>
      <c r="EOH46" s="375"/>
      <c r="EOI46" s="375"/>
      <c r="EOJ46" s="375"/>
      <c r="EOK46" s="375"/>
      <c r="EOL46" s="375"/>
      <c r="EOM46" s="375"/>
      <c r="EON46" s="375"/>
      <c r="EOO46" s="375"/>
      <c r="EOP46" s="375"/>
      <c r="EOQ46" s="375"/>
      <c r="EOR46" s="375"/>
      <c r="EOS46" s="375"/>
      <c r="EOT46" s="375"/>
      <c r="EOU46" s="375"/>
      <c r="EOV46" s="375"/>
      <c r="EOW46" s="375"/>
      <c r="EOX46" s="375"/>
      <c r="EOY46" s="375"/>
      <c r="EOZ46" s="375"/>
      <c r="EPA46" s="375"/>
      <c r="EPB46" s="375"/>
      <c r="EPC46" s="375"/>
      <c r="EPD46" s="375"/>
      <c r="EPE46" s="375"/>
      <c r="EPF46" s="375"/>
      <c r="EPG46" s="375"/>
      <c r="EPH46" s="375"/>
      <c r="EPI46" s="375"/>
      <c r="EPJ46" s="375"/>
      <c r="EPK46" s="375"/>
      <c r="EPL46" s="375"/>
      <c r="EPM46" s="375"/>
      <c r="EPN46" s="375"/>
      <c r="EPO46" s="375"/>
      <c r="EPP46" s="375"/>
      <c r="EPQ46" s="375"/>
      <c r="EPR46" s="375"/>
      <c r="EPS46" s="375"/>
      <c r="EPT46" s="375"/>
      <c r="EPU46" s="375"/>
      <c r="EPV46" s="375"/>
      <c r="EPW46" s="375"/>
      <c r="EPX46" s="375"/>
      <c r="EPY46" s="375"/>
      <c r="EPZ46" s="375"/>
      <c r="EQA46" s="375"/>
      <c r="EQB46" s="375"/>
      <c r="EQC46" s="375"/>
      <c r="EQD46" s="375"/>
      <c r="EQE46" s="375"/>
      <c r="EQF46" s="375"/>
      <c r="EQG46" s="375"/>
      <c r="EQH46" s="375"/>
      <c r="EQI46" s="375"/>
      <c r="EQJ46" s="375"/>
      <c r="EQK46" s="375"/>
      <c r="EQL46" s="375"/>
      <c r="EQM46" s="375"/>
      <c r="EQN46" s="375"/>
      <c r="EQO46" s="375"/>
      <c r="EQP46" s="375"/>
      <c r="EQQ46" s="375"/>
      <c r="EQR46" s="375"/>
      <c r="EQS46" s="375"/>
      <c r="EQT46" s="375"/>
      <c r="EQU46" s="375"/>
      <c r="EQV46" s="375"/>
      <c r="EQW46" s="375"/>
      <c r="EQX46" s="375"/>
      <c r="EQY46" s="375"/>
      <c r="EQZ46" s="375"/>
      <c r="ERA46" s="375"/>
      <c r="ERB46" s="375"/>
      <c r="ERC46" s="375"/>
      <c r="ERD46" s="375"/>
      <c r="ERE46" s="375"/>
      <c r="ERF46" s="375"/>
      <c r="ERG46" s="375"/>
      <c r="ERH46" s="375"/>
      <c r="ERI46" s="375"/>
      <c r="ERJ46" s="375"/>
      <c r="ERK46" s="375"/>
      <c r="ERL46" s="375"/>
      <c r="ERM46" s="375"/>
      <c r="ERN46" s="375"/>
      <c r="ERO46" s="375"/>
      <c r="ERP46" s="375"/>
      <c r="ERQ46" s="375"/>
      <c r="ERR46" s="375"/>
      <c r="ERS46" s="375"/>
      <c r="ERT46" s="375"/>
      <c r="ERU46" s="375"/>
      <c r="ERV46" s="375"/>
      <c r="ERW46" s="375"/>
      <c r="ERX46" s="375"/>
      <c r="ERY46" s="375"/>
      <c r="ERZ46" s="375"/>
      <c r="ESA46" s="375"/>
      <c r="ESB46" s="375"/>
      <c r="ESC46" s="375"/>
      <c r="ESD46" s="375"/>
      <c r="ESE46" s="375"/>
      <c r="ESF46" s="375"/>
      <c r="ESG46" s="375"/>
      <c r="ESH46" s="375"/>
      <c r="ESI46" s="375"/>
      <c r="ESJ46" s="375"/>
      <c r="ESK46" s="375"/>
      <c r="ESL46" s="375"/>
      <c r="ESM46" s="375"/>
      <c r="ESN46" s="375"/>
      <c r="ESO46" s="375"/>
      <c r="ESP46" s="375"/>
      <c r="ESQ46" s="375"/>
      <c r="ESR46" s="375"/>
      <c r="ESS46" s="375"/>
      <c r="EST46" s="375"/>
      <c r="ESU46" s="375"/>
      <c r="ESV46" s="375"/>
      <c r="ESW46" s="375"/>
      <c r="ESX46" s="375"/>
      <c r="ESY46" s="375"/>
      <c r="ESZ46" s="375"/>
      <c r="ETA46" s="375"/>
      <c r="ETB46" s="375"/>
      <c r="ETC46" s="375"/>
      <c r="ETD46" s="375"/>
      <c r="ETE46" s="375"/>
      <c r="ETF46" s="375"/>
      <c r="ETG46" s="375"/>
      <c r="ETH46" s="375"/>
      <c r="ETI46" s="375"/>
      <c r="ETJ46" s="375"/>
      <c r="ETK46" s="375"/>
      <c r="ETL46" s="375"/>
      <c r="ETM46" s="375"/>
      <c r="ETN46" s="375"/>
      <c r="ETO46" s="375"/>
      <c r="ETP46" s="375"/>
      <c r="ETQ46" s="375"/>
      <c r="ETR46" s="375"/>
      <c r="ETS46" s="375"/>
      <c r="ETT46" s="375"/>
      <c r="ETU46" s="375"/>
      <c r="ETV46" s="375"/>
      <c r="ETW46" s="375"/>
      <c r="ETX46" s="375"/>
      <c r="ETY46" s="375"/>
      <c r="ETZ46" s="375"/>
      <c r="EUA46" s="375"/>
      <c r="EUB46" s="375"/>
      <c r="EUC46" s="375"/>
      <c r="EUD46" s="375"/>
      <c r="EUE46" s="375"/>
      <c r="EUF46" s="375"/>
      <c r="EUG46" s="375"/>
      <c r="EUH46" s="375"/>
      <c r="EUI46" s="375"/>
      <c r="EUJ46" s="375"/>
      <c r="EUK46" s="375"/>
      <c r="EUL46" s="375"/>
      <c r="EUM46" s="375"/>
      <c r="EUN46" s="375"/>
      <c r="EUO46" s="375"/>
      <c r="EUP46" s="375"/>
      <c r="EUQ46" s="375"/>
      <c r="EUR46" s="375"/>
      <c r="EUS46" s="375"/>
      <c r="EUT46" s="375"/>
      <c r="EUU46" s="375"/>
      <c r="EUV46" s="375"/>
      <c r="EUW46" s="375"/>
      <c r="EUX46" s="375"/>
      <c r="EUY46" s="375"/>
      <c r="EUZ46" s="375"/>
      <c r="EVA46" s="375"/>
      <c r="EVB46" s="375"/>
      <c r="EVC46" s="375"/>
      <c r="EVD46" s="375"/>
      <c r="EVE46" s="375"/>
      <c r="EVF46" s="375"/>
      <c r="EVG46" s="375"/>
      <c r="EVH46" s="375"/>
      <c r="EVI46" s="375"/>
      <c r="EVJ46" s="375"/>
      <c r="EVK46" s="375"/>
      <c r="EVL46" s="375"/>
      <c r="EVM46" s="375"/>
      <c r="EVN46" s="375"/>
      <c r="EVO46" s="375"/>
      <c r="EVP46" s="375"/>
      <c r="EVQ46" s="375"/>
      <c r="EVR46" s="375"/>
      <c r="EVS46" s="375"/>
      <c r="EVT46" s="375"/>
      <c r="EVU46" s="375"/>
      <c r="EVV46" s="375"/>
      <c r="EVW46" s="375"/>
      <c r="EVX46" s="375"/>
      <c r="EVY46" s="375"/>
      <c r="EVZ46" s="375"/>
      <c r="EWA46" s="375"/>
      <c r="EWB46" s="375"/>
      <c r="EWC46" s="375"/>
      <c r="EWD46" s="375"/>
      <c r="EWE46" s="375"/>
      <c r="EWF46" s="375"/>
      <c r="EWG46" s="375"/>
      <c r="EWH46" s="375"/>
      <c r="EWI46" s="375"/>
      <c r="EWJ46" s="375"/>
      <c r="EWK46" s="375"/>
      <c r="EWL46" s="375"/>
      <c r="EWM46" s="375"/>
      <c r="EWN46" s="375"/>
      <c r="EWO46" s="375"/>
      <c r="EWP46" s="375"/>
      <c r="EWQ46" s="375"/>
      <c r="EWR46" s="375"/>
      <c r="EWS46" s="375"/>
      <c r="EWT46" s="375"/>
      <c r="EWU46" s="375"/>
      <c r="EWV46" s="375"/>
      <c r="EWW46" s="375"/>
      <c r="EWX46" s="375"/>
      <c r="EWY46" s="375"/>
      <c r="EWZ46" s="375"/>
      <c r="EXA46" s="375"/>
      <c r="EXB46" s="375"/>
      <c r="EXC46" s="375"/>
      <c r="EXD46" s="375"/>
      <c r="EXE46" s="375"/>
      <c r="EXF46" s="375"/>
      <c r="EXG46" s="375"/>
      <c r="EXH46" s="375"/>
      <c r="EXI46" s="375"/>
      <c r="EXJ46" s="375"/>
      <c r="EXK46" s="375"/>
      <c r="EXL46" s="375"/>
      <c r="EXM46" s="375"/>
      <c r="EXN46" s="375"/>
      <c r="EXO46" s="375"/>
      <c r="EXP46" s="375"/>
      <c r="EXQ46" s="375"/>
      <c r="EXR46" s="375"/>
      <c r="EXS46" s="375"/>
      <c r="EXT46" s="375"/>
      <c r="EXU46" s="375"/>
      <c r="EXV46" s="375"/>
      <c r="EXW46" s="375"/>
      <c r="EXX46" s="375"/>
      <c r="EXY46" s="375"/>
      <c r="EXZ46" s="375"/>
      <c r="EYA46" s="375"/>
      <c r="EYB46" s="375"/>
      <c r="EYC46" s="375"/>
      <c r="EYD46" s="375"/>
      <c r="EYE46" s="375"/>
      <c r="EYF46" s="375"/>
      <c r="EYG46" s="375"/>
      <c r="EYH46" s="375"/>
      <c r="EYI46" s="375"/>
      <c r="EYJ46" s="375"/>
      <c r="EYK46" s="375"/>
      <c r="EYL46" s="375"/>
      <c r="EYM46" s="375"/>
      <c r="EYN46" s="375"/>
      <c r="EYO46" s="375"/>
      <c r="EYP46" s="375"/>
      <c r="EYQ46" s="375"/>
      <c r="EYR46" s="375"/>
      <c r="EYS46" s="375"/>
      <c r="EYT46" s="375"/>
      <c r="EYU46" s="375"/>
      <c r="EYV46" s="375"/>
      <c r="EYW46" s="375"/>
      <c r="EYX46" s="375"/>
      <c r="EYY46" s="375"/>
      <c r="EYZ46" s="375"/>
      <c r="EZA46" s="375"/>
      <c r="EZB46" s="375"/>
      <c r="EZC46" s="375"/>
      <c r="EZD46" s="375"/>
      <c r="EZE46" s="375"/>
      <c r="EZF46" s="375"/>
      <c r="EZG46" s="375"/>
      <c r="EZH46" s="375"/>
      <c r="EZI46" s="375"/>
      <c r="EZJ46" s="375"/>
      <c r="EZK46" s="375"/>
      <c r="EZL46" s="375"/>
      <c r="EZM46" s="375"/>
      <c r="EZN46" s="375"/>
      <c r="EZO46" s="375"/>
      <c r="EZP46" s="375"/>
      <c r="EZQ46" s="375"/>
      <c r="EZR46" s="375"/>
      <c r="EZS46" s="375"/>
      <c r="EZT46" s="375"/>
      <c r="EZU46" s="375"/>
      <c r="EZV46" s="375"/>
      <c r="EZW46" s="375"/>
      <c r="EZX46" s="375"/>
      <c r="EZY46" s="375"/>
      <c r="EZZ46" s="375"/>
      <c r="FAA46" s="375"/>
      <c r="FAB46" s="375"/>
      <c r="FAC46" s="375"/>
      <c r="FAD46" s="375"/>
      <c r="FAE46" s="375"/>
      <c r="FAF46" s="375"/>
      <c r="FAG46" s="375"/>
      <c r="FAH46" s="375"/>
      <c r="FAI46" s="375"/>
      <c r="FAJ46" s="375"/>
      <c r="FAK46" s="375"/>
      <c r="FAL46" s="375"/>
      <c r="FAM46" s="375"/>
      <c r="FAN46" s="375"/>
      <c r="FAO46" s="375"/>
      <c r="FAP46" s="375"/>
      <c r="FAQ46" s="375"/>
      <c r="FAR46" s="375"/>
      <c r="FAS46" s="375"/>
      <c r="FAT46" s="375"/>
      <c r="FAU46" s="375"/>
      <c r="FAV46" s="375"/>
      <c r="FAW46" s="375"/>
      <c r="FAX46" s="375"/>
      <c r="FAY46" s="375"/>
      <c r="FAZ46" s="375"/>
      <c r="FBA46" s="375"/>
      <c r="FBB46" s="375"/>
      <c r="FBC46" s="375"/>
      <c r="FBD46" s="375"/>
      <c r="FBE46" s="375"/>
      <c r="FBF46" s="375"/>
      <c r="FBG46" s="375"/>
      <c r="FBH46" s="375"/>
      <c r="FBI46" s="375"/>
      <c r="FBJ46" s="375"/>
      <c r="FBK46" s="375"/>
      <c r="FBL46" s="375"/>
      <c r="FBM46" s="375"/>
      <c r="FBN46" s="375"/>
      <c r="FBO46" s="375"/>
      <c r="FBP46" s="375"/>
      <c r="FBQ46" s="375"/>
      <c r="FBR46" s="375"/>
      <c r="FBS46" s="375"/>
      <c r="FBT46" s="375"/>
      <c r="FBU46" s="375"/>
      <c r="FBV46" s="375"/>
      <c r="FBW46" s="375"/>
      <c r="FBX46" s="375"/>
      <c r="FBY46" s="375"/>
      <c r="FBZ46" s="375"/>
      <c r="FCA46" s="375"/>
      <c r="FCB46" s="375"/>
      <c r="FCC46" s="375"/>
      <c r="FCD46" s="375"/>
      <c r="FCE46" s="375"/>
      <c r="FCF46" s="375"/>
      <c r="FCG46" s="375"/>
      <c r="FCH46" s="375"/>
      <c r="FCI46" s="375"/>
      <c r="FCJ46" s="375"/>
      <c r="FCK46" s="375"/>
      <c r="FCL46" s="375"/>
      <c r="FCM46" s="375"/>
      <c r="FCN46" s="375"/>
      <c r="FCO46" s="375"/>
      <c r="FCP46" s="375"/>
      <c r="FCQ46" s="375"/>
      <c r="FCR46" s="375"/>
      <c r="FCS46" s="375"/>
      <c r="FCT46" s="375"/>
      <c r="FCU46" s="375"/>
      <c r="FCV46" s="375"/>
      <c r="FCW46" s="375"/>
      <c r="FCX46" s="375"/>
      <c r="FCY46" s="375"/>
      <c r="FCZ46" s="375"/>
      <c r="FDA46" s="375"/>
      <c r="FDB46" s="375"/>
      <c r="FDC46" s="375"/>
      <c r="FDD46" s="375"/>
      <c r="FDE46" s="375"/>
      <c r="FDF46" s="375"/>
      <c r="FDG46" s="375"/>
      <c r="FDH46" s="375"/>
      <c r="FDI46" s="375"/>
      <c r="FDJ46" s="375"/>
      <c r="FDK46" s="375"/>
      <c r="FDL46" s="375"/>
      <c r="FDM46" s="375"/>
      <c r="FDN46" s="375"/>
      <c r="FDO46" s="375"/>
      <c r="FDP46" s="375"/>
      <c r="FDQ46" s="375"/>
      <c r="FDR46" s="375"/>
      <c r="FDS46" s="375"/>
      <c r="FDT46" s="375"/>
      <c r="FDU46" s="375"/>
      <c r="FDV46" s="375"/>
      <c r="FDW46" s="375"/>
      <c r="FDX46" s="375"/>
      <c r="FDY46" s="375"/>
      <c r="FDZ46" s="375"/>
      <c r="FEA46" s="375"/>
      <c r="FEB46" s="375"/>
      <c r="FEC46" s="375"/>
      <c r="FED46" s="375"/>
      <c r="FEE46" s="375"/>
      <c r="FEF46" s="375"/>
      <c r="FEG46" s="375"/>
      <c r="FEH46" s="375"/>
      <c r="FEI46" s="375"/>
      <c r="FEJ46" s="375"/>
      <c r="FEK46" s="375"/>
      <c r="FEL46" s="375"/>
      <c r="FEM46" s="375"/>
      <c r="FEN46" s="375"/>
      <c r="FEO46" s="375"/>
      <c r="FEP46" s="375"/>
      <c r="FEQ46" s="375"/>
      <c r="FER46" s="375"/>
      <c r="FES46" s="375"/>
      <c r="FET46" s="375"/>
      <c r="FEU46" s="375"/>
      <c r="FEV46" s="375"/>
      <c r="FEW46" s="375"/>
      <c r="FEX46" s="375"/>
      <c r="FEY46" s="375"/>
      <c r="FEZ46" s="375"/>
      <c r="FFA46" s="375"/>
      <c r="FFB46" s="375"/>
      <c r="FFC46" s="375"/>
      <c r="FFD46" s="375"/>
      <c r="FFE46" s="375"/>
      <c r="FFF46" s="375"/>
      <c r="FFG46" s="375"/>
      <c r="FFH46" s="375"/>
      <c r="FFI46" s="375"/>
      <c r="FFJ46" s="375"/>
      <c r="FFK46" s="375"/>
      <c r="FFL46" s="375"/>
      <c r="FFM46" s="375"/>
      <c r="FFN46" s="375"/>
      <c r="FFO46" s="375"/>
      <c r="FFP46" s="375"/>
      <c r="FFQ46" s="375"/>
      <c r="FFR46" s="375"/>
      <c r="FFS46" s="375"/>
      <c r="FFT46" s="375"/>
      <c r="FFU46" s="375"/>
      <c r="FFV46" s="375"/>
      <c r="FFW46" s="375"/>
      <c r="FFX46" s="375"/>
      <c r="FFY46" s="375"/>
      <c r="FFZ46" s="375"/>
      <c r="FGA46" s="375"/>
      <c r="FGB46" s="375"/>
      <c r="FGC46" s="375"/>
      <c r="FGD46" s="375"/>
      <c r="FGE46" s="375"/>
      <c r="FGF46" s="375"/>
      <c r="FGG46" s="375"/>
      <c r="FGH46" s="375"/>
      <c r="FGI46" s="375"/>
      <c r="FGJ46" s="375"/>
      <c r="FGK46" s="375"/>
      <c r="FGL46" s="375"/>
      <c r="FGM46" s="375"/>
      <c r="FGN46" s="375"/>
      <c r="FGO46" s="375"/>
      <c r="FGP46" s="375"/>
      <c r="FGQ46" s="375"/>
      <c r="FGR46" s="375"/>
      <c r="FGS46" s="375"/>
      <c r="FGT46" s="375"/>
      <c r="FGU46" s="375"/>
      <c r="FGV46" s="375"/>
      <c r="FGW46" s="375"/>
      <c r="FGX46" s="375"/>
      <c r="FGY46" s="375"/>
      <c r="FGZ46" s="375"/>
      <c r="FHA46" s="375"/>
      <c r="FHB46" s="375"/>
      <c r="FHC46" s="375"/>
      <c r="FHD46" s="375"/>
      <c r="FHE46" s="375"/>
      <c r="FHF46" s="375"/>
      <c r="FHG46" s="375"/>
      <c r="FHH46" s="375"/>
      <c r="FHI46" s="375"/>
      <c r="FHJ46" s="375"/>
      <c r="FHK46" s="375"/>
      <c r="FHL46" s="375"/>
      <c r="FHM46" s="375"/>
      <c r="FHN46" s="375"/>
      <c r="FHO46" s="375"/>
      <c r="FHP46" s="375"/>
      <c r="FHQ46" s="375"/>
      <c r="FHR46" s="375"/>
      <c r="FHS46" s="375"/>
      <c r="FHT46" s="375"/>
      <c r="FHU46" s="375"/>
      <c r="FHV46" s="375"/>
      <c r="FHW46" s="375"/>
      <c r="FHX46" s="375"/>
      <c r="FHY46" s="375"/>
      <c r="FHZ46" s="375"/>
      <c r="FIA46" s="375"/>
      <c r="FIB46" s="375"/>
      <c r="FIC46" s="375"/>
      <c r="FID46" s="375"/>
      <c r="FIE46" s="375"/>
      <c r="FIF46" s="375"/>
      <c r="FIG46" s="375"/>
      <c r="FIH46" s="375"/>
      <c r="FII46" s="375"/>
      <c r="FIJ46" s="375"/>
      <c r="FIK46" s="375"/>
      <c r="FIL46" s="375"/>
      <c r="FIM46" s="375"/>
      <c r="FIN46" s="375"/>
      <c r="FIO46" s="375"/>
      <c r="FIP46" s="375"/>
      <c r="FIQ46" s="375"/>
      <c r="FIR46" s="375"/>
      <c r="FIS46" s="375"/>
      <c r="FIT46" s="375"/>
      <c r="FIU46" s="375"/>
      <c r="FIV46" s="375"/>
      <c r="FIW46" s="375"/>
      <c r="FIX46" s="375"/>
      <c r="FIY46" s="375"/>
      <c r="FIZ46" s="375"/>
      <c r="FJA46" s="375"/>
      <c r="FJB46" s="375"/>
      <c r="FJC46" s="375"/>
      <c r="FJD46" s="375"/>
      <c r="FJE46" s="375"/>
      <c r="FJF46" s="375"/>
      <c r="FJG46" s="375"/>
      <c r="FJH46" s="375"/>
      <c r="FJI46" s="375"/>
      <c r="FJJ46" s="375"/>
      <c r="FJK46" s="375"/>
      <c r="FJL46" s="375"/>
      <c r="FJM46" s="375"/>
      <c r="FJN46" s="375"/>
      <c r="FJO46" s="375"/>
      <c r="FJP46" s="375"/>
      <c r="FJQ46" s="375"/>
      <c r="FJR46" s="375"/>
      <c r="FJS46" s="375"/>
      <c r="FJT46" s="375"/>
      <c r="FJU46" s="375"/>
      <c r="FJV46" s="375"/>
      <c r="FJW46" s="375"/>
      <c r="FJX46" s="375"/>
      <c r="FJY46" s="375"/>
      <c r="FJZ46" s="375"/>
      <c r="FKA46" s="375"/>
      <c r="FKB46" s="375"/>
      <c r="FKC46" s="375"/>
      <c r="FKD46" s="375"/>
      <c r="FKE46" s="375"/>
      <c r="FKF46" s="375"/>
      <c r="FKG46" s="375"/>
      <c r="FKH46" s="375"/>
      <c r="FKI46" s="375"/>
      <c r="FKJ46" s="375"/>
      <c r="FKK46" s="375"/>
      <c r="FKL46" s="375"/>
      <c r="FKM46" s="375"/>
      <c r="FKN46" s="375"/>
      <c r="FKO46" s="375"/>
      <c r="FKP46" s="375"/>
      <c r="FKQ46" s="375"/>
      <c r="FKR46" s="375"/>
      <c r="FKS46" s="375"/>
      <c r="FKT46" s="375"/>
      <c r="FKU46" s="375"/>
      <c r="FKV46" s="375"/>
      <c r="FKW46" s="375"/>
      <c r="FKX46" s="375"/>
      <c r="FKY46" s="375"/>
      <c r="FKZ46" s="375"/>
      <c r="FLA46" s="375"/>
      <c r="FLB46" s="375"/>
      <c r="FLC46" s="375"/>
      <c r="FLD46" s="375"/>
      <c r="FLE46" s="375"/>
      <c r="FLF46" s="375"/>
      <c r="FLG46" s="375"/>
      <c r="FLH46" s="375"/>
      <c r="FLI46" s="375"/>
      <c r="FLJ46" s="375"/>
      <c r="FLK46" s="375"/>
      <c r="FLL46" s="375"/>
      <c r="FLM46" s="375"/>
      <c r="FLN46" s="375"/>
      <c r="FLO46" s="375"/>
      <c r="FLP46" s="375"/>
      <c r="FLQ46" s="375"/>
      <c r="FLR46" s="375"/>
      <c r="FLS46" s="375"/>
      <c r="FLT46" s="375"/>
      <c r="FLU46" s="375"/>
      <c r="FLV46" s="375"/>
      <c r="FLW46" s="375"/>
      <c r="FLX46" s="375"/>
      <c r="FLY46" s="375"/>
      <c r="FLZ46" s="375"/>
      <c r="FMA46" s="375"/>
      <c r="FMB46" s="375"/>
      <c r="FMC46" s="375"/>
      <c r="FMD46" s="375"/>
      <c r="FME46" s="375"/>
      <c r="FMF46" s="375"/>
      <c r="FMG46" s="375"/>
      <c r="FMH46" s="375"/>
      <c r="FMI46" s="375"/>
      <c r="FMJ46" s="375"/>
      <c r="FMK46" s="375"/>
      <c r="FML46" s="375"/>
      <c r="FMM46" s="375"/>
      <c r="FMN46" s="375"/>
      <c r="FMO46" s="375"/>
      <c r="FMP46" s="375"/>
      <c r="FMQ46" s="375"/>
      <c r="FMR46" s="375"/>
      <c r="FMS46" s="375"/>
      <c r="FMT46" s="375"/>
      <c r="FMU46" s="375"/>
      <c r="FMV46" s="375"/>
      <c r="FMW46" s="375"/>
      <c r="FMX46" s="375"/>
      <c r="FMY46" s="375"/>
      <c r="FMZ46" s="375"/>
      <c r="FNA46" s="375"/>
      <c r="FNB46" s="375"/>
      <c r="FNC46" s="375"/>
      <c r="FND46" s="375"/>
      <c r="FNE46" s="375"/>
      <c r="FNF46" s="375"/>
      <c r="FNG46" s="375"/>
      <c r="FNH46" s="375"/>
      <c r="FNI46" s="375"/>
      <c r="FNJ46" s="375"/>
      <c r="FNK46" s="375"/>
      <c r="FNL46" s="375"/>
      <c r="FNM46" s="375"/>
      <c r="FNN46" s="375"/>
      <c r="FNO46" s="375"/>
      <c r="FNP46" s="375"/>
      <c r="FNQ46" s="375"/>
      <c r="FNR46" s="375"/>
      <c r="FNS46" s="375"/>
      <c r="FNT46" s="375"/>
      <c r="FNU46" s="375"/>
      <c r="FNV46" s="375"/>
      <c r="FNW46" s="375"/>
      <c r="FNX46" s="375"/>
      <c r="FNY46" s="375"/>
      <c r="FNZ46" s="375"/>
      <c r="FOA46" s="375"/>
      <c r="FOB46" s="375"/>
      <c r="FOC46" s="375"/>
      <c r="FOD46" s="375"/>
      <c r="FOE46" s="375"/>
      <c r="FOF46" s="375"/>
      <c r="FOG46" s="375"/>
      <c r="FOH46" s="375"/>
      <c r="FOI46" s="375"/>
      <c r="FOJ46" s="375"/>
      <c r="FOK46" s="375"/>
      <c r="FOL46" s="375"/>
      <c r="FOM46" s="375"/>
      <c r="FON46" s="375"/>
      <c r="FOO46" s="375"/>
      <c r="FOP46" s="375"/>
      <c r="FOQ46" s="375"/>
      <c r="FOR46" s="375"/>
      <c r="FOS46" s="375"/>
      <c r="FOT46" s="375"/>
      <c r="FOU46" s="375"/>
      <c r="FOV46" s="375"/>
      <c r="FOW46" s="375"/>
      <c r="FOX46" s="375"/>
      <c r="FOY46" s="375"/>
      <c r="FOZ46" s="375"/>
      <c r="FPA46" s="375"/>
      <c r="FPB46" s="375"/>
      <c r="FPC46" s="375"/>
      <c r="FPD46" s="375"/>
      <c r="FPE46" s="375"/>
      <c r="FPF46" s="375"/>
      <c r="FPG46" s="375"/>
      <c r="FPH46" s="375"/>
      <c r="FPI46" s="375"/>
      <c r="FPJ46" s="375"/>
      <c r="FPK46" s="375"/>
      <c r="FPL46" s="375"/>
      <c r="FPM46" s="375"/>
      <c r="FPN46" s="375"/>
      <c r="FPO46" s="375"/>
      <c r="FPP46" s="375"/>
      <c r="FPQ46" s="375"/>
      <c r="FPR46" s="375"/>
      <c r="FPS46" s="375"/>
      <c r="FPT46" s="375"/>
      <c r="FPU46" s="375"/>
      <c r="FPV46" s="375"/>
      <c r="FPW46" s="375"/>
      <c r="FPX46" s="375"/>
      <c r="FPY46" s="375"/>
      <c r="FPZ46" s="375"/>
      <c r="FQA46" s="375"/>
      <c r="FQB46" s="375"/>
      <c r="FQC46" s="375"/>
      <c r="FQD46" s="375"/>
      <c r="FQE46" s="375"/>
      <c r="FQF46" s="375"/>
      <c r="FQG46" s="375"/>
      <c r="FQH46" s="375"/>
      <c r="FQI46" s="375"/>
      <c r="FQJ46" s="375"/>
      <c r="FQK46" s="375"/>
      <c r="FQL46" s="375"/>
      <c r="FQM46" s="375"/>
      <c r="FQN46" s="375"/>
      <c r="FQO46" s="375"/>
      <c r="FQP46" s="375"/>
      <c r="FQQ46" s="375"/>
      <c r="FQR46" s="375"/>
      <c r="FQS46" s="375"/>
      <c r="FQT46" s="375"/>
      <c r="FQU46" s="375"/>
      <c r="FQV46" s="375"/>
      <c r="FQW46" s="375"/>
      <c r="FQX46" s="375"/>
      <c r="FQY46" s="375"/>
      <c r="FQZ46" s="375"/>
      <c r="FRA46" s="375"/>
      <c r="FRB46" s="375"/>
      <c r="FRC46" s="375"/>
      <c r="FRD46" s="375"/>
      <c r="FRE46" s="375"/>
      <c r="FRF46" s="375"/>
      <c r="FRG46" s="375"/>
      <c r="FRH46" s="375"/>
      <c r="FRI46" s="375"/>
      <c r="FRJ46" s="375"/>
      <c r="FRK46" s="375"/>
      <c r="FRL46" s="375"/>
      <c r="FRM46" s="375"/>
      <c r="FRN46" s="375"/>
      <c r="FRO46" s="375"/>
      <c r="FRP46" s="375"/>
      <c r="FRQ46" s="375"/>
      <c r="FRR46" s="375"/>
      <c r="FRS46" s="375"/>
      <c r="FRT46" s="375"/>
      <c r="FRU46" s="375"/>
      <c r="FRV46" s="375"/>
      <c r="FRW46" s="375"/>
      <c r="FRX46" s="375"/>
      <c r="FRY46" s="375"/>
      <c r="FRZ46" s="375"/>
      <c r="FSA46" s="375"/>
      <c r="FSB46" s="375"/>
      <c r="FSC46" s="375"/>
      <c r="FSD46" s="375"/>
      <c r="FSE46" s="375"/>
      <c r="FSF46" s="375"/>
      <c r="FSG46" s="375"/>
      <c r="FSH46" s="375"/>
      <c r="FSI46" s="375"/>
      <c r="FSJ46" s="375"/>
      <c r="FSK46" s="375"/>
      <c r="FSL46" s="375"/>
      <c r="FSM46" s="375"/>
      <c r="FSN46" s="375"/>
      <c r="FSO46" s="375"/>
      <c r="FSP46" s="375"/>
      <c r="FSQ46" s="375"/>
      <c r="FSR46" s="375"/>
      <c r="FSS46" s="375"/>
      <c r="FST46" s="375"/>
      <c r="FSU46" s="375"/>
      <c r="FSV46" s="375"/>
      <c r="FSW46" s="375"/>
      <c r="FSX46" s="375"/>
      <c r="FSY46" s="375"/>
      <c r="FSZ46" s="375"/>
      <c r="FTA46" s="375"/>
      <c r="FTB46" s="375"/>
      <c r="FTC46" s="375"/>
      <c r="FTD46" s="375"/>
      <c r="FTE46" s="375"/>
      <c r="FTF46" s="375"/>
      <c r="FTG46" s="375"/>
      <c r="FTH46" s="375"/>
      <c r="FTI46" s="375"/>
      <c r="FTJ46" s="375"/>
      <c r="FTK46" s="375"/>
      <c r="FTL46" s="375"/>
      <c r="FTM46" s="375"/>
      <c r="FTN46" s="375"/>
      <c r="FTO46" s="375"/>
      <c r="FTP46" s="375"/>
      <c r="FTQ46" s="375"/>
      <c r="FTR46" s="375"/>
      <c r="FTS46" s="375"/>
      <c r="FTT46" s="375"/>
      <c r="FTU46" s="375"/>
      <c r="FTV46" s="375"/>
      <c r="FTW46" s="375"/>
      <c r="FTX46" s="375"/>
      <c r="FTY46" s="375"/>
      <c r="FTZ46" s="375"/>
      <c r="FUA46" s="375"/>
      <c r="FUB46" s="375"/>
      <c r="FUC46" s="375"/>
      <c r="FUD46" s="375"/>
      <c r="FUE46" s="375"/>
      <c r="FUF46" s="375"/>
      <c r="FUG46" s="375"/>
      <c r="FUH46" s="375"/>
      <c r="FUI46" s="375"/>
      <c r="FUJ46" s="375"/>
      <c r="FUK46" s="375"/>
      <c r="FUL46" s="375"/>
      <c r="FUM46" s="375"/>
      <c r="FUN46" s="375"/>
      <c r="FUO46" s="375"/>
      <c r="FUP46" s="375"/>
      <c r="FUQ46" s="375"/>
      <c r="FUR46" s="375"/>
      <c r="FUS46" s="375"/>
      <c r="FUT46" s="375"/>
      <c r="FUU46" s="375"/>
      <c r="FUV46" s="375"/>
      <c r="FUW46" s="375"/>
      <c r="FUX46" s="375"/>
      <c r="FUY46" s="375"/>
      <c r="FUZ46" s="375"/>
      <c r="FVA46" s="375"/>
      <c r="FVB46" s="375"/>
      <c r="FVC46" s="375"/>
      <c r="FVD46" s="375"/>
      <c r="FVE46" s="375"/>
      <c r="FVF46" s="375"/>
      <c r="FVG46" s="375"/>
      <c r="FVH46" s="375"/>
      <c r="FVI46" s="375"/>
      <c r="FVJ46" s="375"/>
      <c r="FVK46" s="375"/>
      <c r="FVL46" s="375"/>
      <c r="FVM46" s="375"/>
      <c r="FVN46" s="375"/>
      <c r="FVO46" s="375"/>
      <c r="FVP46" s="375"/>
      <c r="FVQ46" s="375"/>
      <c r="FVR46" s="375"/>
      <c r="FVS46" s="375"/>
      <c r="FVT46" s="375"/>
      <c r="FVU46" s="375"/>
      <c r="FVV46" s="375"/>
      <c r="FVW46" s="375"/>
      <c r="FVX46" s="375"/>
      <c r="FVY46" s="375"/>
      <c r="FVZ46" s="375"/>
      <c r="FWA46" s="375"/>
      <c r="FWB46" s="375"/>
      <c r="FWC46" s="375"/>
      <c r="FWD46" s="375"/>
      <c r="FWE46" s="375"/>
      <c r="FWF46" s="375"/>
      <c r="FWG46" s="375"/>
      <c r="FWH46" s="375"/>
      <c r="FWI46" s="375"/>
      <c r="FWJ46" s="375"/>
      <c r="FWK46" s="375"/>
      <c r="FWL46" s="375"/>
      <c r="FWM46" s="375"/>
      <c r="FWN46" s="375"/>
      <c r="FWO46" s="375"/>
      <c r="FWP46" s="375"/>
      <c r="FWQ46" s="375"/>
      <c r="FWR46" s="375"/>
      <c r="FWS46" s="375"/>
      <c r="FWT46" s="375"/>
      <c r="FWU46" s="375"/>
      <c r="FWV46" s="375"/>
      <c r="FWW46" s="375"/>
      <c r="FWX46" s="375"/>
      <c r="FWY46" s="375"/>
      <c r="FWZ46" s="375"/>
      <c r="FXA46" s="375"/>
      <c r="FXB46" s="375"/>
      <c r="FXC46" s="375"/>
      <c r="FXD46" s="375"/>
      <c r="FXE46" s="375"/>
      <c r="FXF46" s="375"/>
      <c r="FXG46" s="375"/>
      <c r="FXH46" s="375"/>
      <c r="FXI46" s="375"/>
      <c r="FXJ46" s="375"/>
      <c r="FXK46" s="375"/>
      <c r="FXL46" s="375"/>
      <c r="FXM46" s="375"/>
      <c r="FXN46" s="375"/>
      <c r="FXO46" s="375"/>
      <c r="FXP46" s="375"/>
      <c r="FXQ46" s="375"/>
      <c r="FXR46" s="375"/>
      <c r="FXS46" s="375"/>
      <c r="FXT46" s="375"/>
      <c r="FXU46" s="375"/>
      <c r="FXV46" s="375"/>
      <c r="FXW46" s="375"/>
      <c r="FXX46" s="375"/>
      <c r="FXY46" s="375"/>
      <c r="FXZ46" s="375"/>
      <c r="FYA46" s="375"/>
      <c r="FYB46" s="375"/>
      <c r="FYC46" s="375"/>
      <c r="FYD46" s="375"/>
      <c r="FYE46" s="375"/>
      <c r="FYF46" s="375"/>
      <c r="FYG46" s="375"/>
      <c r="FYH46" s="375"/>
      <c r="FYI46" s="375"/>
      <c r="FYJ46" s="375"/>
      <c r="FYK46" s="375"/>
      <c r="FYL46" s="375"/>
      <c r="FYM46" s="375"/>
      <c r="FYN46" s="375"/>
      <c r="FYO46" s="375"/>
      <c r="FYP46" s="375"/>
      <c r="FYQ46" s="375"/>
      <c r="FYR46" s="375"/>
      <c r="FYS46" s="375"/>
      <c r="FYT46" s="375"/>
      <c r="FYU46" s="375"/>
      <c r="FYV46" s="375"/>
      <c r="FYW46" s="375"/>
      <c r="FYX46" s="375"/>
      <c r="FYY46" s="375"/>
      <c r="FYZ46" s="375"/>
      <c r="FZA46" s="375"/>
      <c r="FZB46" s="375"/>
      <c r="FZC46" s="375"/>
      <c r="FZD46" s="375"/>
      <c r="FZE46" s="375"/>
      <c r="FZF46" s="375"/>
      <c r="FZG46" s="375"/>
      <c r="FZH46" s="375"/>
      <c r="FZI46" s="375"/>
      <c r="FZJ46" s="375"/>
      <c r="FZK46" s="375"/>
      <c r="FZL46" s="375"/>
      <c r="FZM46" s="375"/>
      <c r="FZN46" s="375"/>
      <c r="FZO46" s="375"/>
      <c r="FZP46" s="375"/>
      <c r="FZQ46" s="375"/>
      <c r="FZR46" s="375"/>
      <c r="FZS46" s="375"/>
      <c r="FZT46" s="375"/>
      <c r="FZU46" s="375"/>
      <c r="FZV46" s="375"/>
      <c r="FZW46" s="375"/>
      <c r="FZX46" s="375"/>
      <c r="FZY46" s="375"/>
      <c r="FZZ46" s="375"/>
      <c r="GAA46" s="375"/>
      <c r="GAB46" s="375"/>
      <c r="GAC46" s="375"/>
      <c r="GAD46" s="375"/>
      <c r="GAE46" s="375"/>
      <c r="GAF46" s="375"/>
      <c r="GAG46" s="375"/>
      <c r="GAH46" s="375"/>
      <c r="GAI46" s="375"/>
      <c r="GAJ46" s="375"/>
      <c r="GAK46" s="375"/>
      <c r="GAL46" s="375"/>
      <c r="GAM46" s="375"/>
      <c r="GAN46" s="375"/>
      <c r="GAO46" s="375"/>
      <c r="GAP46" s="375"/>
      <c r="GAQ46" s="375"/>
      <c r="GAR46" s="375"/>
      <c r="GAS46" s="375"/>
      <c r="GAT46" s="375"/>
      <c r="GAU46" s="375"/>
      <c r="GAV46" s="375"/>
      <c r="GAW46" s="375"/>
      <c r="GAX46" s="375"/>
      <c r="GAY46" s="375"/>
      <c r="GAZ46" s="375"/>
      <c r="GBA46" s="375"/>
      <c r="GBB46" s="375"/>
      <c r="GBC46" s="375"/>
      <c r="GBD46" s="375"/>
      <c r="GBE46" s="375"/>
      <c r="GBF46" s="375"/>
      <c r="GBG46" s="375"/>
      <c r="GBH46" s="375"/>
      <c r="GBI46" s="375"/>
      <c r="GBJ46" s="375"/>
      <c r="GBK46" s="375"/>
      <c r="GBL46" s="375"/>
      <c r="GBM46" s="375"/>
      <c r="GBN46" s="375"/>
      <c r="GBO46" s="375"/>
      <c r="GBP46" s="375"/>
      <c r="GBQ46" s="375"/>
      <c r="GBR46" s="375"/>
      <c r="GBS46" s="375"/>
      <c r="GBT46" s="375"/>
      <c r="GBU46" s="375"/>
      <c r="GBV46" s="375"/>
      <c r="GBW46" s="375"/>
      <c r="GBX46" s="375"/>
      <c r="GBY46" s="375"/>
      <c r="GBZ46" s="375"/>
      <c r="GCA46" s="375"/>
      <c r="GCB46" s="375"/>
      <c r="GCC46" s="375"/>
      <c r="GCD46" s="375"/>
      <c r="GCE46" s="375"/>
      <c r="GCF46" s="375"/>
      <c r="GCG46" s="375"/>
      <c r="GCH46" s="375"/>
      <c r="GCI46" s="375"/>
      <c r="GCJ46" s="375"/>
      <c r="GCK46" s="375"/>
      <c r="GCL46" s="375"/>
      <c r="GCM46" s="375"/>
      <c r="GCN46" s="375"/>
      <c r="GCO46" s="375"/>
      <c r="GCP46" s="375"/>
      <c r="GCQ46" s="375"/>
      <c r="GCR46" s="375"/>
      <c r="GCS46" s="375"/>
      <c r="GCT46" s="375"/>
      <c r="GCU46" s="375"/>
      <c r="GCV46" s="375"/>
      <c r="GCW46" s="375"/>
      <c r="GCX46" s="375"/>
      <c r="GCY46" s="375"/>
      <c r="GCZ46" s="375"/>
      <c r="GDA46" s="375"/>
      <c r="GDB46" s="375"/>
      <c r="GDC46" s="375"/>
      <c r="GDD46" s="375"/>
      <c r="GDE46" s="375"/>
      <c r="GDF46" s="375"/>
      <c r="GDG46" s="375"/>
      <c r="GDH46" s="375"/>
      <c r="GDI46" s="375"/>
      <c r="GDJ46" s="375"/>
      <c r="GDK46" s="375"/>
      <c r="GDL46" s="375"/>
      <c r="GDM46" s="375"/>
      <c r="GDN46" s="375"/>
      <c r="GDO46" s="375"/>
      <c r="GDP46" s="375"/>
      <c r="GDQ46" s="375"/>
      <c r="GDR46" s="375"/>
      <c r="GDS46" s="375"/>
      <c r="GDT46" s="375"/>
      <c r="GDU46" s="375"/>
      <c r="GDV46" s="375"/>
      <c r="GDW46" s="375"/>
      <c r="GDX46" s="375"/>
      <c r="GDY46" s="375"/>
      <c r="GDZ46" s="375"/>
      <c r="GEA46" s="375"/>
      <c r="GEB46" s="375"/>
      <c r="GEC46" s="375"/>
      <c r="GED46" s="375"/>
      <c r="GEE46" s="375"/>
      <c r="GEF46" s="375"/>
      <c r="GEG46" s="375"/>
      <c r="GEH46" s="375"/>
      <c r="GEI46" s="375"/>
      <c r="GEJ46" s="375"/>
      <c r="GEK46" s="375"/>
      <c r="GEL46" s="375"/>
      <c r="GEM46" s="375"/>
      <c r="GEN46" s="375"/>
      <c r="GEO46" s="375"/>
      <c r="GEP46" s="375"/>
      <c r="GEQ46" s="375"/>
      <c r="GER46" s="375"/>
      <c r="GES46" s="375"/>
      <c r="GET46" s="375"/>
      <c r="GEU46" s="375"/>
      <c r="GEV46" s="375"/>
      <c r="GEW46" s="375"/>
      <c r="GEX46" s="375"/>
      <c r="GEY46" s="375"/>
      <c r="GEZ46" s="375"/>
      <c r="GFA46" s="375"/>
      <c r="GFB46" s="375"/>
      <c r="GFC46" s="375"/>
      <c r="GFD46" s="375"/>
      <c r="GFE46" s="375"/>
      <c r="GFF46" s="375"/>
      <c r="GFG46" s="375"/>
      <c r="GFH46" s="375"/>
      <c r="GFI46" s="375"/>
      <c r="GFJ46" s="375"/>
      <c r="GFK46" s="375"/>
      <c r="GFL46" s="375"/>
      <c r="GFM46" s="375"/>
      <c r="GFN46" s="375"/>
      <c r="GFO46" s="375"/>
      <c r="GFP46" s="375"/>
      <c r="GFQ46" s="375"/>
      <c r="GFR46" s="375"/>
      <c r="GFS46" s="375"/>
      <c r="GFT46" s="375"/>
      <c r="GFU46" s="375"/>
      <c r="GFV46" s="375"/>
      <c r="GFW46" s="375"/>
      <c r="GFX46" s="375"/>
      <c r="GFY46" s="375"/>
      <c r="GFZ46" s="375"/>
      <c r="GGA46" s="375"/>
      <c r="GGB46" s="375"/>
      <c r="GGC46" s="375"/>
      <c r="GGD46" s="375"/>
      <c r="GGE46" s="375"/>
      <c r="GGF46" s="375"/>
      <c r="GGG46" s="375"/>
      <c r="GGH46" s="375"/>
      <c r="GGI46" s="375"/>
      <c r="GGJ46" s="375"/>
      <c r="GGK46" s="375"/>
      <c r="GGL46" s="375"/>
      <c r="GGM46" s="375"/>
      <c r="GGN46" s="375"/>
      <c r="GGO46" s="375"/>
      <c r="GGP46" s="375"/>
      <c r="GGQ46" s="375"/>
      <c r="GGR46" s="375"/>
      <c r="GGS46" s="375"/>
      <c r="GGT46" s="375"/>
      <c r="GGU46" s="375"/>
      <c r="GGV46" s="375"/>
      <c r="GGW46" s="375"/>
      <c r="GGX46" s="375"/>
      <c r="GGY46" s="375"/>
      <c r="GGZ46" s="375"/>
      <c r="GHA46" s="375"/>
      <c r="GHB46" s="375"/>
      <c r="GHC46" s="375"/>
      <c r="GHD46" s="375"/>
      <c r="GHE46" s="375"/>
      <c r="GHF46" s="375"/>
      <c r="GHG46" s="375"/>
      <c r="GHH46" s="375"/>
      <c r="GHI46" s="375"/>
      <c r="GHJ46" s="375"/>
      <c r="GHK46" s="375"/>
      <c r="GHL46" s="375"/>
      <c r="GHM46" s="375"/>
      <c r="GHN46" s="375"/>
      <c r="GHO46" s="375"/>
      <c r="GHP46" s="375"/>
      <c r="GHQ46" s="375"/>
      <c r="GHR46" s="375"/>
      <c r="GHS46" s="375"/>
      <c r="GHT46" s="375"/>
      <c r="GHU46" s="375"/>
      <c r="GHV46" s="375"/>
      <c r="GHW46" s="375"/>
      <c r="GHX46" s="375"/>
      <c r="GHY46" s="375"/>
      <c r="GHZ46" s="375"/>
      <c r="GIA46" s="375"/>
      <c r="GIB46" s="375"/>
      <c r="GIC46" s="375"/>
      <c r="GID46" s="375"/>
      <c r="GIE46" s="375"/>
      <c r="GIF46" s="375"/>
      <c r="GIG46" s="375"/>
      <c r="GIH46" s="375"/>
      <c r="GII46" s="375"/>
      <c r="GIJ46" s="375"/>
      <c r="GIK46" s="375"/>
      <c r="GIL46" s="375"/>
      <c r="GIM46" s="375"/>
      <c r="GIN46" s="375"/>
      <c r="GIO46" s="375"/>
      <c r="GIP46" s="375"/>
      <c r="GIQ46" s="375"/>
      <c r="GIR46" s="375"/>
      <c r="GIS46" s="375"/>
      <c r="GIT46" s="375"/>
      <c r="GIU46" s="375"/>
      <c r="GIV46" s="375"/>
      <c r="GIW46" s="375"/>
      <c r="GIX46" s="375"/>
      <c r="GIY46" s="375"/>
      <c r="GIZ46" s="375"/>
      <c r="GJA46" s="375"/>
      <c r="GJB46" s="375"/>
      <c r="GJC46" s="375"/>
      <c r="GJD46" s="375"/>
      <c r="GJE46" s="375"/>
      <c r="GJF46" s="375"/>
      <c r="GJG46" s="375"/>
      <c r="GJH46" s="375"/>
      <c r="GJI46" s="375"/>
      <c r="GJJ46" s="375"/>
      <c r="GJK46" s="375"/>
      <c r="GJL46" s="375"/>
      <c r="GJM46" s="375"/>
      <c r="GJN46" s="375"/>
      <c r="GJO46" s="375"/>
      <c r="GJP46" s="375"/>
      <c r="GJQ46" s="375"/>
      <c r="GJR46" s="375"/>
      <c r="GJS46" s="375"/>
      <c r="GJT46" s="375"/>
      <c r="GJU46" s="375"/>
      <c r="GJV46" s="375"/>
      <c r="GJW46" s="375"/>
      <c r="GJX46" s="375"/>
      <c r="GJY46" s="375"/>
      <c r="GJZ46" s="375"/>
      <c r="GKA46" s="375"/>
      <c r="GKB46" s="375"/>
      <c r="GKC46" s="375"/>
      <c r="GKD46" s="375"/>
      <c r="GKE46" s="375"/>
      <c r="GKF46" s="375"/>
      <c r="GKG46" s="375"/>
      <c r="GKH46" s="375"/>
      <c r="GKI46" s="375"/>
      <c r="GKJ46" s="375"/>
      <c r="GKK46" s="375"/>
      <c r="GKL46" s="375"/>
      <c r="GKM46" s="375"/>
      <c r="GKN46" s="375"/>
      <c r="GKO46" s="375"/>
      <c r="GKP46" s="375"/>
      <c r="GKQ46" s="375"/>
      <c r="GKR46" s="375"/>
      <c r="GKS46" s="375"/>
      <c r="GKT46" s="375"/>
      <c r="GKU46" s="375"/>
      <c r="GKV46" s="375"/>
      <c r="GKW46" s="375"/>
      <c r="GKX46" s="375"/>
      <c r="GKY46" s="375"/>
      <c r="GKZ46" s="375"/>
      <c r="GLA46" s="375"/>
      <c r="GLB46" s="375"/>
      <c r="GLC46" s="375"/>
      <c r="GLD46" s="375"/>
      <c r="GLE46" s="375"/>
      <c r="GLF46" s="375"/>
      <c r="GLG46" s="375"/>
      <c r="GLH46" s="375"/>
      <c r="GLI46" s="375"/>
      <c r="GLJ46" s="375"/>
      <c r="GLK46" s="375"/>
      <c r="GLL46" s="375"/>
      <c r="GLM46" s="375"/>
      <c r="GLN46" s="375"/>
      <c r="GLO46" s="375"/>
      <c r="GLP46" s="375"/>
      <c r="GLQ46" s="375"/>
      <c r="GLR46" s="375"/>
      <c r="GLS46" s="375"/>
      <c r="GLT46" s="375"/>
      <c r="GLU46" s="375"/>
      <c r="GLV46" s="375"/>
      <c r="GLW46" s="375"/>
      <c r="GLX46" s="375"/>
      <c r="GLY46" s="375"/>
      <c r="GLZ46" s="375"/>
      <c r="GMA46" s="375"/>
      <c r="GMB46" s="375"/>
      <c r="GMC46" s="375"/>
      <c r="GMD46" s="375"/>
      <c r="GME46" s="375"/>
      <c r="GMF46" s="375"/>
      <c r="GMG46" s="375"/>
      <c r="GMH46" s="375"/>
      <c r="GMI46" s="375"/>
      <c r="GMJ46" s="375"/>
      <c r="GMK46" s="375"/>
      <c r="GML46" s="375"/>
      <c r="GMM46" s="375"/>
      <c r="GMN46" s="375"/>
      <c r="GMO46" s="375"/>
      <c r="GMP46" s="375"/>
      <c r="GMQ46" s="375"/>
      <c r="GMR46" s="375"/>
      <c r="GMS46" s="375"/>
      <c r="GMT46" s="375"/>
      <c r="GMU46" s="375"/>
      <c r="GMV46" s="375"/>
      <c r="GMW46" s="375"/>
      <c r="GMX46" s="375"/>
      <c r="GMY46" s="375"/>
      <c r="GMZ46" s="375"/>
      <c r="GNA46" s="375"/>
      <c r="GNB46" s="375"/>
      <c r="GNC46" s="375"/>
      <c r="GND46" s="375"/>
      <c r="GNE46" s="375"/>
      <c r="GNF46" s="375"/>
      <c r="GNG46" s="375"/>
      <c r="GNH46" s="375"/>
      <c r="GNI46" s="375"/>
      <c r="GNJ46" s="375"/>
      <c r="GNK46" s="375"/>
      <c r="GNL46" s="375"/>
      <c r="GNM46" s="375"/>
      <c r="GNN46" s="375"/>
      <c r="GNO46" s="375"/>
      <c r="GNP46" s="375"/>
      <c r="GNQ46" s="375"/>
      <c r="GNR46" s="375"/>
      <c r="GNS46" s="375"/>
      <c r="GNT46" s="375"/>
      <c r="GNU46" s="375"/>
      <c r="GNV46" s="375"/>
      <c r="GNW46" s="375"/>
      <c r="GNX46" s="375"/>
      <c r="GNY46" s="375"/>
      <c r="GNZ46" s="375"/>
      <c r="GOA46" s="375"/>
      <c r="GOB46" s="375"/>
      <c r="GOC46" s="375"/>
      <c r="GOD46" s="375"/>
      <c r="GOE46" s="375"/>
      <c r="GOF46" s="375"/>
      <c r="GOG46" s="375"/>
      <c r="GOH46" s="375"/>
      <c r="GOI46" s="375"/>
      <c r="GOJ46" s="375"/>
      <c r="GOK46" s="375"/>
      <c r="GOL46" s="375"/>
      <c r="GOM46" s="375"/>
      <c r="GON46" s="375"/>
      <c r="GOO46" s="375"/>
      <c r="GOP46" s="375"/>
      <c r="GOQ46" s="375"/>
      <c r="GOR46" s="375"/>
      <c r="GOS46" s="375"/>
      <c r="GOT46" s="375"/>
      <c r="GOU46" s="375"/>
      <c r="GOV46" s="375"/>
      <c r="GOW46" s="375"/>
      <c r="GOX46" s="375"/>
      <c r="GOY46" s="375"/>
      <c r="GOZ46" s="375"/>
      <c r="GPA46" s="375"/>
      <c r="GPB46" s="375"/>
      <c r="GPC46" s="375"/>
      <c r="GPD46" s="375"/>
      <c r="GPE46" s="375"/>
      <c r="GPF46" s="375"/>
      <c r="GPG46" s="375"/>
      <c r="GPH46" s="375"/>
      <c r="GPI46" s="375"/>
      <c r="GPJ46" s="375"/>
      <c r="GPK46" s="375"/>
      <c r="GPL46" s="375"/>
      <c r="GPM46" s="375"/>
      <c r="GPN46" s="375"/>
      <c r="GPO46" s="375"/>
      <c r="GPP46" s="375"/>
      <c r="GPQ46" s="375"/>
      <c r="GPR46" s="375"/>
      <c r="GPS46" s="375"/>
      <c r="GPT46" s="375"/>
      <c r="GPU46" s="375"/>
      <c r="GPV46" s="375"/>
      <c r="GPW46" s="375"/>
      <c r="GPX46" s="375"/>
      <c r="GPY46" s="375"/>
      <c r="GPZ46" s="375"/>
      <c r="GQA46" s="375"/>
      <c r="GQB46" s="375"/>
      <c r="GQC46" s="375"/>
      <c r="GQD46" s="375"/>
      <c r="GQE46" s="375"/>
      <c r="GQF46" s="375"/>
      <c r="GQG46" s="375"/>
      <c r="GQH46" s="375"/>
      <c r="GQI46" s="375"/>
      <c r="GQJ46" s="375"/>
      <c r="GQK46" s="375"/>
      <c r="GQL46" s="375"/>
      <c r="GQM46" s="375"/>
      <c r="GQN46" s="375"/>
      <c r="GQO46" s="375"/>
      <c r="GQP46" s="375"/>
      <c r="GQQ46" s="375"/>
      <c r="GQR46" s="375"/>
      <c r="GQS46" s="375"/>
      <c r="GQT46" s="375"/>
      <c r="GQU46" s="375"/>
      <c r="GQV46" s="375"/>
      <c r="GQW46" s="375"/>
      <c r="GQX46" s="375"/>
      <c r="GQY46" s="375"/>
      <c r="GQZ46" s="375"/>
      <c r="GRA46" s="375"/>
      <c r="GRB46" s="375"/>
      <c r="GRC46" s="375"/>
      <c r="GRD46" s="375"/>
      <c r="GRE46" s="375"/>
      <c r="GRF46" s="375"/>
      <c r="GRG46" s="375"/>
      <c r="GRH46" s="375"/>
      <c r="GRI46" s="375"/>
      <c r="GRJ46" s="375"/>
      <c r="GRK46" s="375"/>
      <c r="GRL46" s="375"/>
      <c r="GRM46" s="375"/>
      <c r="GRN46" s="375"/>
      <c r="GRO46" s="375"/>
      <c r="GRP46" s="375"/>
      <c r="GRQ46" s="375"/>
      <c r="GRR46" s="375"/>
      <c r="GRS46" s="375"/>
      <c r="GRT46" s="375"/>
      <c r="GRU46" s="375"/>
      <c r="GRV46" s="375"/>
      <c r="GRW46" s="375"/>
      <c r="GRX46" s="375"/>
      <c r="GRY46" s="375"/>
      <c r="GRZ46" s="375"/>
      <c r="GSA46" s="375"/>
      <c r="GSB46" s="375"/>
      <c r="GSC46" s="375"/>
      <c r="GSD46" s="375"/>
      <c r="GSE46" s="375"/>
      <c r="GSF46" s="375"/>
      <c r="GSG46" s="375"/>
      <c r="GSH46" s="375"/>
      <c r="GSI46" s="375"/>
      <c r="GSJ46" s="375"/>
      <c r="GSK46" s="375"/>
      <c r="GSL46" s="375"/>
      <c r="GSM46" s="375"/>
      <c r="GSN46" s="375"/>
      <c r="GSO46" s="375"/>
      <c r="GSP46" s="375"/>
      <c r="GSQ46" s="375"/>
      <c r="GSR46" s="375"/>
      <c r="GSS46" s="375"/>
      <c r="GST46" s="375"/>
      <c r="GSU46" s="375"/>
      <c r="GSV46" s="375"/>
      <c r="GSW46" s="375"/>
      <c r="GSX46" s="375"/>
      <c r="GSY46" s="375"/>
      <c r="GSZ46" s="375"/>
      <c r="GTA46" s="375"/>
      <c r="GTB46" s="375"/>
      <c r="GTC46" s="375"/>
      <c r="GTD46" s="375"/>
      <c r="GTE46" s="375"/>
      <c r="GTF46" s="375"/>
      <c r="GTG46" s="375"/>
      <c r="GTH46" s="375"/>
      <c r="GTI46" s="375"/>
      <c r="GTJ46" s="375"/>
      <c r="GTK46" s="375"/>
      <c r="GTL46" s="375"/>
      <c r="GTM46" s="375"/>
      <c r="GTN46" s="375"/>
      <c r="GTO46" s="375"/>
      <c r="GTP46" s="375"/>
      <c r="GTQ46" s="375"/>
      <c r="GTR46" s="375"/>
      <c r="GTS46" s="375"/>
      <c r="GTT46" s="375"/>
      <c r="GTU46" s="375"/>
      <c r="GTV46" s="375"/>
      <c r="GTW46" s="375"/>
      <c r="GTX46" s="375"/>
      <c r="GTY46" s="375"/>
      <c r="GTZ46" s="375"/>
      <c r="GUA46" s="375"/>
      <c r="GUB46" s="375"/>
      <c r="GUC46" s="375"/>
      <c r="GUD46" s="375"/>
      <c r="GUE46" s="375"/>
      <c r="GUF46" s="375"/>
      <c r="GUG46" s="375"/>
      <c r="GUH46" s="375"/>
      <c r="GUI46" s="375"/>
      <c r="GUJ46" s="375"/>
      <c r="GUK46" s="375"/>
      <c r="GUL46" s="375"/>
      <c r="GUM46" s="375"/>
      <c r="GUN46" s="375"/>
      <c r="GUO46" s="375"/>
      <c r="GUP46" s="375"/>
      <c r="GUQ46" s="375"/>
      <c r="GUR46" s="375"/>
      <c r="GUS46" s="375"/>
      <c r="GUT46" s="375"/>
      <c r="GUU46" s="375"/>
      <c r="GUV46" s="375"/>
      <c r="GUW46" s="375"/>
      <c r="GUX46" s="375"/>
      <c r="GUY46" s="375"/>
      <c r="GUZ46" s="375"/>
      <c r="GVA46" s="375"/>
      <c r="GVB46" s="375"/>
      <c r="GVC46" s="375"/>
      <c r="GVD46" s="375"/>
      <c r="GVE46" s="375"/>
      <c r="GVF46" s="375"/>
      <c r="GVG46" s="375"/>
      <c r="GVH46" s="375"/>
      <c r="GVI46" s="375"/>
      <c r="GVJ46" s="375"/>
      <c r="GVK46" s="375"/>
      <c r="GVL46" s="375"/>
      <c r="GVM46" s="375"/>
      <c r="GVN46" s="375"/>
      <c r="GVO46" s="375"/>
      <c r="GVP46" s="375"/>
      <c r="GVQ46" s="375"/>
      <c r="GVR46" s="375"/>
      <c r="GVS46" s="375"/>
      <c r="GVT46" s="375"/>
      <c r="GVU46" s="375"/>
      <c r="GVV46" s="375"/>
      <c r="GVW46" s="375"/>
      <c r="GVX46" s="375"/>
      <c r="GVY46" s="375"/>
      <c r="GVZ46" s="375"/>
      <c r="GWA46" s="375"/>
      <c r="GWB46" s="375"/>
      <c r="GWC46" s="375"/>
      <c r="GWD46" s="375"/>
      <c r="GWE46" s="375"/>
      <c r="GWF46" s="375"/>
      <c r="GWG46" s="375"/>
      <c r="GWH46" s="375"/>
      <c r="GWI46" s="375"/>
      <c r="GWJ46" s="375"/>
      <c r="GWK46" s="375"/>
      <c r="GWL46" s="375"/>
      <c r="GWM46" s="375"/>
      <c r="GWN46" s="375"/>
      <c r="GWO46" s="375"/>
      <c r="GWP46" s="375"/>
      <c r="GWQ46" s="375"/>
      <c r="GWR46" s="375"/>
      <c r="GWS46" s="375"/>
      <c r="GWT46" s="375"/>
      <c r="GWU46" s="375"/>
      <c r="GWV46" s="375"/>
      <c r="GWW46" s="375"/>
      <c r="GWX46" s="375"/>
      <c r="GWY46" s="375"/>
      <c r="GWZ46" s="375"/>
      <c r="GXA46" s="375"/>
      <c r="GXB46" s="375"/>
      <c r="GXC46" s="375"/>
      <c r="GXD46" s="375"/>
      <c r="GXE46" s="375"/>
      <c r="GXF46" s="375"/>
      <c r="GXG46" s="375"/>
      <c r="GXH46" s="375"/>
      <c r="GXI46" s="375"/>
      <c r="GXJ46" s="375"/>
      <c r="GXK46" s="375"/>
      <c r="GXL46" s="375"/>
      <c r="GXM46" s="375"/>
      <c r="GXN46" s="375"/>
      <c r="GXO46" s="375"/>
      <c r="GXP46" s="375"/>
      <c r="GXQ46" s="375"/>
      <c r="GXR46" s="375"/>
      <c r="GXS46" s="375"/>
      <c r="GXT46" s="375"/>
      <c r="GXU46" s="375"/>
      <c r="GXV46" s="375"/>
      <c r="GXW46" s="375"/>
      <c r="GXX46" s="375"/>
      <c r="GXY46" s="375"/>
      <c r="GXZ46" s="375"/>
      <c r="GYA46" s="375"/>
      <c r="GYB46" s="375"/>
      <c r="GYC46" s="375"/>
      <c r="GYD46" s="375"/>
      <c r="GYE46" s="375"/>
      <c r="GYF46" s="375"/>
      <c r="GYG46" s="375"/>
      <c r="GYH46" s="375"/>
      <c r="GYI46" s="375"/>
      <c r="GYJ46" s="375"/>
      <c r="GYK46" s="375"/>
      <c r="GYL46" s="375"/>
      <c r="GYM46" s="375"/>
      <c r="GYN46" s="375"/>
      <c r="GYO46" s="375"/>
      <c r="GYP46" s="375"/>
      <c r="GYQ46" s="375"/>
      <c r="GYR46" s="375"/>
      <c r="GYS46" s="375"/>
      <c r="GYT46" s="375"/>
      <c r="GYU46" s="375"/>
      <c r="GYV46" s="375"/>
      <c r="GYW46" s="375"/>
      <c r="GYX46" s="375"/>
      <c r="GYY46" s="375"/>
      <c r="GYZ46" s="375"/>
      <c r="GZA46" s="375"/>
      <c r="GZB46" s="375"/>
      <c r="GZC46" s="375"/>
      <c r="GZD46" s="375"/>
      <c r="GZE46" s="375"/>
      <c r="GZF46" s="375"/>
      <c r="GZG46" s="375"/>
      <c r="GZH46" s="375"/>
      <c r="GZI46" s="375"/>
      <c r="GZJ46" s="375"/>
      <c r="GZK46" s="375"/>
      <c r="GZL46" s="375"/>
      <c r="GZM46" s="375"/>
      <c r="GZN46" s="375"/>
      <c r="GZO46" s="375"/>
      <c r="GZP46" s="375"/>
      <c r="GZQ46" s="375"/>
      <c r="GZR46" s="375"/>
      <c r="GZS46" s="375"/>
      <c r="GZT46" s="375"/>
      <c r="GZU46" s="375"/>
      <c r="GZV46" s="375"/>
      <c r="GZW46" s="375"/>
      <c r="GZX46" s="375"/>
      <c r="GZY46" s="375"/>
      <c r="GZZ46" s="375"/>
      <c r="HAA46" s="375"/>
      <c r="HAB46" s="375"/>
      <c r="HAC46" s="375"/>
      <c r="HAD46" s="375"/>
      <c r="HAE46" s="375"/>
      <c r="HAF46" s="375"/>
      <c r="HAG46" s="375"/>
      <c r="HAH46" s="375"/>
      <c r="HAI46" s="375"/>
      <c r="HAJ46" s="375"/>
      <c r="HAK46" s="375"/>
      <c r="HAL46" s="375"/>
      <c r="HAM46" s="375"/>
      <c r="HAN46" s="375"/>
      <c r="HAO46" s="375"/>
      <c r="HAP46" s="375"/>
      <c r="HAQ46" s="375"/>
      <c r="HAR46" s="375"/>
      <c r="HAS46" s="375"/>
      <c r="HAT46" s="375"/>
      <c r="HAU46" s="375"/>
      <c r="HAV46" s="375"/>
      <c r="HAW46" s="375"/>
      <c r="HAX46" s="375"/>
      <c r="HAY46" s="375"/>
      <c r="HAZ46" s="375"/>
      <c r="HBA46" s="375"/>
      <c r="HBB46" s="375"/>
      <c r="HBC46" s="375"/>
      <c r="HBD46" s="375"/>
      <c r="HBE46" s="375"/>
      <c r="HBF46" s="375"/>
      <c r="HBG46" s="375"/>
      <c r="HBH46" s="375"/>
      <c r="HBI46" s="375"/>
      <c r="HBJ46" s="375"/>
      <c r="HBK46" s="375"/>
      <c r="HBL46" s="375"/>
      <c r="HBM46" s="375"/>
      <c r="HBN46" s="375"/>
      <c r="HBO46" s="375"/>
      <c r="HBP46" s="375"/>
      <c r="HBQ46" s="375"/>
      <c r="HBR46" s="375"/>
      <c r="HBS46" s="375"/>
      <c r="HBT46" s="375"/>
      <c r="HBU46" s="375"/>
      <c r="HBV46" s="375"/>
      <c r="HBW46" s="375"/>
      <c r="HBX46" s="375"/>
      <c r="HBY46" s="375"/>
      <c r="HBZ46" s="375"/>
      <c r="HCA46" s="375"/>
      <c r="HCB46" s="375"/>
      <c r="HCC46" s="375"/>
      <c r="HCD46" s="375"/>
      <c r="HCE46" s="375"/>
      <c r="HCF46" s="375"/>
      <c r="HCG46" s="375"/>
      <c r="HCH46" s="375"/>
      <c r="HCI46" s="375"/>
      <c r="HCJ46" s="375"/>
      <c r="HCK46" s="375"/>
      <c r="HCL46" s="375"/>
      <c r="HCM46" s="375"/>
      <c r="HCN46" s="375"/>
      <c r="HCO46" s="375"/>
      <c r="HCP46" s="375"/>
      <c r="HCQ46" s="375"/>
      <c r="HCR46" s="375"/>
      <c r="HCS46" s="375"/>
      <c r="HCT46" s="375"/>
      <c r="HCU46" s="375"/>
      <c r="HCV46" s="375"/>
      <c r="HCW46" s="375"/>
      <c r="HCX46" s="375"/>
      <c r="HCY46" s="375"/>
      <c r="HCZ46" s="375"/>
      <c r="HDA46" s="375"/>
      <c r="HDB46" s="375"/>
      <c r="HDC46" s="375"/>
      <c r="HDD46" s="375"/>
      <c r="HDE46" s="375"/>
      <c r="HDF46" s="375"/>
      <c r="HDG46" s="375"/>
      <c r="HDH46" s="375"/>
      <c r="HDI46" s="375"/>
      <c r="HDJ46" s="375"/>
      <c r="HDK46" s="375"/>
      <c r="HDL46" s="375"/>
      <c r="HDM46" s="375"/>
      <c r="HDN46" s="375"/>
      <c r="HDO46" s="375"/>
      <c r="HDP46" s="375"/>
      <c r="HDQ46" s="375"/>
      <c r="HDR46" s="375"/>
      <c r="HDS46" s="375"/>
      <c r="HDT46" s="375"/>
      <c r="HDU46" s="375"/>
      <c r="HDV46" s="375"/>
      <c r="HDW46" s="375"/>
      <c r="HDX46" s="375"/>
      <c r="HDY46" s="375"/>
      <c r="HDZ46" s="375"/>
      <c r="HEA46" s="375"/>
      <c r="HEB46" s="375"/>
      <c r="HEC46" s="375"/>
      <c r="HED46" s="375"/>
      <c r="HEE46" s="375"/>
      <c r="HEF46" s="375"/>
      <c r="HEG46" s="375"/>
      <c r="HEH46" s="375"/>
      <c r="HEI46" s="375"/>
      <c r="HEJ46" s="375"/>
      <c r="HEK46" s="375"/>
      <c r="HEL46" s="375"/>
      <c r="HEM46" s="375"/>
      <c r="HEN46" s="375"/>
      <c r="HEO46" s="375"/>
      <c r="HEP46" s="375"/>
      <c r="HEQ46" s="375"/>
      <c r="HER46" s="375"/>
      <c r="HES46" s="375"/>
      <c r="HET46" s="375"/>
      <c r="HEU46" s="375"/>
      <c r="HEV46" s="375"/>
      <c r="HEW46" s="375"/>
      <c r="HEX46" s="375"/>
      <c r="HEY46" s="375"/>
      <c r="HEZ46" s="375"/>
      <c r="HFA46" s="375"/>
      <c r="HFB46" s="375"/>
      <c r="HFC46" s="375"/>
      <c r="HFD46" s="375"/>
      <c r="HFE46" s="375"/>
      <c r="HFF46" s="375"/>
      <c r="HFG46" s="375"/>
      <c r="HFH46" s="375"/>
      <c r="HFI46" s="375"/>
      <c r="HFJ46" s="375"/>
      <c r="HFK46" s="375"/>
      <c r="HFL46" s="375"/>
      <c r="HFM46" s="375"/>
      <c r="HFN46" s="375"/>
      <c r="HFO46" s="375"/>
      <c r="HFP46" s="375"/>
      <c r="HFQ46" s="375"/>
      <c r="HFR46" s="375"/>
      <c r="HFS46" s="375"/>
      <c r="HFT46" s="375"/>
      <c r="HFU46" s="375"/>
      <c r="HFV46" s="375"/>
      <c r="HFW46" s="375"/>
      <c r="HFX46" s="375"/>
      <c r="HFY46" s="375"/>
      <c r="HFZ46" s="375"/>
      <c r="HGA46" s="375"/>
      <c r="HGB46" s="375"/>
      <c r="HGC46" s="375"/>
      <c r="HGD46" s="375"/>
      <c r="HGE46" s="375"/>
      <c r="HGF46" s="375"/>
      <c r="HGG46" s="375"/>
      <c r="HGH46" s="375"/>
      <c r="HGI46" s="375"/>
      <c r="HGJ46" s="375"/>
      <c r="HGK46" s="375"/>
      <c r="HGL46" s="375"/>
      <c r="HGM46" s="375"/>
      <c r="HGN46" s="375"/>
      <c r="HGO46" s="375"/>
      <c r="HGP46" s="375"/>
      <c r="HGQ46" s="375"/>
      <c r="HGR46" s="375"/>
      <c r="HGS46" s="375"/>
      <c r="HGT46" s="375"/>
      <c r="HGU46" s="375"/>
      <c r="HGV46" s="375"/>
      <c r="HGW46" s="375"/>
      <c r="HGX46" s="375"/>
      <c r="HGY46" s="375"/>
      <c r="HGZ46" s="375"/>
      <c r="HHA46" s="375"/>
      <c r="HHB46" s="375"/>
      <c r="HHC46" s="375"/>
      <c r="HHD46" s="375"/>
      <c r="HHE46" s="375"/>
      <c r="HHF46" s="375"/>
      <c r="HHG46" s="375"/>
      <c r="HHH46" s="375"/>
      <c r="HHI46" s="375"/>
      <c r="HHJ46" s="375"/>
      <c r="HHK46" s="375"/>
      <c r="HHL46" s="375"/>
      <c r="HHM46" s="375"/>
      <c r="HHN46" s="375"/>
      <c r="HHO46" s="375"/>
      <c r="HHP46" s="375"/>
      <c r="HHQ46" s="375"/>
      <c r="HHR46" s="375"/>
      <c r="HHS46" s="375"/>
      <c r="HHT46" s="375"/>
      <c r="HHU46" s="375"/>
      <c r="HHV46" s="375"/>
      <c r="HHW46" s="375"/>
      <c r="HHX46" s="375"/>
      <c r="HHY46" s="375"/>
      <c r="HHZ46" s="375"/>
      <c r="HIA46" s="375"/>
      <c r="HIB46" s="375"/>
      <c r="HIC46" s="375"/>
      <c r="HID46" s="375"/>
      <c r="HIE46" s="375"/>
      <c r="HIF46" s="375"/>
      <c r="HIG46" s="375"/>
      <c r="HIH46" s="375"/>
      <c r="HII46" s="375"/>
      <c r="HIJ46" s="375"/>
      <c r="HIK46" s="375"/>
      <c r="HIL46" s="375"/>
      <c r="HIM46" s="375"/>
      <c r="HIN46" s="375"/>
      <c r="HIO46" s="375"/>
      <c r="HIP46" s="375"/>
      <c r="HIQ46" s="375"/>
      <c r="HIR46" s="375"/>
      <c r="HIS46" s="375"/>
      <c r="HIT46" s="375"/>
      <c r="HIU46" s="375"/>
      <c r="HIV46" s="375"/>
      <c r="HIW46" s="375"/>
      <c r="HIX46" s="375"/>
      <c r="HIY46" s="375"/>
      <c r="HIZ46" s="375"/>
      <c r="HJA46" s="375"/>
      <c r="HJB46" s="375"/>
      <c r="HJC46" s="375"/>
      <c r="HJD46" s="375"/>
      <c r="HJE46" s="375"/>
      <c r="HJF46" s="375"/>
      <c r="HJG46" s="375"/>
      <c r="HJH46" s="375"/>
      <c r="HJI46" s="375"/>
      <c r="HJJ46" s="375"/>
      <c r="HJK46" s="375"/>
      <c r="HJL46" s="375"/>
      <c r="HJM46" s="375"/>
      <c r="HJN46" s="375"/>
      <c r="HJO46" s="375"/>
      <c r="HJP46" s="375"/>
      <c r="HJQ46" s="375"/>
      <c r="HJR46" s="375"/>
      <c r="HJS46" s="375"/>
      <c r="HJT46" s="375"/>
      <c r="HJU46" s="375"/>
      <c r="HJV46" s="375"/>
      <c r="HJW46" s="375"/>
      <c r="HJX46" s="375"/>
      <c r="HJY46" s="375"/>
      <c r="HJZ46" s="375"/>
      <c r="HKA46" s="375"/>
      <c r="HKB46" s="375"/>
      <c r="HKC46" s="375"/>
      <c r="HKD46" s="375"/>
      <c r="HKE46" s="375"/>
      <c r="HKF46" s="375"/>
      <c r="HKG46" s="375"/>
      <c r="HKH46" s="375"/>
      <c r="HKI46" s="375"/>
      <c r="HKJ46" s="375"/>
      <c r="HKK46" s="375"/>
      <c r="HKL46" s="375"/>
      <c r="HKM46" s="375"/>
      <c r="HKN46" s="375"/>
      <c r="HKO46" s="375"/>
      <c r="HKP46" s="375"/>
      <c r="HKQ46" s="375"/>
      <c r="HKR46" s="375"/>
      <c r="HKS46" s="375"/>
      <c r="HKT46" s="375"/>
      <c r="HKU46" s="375"/>
      <c r="HKV46" s="375"/>
      <c r="HKW46" s="375"/>
      <c r="HKX46" s="375"/>
      <c r="HKY46" s="375"/>
      <c r="HKZ46" s="375"/>
      <c r="HLA46" s="375"/>
      <c r="HLB46" s="375"/>
      <c r="HLC46" s="375"/>
      <c r="HLD46" s="375"/>
      <c r="HLE46" s="375"/>
      <c r="HLF46" s="375"/>
      <c r="HLG46" s="375"/>
      <c r="HLH46" s="375"/>
      <c r="HLI46" s="375"/>
      <c r="HLJ46" s="375"/>
      <c r="HLK46" s="375"/>
      <c r="HLL46" s="375"/>
      <c r="HLM46" s="375"/>
      <c r="HLN46" s="375"/>
      <c r="HLO46" s="375"/>
      <c r="HLP46" s="375"/>
      <c r="HLQ46" s="375"/>
      <c r="HLR46" s="375"/>
      <c r="HLS46" s="375"/>
      <c r="HLT46" s="375"/>
      <c r="HLU46" s="375"/>
      <c r="HLV46" s="375"/>
      <c r="HLW46" s="375"/>
      <c r="HLX46" s="375"/>
      <c r="HLY46" s="375"/>
      <c r="HLZ46" s="375"/>
      <c r="HMA46" s="375"/>
      <c r="HMB46" s="375"/>
      <c r="HMC46" s="375"/>
      <c r="HMD46" s="375"/>
      <c r="HME46" s="375"/>
      <c r="HMF46" s="375"/>
      <c r="HMG46" s="375"/>
      <c r="HMH46" s="375"/>
      <c r="HMI46" s="375"/>
      <c r="HMJ46" s="375"/>
      <c r="HMK46" s="375"/>
      <c r="HML46" s="375"/>
      <c r="HMM46" s="375"/>
      <c r="HMN46" s="375"/>
      <c r="HMO46" s="375"/>
      <c r="HMP46" s="375"/>
      <c r="HMQ46" s="375"/>
      <c r="HMR46" s="375"/>
      <c r="HMS46" s="375"/>
      <c r="HMT46" s="375"/>
      <c r="HMU46" s="375"/>
      <c r="HMV46" s="375"/>
      <c r="HMW46" s="375"/>
      <c r="HMX46" s="375"/>
      <c r="HMY46" s="375"/>
      <c r="HMZ46" s="375"/>
      <c r="HNA46" s="375"/>
      <c r="HNB46" s="375"/>
      <c r="HNC46" s="375"/>
      <c r="HND46" s="375"/>
      <c r="HNE46" s="375"/>
      <c r="HNF46" s="375"/>
      <c r="HNG46" s="375"/>
      <c r="HNH46" s="375"/>
      <c r="HNI46" s="375"/>
      <c r="HNJ46" s="375"/>
      <c r="HNK46" s="375"/>
      <c r="HNL46" s="375"/>
      <c r="HNM46" s="375"/>
      <c r="HNN46" s="375"/>
      <c r="HNO46" s="375"/>
      <c r="HNP46" s="375"/>
      <c r="HNQ46" s="375"/>
      <c r="HNR46" s="375"/>
      <c r="HNS46" s="375"/>
      <c r="HNT46" s="375"/>
      <c r="HNU46" s="375"/>
      <c r="HNV46" s="375"/>
      <c r="HNW46" s="375"/>
      <c r="HNX46" s="375"/>
      <c r="HNY46" s="375"/>
      <c r="HNZ46" s="375"/>
      <c r="HOA46" s="375"/>
      <c r="HOB46" s="375"/>
      <c r="HOC46" s="375"/>
      <c r="HOD46" s="375"/>
      <c r="HOE46" s="375"/>
      <c r="HOF46" s="375"/>
      <c r="HOG46" s="375"/>
      <c r="HOH46" s="375"/>
      <c r="HOI46" s="375"/>
      <c r="HOJ46" s="375"/>
      <c r="HOK46" s="375"/>
      <c r="HOL46" s="375"/>
      <c r="HOM46" s="375"/>
      <c r="HON46" s="375"/>
      <c r="HOO46" s="375"/>
      <c r="HOP46" s="375"/>
      <c r="HOQ46" s="375"/>
      <c r="HOR46" s="375"/>
      <c r="HOS46" s="375"/>
      <c r="HOT46" s="375"/>
      <c r="HOU46" s="375"/>
      <c r="HOV46" s="375"/>
      <c r="HOW46" s="375"/>
      <c r="HOX46" s="375"/>
      <c r="HOY46" s="375"/>
      <c r="HOZ46" s="375"/>
      <c r="HPA46" s="375"/>
      <c r="HPB46" s="375"/>
      <c r="HPC46" s="375"/>
      <c r="HPD46" s="375"/>
      <c r="HPE46" s="375"/>
      <c r="HPF46" s="375"/>
      <c r="HPG46" s="375"/>
      <c r="HPH46" s="375"/>
      <c r="HPI46" s="375"/>
      <c r="HPJ46" s="375"/>
      <c r="HPK46" s="375"/>
      <c r="HPL46" s="375"/>
      <c r="HPM46" s="375"/>
      <c r="HPN46" s="375"/>
      <c r="HPO46" s="375"/>
      <c r="HPP46" s="375"/>
      <c r="HPQ46" s="375"/>
      <c r="HPR46" s="375"/>
      <c r="HPS46" s="375"/>
      <c r="HPT46" s="375"/>
      <c r="HPU46" s="375"/>
      <c r="HPV46" s="375"/>
      <c r="HPW46" s="375"/>
      <c r="HPX46" s="375"/>
      <c r="HPY46" s="375"/>
      <c r="HPZ46" s="375"/>
      <c r="HQA46" s="375"/>
      <c r="HQB46" s="375"/>
      <c r="HQC46" s="375"/>
      <c r="HQD46" s="375"/>
      <c r="HQE46" s="375"/>
      <c r="HQF46" s="375"/>
      <c r="HQG46" s="375"/>
      <c r="HQH46" s="375"/>
      <c r="HQI46" s="375"/>
      <c r="HQJ46" s="375"/>
      <c r="HQK46" s="375"/>
      <c r="HQL46" s="375"/>
      <c r="HQM46" s="375"/>
      <c r="HQN46" s="375"/>
      <c r="HQO46" s="375"/>
      <c r="HQP46" s="375"/>
      <c r="HQQ46" s="375"/>
      <c r="HQR46" s="375"/>
      <c r="HQS46" s="375"/>
      <c r="HQT46" s="375"/>
      <c r="HQU46" s="375"/>
      <c r="HQV46" s="375"/>
      <c r="HQW46" s="375"/>
      <c r="HQX46" s="375"/>
      <c r="HQY46" s="375"/>
      <c r="HQZ46" s="375"/>
      <c r="HRA46" s="375"/>
      <c r="HRB46" s="375"/>
      <c r="HRC46" s="375"/>
      <c r="HRD46" s="375"/>
      <c r="HRE46" s="375"/>
      <c r="HRF46" s="375"/>
      <c r="HRG46" s="375"/>
      <c r="HRH46" s="375"/>
      <c r="HRI46" s="375"/>
      <c r="HRJ46" s="375"/>
      <c r="HRK46" s="375"/>
      <c r="HRL46" s="375"/>
      <c r="HRM46" s="375"/>
      <c r="HRN46" s="375"/>
      <c r="HRO46" s="375"/>
      <c r="HRP46" s="375"/>
      <c r="HRQ46" s="375"/>
      <c r="HRR46" s="375"/>
      <c r="HRS46" s="375"/>
      <c r="HRT46" s="375"/>
      <c r="HRU46" s="375"/>
      <c r="HRV46" s="375"/>
      <c r="HRW46" s="375"/>
      <c r="HRX46" s="375"/>
      <c r="HRY46" s="375"/>
      <c r="HRZ46" s="375"/>
      <c r="HSA46" s="375"/>
      <c r="HSB46" s="375"/>
      <c r="HSC46" s="375"/>
      <c r="HSD46" s="375"/>
      <c r="HSE46" s="375"/>
      <c r="HSF46" s="375"/>
      <c r="HSG46" s="375"/>
      <c r="HSH46" s="375"/>
      <c r="HSI46" s="375"/>
      <c r="HSJ46" s="375"/>
      <c r="HSK46" s="375"/>
      <c r="HSL46" s="375"/>
      <c r="HSM46" s="375"/>
      <c r="HSN46" s="375"/>
      <c r="HSO46" s="375"/>
      <c r="HSP46" s="375"/>
      <c r="HSQ46" s="375"/>
      <c r="HSR46" s="375"/>
      <c r="HSS46" s="375"/>
      <c r="HST46" s="375"/>
      <c r="HSU46" s="375"/>
      <c r="HSV46" s="375"/>
      <c r="HSW46" s="375"/>
      <c r="HSX46" s="375"/>
      <c r="HSY46" s="375"/>
      <c r="HSZ46" s="375"/>
      <c r="HTA46" s="375"/>
      <c r="HTB46" s="375"/>
      <c r="HTC46" s="375"/>
      <c r="HTD46" s="375"/>
      <c r="HTE46" s="375"/>
      <c r="HTF46" s="375"/>
      <c r="HTG46" s="375"/>
      <c r="HTH46" s="375"/>
      <c r="HTI46" s="375"/>
      <c r="HTJ46" s="375"/>
      <c r="HTK46" s="375"/>
      <c r="HTL46" s="375"/>
      <c r="HTM46" s="375"/>
      <c r="HTN46" s="375"/>
      <c r="HTO46" s="375"/>
      <c r="HTP46" s="375"/>
      <c r="HTQ46" s="375"/>
      <c r="HTR46" s="375"/>
      <c r="HTS46" s="375"/>
      <c r="HTT46" s="375"/>
      <c r="HTU46" s="375"/>
      <c r="HTV46" s="375"/>
      <c r="HTW46" s="375"/>
      <c r="HTX46" s="375"/>
      <c r="HTY46" s="375"/>
      <c r="HTZ46" s="375"/>
      <c r="HUA46" s="375"/>
      <c r="HUB46" s="375"/>
      <c r="HUC46" s="375"/>
      <c r="HUD46" s="375"/>
      <c r="HUE46" s="375"/>
      <c r="HUF46" s="375"/>
      <c r="HUG46" s="375"/>
      <c r="HUH46" s="375"/>
      <c r="HUI46" s="375"/>
      <c r="HUJ46" s="375"/>
      <c r="HUK46" s="375"/>
      <c r="HUL46" s="375"/>
      <c r="HUM46" s="375"/>
      <c r="HUN46" s="375"/>
      <c r="HUO46" s="375"/>
      <c r="HUP46" s="375"/>
      <c r="HUQ46" s="375"/>
      <c r="HUR46" s="375"/>
      <c r="HUS46" s="375"/>
      <c r="HUT46" s="375"/>
      <c r="HUU46" s="375"/>
      <c r="HUV46" s="375"/>
      <c r="HUW46" s="375"/>
      <c r="HUX46" s="375"/>
      <c r="HUY46" s="375"/>
      <c r="HUZ46" s="375"/>
      <c r="HVA46" s="375"/>
      <c r="HVB46" s="375"/>
      <c r="HVC46" s="375"/>
      <c r="HVD46" s="375"/>
      <c r="HVE46" s="375"/>
      <c r="HVF46" s="375"/>
      <c r="HVG46" s="375"/>
      <c r="HVH46" s="375"/>
      <c r="HVI46" s="375"/>
      <c r="HVJ46" s="375"/>
      <c r="HVK46" s="375"/>
      <c r="HVL46" s="375"/>
      <c r="HVM46" s="375"/>
      <c r="HVN46" s="375"/>
      <c r="HVO46" s="375"/>
      <c r="HVP46" s="375"/>
      <c r="HVQ46" s="375"/>
      <c r="HVR46" s="375"/>
      <c r="HVS46" s="375"/>
      <c r="HVT46" s="375"/>
      <c r="HVU46" s="375"/>
      <c r="HVV46" s="375"/>
      <c r="HVW46" s="375"/>
      <c r="HVX46" s="375"/>
      <c r="HVY46" s="375"/>
      <c r="HVZ46" s="375"/>
      <c r="HWA46" s="375"/>
      <c r="HWB46" s="375"/>
      <c r="HWC46" s="375"/>
      <c r="HWD46" s="375"/>
      <c r="HWE46" s="375"/>
      <c r="HWF46" s="375"/>
      <c r="HWG46" s="375"/>
      <c r="HWH46" s="375"/>
      <c r="HWI46" s="375"/>
      <c r="HWJ46" s="375"/>
      <c r="HWK46" s="375"/>
      <c r="HWL46" s="375"/>
      <c r="HWM46" s="375"/>
      <c r="HWN46" s="375"/>
      <c r="HWO46" s="375"/>
      <c r="HWP46" s="375"/>
      <c r="HWQ46" s="375"/>
      <c r="HWR46" s="375"/>
      <c r="HWS46" s="375"/>
      <c r="HWT46" s="375"/>
      <c r="HWU46" s="375"/>
      <c r="HWV46" s="375"/>
      <c r="HWW46" s="375"/>
      <c r="HWX46" s="375"/>
      <c r="HWY46" s="375"/>
      <c r="HWZ46" s="375"/>
      <c r="HXA46" s="375"/>
      <c r="HXB46" s="375"/>
      <c r="HXC46" s="375"/>
      <c r="HXD46" s="375"/>
      <c r="HXE46" s="375"/>
      <c r="HXF46" s="375"/>
      <c r="HXG46" s="375"/>
      <c r="HXH46" s="375"/>
      <c r="HXI46" s="375"/>
      <c r="HXJ46" s="375"/>
      <c r="HXK46" s="375"/>
      <c r="HXL46" s="375"/>
      <c r="HXM46" s="375"/>
      <c r="HXN46" s="375"/>
      <c r="HXO46" s="375"/>
      <c r="HXP46" s="375"/>
      <c r="HXQ46" s="375"/>
      <c r="HXR46" s="375"/>
      <c r="HXS46" s="375"/>
      <c r="HXT46" s="375"/>
      <c r="HXU46" s="375"/>
      <c r="HXV46" s="375"/>
      <c r="HXW46" s="375"/>
      <c r="HXX46" s="375"/>
      <c r="HXY46" s="375"/>
      <c r="HXZ46" s="375"/>
      <c r="HYA46" s="375"/>
      <c r="HYB46" s="375"/>
      <c r="HYC46" s="375"/>
      <c r="HYD46" s="375"/>
      <c r="HYE46" s="375"/>
      <c r="HYF46" s="375"/>
      <c r="HYG46" s="375"/>
      <c r="HYH46" s="375"/>
      <c r="HYI46" s="375"/>
      <c r="HYJ46" s="375"/>
      <c r="HYK46" s="375"/>
      <c r="HYL46" s="375"/>
      <c r="HYM46" s="375"/>
      <c r="HYN46" s="375"/>
      <c r="HYO46" s="375"/>
      <c r="HYP46" s="375"/>
      <c r="HYQ46" s="375"/>
      <c r="HYR46" s="375"/>
      <c r="HYS46" s="375"/>
      <c r="HYT46" s="375"/>
      <c r="HYU46" s="375"/>
      <c r="HYV46" s="375"/>
      <c r="HYW46" s="375"/>
      <c r="HYX46" s="375"/>
      <c r="HYY46" s="375"/>
      <c r="HYZ46" s="375"/>
      <c r="HZA46" s="375"/>
      <c r="HZB46" s="375"/>
      <c r="HZC46" s="375"/>
      <c r="HZD46" s="375"/>
      <c r="HZE46" s="375"/>
      <c r="HZF46" s="375"/>
      <c r="HZG46" s="375"/>
      <c r="HZH46" s="375"/>
      <c r="HZI46" s="375"/>
      <c r="HZJ46" s="375"/>
      <c r="HZK46" s="375"/>
      <c r="HZL46" s="375"/>
      <c r="HZM46" s="375"/>
      <c r="HZN46" s="375"/>
      <c r="HZO46" s="375"/>
      <c r="HZP46" s="375"/>
      <c r="HZQ46" s="375"/>
      <c r="HZR46" s="375"/>
      <c r="HZS46" s="375"/>
      <c r="HZT46" s="375"/>
      <c r="HZU46" s="375"/>
      <c r="HZV46" s="375"/>
      <c r="HZW46" s="375"/>
      <c r="HZX46" s="375"/>
      <c r="HZY46" s="375"/>
      <c r="HZZ46" s="375"/>
      <c r="IAA46" s="375"/>
      <c r="IAB46" s="375"/>
      <c r="IAC46" s="375"/>
      <c r="IAD46" s="375"/>
      <c r="IAE46" s="375"/>
      <c r="IAF46" s="375"/>
      <c r="IAG46" s="375"/>
      <c r="IAH46" s="375"/>
      <c r="IAI46" s="375"/>
      <c r="IAJ46" s="375"/>
      <c r="IAK46" s="375"/>
      <c r="IAL46" s="375"/>
      <c r="IAM46" s="375"/>
      <c r="IAN46" s="375"/>
      <c r="IAO46" s="375"/>
      <c r="IAP46" s="375"/>
      <c r="IAQ46" s="375"/>
      <c r="IAR46" s="375"/>
      <c r="IAS46" s="375"/>
      <c r="IAT46" s="375"/>
      <c r="IAU46" s="375"/>
      <c r="IAV46" s="375"/>
      <c r="IAW46" s="375"/>
      <c r="IAX46" s="375"/>
      <c r="IAY46" s="375"/>
      <c r="IAZ46" s="375"/>
      <c r="IBA46" s="375"/>
      <c r="IBB46" s="375"/>
      <c r="IBC46" s="375"/>
      <c r="IBD46" s="375"/>
      <c r="IBE46" s="375"/>
      <c r="IBF46" s="375"/>
      <c r="IBG46" s="375"/>
      <c r="IBH46" s="375"/>
      <c r="IBI46" s="375"/>
      <c r="IBJ46" s="375"/>
      <c r="IBK46" s="375"/>
      <c r="IBL46" s="375"/>
      <c r="IBM46" s="375"/>
      <c r="IBN46" s="375"/>
      <c r="IBO46" s="375"/>
      <c r="IBP46" s="375"/>
      <c r="IBQ46" s="375"/>
      <c r="IBR46" s="375"/>
      <c r="IBS46" s="375"/>
      <c r="IBT46" s="375"/>
      <c r="IBU46" s="375"/>
      <c r="IBV46" s="375"/>
      <c r="IBW46" s="375"/>
      <c r="IBX46" s="375"/>
      <c r="IBY46" s="375"/>
      <c r="IBZ46" s="375"/>
      <c r="ICA46" s="375"/>
      <c r="ICB46" s="375"/>
      <c r="ICC46" s="375"/>
      <c r="ICD46" s="375"/>
      <c r="ICE46" s="375"/>
      <c r="ICF46" s="375"/>
      <c r="ICG46" s="375"/>
      <c r="ICH46" s="375"/>
      <c r="ICI46" s="375"/>
      <c r="ICJ46" s="375"/>
      <c r="ICK46" s="375"/>
      <c r="ICL46" s="375"/>
      <c r="ICM46" s="375"/>
      <c r="ICN46" s="375"/>
      <c r="ICO46" s="375"/>
      <c r="ICP46" s="375"/>
      <c r="ICQ46" s="375"/>
      <c r="ICR46" s="375"/>
      <c r="ICS46" s="375"/>
      <c r="ICT46" s="375"/>
      <c r="ICU46" s="375"/>
      <c r="ICV46" s="375"/>
      <c r="ICW46" s="375"/>
      <c r="ICX46" s="375"/>
      <c r="ICY46" s="375"/>
      <c r="ICZ46" s="375"/>
      <c r="IDA46" s="375"/>
      <c r="IDB46" s="375"/>
      <c r="IDC46" s="375"/>
      <c r="IDD46" s="375"/>
      <c r="IDE46" s="375"/>
      <c r="IDF46" s="375"/>
      <c r="IDG46" s="375"/>
      <c r="IDH46" s="375"/>
      <c r="IDI46" s="375"/>
      <c r="IDJ46" s="375"/>
      <c r="IDK46" s="375"/>
      <c r="IDL46" s="375"/>
      <c r="IDM46" s="375"/>
      <c r="IDN46" s="375"/>
      <c r="IDO46" s="375"/>
      <c r="IDP46" s="375"/>
      <c r="IDQ46" s="375"/>
      <c r="IDR46" s="375"/>
      <c r="IDS46" s="375"/>
      <c r="IDT46" s="375"/>
      <c r="IDU46" s="375"/>
      <c r="IDV46" s="375"/>
      <c r="IDW46" s="375"/>
      <c r="IDX46" s="375"/>
      <c r="IDY46" s="375"/>
      <c r="IDZ46" s="375"/>
      <c r="IEA46" s="375"/>
      <c r="IEB46" s="375"/>
      <c r="IEC46" s="375"/>
      <c r="IED46" s="375"/>
      <c r="IEE46" s="375"/>
      <c r="IEF46" s="375"/>
      <c r="IEG46" s="375"/>
      <c r="IEH46" s="375"/>
      <c r="IEI46" s="375"/>
      <c r="IEJ46" s="375"/>
      <c r="IEK46" s="375"/>
      <c r="IEL46" s="375"/>
      <c r="IEM46" s="375"/>
      <c r="IEN46" s="375"/>
      <c r="IEO46" s="375"/>
      <c r="IEP46" s="375"/>
      <c r="IEQ46" s="375"/>
      <c r="IER46" s="375"/>
      <c r="IES46" s="375"/>
      <c r="IET46" s="375"/>
      <c r="IEU46" s="375"/>
      <c r="IEV46" s="375"/>
      <c r="IEW46" s="375"/>
      <c r="IEX46" s="375"/>
      <c r="IEY46" s="375"/>
      <c r="IEZ46" s="375"/>
      <c r="IFA46" s="375"/>
      <c r="IFB46" s="375"/>
      <c r="IFC46" s="375"/>
      <c r="IFD46" s="375"/>
      <c r="IFE46" s="375"/>
      <c r="IFF46" s="375"/>
      <c r="IFG46" s="375"/>
      <c r="IFH46" s="375"/>
      <c r="IFI46" s="375"/>
      <c r="IFJ46" s="375"/>
      <c r="IFK46" s="375"/>
      <c r="IFL46" s="375"/>
      <c r="IFM46" s="375"/>
      <c r="IFN46" s="375"/>
      <c r="IFO46" s="375"/>
      <c r="IFP46" s="375"/>
      <c r="IFQ46" s="375"/>
      <c r="IFR46" s="375"/>
      <c r="IFS46" s="375"/>
      <c r="IFT46" s="375"/>
      <c r="IFU46" s="375"/>
      <c r="IFV46" s="375"/>
      <c r="IFW46" s="375"/>
      <c r="IFX46" s="375"/>
      <c r="IFY46" s="375"/>
      <c r="IFZ46" s="375"/>
      <c r="IGA46" s="375"/>
      <c r="IGB46" s="375"/>
      <c r="IGC46" s="375"/>
      <c r="IGD46" s="375"/>
      <c r="IGE46" s="375"/>
      <c r="IGF46" s="375"/>
      <c r="IGG46" s="375"/>
      <c r="IGH46" s="375"/>
      <c r="IGI46" s="375"/>
      <c r="IGJ46" s="375"/>
      <c r="IGK46" s="375"/>
      <c r="IGL46" s="375"/>
      <c r="IGM46" s="375"/>
      <c r="IGN46" s="375"/>
      <c r="IGO46" s="375"/>
      <c r="IGP46" s="375"/>
      <c r="IGQ46" s="375"/>
      <c r="IGR46" s="375"/>
      <c r="IGS46" s="375"/>
      <c r="IGT46" s="375"/>
      <c r="IGU46" s="375"/>
      <c r="IGV46" s="375"/>
      <c r="IGW46" s="375"/>
      <c r="IGX46" s="375"/>
      <c r="IGY46" s="375"/>
      <c r="IGZ46" s="375"/>
      <c r="IHA46" s="375"/>
      <c r="IHB46" s="375"/>
      <c r="IHC46" s="375"/>
      <c r="IHD46" s="375"/>
      <c r="IHE46" s="375"/>
      <c r="IHF46" s="375"/>
      <c r="IHG46" s="375"/>
      <c r="IHH46" s="375"/>
      <c r="IHI46" s="375"/>
      <c r="IHJ46" s="375"/>
      <c r="IHK46" s="375"/>
      <c r="IHL46" s="375"/>
      <c r="IHM46" s="375"/>
      <c r="IHN46" s="375"/>
      <c r="IHO46" s="375"/>
      <c r="IHP46" s="375"/>
      <c r="IHQ46" s="375"/>
      <c r="IHR46" s="375"/>
      <c r="IHS46" s="375"/>
      <c r="IHT46" s="375"/>
      <c r="IHU46" s="375"/>
      <c r="IHV46" s="375"/>
      <c r="IHW46" s="375"/>
      <c r="IHX46" s="375"/>
      <c r="IHY46" s="375"/>
      <c r="IHZ46" s="375"/>
      <c r="IIA46" s="375"/>
      <c r="IIB46" s="375"/>
      <c r="IIC46" s="375"/>
      <c r="IID46" s="375"/>
      <c r="IIE46" s="375"/>
      <c r="IIF46" s="375"/>
      <c r="IIG46" s="375"/>
      <c r="IIH46" s="375"/>
      <c r="III46" s="375"/>
      <c r="IIJ46" s="375"/>
      <c r="IIK46" s="375"/>
      <c r="IIL46" s="375"/>
      <c r="IIM46" s="375"/>
      <c r="IIN46" s="375"/>
      <c r="IIO46" s="375"/>
      <c r="IIP46" s="375"/>
      <c r="IIQ46" s="375"/>
      <c r="IIR46" s="375"/>
      <c r="IIS46" s="375"/>
      <c r="IIT46" s="375"/>
      <c r="IIU46" s="375"/>
      <c r="IIV46" s="375"/>
      <c r="IIW46" s="375"/>
      <c r="IIX46" s="375"/>
      <c r="IIY46" s="375"/>
      <c r="IIZ46" s="375"/>
      <c r="IJA46" s="375"/>
      <c r="IJB46" s="375"/>
      <c r="IJC46" s="375"/>
      <c r="IJD46" s="375"/>
      <c r="IJE46" s="375"/>
      <c r="IJF46" s="375"/>
      <c r="IJG46" s="375"/>
      <c r="IJH46" s="375"/>
      <c r="IJI46" s="375"/>
      <c r="IJJ46" s="375"/>
      <c r="IJK46" s="375"/>
      <c r="IJL46" s="375"/>
      <c r="IJM46" s="375"/>
      <c r="IJN46" s="375"/>
      <c r="IJO46" s="375"/>
      <c r="IJP46" s="375"/>
      <c r="IJQ46" s="375"/>
      <c r="IJR46" s="375"/>
      <c r="IJS46" s="375"/>
      <c r="IJT46" s="375"/>
      <c r="IJU46" s="375"/>
      <c r="IJV46" s="375"/>
      <c r="IJW46" s="375"/>
      <c r="IJX46" s="375"/>
      <c r="IJY46" s="375"/>
      <c r="IJZ46" s="375"/>
      <c r="IKA46" s="375"/>
      <c r="IKB46" s="375"/>
      <c r="IKC46" s="375"/>
      <c r="IKD46" s="375"/>
      <c r="IKE46" s="375"/>
      <c r="IKF46" s="375"/>
      <c r="IKG46" s="375"/>
      <c r="IKH46" s="375"/>
      <c r="IKI46" s="375"/>
      <c r="IKJ46" s="375"/>
      <c r="IKK46" s="375"/>
      <c r="IKL46" s="375"/>
      <c r="IKM46" s="375"/>
      <c r="IKN46" s="375"/>
      <c r="IKO46" s="375"/>
      <c r="IKP46" s="375"/>
      <c r="IKQ46" s="375"/>
      <c r="IKR46" s="375"/>
      <c r="IKS46" s="375"/>
      <c r="IKT46" s="375"/>
      <c r="IKU46" s="375"/>
      <c r="IKV46" s="375"/>
      <c r="IKW46" s="375"/>
      <c r="IKX46" s="375"/>
      <c r="IKY46" s="375"/>
      <c r="IKZ46" s="375"/>
      <c r="ILA46" s="375"/>
      <c r="ILB46" s="375"/>
      <c r="ILC46" s="375"/>
      <c r="ILD46" s="375"/>
      <c r="ILE46" s="375"/>
      <c r="ILF46" s="375"/>
      <c r="ILG46" s="375"/>
      <c r="ILH46" s="375"/>
      <c r="ILI46" s="375"/>
      <c r="ILJ46" s="375"/>
      <c r="ILK46" s="375"/>
      <c r="ILL46" s="375"/>
      <c r="ILM46" s="375"/>
      <c r="ILN46" s="375"/>
      <c r="ILO46" s="375"/>
      <c r="ILP46" s="375"/>
      <c r="ILQ46" s="375"/>
      <c r="ILR46" s="375"/>
      <c r="ILS46" s="375"/>
      <c r="ILT46" s="375"/>
      <c r="ILU46" s="375"/>
      <c r="ILV46" s="375"/>
      <c r="ILW46" s="375"/>
      <c r="ILX46" s="375"/>
      <c r="ILY46" s="375"/>
      <c r="ILZ46" s="375"/>
      <c r="IMA46" s="375"/>
      <c r="IMB46" s="375"/>
      <c r="IMC46" s="375"/>
      <c r="IMD46" s="375"/>
      <c r="IME46" s="375"/>
      <c r="IMF46" s="375"/>
      <c r="IMG46" s="375"/>
      <c r="IMH46" s="375"/>
      <c r="IMI46" s="375"/>
      <c r="IMJ46" s="375"/>
      <c r="IMK46" s="375"/>
      <c r="IML46" s="375"/>
      <c r="IMM46" s="375"/>
      <c r="IMN46" s="375"/>
      <c r="IMO46" s="375"/>
      <c r="IMP46" s="375"/>
      <c r="IMQ46" s="375"/>
      <c r="IMR46" s="375"/>
      <c r="IMS46" s="375"/>
      <c r="IMT46" s="375"/>
      <c r="IMU46" s="375"/>
      <c r="IMV46" s="375"/>
      <c r="IMW46" s="375"/>
      <c r="IMX46" s="375"/>
      <c r="IMY46" s="375"/>
      <c r="IMZ46" s="375"/>
      <c r="INA46" s="375"/>
      <c r="INB46" s="375"/>
      <c r="INC46" s="375"/>
      <c r="IND46" s="375"/>
      <c r="INE46" s="375"/>
      <c r="INF46" s="375"/>
      <c r="ING46" s="375"/>
      <c r="INH46" s="375"/>
      <c r="INI46" s="375"/>
      <c r="INJ46" s="375"/>
      <c r="INK46" s="375"/>
      <c r="INL46" s="375"/>
      <c r="INM46" s="375"/>
      <c r="INN46" s="375"/>
      <c r="INO46" s="375"/>
      <c r="INP46" s="375"/>
      <c r="INQ46" s="375"/>
      <c r="INR46" s="375"/>
      <c r="INS46" s="375"/>
      <c r="INT46" s="375"/>
      <c r="INU46" s="375"/>
      <c r="INV46" s="375"/>
      <c r="INW46" s="375"/>
      <c r="INX46" s="375"/>
      <c r="INY46" s="375"/>
      <c r="INZ46" s="375"/>
      <c r="IOA46" s="375"/>
      <c r="IOB46" s="375"/>
      <c r="IOC46" s="375"/>
      <c r="IOD46" s="375"/>
      <c r="IOE46" s="375"/>
      <c r="IOF46" s="375"/>
      <c r="IOG46" s="375"/>
      <c r="IOH46" s="375"/>
      <c r="IOI46" s="375"/>
      <c r="IOJ46" s="375"/>
      <c r="IOK46" s="375"/>
      <c r="IOL46" s="375"/>
      <c r="IOM46" s="375"/>
      <c r="ION46" s="375"/>
      <c r="IOO46" s="375"/>
      <c r="IOP46" s="375"/>
      <c r="IOQ46" s="375"/>
      <c r="IOR46" s="375"/>
      <c r="IOS46" s="375"/>
      <c r="IOT46" s="375"/>
      <c r="IOU46" s="375"/>
      <c r="IOV46" s="375"/>
      <c r="IOW46" s="375"/>
      <c r="IOX46" s="375"/>
      <c r="IOY46" s="375"/>
      <c r="IOZ46" s="375"/>
      <c r="IPA46" s="375"/>
      <c r="IPB46" s="375"/>
      <c r="IPC46" s="375"/>
      <c r="IPD46" s="375"/>
      <c r="IPE46" s="375"/>
      <c r="IPF46" s="375"/>
      <c r="IPG46" s="375"/>
      <c r="IPH46" s="375"/>
      <c r="IPI46" s="375"/>
      <c r="IPJ46" s="375"/>
      <c r="IPK46" s="375"/>
      <c r="IPL46" s="375"/>
      <c r="IPM46" s="375"/>
      <c r="IPN46" s="375"/>
      <c r="IPO46" s="375"/>
      <c r="IPP46" s="375"/>
      <c r="IPQ46" s="375"/>
      <c r="IPR46" s="375"/>
      <c r="IPS46" s="375"/>
      <c r="IPT46" s="375"/>
      <c r="IPU46" s="375"/>
      <c r="IPV46" s="375"/>
      <c r="IPW46" s="375"/>
      <c r="IPX46" s="375"/>
      <c r="IPY46" s="375"/>
      <c r="IPZ46" s="375"/>
      <c r="IQA46" s="375"/>
      <c r="IQB46" s="375"/>
      <c r="IQC46" s="375"/>
      <c r="IQD46" s="375"/>
      <c r="IQE46" s="375"/>
      <c r="IQF46" s="375"/>
      <c r="IQG46" s="375"/>
      <c r="IQH46" s="375"/>
      <c r="IQI46" s="375"/>
      <c r="IQJ46" s="375"/>
      <c r="IQK46" s="375"/>
      <c r="IQL46" s="375"/>
      <c r="IQM46" s="375"/>
      <c r="IQN46" s="375"/>
      <c r="IQO46" s="375"/>
      <c r="IQP46" s="375"/>
      <c r="IQQ46" s="375"/>
      <c r="IQR46" s="375"/>
      <c r="IQS46" s="375"/>
      <c r="IQT46" s="375"/>
      <c r="IQU46" s="375"/>
      <c r="IQV46" s="375"/>
      <c r="IQW46" s="375"/>
      <c r="IQX46" s="375"/>
      <c r="IQY46" s="375"/>
      <c r="IQZ46" s="375"/>
      <c r="IRA46" s="375"/>
      <c r="IRB46" s="375"/>
      <c r="IRC46" s="375"/>
      <c r="IRD46" s="375"/>
      <c r="IRE46" s="375"/>
      <c r="IRF46" s="375"/>
      <c r="IRG46" s="375"/>
      <c r="IRH46" s="375"/>
      <c r="IRI46" s="375"/>
      <c r="IRJ46" s="375"/>
      <c r="IRK46" s="375"/>
      <c r="IRL46" s="375"/>
      <c r="IRM46" s="375"/>
      <c r="IRN46" s="375"/>
      <c r="IRO46" s="375"/>
      <c r="IRP46" s="375"/>
      <c r="IRQ46" s="375"/>
      <c r="IRR46" s="375"/>
      <c r="IRS46" s="375"/>
      <c r="IRT46" s="375"/>
      <c r="IRU46" s="375"/>
      <c r="IRV46" s="375"/>
      <c r="IRW46" s="375"/>
      <c r="IRX46" s="375"/>
      <c r="IRY46" s="375"/>
      <c r="IRZ46" s="375"/>
      <c r="ISA46" s="375"/>
      <c r="ISB46" s="375"/>
      <c r="ISC46" s="375"/>
      <c r="ISD46" s="375"/>
      <c r="ISE46" s="375"/>
      <c r="ISF46" s="375"/>
      <c r="ISG46" s="375"/>
      <c r="ISH46" s="375"/>
      <c r="ISI46" s="375"/>
      <c r="ISJ46" s="375"/>
      <c r="ISK46" s="375"/>
      <c r="ISL46" s="375"/>
      <c r="ISM46" s="375"/>
      <c r="ISN46" s="375"/>
      <c r="ISO46" s="375"/>
      <c r="ISP46" s="375"/>
      <c r="ISQ46" s="375"/>
      <c r="ISR46" s="375"/>
      <c r="ISS46" s="375"/>
      <c r="IST46" s="375"/>
      <c r="ISU46" s="375"/>
      <c r="ISV46" s="375"/>
      <c r="ISW46" s="375"/>
      <c r="ISX46" s="375"/>
      <c r="ISY46" s="375"/>
      <c r="ISZ46" s="375"/>
      <c r="ITA46" s="375"/>
      <c r="ITB46" s="375"/>
      <c r="ITC46" s="375"/>
      <c r="ITD46" s="375"/>
      <c r="ITE46" s="375"/>
      <c r="ITF46" s="375"/>
      <c r="ITG46" s="375"/>
      <c r="ITH46" s="375"/>
      <c r="ITI46" s="375"/>
      <c r="ITJ46" s="375"/>
      <c r="ITK46" s="375"/>
      <c r="ITL46" s="375"/>
      <c r="ITM46" s="375"/>
      <c r="ITN46" s="375"/>
      <c r="ITO46" s="375"/>
      <c r="ITP46" s="375"/>
      <c r="ITQ46" s="375"/>
      <c r="ITR46" s="375"/>
      <c r="ITS46" s="375"/>
      <c r="ITT46" s="375"/>
      <c r="ITU46" s="375"/>
      <c r="ITV46" s="375"/>
      <c r="ITW46" s="375"/>
      <c r="ITX46" s="375"/>
      <c r="ITY46" s="375"/>
      <c r="ITZ46" s="375"/>
      <c r="IUA46" s="375"/>
      <c r="IUB46" s="375"/>
      <c r="IUC46" s="375"/>
      <c r="IUD46" s="375"/>
      <c r="IUE46" s="375"/>
      <c r="IUF46" s="375"/>
      <c r="IUG46" s="375"/>
      <c r="IUH46" s="375"/>
      <c r="IUI46" s="375"/>
      <c r="IUJ46" s="375"/>
      <c r="IUK46" s="375"/>
      <c r="IUL46" s="375"/>
      <c r="IUM46" s="375"/>
      <c r="IUN46" s="375"/>
      <c r="IUO46" s="375"/>
      <c r="IUP46" s="375"/>
      <c r="IUQ46" s="375"/>
      <c r="IUR46" s="375"/>
      <c r="IUS46" s="375"/>
      <c r="IUT46" s="375"/>
      <c r="IUU46" s="375"/>
      <c r="IUV46" s="375"/>
      <c r="IUW46" s="375"/>
      <c r="IUX46" s="375"/>
      <c r="IUY46" s="375"/>
      <c r="IUZ46" s="375"/>
      <c r="IVA46" s="375"/>
      <c r="IVB46" s="375"/>
      <c r="IVC46" s="375"/>
      <c r="IVD46" s="375"/>
      <c r="IVE46" s="375"/>
      <c r="IVF46" s="375"/>
      <c r="IVG46" s="375"/>
      <c r="IVH46" s="375"/>
      <c r="IVI46" s="375"/>
      <c r="IVJ46" s="375"/>
      <c r="IVK46" s="375"/>
      <c r="IVL46" s="375"/>
      <c r="IVM46" s="375"/>
      <c r="IVN46" s="375"/>
      <c r="IVO46" s="375"/>
      <c r="IVP46" s="375"/>
      <c r="IVQ46" s="375"/>
      <c r="IVR46" s="375"/>
      <c r="IVS46" s="375"/>
      <c r="IVT46" s="375"/>
      <c r="IVU46" s="375"/>
      <c r="IVV46" s="375"/>
      <c r="IVW46" s="375"/>
      <c r="IVX46" s="375"/>
      <c r="IVY46" s="375"/>
      <c r="IVZ46" s="375"/>
      <c r="IWA46" s="375"/>
      <c r="IWB46" s="375"/>
      <c r="IWC46" s="375"/>
      <c r="IWD46" s="375"/>
      <c r="IWE46" s="375"/>
      <c r="IWF46" s="375"/>
      <c r="IWG46" s="375"/>
      <c r="IWH46" s="375"/>
      <c r="IWI46" s="375"/>
      <c r="IWJ46" s="375"/>
      <c r="IWK46" s="375"/>
      <c r="IWL46" s="375"/>
      <c r="IWM46" s="375"/>
      <c r="IWN46" s="375"/>
      <c r="IWO46" s="375"/>
      <c r="IWP46" s="375"/>
      <c r="IWQ46" s="375"/>
      <c r="IWR46" s="375"/>
      <c r="IWS46" s="375"/>
      <c r="IWT46" s="375"/>
      <c r="IWU46" s="375"/>
      <c r="IWV46" s="375"/>
      <c r="IWW46" s="375"/>
      <c r="IWX46" s="375"/>
      <c r="IWY46" s="375"/>
      <c r="IWZ46" s="375"/>
      <c r="IXA46" s="375"/>
      <c r="IXB46" s="375"/>
      <c r="IXC46" s="375"/>
      <c r="IXD46" s="375"/>
      <c r="IXE46" s="375"/>
      <c r="IXF46" s="375"/>
      <c r="IXG46" s="375"/>
      <c r="IXH46" s="375"/>
      <c r="IXI46" s="375"/>
      <c r="IXJ46" s="375"/>
      <c r="IXK46" s="375"/>
      <c r="IXL46" s="375"/>
      <c r="IXM46" s="375"/>
      <c r="IXN46" s="375"/>
      <c r="IXO46" s="375"/>
      <c r="IXP46" s="375"/>
      <c r="IXQ46" s="375"/>
      <c r="IXR46" s="375"/>
      <c r="IXS46" s="375"/>
      <c r="IXT46" s="375"/>
      <c r="IXU46" s="375"/>
      <c r="IXV46" s="375"/>
      <c r="IXW46" s="375"/>
      <c r="IXX46" s="375"/>
      <c r="IXY46" s="375"/>
      <c r="IXZ46" s="375"/>
      <c r="IYA46" s="375"/>
      <c r="IYB46" s="375"/>
      <c r="IYC46" s="375"/>
      <c r="IYD46" s="375"/>
      <c r="IYE46" s="375"/>
      <c r="IYF46" s="375"/>
      <c r="IYG46" s="375"/>
      <c r="IYH46" s="375"/>
      <c r="IYI46" s="375"/>
      <c r="IYJ46" s="375"/>
      <c r="IYK46" s="375"/>
      <c r="IYL46" s="375"/>
      <c r="IYM46" s="375"/>
      <c r="IYN46" s="375"/>
      <c r="IYO46" s="375"/>
      <c r="IYP46" s="375"/>
      <c r="IYQ46" s="375"/>
      <c r="IYR46" s="375"/>
      <c r="IYS46" s="375"/>
      <c r="IYT46" s="375"/>
      <c r="IYU46" s="375"/>
      <c r="IYV46" s="375"/>
      <c r="IYW46" s="375"/>
      <c r="IYX46" s="375"/>
      <c r="IYY46" s="375"/>
      <c r="IYZ46" s="375"/>
      <c r="IZA46" s="375"/>
      <c r="IZB46" s="375"/>
      <c r="IZC46" s="375"/>
      <c r="IZD46" s="375"/>
      <c r="IZE46" s="375"/>
      <c r="IZF46" s="375"/>
      <c r="IZG46" s="375"/>
      <c r="IZH46" s="375"/>
      <c r="IZI46" s="375"/>
      <c r="IZJ46" s="375"/>
      <c r="IZK46" s="375"/>
      <c r="IZL46" s="375"/>
      <c r="IZM46" s="375"/>
      <c r="IZN46" s="375"/>
      <c r="IZO46" s="375"/>
      <c r="IZP46" s="375"/>
      <c r="IZQ46" s="375"/>
      <c r="IZR46" s="375"/>
      <c r="IZS46" s="375"/>
      <c r="IZT46" s="375"/>
      <c r="IZU46" s="375"/>
      <c r="IZV46" s="375"/>
      <c r="IZW46" s="375"/>
      <c r="IZX46" s="375"/>
      <c r="IZY46" s="375"/>
      <c r="IZZ46" s="375"/>
      <c r="JAA46" s="375"/>
      <c r="JAB46" s="375"/>
      <c r="JAC46" s="375"/>
      <c r="JAD46" s="375"/>
      <c r="JAE46" s="375"/>
      <c r="JAF46" s="375"/>
      <c r="JAG46" s="375"/>
      <c r="JAH46" s="375"/>
      <c r="JAI46" s="375"/>
      <c r="JAJ46" s="375"/>
      <c r="JAK46" s="375"/>
      <c r="JAL46" s="375"/>
      <c r="JAM46" s="375"/>
      <c r="JAN46" s="375"/>
      <c r="JAO46" s="375"/>
      <c r="JAP46" s="375"/>
      <c r="JAQ46" s="375"/>
      <c r="JAR46" s="375"/>
      <c r="JAS46" s="375"/>
      <c r="JAT46" s="375"/>
      <c r="JAU46" s="375"/>
      <c r="JAV46" s="375"/>
      <c r="JAW46" s="375"/>
      <c r="JAX46" s="375"/>
      <c r="JAY46" s="375"/>
      <c r="JAZ46" s="375"/>
      <c r="JBA46" s="375"/>
      <c r="JBB46" s="375"/>
      <c r="JBC46" s="375"/>
      <c r="JBD46" s="375"/>
      <c r="JBE46" s="375"/>
      <c r="JBF46" s="375"/>
      <c r="JBG46" s="375"/>
      <c r="JBH46" s="375"/>
      <c r="JBI46" s="375"/>
      <c r="JBJ46" s="375"/>
      <c r="JBK46" s="375"/>
      <c r="JBL46" s="375"/>
      <c r="JBM46" s="375"/>
      <c r="JBN46" s="375"/>
      <c r="JBO46" s="375"/>
      <c r="JBP46" s="375"/>
      <c r="JBQ46" s="375"/>
      <c r="JBR46" s="375"/>
      <c r="JBS46" s="375"/>
      <c r="JBT46" s="375"/>
      <c r="JBU46" s="375"/>
      <c r="JBV46" s="375"/>
      <c r="JBW46" s="375"/>
      <c r="JBX46" s="375"/>
      <c r="JBY46" s="375"/>
      <c r="JBZ46" s="375"/>
      <c r="JCA46" s="375"/>
      <c r="JCB46" s="375"/>
      <c r="JCC46" s="375"/>
      <c r="JCD46" s="375"/>
      <c r="JCE46" s="375"/>
      <c r="JCF46" s="375"/>
      <c r="JCG46" s="375"/>
      <c r="JCH46" s="375"/>
      <c r="JCI46" s="375"/>
      <c r="JCJ46" s="375"/>
      <c r="JCK46" s="375"/>
      <c r="JCL46" s="375"/>
      <c r="JCM46" s="375"/>
      <c r="JCN46" s="375"/>
      <c r="JCO46" s="375"/>
      <c r="JCP46" s="375"/>
      <c r="JCQ46" s="375"/>
      <c r="JCR46" s="375"/>
      <c r="JCS46" s="375"/>
      <c r="JCT46" s="375"/>
      <c r="JCU46" s="375"/>
      <c r="JCV46" s="375"/>
      <c r="JCW46" s="375"/>
      <c r="JCX46" s="375"/>
      <c r="JCY46" s="375"/>
      <c r="JCZ46" s="375"/>
      <c r="JDA46" s="375"/>
      <c r="JDB46" s="375"/>
      <c r="JDC46" s="375"/>
      <c r="JDD46" s="375"/>
      <c r="JDE46" s="375"/>
      <c r="JDF46" s="375"/>
      <c r="JDG46" s="375"/>
      <c r="JDH46" s="375"/>
      <c r="JDI46" s="375"/>
      <c r="JDJ46" s="375"/>
      <c r="JDK46" s="375"/>
      <c r="JDL46" s="375"/>
      <c r="JDM46" s="375"/>
      <c r="JDN46" s="375"/>
      <c r="JDO46" s="375"/>
      <c r="JDP46" s="375"/>
      <c r="JDQ46" s="375"/>
      <c r="JDR46" s="375"/>
      <c r="JDS46" s="375"/>
      <c r="JDT46" s="375"/>
      <c r="JDU46" s="375"/>
      <c r="JDV46" s="375"/>
      <c r="JDW46" s="375"/>
      <c r="JDX46" s="375"/>
      <c r="JDY46" s="375"/>
      <c r="JDZ46" s="375"/>
      <c r="JEA46" s="375"/>
      <c r="JEB46" s="375"/>
      <c r="JEC46" s="375"/>
      <c r="JED46" s="375"/>
      <c r="JEE46" s="375"/>
      <c r="JEF46" s="375"/>
      <c r="JEG46" s="375"/>
      <c r="JEH46" s="375"/>
      <c r="JEI46" s="375"/>
      <c r="JEJ46" s="375"/>
      <c r="JEK46" s="375"/>
      <c r="JEL46" s="375"/>
      <c r="JEM46" s="375"/>
      <c r="JEN46" s="375"/>
      <c r="JEO46" s="375"/>
      <c r="JEP46" s="375"/>
      <c r="JEQ46" s="375"/>
      <c r="JER46" s="375"/>
      <c r="JES46" s="375"/>
      <c r="JET46" s="375"/>
      <c r="JEU46" s="375"/>
      <c r="JEV46" s="375"/>
      <c r="JEW46" s="375"/>
      <c r="JEX46" s="375"/>
      <c r="JEY46" s="375"/>
      <c r="JEZ46" s="375"/>
      <c r="JFA46" s="375"/>
      <c r="JFB46" s="375"/>
      <c r="JFC46" s="375"/>
      <c r="JFD46" s="375"/>
      <c r="JFE46" s="375"/>
      <c r="JFF46" s="375"/>
      <c r="JFG46" s="375"/>
      <c r="JFH46" s="375"/>
      <c r="JFI46" s="375"/>
      <c r="JFJ46" s="375"/>
      <c r="JFK46" s="375"/>
      <c r="JFL46" s="375"/>
      <c r="JFM46" s="375"/>
      <c r="JFN46" s="375"/>
      <c r="JFO46" s="375"/>
      <c r="JFP46" s="375"/>
      <c r="JFQ46" s="375"/>
      <c r="JFR46" s="375"/>
      <c r="JFS46" s="375"/>
      <c r="JFT46" s="375"/>
      <c r="JFU46" s="375"/>
      <c r="JFV46" s="375"/>
      <c r="JFW46" s="375"/>
      <c r="JFX46" s="375"/>
      <c r="JFY46" s="375"/>
      <c r="JFZ46" s="375"/>
      <c r="JGA46" s="375"/>
      <c r="JGB46" s="375"/>
      <c r="JGC46" s="375"/>
      <c r="JGD46" s="375"/>
      <c r="JGE46" s="375"/>
      <c r="JGF46" s="375"/>
      <c r="JGG46" s="375"/>
      <c r="JGH46" s="375"/>
      <c r="JGI46" s="375"/>
      <c r="JGJ46" s="375"/>
      <c r="JGK46" s="375"/>
      <c r="JGL46" s="375"/>
      <c r="JGM46" s="375"/>
      <c r="JGN46" s="375"/>
      <c r="JGO46" s="375"/>
      <c r="JGP46" s="375"/>
      <c r="JGQ46" s="375"/>
      <c r="JGR46" s="375"/>
      <c r="JGS46" s="375"/>
      <c r="JGT46" s="375"/>
      <c r="JGU46" s="375"/>
      <c r="JGV46" s="375"/>
      <c r="JGW46" s="375"/>
      <c r="JGX46" s="375"/>
      <c r="JGY46" s="375"/>
      <c r="JGZ46" s="375"/>
      <c r="JHA46" s="375"/>
      <c r="JHB46" s="375"/>
      <c r="JHC46" s="375"/>
      <c r="JHD46" s="375"/>
      <c r="JHE46" s="375"/>
      <c r="JHF46" s="375"/>
      <c r="JHG46" s="375"/>
      <c r="JHH46" s="375"/>
      <c r="JHI46" s="375"/>
      <c r="JHJ46" s="375"/>
      <c r="JHK46" s="375"/>
      <c r="JHL46" s="375"/>
      <c r="JHM46" s="375"/>
      <c r="JHN46" s="375"/>
      <c r="JHO46" s="375"/>
      <c r="JHP46" s="375"/>
      <c r="JHQ46" s="375"/>
      <c r="JHR46" s="375"/>
      <c r="JHS46" s="375"/>
      <c r="JHT46" s="375"/>
      <c r="JHU46" s="375"/>
      <c r="JHV46" s="375"/>
      <c r="JHW46" s="375"/>
      <c r="JHX46" s="375"/>
      <c r="JHY46" s="375"/>
      <c r="JHZ46" s="375"/>
      <c r="JIA46" s="375"/>
      <c r="JIB46" s="375"/>
      <c r="JIC46" s="375"/>
      <c r="JID46" s="375"/>
      <c r="JIE46" s="375"/>
      <c r="JIF46" s="375"/>
      <c r="JIG46" s="375"/>
      <c r="JIH46" s="375"/>
      <c r="JII46" s="375"/>
      <c r="JIJ46" s="375"/>
      <c r="JIK46" s="375"/>
      <c r="JIL46" s="375"/>
      <c r="JIM46" s="375"/>
      <c r="JIN46" s="375"/>
      <c r="JIO46" s="375"/>
      <c r="JIP46" s="375"/>
      <c r="JIQ46" s="375"/>
      <c r="JIR46" s="375"/>
      <c r="JIS46" s="375"/>
      <c r="JIT46" s="375"/>
      <c r="JIU46" s="375"/>
      <c r="JIV46" s="375"/>
      <c r="JIW46" s="375"/>
      <c r="JIX46" s="375"/>
      <c r="JIY46" s="375"/>
      <c r="JIZ46" s="375"/>
      <c r="JJA46" s="375"/>
      <c r="JJB46" s="375"/>
      <c r="JJC46" s="375"/>
      <c r="JJD46" s="375"/>
      <c r="JJE46" s="375"/>
      <c r="JJF46" s="375"/>
      <c r="JJG46" s="375"/>
      <c r="JJH46" s="375"/>
      <c r="JJI46" s="375"/>
      <c r="JJJ46" s="375"/>
      <c r="JJK46" s="375"/>
      <c r="JJL46" s="375"/>
      <c r="JJM46" s="375"/>
      <c r="JJN46" s="375"/>
      <c r="JJO46" s="375"/>
      <c r="JJP46" s="375"/>
      <c r="JJQ46" s="375"/>
      <c r="JJR46" s="375"/>
      <c r="JJS46" s="375"/>
      <c r="JJT46" s="375"/>
      <c r="JJU46" s="375"/>
      <c r="JJV46" s="375"/>
      <c r="JJW46" s="375"/>
      <c r="JJX46" s="375"/>
      <c r="JJY46" s="375"/>
      <c r="JJZ46" s="375"/>
      <c r="JKA46" s="375"/>
      <c r="JKB46" s="375"/>
      <c r="JKC46" s="375"/>
      <c r="JKD46" s="375"/>
      <c r="JKE46" s="375"/>
      <c r="JKF46" s="375"/>
      <c r="JKG46" s="375"/>
      <c r="JKH46" s="375"/>
      <c r="JKI46" s="375"/>
      <c r="JKJ46" s="375"/>
      <c r="JKK46" s="375"/>
      <c r="JKL46" s="375"/>
      <c r="JKM46" s="375"/>
      <c r="JKN46" s="375"/>
      <c r="JKO46" s="375"/>
      <c r="JKP46" s="375"/>
      <c r="JKQ46" s="375"/>
      <c r="JKR46" s="375"/>
      <c r="JKS46" s="375"/>
      <c r="JKT46" s="375"/>
      <c r="JKU46" s="375"/>
      <c r="JKV46" s="375"/>
      <c r="JKW46" s="375"/>
      <c r="JKX46" s="375"/>
      <c r="JKY46" s="375"/>
      <c r="JKZ46" s="375"/>
      <c r="JLA46" s="375"/>
      <c r="JLB46" s="375"/>
      <c r="JLC46" s="375"/>
      <c r="JLD46" s="375"/>
      <c r="JLE46" s="375"/>
      <c r="JLF46" s="375"/>
      <c r="JLG46" s="375"/>
      <c r="JLH46" s="375"/>
      <c r="JLI46" s="375"/>
      <c r="JLJ46" s="375"/>
      <c r="JLK46" s="375"/>
      <c r="JLL46" s="375"/>
      <c r="JLM46" s="375"/>
      <c r="JLN46" s="375"/>
      <c r="JLO46" s="375"/>
      <c r="JLP46" s="375"/>
      <c r="JLQ46" s="375"/>
      <c r="JLR46" s="375"/>
      <c r="JLS46" s="375"/>
      <c r="JLT46" s="375"/>
      <c r="JLU46" s="375"/>
      <c r="JLV46" s="375"/>
      <c r="JLW46" s="375"/>
      <c r="JLX46" s="375"/>
      <c r="JLY46" s="375"/>
      <c r="JLZ46" s="375"/>
      <c r="JMA46" s="375"/>
      <c r="JMB46" s="375"/>
      <c r="JMC46" s="375"/>
      <c r="JMD46" s="375"/>
      <c r="JME46" s="375"/>
      <c r="JMF46" s="375"/>
      <c r="JMG46" s="375"/>
      <c r="JMH46" s="375"/>
      <c r="JMI46" s="375"/>
      <c r="JMJ46" s="375"/>
      <c r="JMK46" s="375"/>
      <c r="JML46" s="375"/>
      <c r="JMM46" s="375"/>
      <c r="JMN46" s="375"/>
      <c r="JMO46" s="375"/>
      <c r="JMP46" s="375"/>
      <c r="JMQ46" s="375"/>
      <c r="JMR46" s="375"/>
      <c r="JMS46" s="375"/>
      <c r="JMT46" s="375"/>
      <c r="JMU46" s="375"/>
      <c r="JMV46" s="375"/>
      <c r="JMW46" s="375"/>
      <c r="JMX46" s="375"/>
      <c r="JMY46" s="375"/>
      <c r="JMZ46" s="375"/>
      <c r="JNA46" s="375"/>
      <c r="JNB46" s="375"/>
      <c r="JNC46" s="375"/>
      <c r="JND46" s="375"/>
      <c r="JNE46" s="375"/>
      <c r="JNF46" s="375"/>
      <c r="JNG46" s="375"/>
      <c r="JNH46" s="375"/>
      <c r="JNI46" s="375"/>
      <c r="JNJ46" s="375"/>
      <c r="JNK46" s="375"/>
      <c r="JNL46" s="375"/>
      <c r="JNM46" s="375"/>
      <c r="JNN46" s="375"/>
      <c r="JNO46" s="375"/>
      <c r="JNP46" s="375"/>
      <c r="JNQ46" s="375"/>
      <c r="JNR46" s="375"/>
      <c r="JNS46" s="375"/>
      <c r="JNT46" s="375"/>
      <c r="JNU46" s="375"/>
      <c r="JNV46" s="375"/>
      <c r="JNW46" s="375"/>
      <c r="JNX46" s="375"/>
      <c r="JNY46" s="375"/>
      <c r="JNZ46" s="375"/>
      <c r="JOA46" s="375"/>
      <c r="JOB46" s="375"/>
      <c r="JOC46" s="375"/>
      <c r="JOD46" s="375"/>
      <c r="JOE46" s="375"/>
      <c r="JOF46" s="375"/>
      <c r="JOG46" s="375"/>
      <c r="JOH46" s="375"/>
      <c r="JOI46" s="375"/>
      <c r="JOJ46" s="375"/>
      <c r="JOK46" s="375"/>
      <c r="JOL46" s="375"/>
      <c r="JOM46" s="375"/>
      <c r="JON46" s="375"/>
      <c r="JOO46" s="375"/>
      <c r="JOP46" s="375"/>
      <c r="JOQ46" s="375"/>
      <c r="JOR46" s="375"/>
      <c r="JOS46" s="375"/>
      <c r="JOT46" s="375"/>
      <c r="JOU46" s="375"/>
      <c r="JOV46" s="375"/>
      <c r="JOW46" s="375"/>
      <c r="JOX46" s="375"/>
      <c r="JOY46" s="375"/>
      <c r="JOZ46" s="375"/>
      <c r="JPA46" s="375"/>
      <c r="JPB46" s="375"/>
      <c r="JPC46" s="375"/>
      <c r="JPD46" s="375"/>
      <c r="JPE46" s="375"/>
      <c r="JPF46" s="375"/>
      <c r="JPG46" s="375"/>
      <c r="JPH46" s="375"/>
      <c r="JPI46" s="375"/>
      <c r="JPJ46" s="375"/>
      <c r="JPK46" s="375"/>
      <c r="JPL46" s="375"/>
      <c r="JPM46" s="375"/>
      <c r="JPN46" s="375"/>
      <c r="JPO46" s="375"/>
      <c r="JPP46" s="375"/>
      <c r="JPQ46" s="375"/>
      <c r="JPR46" s="375"/>
      <c r="JPS46" s="375"/>
      <c r="JPT46" s="375"/>
      <c r="JPU46" s="375"/>
      <c r="JPV46" s="375"/>
      <c r="JPW46" s="375"/>
      <c r="JPX46" s="375"/>
      <c r="JPY46" s="375"/>
      <c r="JPZ46" s="375"/>
      <c r="JQA46" s="375"/>
      <c r="JQB46" s="375"/>
      <c r="JQC46" s="375"/>
      <c r="JQD46" s="375"/>
      <c r="JQE46" s="375"/>
      <c r="JQF46" s="375"/>
      <c r="JQG46" s="375"/>
      <c r="JQH46" s="375"/>
      <c r="JQI46" s="375"/>
      <c r="JQJ46" s="375"/>
      <c r="JQK46" s="375"/>
      <c r="JQL46" s="375"/>
      <c r="JQM46" s="375"/>
      <c r="JQN46" s="375"/>
      <c r="JQO46" s="375"/>
      <c r="JQP46" s="375"/>
      <c r="JQQ46" s="375"/>
      <c r="JQR46" s="375"/>
      <c r="JQS46" s="375"/>
      <c r="JQT46" s="375"/>
      <c r="JQU46" s="375"/>
      <c r="JQV46" s="375"/>
      <c r="JQW46" s="375"/>
      <c r="JQX46" s="375"/>
      <c r="JQY46" s="375"/>
      <c r="JQZ46" s="375"/>
      <c r="JRA46" s="375"/>
      <c r="JRB46" s="375"/>
      <c r="JRC46" s="375"/>
      <c r="JRD46" s="375"/>
      <c r="JRE46" s="375"/>
      <c r="JRF46" s="375"/>
      <c r="JRG46" s="375"/>
      <c r="JRH46" s="375"/>
      <c r="JRI46" s="375"/>
      <c r="JRJ46" s="375"/>
      <c r="JRK46" s="375"/>
      <c r="JRL46" s="375"/>
      <c r="JRM46" s="375"/>
      <c r="JRN46" s="375"/>
      <c r="JRO46" s="375"/>
      <c r="JRP46" s="375"/>
      <c r="JRQ46" s="375"/>
      <c r="JRR46" s="375"/>
      <c r="JRS46" s="375"/>
      <c r="JRT46" s="375"/>
      <c r="JRU46" s="375"/>
      <c r="JRV46" s="375"/>
      <c r="JRW46" s="375"/>
      <c r="JRX46" s="375"/>
      <c r="JRY46" s="375"/>
      <c r="JRZ46" s="375"/>
      <c r="JSA46" s="375"/>
      <c r="JSB46" s="375"/>
      <c r="JSC46" s="375"/>
      <c r="JSD46" s="375"/>
      <c r="JSE46" s="375"/>
      <c r="JSF46" s="375"/>
      <c r="JSG46" s="375"/>
      <c r="JSH46" s="375"/>
      <c r="JSI46" s="375"/>
      <c r="JSJ46" s="375"/>
      <c r="JSK46" s="375"/>
      <c r="JSL46" s="375"/>
      <c r="JSM46" s="375"/>
      <c r="JSN46" s="375"/>
      <c r="JSO46" s="375"/>
      <c r="JSP46" s="375"/>
      <c r="JSQ46" s="375"/>
      <c r="JSR46" s="375"/>
      <c r="JSS46" s="375"/>
      <c r="JST46" s="375"/>
      <c r="JSU46" s="375"/>
      <c r="JSV46" s="375"/>
      <c r="JSW46" s="375"/>
      <c r="JSX46" s="375"/>
      <c r="JSY46" s="375"/>
      <c r="JSZ46" s="375"/>
      <c r="JTA46" s="375"/>
      <c r="JTB46" s="375"/>
      <c r="JTC46" s="375"/>
      <c r="JTD46" s="375"/>
      <c r="JTE46" s="375"/>
      <c r="JTF46" s="375"/>
      <c r="JTG46" s="375"/>
      <c r="JTH46" s="375"/>
      <c r="JTI46" s="375"/>
      <c r="JTJ46" s="375"/>
      <c r="JTK46" s="375"/>
      <c r="JTL46" s="375"/>
      <c r="JTM46" s="375"/>
      <c r="JTN46" s="375"/>
      <c r="JTO46" s="375"/>
      <c r="JTP46" s="375"/>
      <c r="JTQ46" s="375"/>
      <c r="JTR46" s="375"/>
      <c r="JTS46" s="375"/>
      <c r="JTT46" s="375"/>
      <c r="JTU46" s="375"/>
      <c r="JTV46" s="375"/>
      <c r="JTW46" s="375"/>
      <c r="JTX46" s="375"/>
      <c r="JTY46" s="375"/>
      <c r="JTZ46" s="375"/>
      <c r="JUA46" s="375"/>
      <c r="JUB46" s="375"/>
      <c r="JUC46" s="375"/>
      <c r="JUD46" s="375"/>
      <c r="JUE46" s="375"/>
      <c r="JUF46" s="375"/>
      <c r="JUG46" s="375"/>
      <c r="JUH46" s="375"/>
      <c r="JUI46" s="375"/>
      <c r="JUJ46" s="375"/>
      <c r="JUK46" s="375"/>
      <c r="JUL46" s="375"/>
      <c r="JUM46" s="375"/>
      <c r="JUN46" s="375"/>
      <c r="JUO46" s="375"/>
      <c r="JUP46" s="375"/>
      <c r="JUQ46" s="375"/>
      <c r="JUR46" s="375"/>
      <c r="JUS46" s="375"/>
      <c r="JUT46" s="375"/>
      <c r="JUU46" s="375"/>
      <c r="JUV46" s="375"/>
      <c r="JUW46" s="375"/>
      <c r="JUX46" s="375"/>
      <c r="JUY46" s="375"/>
      <c r="JUZ46" s="375"/>
      <c r="JVA46" s="375"/>
      <c r="JVB46" s="375"/>
      <c r="JVC46" s="375"/>
      <c r="JVD46" s="375"/>
      <c r="JVE46" s="375"/>
      <c r="JVF46" s="375"/>
      <c r="JVG46" s="375"/>
      <c r="JVH46" s="375"/>
      <c r="JVI46" s="375"/>
      <c r="JVJ46" s="375"/>
      <c r="JVK46" s="375"/>
      <c r="JVL46" s="375"/>
      <c r="JVM46" s="375"/>
      <c r="JVN46" s="375"/>
      <c r="JVO46" s="375"/>
      <c r="JVP46" s="375"/>
      <c r="JVQ46" s="375"/>
      <c r="JVR46" s="375"/>
      <c r="JVS46" s="375"/>
      <c r="JVT46" s="375"/>
      <c r="JVU46" s="375"/>
      <c r="JVV46" s="375"/>
      <c r="JVW46" s="375"/>
      <c r="JVX46" s="375"/>
      <c r="JVY46" s="375"/>
      <c r="JVZ46" s="375"/>
      <c r="JWA46" s="375"/>
      <c r="JWB46" s="375"/>
      <c r="JWC46" s="375"/>
      <c r="JWD46" s="375"/>
      <c r="JWE46" s="375"/>
      <c r="JWF46" s="375"/>
      <c r="JWG46" s="375"/>
      <c r="JWH46" s="375"/>
      <c r="JWI46" s="375"/>
      <c r="JWJ46" s="375"/>
      <c r="JWK46" s="375"/>
      <c r="JWL46" s="375"/>
      <c r="JWM46" s="375"/>
      <c r="JWN46" s="375"/>
      <c r="JWO46" s="375"/>
      <c r="JWP46" s="375"/>
      <c r="JWQ46" s="375"/>
      <c r="JWR46" s="375"/>
      <c r="JWS46" s="375"/>
      <c r="JWT46" s="375"/>
      <c r="JWU46" s="375"/>
      <c r="JWV46" s="375"/>
      <c r="JWW46" s="375"/>
      <c r="JWX46" s="375"/>
      <c r="JWY46" s="375"/>
      <c r="JWZ46" s="375"/>
      <c r="JXA46" s="375"/>
      <c r="JXB46" s="375"/>
      <c r="JXC46" s="375"/>
      <c r="JXD46" s="375"/>
      <c r="JXE46" s="375"/>
      <c r="JXF46" s="375"/>
      <c r="JXG46" s="375"/>
      <c r="JXH46" s="375"/>
      <c r="JXI46" s="375"/>
      <c r="JXJ46" s="375"/>
      <c r="JXK46" s="375"/>
      <c r="JXL46" s="375"/>
      <c r="JXM46" s="375"/>
      <c r="JXN46" s="375"/>
      <c r="JXO46" s="375"/>
      <c r="JXP46" s="375"/>
      <c r="JXQ46" s="375"/>
      <c r="JXR46" s="375"/>
      <c r="JXS46" s="375"/>
      <c r="JXT46" s="375"/>
      <c r="JXU46" s="375"/>
      <c r="JXV46" s="375"/>
      <c r="JXW46" s="375"/>
      <c r="JXX46" s="375"/>
      <c r="JXY46" s="375"/>
      <c r="JXZ46" s="375"/>
      <c r="JYA46" s="375"/>
      <c r="JYB46" s="375"/>
      <c r="JYC46" s="375"/>
      <c r="JYD46" s="375"/>
      <c r="JYE46" s="375"/>
      <c r="JYF46" s="375"/>
      <c r="JYG46" s="375"/>
      <c r="JYH46" s="375"/>
      <c r="JYI46" s="375"/>
      <c r="JYJ46" s="375"/>
      <c r="JYK46" s="375"/>
      <c r="JYL46" s="375"/>
      <c r="JYM46" s="375"/>
      <c r="JYN46" s="375"/>
      <c r="JYO46" s="375"/>
      <c r="JYP46" s="375"/>
      <c r="JYQ46" s="375"/>
      <c r="JYR46" s="375"/>
      <c r="JYS46" s="375"/>
      <c r="JYT46" s="375"/>
      <c r="JYU46" s="375"/>
      <c r="JYV46" s="375"/>
      <c r="JYW46" s="375"/>
      <c r="JYX46" s="375"/>
      <c r="JYY46" s="375"/>
      <c r="JYZ46" s="375"/>
      <c r="JZA46" s="375"/>
      <c r="JZB46" s="375"/>
      <c r="JZC46" s="375"/>
      <c r="JZD46" s="375"/>
      <c r="JZE46" s="375"/>
      <c r="JZF46" s="375"/>
      <c r="JZG46" s="375"/>
      <c r="JZH46" s="375"/>
      <c r="JZI46" s="375"/>
      <c r="JZJ46" s="375"/>
      <c r="JZK46" s="375"/>
      <c r="JZL46" s="375"/>
      <c r="JZM46" s="375"/>
      <c r="JZN46" s="375"/>
      <c r="JZO46" s="375"/>
      <c r="JZP46" s="375"/>
      <c r="JZQ46" s="375"/>
      <c r="JZR46" s="375"/>
      <c r="JZS46" s="375"/>
      <c r="JZT46" s="375"/>
      <c r="JZU46" s="375"/>
      <c r="JZV46" s="375"/>
      <c r="JZW46" s="375"/>
      <c r="JZX46" s="375"/>
      <c r="JZY46" s="375"/>
      <c r="JZZ46" s="375"/>
      <c r="KAA46" s="375"/>
      <c r="KAB46" s="375"/>
      <c r="KAC46" s="375"/>
      <c r="KAD46" s="375"/>
      <c r="KAE46" s="375"/>
      <c r="KAF46" s="375"/>
      <c r="KAG46" s="375"/>
      <c r="KAH46" s="375"/>
      <c r="KAI46" s="375"/>
      <c r="KAJ46" s="375"/>
      <c r="KAK46" s="375"/>
      <c r="KAL46" s="375"/>
      <c r="KAM46" s="375"/>
      <c r="KAN46" s="375"/>
      <c r="KAO46" s="375"/>
      <c r="KAP46" s="375"/>
      <c r="KAQ46" s="375"/>
      <c r="KAR46" s="375"/>
      <c r="KAS46" s="375"/>
      <c r="KAT46" s="375"/>
      <c r="KAU46" s="375"/>
      <c r="KAV46" s="375"/>
      <c r="KAW46" s="375"/>
      <c r="KAX46" s="375"/>
      <c r="KAY46" s="375"/>
      <c r="KAZ46" s="375"/>
      <c r="KBA46" s="375"/>
      <c r="KBB46" s="375"/>
      <c r="KBC46" s="375"/>
      <c r="KBD46" s="375"/>
      <c r="KBE46" s="375"/>
      <c r="KBF46" s="375"/>
      <c r="KBG46" s="375"/>
      <c r="KBH46" s="375"/>
      <c r="KBI46" s="375"/>
      <c r="KBJ46" s="375"/>
      <c r="KBK46" s="375"/>
      <c r="KBL46" s="375"/>
      <c r="KBM46" s="375"/>
      <c r="KBN46" s="375"/>
      <c r="KBO46" s="375"/>
      <c r="KBP46" s="375"/>
      <c r="KBQ46" s="375"/>
      <c r="KBR46" s="375"/>
      <c r="KBS46" s="375"/>
      <c r="KBT46" s="375"/>
      <c r="KBU46" s="375"/>
      <c r="KBV46" s="375"/>
      <c r="KBW46" s="375"/>
      <c r="KBX46" s="375"/>
      <c r="KBY46" s="375"/>
      <c r="KBZ46" s="375"/>
      <c r="KCA46" s="375"/>
      <c r="KCB46" s="375"/>
      <c r="KCC46" s="375"/>
      <c r="KCD46" s="375"/>
      <c r="KCE46" s="375"/>
      <c r="KCF46" s="375"/>
      <c r="KCG46" s="375"/>
      <c r="KCH46" s="375"/>
      <c r="KCI46" s="375"/>
      <c r="KCJ46" s="375"/>
      <c r="KCK46" s="375"/>
      <c r="KCL46" s="375"/>
      <c r="KCM46" s="375"/>
      <c r="KCN46" s="375"/>
      <c r="KCO46" s="375"/>
      <c r="KCP46" s="375"/>
      <c r="KCQ46" s="375"/>
      <c r="KCR46" s="375"/>
      <c r="KCS46" s="375"/>
      <c r="KCT46" s="375"/>
      <c r="KCU46" s="375"/>
      <c r="KCV46" s="375"/>
      <c r="KCW46" s="375"/>
      <c r="KCX46" s="375"/>
      <c r="KCY46" s="375"/>
      <c r="KCZ46" s="375"/>
      <c r="KDA46" s="375"/>
      <c r="KDB46" s="375"/>
      <c r="KDC46" s="375"/>
      <c r="KDD46" s="375"/>
      <c r="KDE46" s="375"/>
      <c r="KDF46" s="375"/>
      <c r="KDG46" s="375"/>
      <c r="KDH46" s="375"/>
      <c r="KDI46" s="375"/>
      <c r="KDJ46" s="375"/>
      <c r="KDK46" s="375"/>
      <c r="KDL46" s="375"/>
      <c r="KDM46" s="375"/>
      <c r="KDN46" s="375"/>
      <c r="KDO46" s="375"/>
      <c r="KDP46" s="375"/>
      <c r="KDQ46" s="375"/>
      <c r="KDR46" s="375"/>
      <c r="KDS46" s="375"/>
      <c r="KDT46" s="375"/>
      <c r="KDU46" s="375"/>
      <c r="KDV46" s="375"/>
      <c r="KDW46" s="375"/>
      <c r="KDX46" s="375"/>
      <c r="KDY46" s="375"/>
      <c r="KDZ46" s="375"/>
      <c r="KEA46" s="375"/>
      <c r="KEB46" s="375"/>
      <c r="KEC46" s="375"/>
      <c r="KED46" s="375"/>
      <c r="KEE46" s="375"/>
      <c r="KEF46" s="375"/>
      <c r="KEG46" s="375"/>
      <c r="KEH46" s="375"/>
      <c r="KEI46" s="375"/>
      <c r="KEJ46" s="375"/>
      <c r="KEK46" s="375"/>
      <c r="KEL46" s="375"/>
      <c r="KEM46" s="375"/>
      <c r="KEN46" s="375"/>
      <c r="KEO46" s="375"/>
      <c r="KEP46" s="375"/>
      <c r="KEQ46" s="375"/>
      <c r="KER46" s="375"/>
      <c r="KES46" s="375"/>
      <c r="KET46" s="375"/>
      <c r="KEU46" s="375"/>
      <c r="KEV46" s="375"/>
      <c r="KEW46" s="375"/>
      <c r="KEX46" s="375"/>
      <c r="KEY46" s="375"/>
      <c r="KEZ46" s="375"/>
      <c r="KFA46" s="375"/>
      <c r="KFB46" s="375"/>
      <c r="KFC46" s="375"/>
      <c r="KFD46" s="375"/>
      <c r="KFE46" s="375"/>
      <c r="KFF46" s="375"/>
      <c r="KFG46" s="375"/>
      <c r="KFH46" s="375"/>
      <c r="KFI46" s="375"/>
      <c r="KFJ46" s="375"/>
      <c r="KFK46" s="375"/>
      <c r="KFL46" s="375"/>
      <c r="KFM46" s="375"/>
      <c r="KFN46" s="375"/>
      <c r="KFO46" s="375"/>
      <c r="KFP46" s="375"/>
      <c r="KFQ46" s="375"/>
      <c r="KFR46" s="375"/>
      <c r="KFS46" s="375"/>
      <c r="KFT46" s="375"/>
      <c r="KFU46" s="375"/>
      <c r="KFV46" s="375"/>
      <c r="KFW46" s="375"/>
      <c r="KFX46" s="375"/>
      <c r="KFY46" s="375"/>
      <c r="KFZ46" s="375"/>
      <c r="KGA46" s="375"/>
      <c r="KGB46" s="375"/>
      <c r="KGC46" s="375"/>
      <c r="KGD46" s="375"/>
      <c r="KGE46" s="375"/>
      <c r="KGF46" s="375"/>
      <c r="KGG46" s="375"/>
      <c r="KGH46" s="375"/>
      <c r="KGI46" s="375"/>
      <c r="KGJ46" s="375"/>
      <c r="KGK46" s="375"/>
      <c r="KGL46" s="375"/>
      <c r="KGM46" s="375"/>
      <c r="KGN46" s="375"/>
      <c r="KGO46" s="375"/>
      <c r="KGP46" s="375"/>
      <c r="KGQ46" s="375"/>
      <c r="KGR46" s="375"/>
      <c r="KGS46" s="375"/>
      <c r="KGT46" s="375"/>
      <c r="KGU46" s="375"/>
      <c r="KGV46" s="375"/>
      <c r="KGW46" s="375"/>
      <c r="KGX46" s="375"/>
      <c r="KGY46" s="375"/>
      <c r="KGZ46" s="375"/>
      <c r="KHA46" s="375"/>
      <c r="KHB46" s="375"/>
      <c r="KHC46" s="375"/>
      <c r="KHD46" s="375"/>
      <c r="KHE46" s="375"/>
      <c r="KHF46" s="375"/>
      <c r="KHG46" s="375"/>
      <c r="KHH46" s="375"/>
      <c r="KHI46" s="375"/>
      <c r="KHJ46" s="375"/>
      <c r="KHK46" s="375"/>
      <c r="KHL46" s="375"/>
      <c r="KHM46" s="375"/>
      <c r="KHN46" s="375"/>
      <c r="KHO46" s="375"/>
      <c r="KHP46" s="375"/>
      <c r="KHQ46" s="375"/>
      <c r="KHR46" s="375"/>
      <c r="KHS46" s="375"/>
      <c r="KHT46" s="375"/>
      <c r="KHU46" s="375"/>
      <c r="KHV46" s="375"/>
      <c r="KHW46" s="375"/>
      <c r="KHX46" s="375"/>
      <c r="KHY46" s="375"/>
      <c r="KHZ46" s="375"/>
      <c r="KIA46" s="375"/>
      <c r="KIB46" s="375"/>
      <c r="KIC46" s="375"/>
      <c r="KID46" s="375"/>
      <c r="KIE46" s="375"/>
      <c r="KIF46" s="375"/>
      <c r="KIG46" s="375"/>
      <c r="KIH46" s="375"/>
      <c r="KII46" s="375"/>
      <c r="KIJ46" s="375"/>
      <c r="KIK46" s="375"/>
      <c r="KIL46" s="375"/>
      <c r="KIM46" s="375"/>
      <c r="KIN46" s="375"/>
      <c r="KIO46" s="375"/>
      <c r="KIP46" s="375"/>
      <c r="KIQ46" s="375"/>
      <c r="KIR46" s="375"/>
      <c r="KIS46" s="375"/>
      <c r="KIT46" s="375"/>
      <c r="KIU46" s="375"/>
      <c r="KIV46" s="375"/>
      <c r="KIW46" s="375"/>
      <c r="KIX46" s="375"/>
      <c r="KIY46" s="375"/>
      <c r="KIZ46" s="375"/>
      <c r="KJA46" s="375"/>
      <c r="KJB46" s="375"/>
      <c r="KJC46" s="375"/>
      <c r="KJD46" s="375"/>
      <c r="KJE46" s="375"/>
      <c r="KJF46" s="375"/>
      <c r="KJG46" s="375"/>
      <c r="KJH46" s="375"/>
      <c r="KJI46" s="375"/>
      <c r="KJJ46" s="375"/>
      <c r="KJK46" s="375"/>
      <c r="KJL46" s="375"/>
      <c r="KJM46" s="375"/>
      <c r="KJN46" s="375"/>
      <c r="KJO46" s="375"/>
      <c r="KJP46" s="375"/>
      <c r="KJQ46" s="375"/>
      <c r="KJR46" s="375"/>
      <c r="KJS46" s="375"/>
      <c r="KJT46" s="375"/>
      <c r="KJU46" s="375"/>
      <c r="KJV46" s="375"/>
      <c r="KJW46" s="375"/>
      <c r="KJX46" s="375"/>
      <c r="KJY46" s="375"/>
      <c r="KJZ46" s="375"/>
      <c r="KKA46" s="375"/>
      <c r="KKB46" s="375"/>
      <c r="KKC46" s="375"/>
      <c r="KKD46" s="375"/>
      <c r="KKE46" s="375"/>
      <c r="KKF46" s="375"/>
      <c r="KKG46" s="375"/>
      <c r="KKH46" s="375"/>
      <c r="KKI46" s="375"/>
      <c r="KKJ46" s="375"/>
      <c r="KKK46" s="375"/>
      <c r="KKL46" s="375"/>
      <c r="KKM46" s="375"/>
      <c r="KKN46" s="375"/>
      <c r="KKO46" s="375"/>
      <c r="KKP46" s="375"/>
      <c r="KKQ46" s="375"/>
      <c r="KKR46" s="375"/>
      <c r="KKS46" s="375"/>
      <c r="KKT46" s="375"/>
      <c r="KKU46" s="375"/>
      <c r="KKV46" s="375"/>
      <c r="KKW46" s="375"/>
      <c r="KKX46" s="375"/>
      <c r="KKY46" s="375"/>
      <c r="KKZ46" s="375"/>
      <c r="KLA46" s="375"/>
      <c r="KLB46" s="375"/>
      <c r="KLC46" s="375"/>
      <c r="KLD46" s="375"/>
      <c r="KLE46" s="375"/>
      <c r="KLF46" s="375"/>
      <c r="KLG46" s="375"/>
      <c r="KLH46" s="375"/>
      <c r="KLI46" s="375"/>
      <c r="KLJ46" s="375"/>
      <c r="KLK46" s="375"/>
      <c r="KLL46" s="375"/>
      <c r="KLM46" s="375"/>
      <c r="KLN46" s="375"/>
      <c r="KLO46" s="375"/>
      <c r="KLP46" s="375"/>
      <c r="KLQ46" s="375"/>
      <c r="KLR46" s="375"/>
      <c r="KLS46" s="375"/>
      <c r="KLT46" s="375"/>
      <c r="KLU46" s="375"/>
      <c r="KLV46" s="375"/>
      <c r="KLW46" s="375"/>
      <c r="KLX46" s="375"/>
      <c r="KLY46" s="375"/>
      <c r="KLZ46" s="375"/>
      <c r="KMA46" s="375"/>
      <c r="KMB46" s="375"/>
      <c r="KMC46" s="375"/>
      <c r="KMD46" s="375"/>
      <c r="KME46" s="375"/>
      <c r="KMF46" s="375"/>
      <c r="KMG46" s="375"/>
      <c r="KMH46" s="375"/>
      <c r="KMI46" s="375"/>
      <c r="KMJ46" s="375"/>
      <c r="KMK46" s="375"/>
      <c r="KML46" s="375"/>
      <c r="KMM46" s="375"/>
      <c r="KMN46" s="375"/>
      <c r="KMO46" s="375"/>
      <c r="KMP46" s="375"/>
      <c r="KMQ46" s="375"/>
      <c r="KMR46" s="375"/>
      <c r="KMS46" s="375"/>
      <c r="KMT46" s="375"/>
      <c r="KMU46" s="375"/>
      <c r="KMV46" s="375"/>
      <c r="KMW46" s="375"/>
      <c r="KMX46" s="375"/>
      <c r="KMY46" s="375"/>
      <c r="KMZ46" s="375"/>
      <c r="KNA46" s="375"/>
      <c r="KNB46" s="375"/>
      <c r="KNC46" s="375"/>
      <c r="KND46" s="375"/>
      <c r="KNE46" s="375"/>
      <c r="KNF46" s="375"/>
      <c r="KNG46" s="375"/>
      <c r="KNH46" s="375"/>
      <c r="KNI46" s="375"/>
      <c r="KNJ46" s="375"/>
      <c r="KNK46" s="375"/>
      <c r="KNL46" s="375"/>
      <c r="KNM46" s="375"/>
      <c r="KNN46" s="375"/>
      <c r="KNO46" s="375"/>
      <c r="KNP46" s="375"/>
      <c r="KNQ46" s="375"/>
      <c r="KNR46" s="375"/>
      <c r="KNS46" s="375"/>
      <c r="KNT46" s="375"/>
      <c r="KNU46" s="375"/>
      <c r="KNV46" s="375"/>
      <c r="KNW46" s="375"/>
      <c r="KNX46" s="375"/>
      <c r="KNY46" s="375"/>
      <c r="KNZ46" s="375"/>
      <c r="KOA46" s="375"/>
      <c r="KOB46" s="375"/>
      <c r="KOC46" s="375"/>
      <c r="KOD46" s="375"/>
      <c r="KOE46" s="375"/>
      <c r="KOF46" s="375"/>
      <c r="KOG46" s="375"/>
      <c r="KOH46" s="375"/>
      <c r="KOI46" s="375"/>
      <c r="KOJ46" s="375"/>
      <c r="KOK46" s="375"/>
      <c r="KOL46" s="375"/>
      <c r="KOM46" s="375"/>
      <c r="KON46" s="375"/>
      <c r="KOO46" s="375"/>
      <c r="KOP46" s="375"/>
      <c r="KOQ46" s="375"/>
      <c r="KOR46" s="375"/>
      <c r="KOS46" s="375"/>
      <c r="KOT46" s="375"/>
      <c r="KOU46" s="375"/>
      <c r="KOV46" s="375"/>
      <c r="KOW46" s="375"/>
      <c r="KOX46" s="375"/>
      <c r="KOY46" s="375"/>
      <c r="KOZ46" s="375"/>
      <c r="KPA46" s="375"/>
      <c r="KPB46" s="375"/>
      <c r="KPC46" s="375"/>
      <c r="KPD46" s="375"/>
      <c r="KPE46" s="375"/>
      <c r="KPF46" s="375"/>
      <c r="KPG46" s="375"/>
      <c r="KPH46" s="375"/>
      <c r="KPI46" s="375"/>
      <c r="KPJ46" s="375"/>
      <c r="KPK46" s="375"/>
      <c r="KPL46" s="375"/>
      <c r="KPM46" s="375"/>
      <c r="KPN46" s="375"/>
      <c r="KPO46" s="375"/>
      <c r="KPP46" s="375"/>
      <c r="KPQ46" s="375"/>
      <c r="KPR46" s="375"/>
      <c r="KPS46" s="375"/>
      <c r="KPT46" s="375"/>
      <c r="KPU46" s="375"/>
      <c r="KPV46" s="375"/>
      <c r="KPW46" s="375"/>
      <c r="KPX46" s="375"/>
      <c r="KPY46" s="375"/>
      <c r="KPZ46" s="375"/>
      <c r="KQA46" s="375"/>
      <c r="KQB46" s="375"/>
      <c r="KQC46" s="375"/>
      <c r="KQD46" s="375"/>
      <c r="KQE46" s="375"/>
      <c r="KQF46" s="375"/>
      <c r="KQG46" s="375"/>
      <c r="KQH46" s="375"/>
      <c r="KQI46" s="375"/>
      <c r="KQJ46" s="375"/>
      <c r="KQK46" s="375"/>
      <c r="KQL46" s="375"/>
      <c r="KQM46" s="375"/>
      <c r="KQN46" s="375"/>
      <c r="KQO46" s="375"/>
      <c r="KQP46" s="375"/>
      <c r="KQQ46" s="375"/>
      <c r="KQR46" s="375"/>
      <c r="KQS46" s="375"/>
      <c r="KQT46" s="375"/>
      <c r="KQU46" s="375"/>
      <c r="KQV46" s="375"/>
      <c r="KQW46" s="375"/>
      <c r="KQX46" s="375"/>
      <c r="KQY46" s="375"/>
      <c r="KQZ46" s="375"/>
      <c r="KRA46" s="375"/>
      <c r="KRB46" s="375"/>
      <c r="KRC46" s="375"/>
      <c r="KRD46" s="375"/>
      <c r="KRE46" s="375"/>
      <c r="KRF46" s="375"/>
      <c r="KRG46" s="375"/>
      <c r="KRH46" s="375"/>
      <c r="KRI46" s="375"/>
      <c r="KRJ46" s="375"/>
      <c r="KRK46" s="375"/>
      <c r="KRL46" s="375"/>
      <c r="KRM46" s="375"/>
      <c r="KRN46" s="375"/>
      <c r="KRO46" s="375"/>
      <c r="KRP46" s="375"/>
      <c r="KRQ46" s="375"/>
      <c r="KRR46" s="375"/>
      <c r="KRS46" s="375"/>
      <c r="KRT46" s="375"/>
      <c r="KRU46" s="375"/>
      <c r="KRV46" s="375"/>
      <c r="KRW46" s="375"/>
      <c r="KRX46" s="375"/>
      <c r="KRY46" s="375"/>
      <c r="KRZ46" s="375"/>
      <c r="KSA46" s="375"/>
      <c r="KSB46" s="375"/>
      <c r="KSC46" s="375"/>
      <c r="KSD46" s="375"/>
      <c r="KSE46" s="375"/>
      <c r="KSF46" s="375"/>
      <c r="KSG46" s="375"/>
      <c r="KSH46" s="375"/>
      <c r="KSI46" s="375"/>
      <c r="KSJ46" s="375"/>
      <c r="KSK46" s="375"/>
      <c r="KSL46" s="375"/>
      <c r="KSM46" s="375"/>
      <c r="KSN46" s="375"/>
      <c r="KSO46" s="375"/>
      <c r="KSP46" s="375"/>
      <c r="KSQ46" s="375"/>
      <c r="KSR46" s="375"/>
      <c r="KSS46" s="375"/>
      <c r="KST46" s="375"/>
      <c r="KSU46" s="375"/>
      <c r="KSV46" s="375"/>
      <c r="KSW46" s="375"/>
      <c r="KSX46" s="375"/>
      <c r="KSY46" s="375"/>
      <c r="KSZ46" s="375"/>
      <c r="KTA46" s="375"/>
      <c r="KTB46" s="375"/>
      <c r="KTC46" s="375"/>
      <c r="KTD46" s="375"/>
      <c r="KTE46" s="375"/>
      <c r="KTF46" s="375"/>
      <c r="KTG46" s="375"/>
      <c r="KTH46" s="375"/>
      <c r="KTI46" s="375"/>
      <c r="KTJ46" s="375"/>
      <c r="KTK46" s="375"/>
      <c r="KTL46" s="375"/>
      <c r="KTM46" s="375"/>
      <c r="KTN46" s="375"/>
      <c r="KTO46" s="375"/>
      <c r="KTP46" s="375"/>
      <c r="KTQ46" s="375"/>
      <c r="KTR46" s="375"/>
      <c r="KTS46" s="375"/>
      <c r="KTT46" s="375"/>
      <c r="KTU46" s="375"/>
      <c r="KTV46" s="375"/>
      <c r="KTW46" s="375"/>
      <c r="KTX46" s="375"/>
      <c r="KTY46" s="375"/>
      <c r="KTZ46" s="375"/>
      <c r="KUA46" s="375"/>
      <c r="KUB46" s="375"/>
      <c r="KUC46" s="375"/>
      <c r="KUD46" s="375"/>
      <c r="KUE46" s="375"/>
      <c r="KUF46" s="375"/>
      <c r="KUG46" s="375"/>
      <c r="KUH46" s="375"/>
      <c r="KUI46" s="375"/>
      <c r="KUJ46" s="375"/>
      <c r="KUK46" s="375"/>
      <c r="KUL46" s="375"/>
      <c r="KUM46" s="375"/>
      <c r="KUN46" s="375"/>
      <c r="KUO46" s="375"/>
      <c r="KUP46" s="375"/>
      <c r="KUQ46" s="375"/>
      <c r="KUR46" s="375"/>
      <c r="KUS46" s="375"/>
      <c r="KUT46" s="375"/>
      <c r="KUU46" s="375"/>
      <c r="KUV46" s="375"/>
      <c r="KUW46" s="375"/>
      <c r="KUX46" s="375"/>
      <c r="KUY46" s="375"/>
      <c r="KUZ46" s="375"/>
      <c r="KVA46" s="375"/>
      <c r="KVB46" s="375"/>
      <c r="KVC46" s="375"/>
      <c r="KVD46" s="375"/>
      <c r="KVE46" s="375"/>
      <c r="KVF46" s="375"/>
      <c r="KVG46" s="375"/>
      <c r="KVH46" s="375"/>
      <c r="KVI46" s="375"/>
      <c r="KVJ46" s="375"/>
      <c r="KVK46" s="375"/>
      <c r="KVL46" s="375"/>
      <c r="KVM46" s="375"/>
      <c r="KVN46" s="375"/>
      <c r="KVO46" s="375"/>
      <c r="KVP46" s="375"/>
      <c r="KVQ46" s="375"/>
      <c r="KVR46" s="375"/>
      <c r="KVS46" s="375"/>
      <c r="KVT46" s="375"/>
      <c r="KVU46" s="375"/>
      <c r="KVV46" s="375"/>
      <c r="KVW46" s="375"/>
      <c r="KVX46" s="375"/>
      <c r="KVY46" s="375"/>
      <c r="KVZ46" s="375"/>
      <c r="KWA46" s="375"/>
      <c r="KWB46" s="375"/>
      <c r="KWC46" s="375"/>
      <c r="KWD46" s="375"/>
      <c r="KWE46" s="375"/>
      <c r="KWF46" s="375"/>
      <c r="KWG46" s="375"/>
      <c r="KWH46" s="375"/>
      <c r="KWI46" s="375"/>
      <c r="KWJ46" s="375"/>
      <c r="KWK46" s="375"/>
      <c r="KWL46" s="375"/>
      <c r="KWM46" s="375"/>
      <c r="KWN46" s="375"/>
      <c r="KWO46" s="375"/>
      <c r="KWP46" s="375"/>
      <c r="KWQ46" s="375"/>
      <c r="KWR46" s="375"/>
      <c r="KWS46" s="375"/>
      <c r="KWT46" s="375"/>
      <c r="KWU46" s="375"/>
      <c r="KWV46" s="375"/>
      <c r="KWW46" s="375"/>
      <c r="KWX46" s="375"/>
      <c r="KWY46" s="375"/>
      <c r="KWZ46" s="375"/>
      <c r="KXA46" s="375"/>
      <c r="KXB46" s="375"/>
      <c r="KXC46" s="375"/>
      <c r="KXD46" s="375"/>
      <c r="KXE46" s="375"/>
      <c r="KXF46" s="375"/>
      <c r="KXG46" s="375"/>
      <c r="KXH46" s="375"/>
      <c r="KXI46" s="375"/>
      <c r="KXJ46" s="375"/>
      <c r="KXK46" s="375"/>
      <c r="KXL46" s="375"/>
      <c r="KXM46" s="375"/>
      <c r="KXN46" s="375"/>
      <c r="KXO46" s="375"/>
      <c r="KXP46" s="375"/>
      <c r="KXQ46" s="375"/>
      <c r="KXR46" s="375"/>
      <c r="KXS46" s="375"/>
      <c r="KXT46" s="375"/>
      <c r="KXU46" s="375"/>
      <c r="KXV46" s="375"/>
      <c r="KXW46" s="375"/>
      <c r="KXX46" s="375"/>
      <c r="KXY46" s="375"/>
      <c r="KXZ46" s="375"/>
      <c r="KYA46" s="375"/>
      <c r="KYB46" s="375"/>
      <c r="KYC46" s="375"/>
      <c r="KYD46" s="375"/>
      <c r="KYE46" s="375"/>
      <c r="KYF46" s="375"/>
      <c r="KYG46" s="375"/>
      <c r="KYH46" s="375"/>
      <c r="KYI46" s="375"/>
      <c r="KYJ46" s="375"/>
      <c r="KYK46" s="375"/>
      <c r="KYL46" s="375"/>
      <c r="KYM46" s="375"/>
      <c r="KYN46" s="375"/>
      <c r="KYO46" s="375"/>
      <c r="KYP46" s="375"/>
      <c r="KYQ46" s="375"/>
      <c r="KYR46" s="375"/>
      <c r="KYS46" s="375"/>
      <c r="KYT46" s="375"/>
      <c r="KYU46" s="375"/>
      <c r="KYV46" s="375"/>
      <c r="KYW46" s="375"/>
      <c r="KYX46" s="375"/>
      <c r="KYY46" s="375"/>
      <c r="KYZ46" s="375"/>
      <c r="KZA46" s="375"/>
      <c r="KZB46" s="375"/>
      <c r="KZC46" s="375"/>
      <c r="KZD46" s="375"/>
      <c r="KZE46" s="375"/>
      <c r="KZF46" s="375"/>
      <c r="KZG46" s="375"/>
      <c r="KZH46" s="375"/>
      <c r="KZI46" s="375"/>
      <c r="KZJ46" s="375"/>
      <c r="KZK46" s="375"/>
      <c r="KZL46" s="375"/>
      <c r="KZM46" s="375"/>
      <c r="KZN46" s="375"/>
      <c r="KZO46" s="375"/>
      <c r="KZP46" s="375"/>
      <c r="KZQ46" s="375"/>
      <c r="KZR46" s="375"/>
      <c r="KZS46" s="375"/>
      <c r="KZT46" s="375"/>
      <c r="KZU46" s="375"/>
      <c r="KZV46" s="375"/>
      <c r="KZW46" s="375"/>
      <c r="KZX46" s="375"/>
      <c r="KZY46" s="375"/>
      <c r="KZZ46" s="375"/>
      <c r="LAA46" s="375"/>
      <c r="LAB46" s="375"/>
      <c r="LAC46" s="375"/>
      <c r="LAD46" s="375"/>
      <c r="LAE46" s="375"/>
      <c r="LAF46" s="375"/>
      <c r="LAG46" s="375"/>
      <c r="LAH46" s="375"/>
      <c r="LAI46" s="375"/>
      <c r="LAJ46" s="375"/>
      <c r="LAK46" s="375"/>
      <c r="LAL46" s="375"/>
      <c r="LAM46" s="375"/>
      <c r="LAN46" s="375"/>
      <c r="LAO46" s="375"/>
      <c r="LAP46" s="375"/>
      <c r="LAQ46" s="375"/>
      <c r="LAR46" s="375"/>
      <c r="LAS46" s="375"/>
      <c r="LAT46" s="375"/>
      <c r="LAU46" s="375"/>
      <c r="LAV46" s="375"/>
      <c r="LAW46" s="375"/>
      <c r="LAX46" s="375"/>
      <c r="LAY46" s="375"/>
      <c r="LAZ46" s="375"/>
      <c r="LBA46" s="375"/>
      <c r="LBB46" s="375"/>
      <c r="LBC46" s="375"/>
      <c r="LBD46" s="375"/>
      <c r="LBE46" s="375"/>
      <c r="LBF46" s="375"/>
      <c r="LBG46" s="375"/>
      <c r="LBH46" s="375"/>
      <c r="LBI46" s="375"/>
      <c r="LBJ46" s="375"/>
      <c r="LBK46" s="375"/>
      <c r="LBL46" s="375"/>
      <c r="LBM46" s="375"/>
      <c r="LBN46" s="375"/>
      <c r="LBO46" s="375"/>
      <c r="LBP46" s="375"/>
      <c r="LBQ46" s="375"/>
      <c r="LBR46" s="375"/>
      <c r="LBS46" s="375"/>
      <c r="LBT46" s="375"/>
      <c r="LBU46" s="375"/>
      <c r="LBV46" s="375"/>
      <c r="LBW46" s="375"/>
      <c r="LBX46" s="375"/>
      <c r="LBY46" s="375"/>
      <c r="LBZ46" s="375"/>
      <c r="LCA46" s="375"/>
      <c r="LCB46" s="375"/>
      <c r="LCC46" s="375"/>
      <c r="LCD46" s="375"/>
      <c r="LCE46" s="375"/>
      <c r="LCF46" s="375"/>
      <c r="LCG46" s="375"/>
      <c r="LCH46" s="375"/>
      <c r="LCI46" s="375"/>
      <c r="LCJ46" s="375"/>
      <c r="LCK46" s="375"/>
      <c r="LCL46" s="375"/>
      <c r="LCM46" s="375"/>
      <c r="LCN46" s="375"/>
      <c r="LCO46" s="375"/>
      <c r="LCP46" s="375"/>
      <c r="LCQ46" s="375"/>
      <c r="LCR46" s="375"/>
      <c r="LCS46" s="375"/>
      <c r="LCT46" s="375"/>
      <c r="LCU46" s="375"/>
      <c r="LCV46" s="375"/>
      <c r="LCW46" s="375"/>
      <c r="LCX46" s="375"/>
      <c r="LCY46" s="375"/>
      <c r="LCZ46" s="375"/>
      <c r="LDA46" s="375"/>
      <c r="LDB46" s="375"/>
      <c r="LDC46" s="375"/>
      <c r="LDD46" s="375"/>
      <c r="LDE46" s="375"/>
      <c r="LDF46" s="375"/>
      <c r="LDG46" s="375"/>
      <c r="LDH46" s="375"/>
      <c r="LDI46" s="375"/>
      <c r="LDJ46" s="375"/>
      <c r="LDK46" s="375"/>
      <c r="LDL46" s="375"/>
      <c r="LDM46" s="375"/>
      <c r="LDN46" s="375"/>
      <c r="LDO46" s="375"/>
      <c r="LDP46" s="375"/>
      <c r="LDQ46" s="375"/>
      <c r="LDR46" s="375"/>
      <c r="LDS46" s="375"/>
      <c r="LDT46" s="375"/>
      <c r="LDU46" s="375"/>
      <c r="LDV46" s="375"/>
      <c r="LDW46" s="375"/>
      <c r="LDX46" s="375"/>
      <c r="LDY46" s="375"/>
      <c r="LDZ46" s="375"/>
      <c r="LEA46" s="375"/>
      <c r="LEB46" s="375"/>
      <c r="LEC46" s="375"/>
      <c r="LED46" s="375"/>
      <c r="LEE46" s="375"/>
      <c r="LEF46" s="375"/>
      <c r="LEG46" s="375"/>
      <c r="LEH46" s="375"/>
      <c r="LEI46" s="375"/>
      <c r="LEJ46" s="375"/>
      <c r="LEK46" s="375"/>
      <c r="LEL46" s="375"/>
      <c r="LEM46" s="375"/>
      <c r="LEN46" s="375"/>
      <c r="LEO46" s="375"/>
      <c r="LEP46" s="375"/>
      <c r="LEQ46" s="375"/>
      <c r="LER46" s="375"/>
      <c r="LES46" s="375"/>
      <c r="LET46" s="375"/>
      <c r="LEU46" s="375"/>
      <c r="LEV46" s="375"/>
      <c r="LEW46" s="375"/>
      <c r="LEX46" s="375"/>
      <c r="LEY46" s="375"/>
      <c r="LEZ46" s="375"/>
      <c r="LFA46" s="375"/>
      <c r="LFB46" s="375"/>
      <c r="LFC46" s="375"/>
      <c r="LFD46" s="375"/>
      <c r="LFE46" s="375"/>
      <c r="LFF46" s="375"/>
      <c r="LFG46" s="375"/>
      <c r="LFH46" s="375"/>
      <c r="LFI46" s="375"/>
      <c r="LFJ46" s="375"/>
      <c r="LFK46" s="375"/>
      <c r="LFL46" s="375"/>
      <c r="LFM46" s="375"/>
      <c r="LFN46" s="375"/>
      <c r="LFO46" s="375"/>
      <c r="LFP46" s="375"/>
      <c r="LFQ46" s="375"/>
      <c r="LFR46" s="375"/>
      <c r="LFS46" s="375"/>
      <c r="LFT46" s="375"/>
      <c r="LFU46" s="375"/>
      <c r="LFV46" s="375"/>
      <c r="LFW46" s="375"/>
      <c r="LFX46" s="375"/>
      <c r="LFY46" s="375"/>
      <c r="LFZ46" s="375"/>
      <c r="LGA46" s="375"/>
      <c r="LGB46" s="375"/>
      <c r="LGC46" s="375"/>
      <c r="LGD46" s="375"/>
      <c r="LGE46" s="375"/>
      <c r="LGF46" s="375"/>
      <c r="LGG46" s="375"/>
      <c r="LGH46" s="375"/>
      <c r="LGI46" s="375"/>
      <c r="LGJ46" s="375"/>
      <c r="LGK46" s="375"/>
      <c r="LGL46" s="375"/>
      <c r="LGM46" s="375"/>
      <c r="LGN46" s="375"/>
      <c r="LGO46" s="375"/>
      <c r="LGP46" s="375"/>
      <c r="LGQ46" s="375"/>
      <c r="LGR46" s="375"/>
      <c r="LGS46" s="375"/>
      <c r="LGT46" s="375"/>
      <c r="LGU46" s="375"/>
      <c r="LGV46" s="375"/>
      <c r="LGW46" s="375"/>
      <c r="LGX46" s="375"/>
      <c r="LGY46" s="375"/>
      <c r="LGZ46" s="375"/>
      <c r="LHA46" s="375"/>
      <c r="LHB46" s="375"/>
      <c r="LHC46" s="375"/>
      <c r="LHD46" s="375"/>
      <c r="LHE46" s="375"/>
      <c r="LHF46" s="375"/>
      <c r="LHG46" s="375"/>
      <c r="LHH46" s="375"/>
      <c r="LHI46" s="375"/>
      <c r="LHJ46" s="375"/>
      <c r="LHK46" s="375"/>
      <c r="LHL46" s="375"/>
      <c r="LHM46" s="375"/>
      <c r="LHN46" s="375"/>
      <c r="LHO46" s="375"/>
      <c r="LHP46" s="375"/>
      <c r="LHQ46" s="375"/>
      <c r="LHR46" s="375"/>
      <c r="LHS46" s="375"/>
      <c r="LHT46" s="375"/>
      <c r="LHU46" s="375"/>
      <c r="LHV46" s="375"/>
      <c r="LHW46" s="375"/>
      <c r="LHX46" s="375"/>
      <c r="LHY46" s="375"/>
      <c r="LHZ46" s="375"/>
      <c r="LIA46" s="375"/>
      <c r="LIB46" s="375"/>
      <c r="LIC46" s="375"/>
      <c r="LID46" s="375"/>
      <c r="LIE46" s="375"/>
      <c r="LIF46" s="375"/>
      <c r="LIG46" s="375"/>
      <c r="LIH46" s="375"/>
      <c r="LII46" s="375"/>
      <c r="LIJ46" s="375"/>
      <c r="LIK46" s="375"/>
      <c r="LIL46" s="375"/>
      <c r="LIM46" s="375"/>
      <c r="LIN46" s="375"/>
      <c r="LIO46" s="375"/>
      <c r="LIP46" s="375"/>
      <c r="LIQ46" s="375"/>
      <c r="LIR46" s="375"/>
      <c r="LIS46" s="375"/>
      <c r="LIT46" s="375"/>
      <c r="LIU46" s="375"/>
      <c r="LIV46" s="375"/>
      <c r="LIW46" s="375"/>
      <c r="LIX46" s="375"/>
      <c r="LIY46" s="375"/>
      <c r="LIZ46" s="375"/>
      <c r="LJA46" s="375"/>
      <c r="LJB46" s="375"/>
      <c r="LJC46" s="375"/>
      <c r="LJD46" s="375"/>
      <c r="LJE46" s="375"/>
      <c r="LJF46" s="375"/>
      <c r="LJG46" s="375"/>
      <c r="LJH46" s="375"/>
      <c r="LJI46" s="375"/>
      <c r="LJJ46" s="375"/>
      <c r="LJK46" s="375"/>
      <c r="LJL46" s="375"/>
      <c r="LJM46" s="375"/>
      <c r="LJN46" s="375"/>
      <c r="LJO46" s="375"/>
      <c r="LJP46" s="375"/>
      <c r="LJQ46" s="375"/>
      <c r="LJR46" s="375"/>
      <c r="LJS46" s="375"/>
      <c r="LJT46" s="375"/>
      <c r="LJU46" s="375"/>
      <c r="LJV46" s="375"/>
      <c r="LJW46" s="375"/>
      <c r="LJX46" s="375"/>
      <c r="LJY46" s="375"/>
      <c r="LJZ46" s="375"/>
      <c r="LKA46" s="375"/>
      <c r="LKB46" s="375"/>
      <c r="LKC46" s="375"/>
      <c r="LKD46" s="375"/>
      <c r="LKE46" s="375"/>
      <c r="LKF46" s="375"/>
      <c r="LKG46" s="375"/>
      <c r="LKH46" s="375"/>
      <c r="LKI46" s="375"/>
      <c r="LKJ46" s="375"/>
      <c r="LKK46" s="375"/>
      <c r="LKL46" s="375"/>
      <c r="LKM46" s="375"/>
      <c r="LKN46" s="375"/>
      <c r="LKO46" s="375"/>
      <c r="LKP46" s="375"/>
      <c r="LKQ46" s="375"/>
      <c r="LKR46" s="375"/>
      <c r="LKS46" s="375"/>
      <c r="LKT46" s="375"/>
      <c r="LKU46" s="375"/>
      <c r="LKV46" s="375"/>
      <c r="LKW46" s="375"/>
      <c r="LKX46" s="375"/>
      <c r="LKY46" s="375"/>
      <c r="LKZ46" s="375"/>
      <c r="LLA46" s="375"/>
      <c r="LLB46" s="375"/>
      <c r="LLC46" s="375"/>
      <c r="LLD46" s="375"/>
      <c r="LLE46" s="375"/>
      <c r="LLF46" s="375"/>
      <c r="LLG46" s="375"/>
      <c r="LLH46" s="375"/>
      <c r="LLI46" s="375"/>
      <c r="LLJ46" s="375"/>
      <c r="LLK46" s="375"/>
      <c r="LLL46" s="375"/>
      <c r="LLM46" s="375"/>
      <c r="LLN46" s="375"/>
      <c r="LLO46" s="375"/>
      <c r="LLP46" s="375"/>
      <c r="LLQ46" s="375"/>
      <c r="LLR46" s="375"/>
      <c r="LLS46" s="375"/>
      <c r="LLT46" s="375"/>
      <c r="LLU46" s="375"/>
      <c r="LLV46" s="375"/>
      <c r="LLW46" s="375"/>
      <c r="LLX46" s="375"/>
      <c r="LLY46" s="375"/>
      <c r="LLZ46" s="375"/>
      <c r="LMA46" s="375"/>
      <c r="LMB46" s="375"/>
      <c r="LMC46" s="375"/>
      <c r="LMD46" s="375"/>
      <c r="LME46" s="375"/>
      <c r="LMF46" s="375"/>
      <c r="LMG46" s="375"/>
      <c r="LMH46" s="375"/>
      <c r="LMI46" s="375"/>
      <c r="LMJ46" s="375"/>
      <c r="LMK46" s="375"/>
      <c r="LML46" s="375"/>
      <c r="LMM46" s="375"/>
      <c r="LMN46" s="375"/>
      <c r="LMO46" s="375"/>
      <c r="LMP46" s="375"/>
      <c r="LMQ46" s="375"/>
      <c r="LMR46" s="375"/>
      <c r="LMS46" s="375"/>
      <c r="LMT46" s="375"/>
      <c r="LMU46" s="375"/>
      <c r="LMV46" s="375"/>
      <c r="LMW46" s="375"/>
      <c r="LMX46" s="375"/>
      <c r="LMY46" s="375"/>
      <c r="LMZ46" s="375"/>
      <c r="LNA46" s="375"/>
      <c r="LNB46" s="375"/>
      <c r="LNC46" s="375"/>
      <c r="LND46" s="375"/>
      <c r="LNE46" s="375"/>
      <c r="LNF46" s="375"/>
      <c r="LNG46" s="375"/>
      <c r="LNH46" s="375"/>
      <c r="LNI46" s="375"/>
      <c r="LNJ46" s="375"/>
      <c r="LNK46" s="375"/>
      <c r="LNL46" s="375"/>
      <c r="LNM46" s="375"/>
      <c r="LNN46" s="375"/>
      <c r="LNO46" s="375"/>
      <c r="LNP46" s="375"/>
      <c r="LNQ46" s="375"/>
      <c r="LNR46" s="375"/>
      <c r="LNS46" s="375"/>
      <c r="LNT46" s="375"/>
      <c r="LNU46" s="375"/>
      <c r="LNV46" s="375"/>
      <c r="LNW46" s="375"/>
      <c r="LNX46" s="375"/>
      <c r="LNY46" s="375"/>
      <c r="LNZ46" s="375"/>
      <c r="LOA46" s="375"/>
      <c r="LOB46" s="375"/>
      <c r="LOC46" s="375"/>
      <c r="LOD46" s="375"/>
      <c r="LOE46" s="375"/>
      <c r="LOF46" s="375"/>
      <c r="LOG46" s="375"/>
      <c r="LOH46" s="375"/>
      <c r="LOI46" s="375"/>
      <c r="LOJ46" s="375"/>
      <c r="LOK46" s="375"/>
      <c r="LOL46" s="375"/>
      <c r="LOM46" s="375"/>
      <c r="LON46" s="375"/>
      <c r="LOO46" s="375"/>
      <c r="LOP46" s="375"/>
      <c r="LOQ46" s="375"/>
      <c r="LOR46" s="375"/>
      <c r="LOS46" s="375"/>
      <c r="LOT46" s="375"/>
      <c r="LOU46" s="375"/>
      <c r="LOV46" s="375"/>
      <c r="LOW46" s="375"/>
      <c r="LOX46" s="375"/>
      <c r="LOY46" s="375"/>
      <c r="LOZ46" s="375"/>
      <c r="LPA46" s="375"/>
      <c r="LPB46" s="375"/>
      <c r="LPC46" s="375"/>
      <c r="LPD46" s="375"/>
      <c r="LPE46" s="375"/>
      <c r="LPF46" s="375"/>
      <c r="LPG46" s="375"/>
      <c r="LPH46" s="375"/>
      <c r="LPI46" s="375"/>
      <c r="LPJ46" s="375"/>
      <c r="LPK46" s="375"/>
      <c r="LPL46" s="375"/>
      <c r="LPM46" s="375"/>
      <c r="LPN46" s="375"/>
      <c r="LPO46" s="375"/>
      <c r="LPP46" s="375"/>
      <c r="LPQ46" s="375"/>
      <c r="LPR46" s="375"/>
      <c r="LPS46" s="375"/>
      <c r="LPT46" s="375"/>
      <c r="LPU46" s="375"/>
      <c r="LPV46" s="375"/>
      <c r="LPW46" s="375"/>
      <c r="LPX46" s="375"/>
      <c r="LPY46" s="375"/>
      <c r="LPZ46" s="375"/>
      <c r="LQA46" s="375"/>
      <c r="LQB46" s="375"/>
      <c r="LQC46" s="375"/>
      <c r="LQD46" s="375"/>
      <c r="LQE46" s="375"/>
      <c r="LQF46" s="375"/>
      <c r="LQG46" s="375"/>
      <c r="LQH46" s="375"/>
      <c r="LQI46" s="375"/>
      <c r="LQJ46" s="375"/>
      <c r="LQK46" s="375"/>
      <c r="LQL46" s="375"/>
      <c r="LQM46" s="375"/>
      <c r="LQN46" s="375"/>
      <c r="LQO46" s="375"/>
      <c r="LQP46" s="375"/>
      <c r="LQQ46" s="375"/>
      <c r="LQR46" s="375"/>
      <c r="LQS46" s="375"/>
      <c r="LQT46" s="375"/>
      <c r="LQU46" s="375"/>
      <c r="LQV46" s="375"/>
      <c r="LQW46" s="375"/>
      <c r="LQX46" s="375"/>
      <c r="LQY46" s="375"/>
      <c r="LQZ46" s="375"/>
      <c r="LRA46" s="375"/>
      <c r="LRB46" s="375"/>
      <c r="LRC46" s="375"/>
      <c r="LRD46" s="375"/>
      <c r="LRE46" s="375"/>
      <c r="LRF46" s="375"/>
      <c r="LRG46" s="375"/>
      <c r="LRH46" s="375"/>
      <c r="LRI46" s="375"/>
      <c r="LRJ46" s="375"/>
      <c r="LRK46" s="375"/>
      <c r="LRL46" s="375"/>
      <c r="LRM46" s="375"/>
      <c r="LRN46" s="375"/>
      <c r="LRO46" s="375"/>
      <c r="LRP46" s="375"/>
      <c r="LRQ46" s="375"/>
      <c r="LRR46" s="375"/>
      <c r="LRS46" s="375"/>
      <c r="LRT46" s="375"/>
      <c r="LRU46" s="375"/>
      <c r="LRV46" s="375"/>
      <c r="LRW46" s="375"/>
      <c r="LRX46" s="375"/>
      <c r="LRY46" s="375"/>
      <c r="LRZ46" s="375"/>
      <c r="LSA46" s="375"/>
      <c r="LSB46" s="375"/>
      <c r="LSC46" s="375"/>
      <c r="LSD46" s="375"/>
      <c r="LSE46" s="375"/>
      <c r="LSF46" s="375"/>
      <c r="LSG46" s="375"/>
      <c r="LSH46" s="375"/>
      <c r="LSI46" s="375"/>
      <c r="LSJ46" s="375"/>
      <c r="LSK46" s="375"/>
      <c r="LSL46" s="375"/>
      <c r="LSM46" s="375"/>
      <c r="LSN46" s="375"/>
      <c r="LSO46" s="375"/>
      <c r="LSP46" s="375"/>
      <c r="LSQ46" s="375"/>
      <c r="LSR46" s="375"/>
      <c r="LSS46" s="375"/>
      <c r="LST46" s="375"/>
      <c r="LSU46" s="375"/>
      <c r="LSV46" s="375"/>
      <c r="LSW46" s="375"/>
      <c r="LSX46" s="375"/>
      <c r="LSY46" s="375"/>
      <c r="LSZ46" s="375"/>
      <c r="LTA46" s="375"/>
      <c r="LTB46" s="375"/>
      <c r="LTC46" s="375"/>
      <c r="LTD46" s="375"/>
      <c r="LTE46" s="375"/>
      <c r="LTF46" s="375"/>
      <c r="LTG46" s="375"/>
      <c r="LTH46" s="375"/>
      <c r="LTI46" s="375"/>
      <c r="LTJ46" s="375"/>
      <c r="LTK46" s="375"/>
      <c r="LTL46" s="375"/>
      <c r="LTM46" s="375"/>
      <c r="LTN46" s="375"/>
      <c r="LTO46" s="375"/>
      <c r="LTP46" s="375"/>
      <c r="LTQ46" s="375"/>
      <c r="LTR46" s="375"/>
      <c r="LTS46" s="375"/>
      <c r="LTT46" s="375"/>
      <c r="LTU46" s="375"/>
      <c r="LTV46" s="375"/>
      <c r="LTW46" s="375"/>
      <c r="LTX46" s="375"/>
      <c r="LTY46" s="375"/>
      <c r="LTZ46" s="375"/>
      <c r="LUA46" s="375"/>
      <c r="LUB46" s="375"/>
      <c r="LUC46" s="375"/>
      <c r="LUD46" s="375"/>
      <c r="LUE46" s="375"/>
      <c r="LUF46" s="375"/>
      <c r="LUG46" s="375"/>
      <c r="LUH46" s="375"/>
      <c r="LUI46" s="375"/>
      <c r="LUJ46" s="375"/>
      <c r="LUK46" s="375"/>
      <c r="LUL46" s="375"/>
      <c r="LUM46" s="375"/>
      <c r="LUN46" s="375"/>
      <c r="LUO46" s="375"/>
      <c r="LUP46" s="375"/>
      <c r="LUQ46" s="375"/>
      <c r="LUR46" s="375"/>
      <c r="LUS46" s="375"/>
      <c r="LUT46" s="375"/>
      <c r="LUU46" s="375"/>
      <c r="LUV46" s="375"/>
      <c r="LUW46" s="375"/>
      <c r="LUX46" s="375"/>
      <c r="LUY46" s="375"/>
      <c r="LUZ46" s="375"/>
      <c r="LVA46" s="375"/>
      <c r="LVB46" s="375"/>
      <c r="LVC46" s="375"/>
      <c r="LVD46" s="375"/>
      <c r="LVE46" s="375"/>
      <c r="LVF46" s="375"/>
      <c r="LVG46" s="375"/>
      <c r="LVH46" s="375"/>
      <c r="LVI46" s="375"/>
      <c r="LVJ46" s="375"/>
      <c r="LVK46" s="375"/>
      <c r="LVL46" s="375"/>
      <c r="LVM46" s="375"/>
      <c r="LVN46" s="375"/>
      <c r="LVO46" s="375"/>
      <c r="LVP46" s="375"/>
      <c r="LVQ46" s="375"/>
      <c r="LVR46" s="375"/>
      <c r="LVS46" s="375"/>
      <c r="LVT46" s="375"/>
      <c r="LVU46" s="375"/>
      <c r="LVV46" s="375"/>
      <c r="LVW46" s="375"/>
      <c r="LVX46" s="375"/>
      <c r="LVY46" s="375"/>
      <c r="LVZ46" s="375"/>
      <c r="LWA46" s="375"/>
      <c r="LWB46" s="375"/>
      <c r="LWC46" s="375"/>
      <c r="LWD46" s="375"/>
      <c r="LWE46" s="375"/>
      <c r="LWF46" s="375"/>
      <c r="LWG46" s="375"/>
      <c r="LWH46" s="375"/>
      <c r="LWI46" s="375"/>
      <c r="LWJ46" s="375"/>
      <c r="LWK46" s="375"/>
      <c r="LWL46" s="375"/>
      <c r="LWM46" s="375"/>
      <c r="LWN46" s="375"/>
      <c r="LWO46" s="375"/>
      <c r="LWP46" s="375"/>
      <c r="LWQ46" s="375"/>
      <c r="LWR46" s="375"/>
      <c r="LWS46" s="375"/>
      <c r="LWT46" s="375"/>
      <c r="LWU46" s="375"/>
      <c r="LWV46" s="375"/>
      <c r="LWW46" s="375"/>
      <c r="LWX46" s="375"/>
      <c r="LWY46" s="375"/>
      <c r="LWZ46" s="375"/>
      <c r="LXA46" s="375"/>
      <c r="LXB46" s="375"/>
      <c r="LXC46" s="375"/>
      <c r="LXD46" s="375"/>
      <c r="LXE46" s="375"/>
      <c r="LXF46" s="375"/>
      <c r="LXG46" s="375"/>
      <c r="LXH46" s="375"/>
      <c r="LXI46" s="375"/>
      <c r="LXJ46" s="375"/>
      <c r="LXK46" s="375"/>
      <c r="LXL46" s="375"/>
      <c r="LXM46" s="375"/>
      <c r="LXN46" s="375"/>
      <c r="LXO46" s="375"/>
      <c r="LXP46" s="375"/>
      <c r="LXQ46" s="375"/>
      <c r="LXR46" s="375"/>
      <c r="LXS46" s="375"/>
      <c r="LXT46" s="375"/>
      <c r="LXU46" s="375"/>
      <c r="LXV46" s="375"/>
      <c r="LXW46" s="375"/>
      <c r="LXX46" s="375"/>
      <c r="LXY46" s="375"/>
      <c r="LXZ46" s="375"/>
      <c r="LYA46" s="375"/>
      <c r="LYB46" s="375"/>
      <c r="LYC46" s="375"/>
      <c r="LYD46" s="375"/>
      <c r="LYE46" s="375"/>
      <c r="LYF46" s="375"/>
      <c r="LYG46" s="375"/>
      <c r="LYH46" s="375"/>
      <c r="LYI46" s="375"/>
      <c r="LYJ46" s="375"/>
      <c r="LYK46" s="375"/>
      <c r="LYL46" s="375"/>
      <c r="LYM46" s="375"/>
      <c r="LYN46" s="375"/>
      <c r="LYO46" s="375"/>
      <c r="LYP46" s="375"/>
      <c r="LYQ46" s="375"/>
      <c r="LYR46" s="375"/>
      <c r="LYS46" s="375"/>
      <c r="LYT46" s="375"/>
      <c r="LYU46" s="375"/>
      <c r="LYV46" s="375"/>
      <c r="LYW46" s="375"/>
      <c r="LYX46" s="375"/>
      <c r="LYY46" s="375"/>
      <c r="LYZ46" s="375"/>
      <c r="LZA46" s="375"/>
      <c r="LZB46" s="375"/>
      <c r="LZC46" s="375"/>
      <c r="LZD46" s="375"/>
      <c r="LZE46" s="375"/>
      <c r="LZF46" s="375"/>
      <c r="LZG46" s="375"/>
      <c r="LZH46" s="375"/>
      <c r="LZI46" s="375"/>
      <c r="LZJ46" s="375"/>
      <c r="LZK46" s="375"/>
      <c r="LZL46" s="375"/>
      <c r="LZM46" s="375"/>
      <c r="LZN46" s="375"/>
      <c r="LZO46" s="375"/>
      <c r="LZP46" s="375"/>
      <c r="LZQ46" s="375"/>
      <c r="LZR46" s="375"/>
      <c r="LZS46" s="375"/>
      <c r="LZT46" s="375"/>
      <c r="LZU46" s="375"/>
      <c r="LZV46" s="375"/>
      <c r="LZW46" s="375"/>
      <c r="LZX46" s="375"/>
      <c r="LZY46" s="375"/>
      <c r="LZZ46" s="375"/>
      <c r="MAA46" s="375"/>
      <c r="MAB46" s="375"/>
      <c r="MAC46" s="375"/>
      <c r="MAD46" s="375"/>
      <c r="MAE46" s="375"/>
      <c r="MAF46" s="375"/>
      <c r="MAG46" s="375"/>
      <c r="MAH46" s="375"/>
      <c r="MAI46" s="375"/>
      <c r="MAJ46" s="375"/>
      <c r="MAK46" s="375"/>
      <c r="MAL46" s="375"/>
      <c r="MAM46" s="375"/>
      <c r="MAN46" s="375"/>
      <c r="MAO46" s="375"/>
      <c r="MAP46" s="375"/>
      <c r="MAQ46" s="375"/>
      <c r="MAR46" s="375"/>
      <c r="MAS46" s="375"/>
      <c r="MAT46" s="375"/>
      <c r="MAU46" s="375"/>
      <c r="MAV46" s="375"/>
      <c r="MAW46" s="375"/>
      <c r="MAX46" s="375"/>
      <c r="MAY46" s="375"/>
      <c r="MAZ46" s="375"/>
      <c r="MBA46" s="375"/>
      <c r="MBB46" s="375"/>
      <c r="MBC46" s="375"/>
      <c r="MBD46" s="375"/>
      <c r="MBE46" s="375"/>
      <c r="MBF46" s="375"/>
      <c r="MBG46" s="375"/>
      <c r="MBH46" s="375"/>
      <c r="MBI46" s="375"/>
      <c r="MBJ46" s="375"/>
      <c r="MBK46" s="375"/>
      <c r="MBL46" s="375"/>
      <c r="MBM46" s="375"/>
      <c r="MBN46" s="375"/>
      <c r="MBO46" s="375"/>
      <c r="MBP46" s="375"/>
      <c r="MBQ46" s="375"/>
      <c r="MBR46" s="375"/>
      <c r="MBS46" s="375"/>
      <c r="MBT46" s="375"/>
      <c r="MBU46" s="375"/>
      <c r="MBV46" s="375"/>
      <c r="MBW46" s="375"/>
      <c r="MBX46" s="375"/>
      <c r="MBY46" s="375"/>
      <c r="MBZ46" s="375"/>
      <c r="MCA46" s="375"/>
      <c r="MCB46" s="375"/>
      <c r="MCC46" s="375"/>
      <c r="MCD46" s="375"/>
      <c r="MCE46" s="375"/>
      <c r="MCF46" s="375"/>
      <c r="MCG46" s="375"/>
      <c r="MCH46" s="375"/>
      <c r="MCI46" s="375"/>
      <c r="MCJ46" s="375"/>
      <c r="MCK46" s="375"/>
      <c r="MCL46" s="375"/>
      <c r="MCM46" s="375"/>
      <c r="MCN46" s="375"/>
      <c r="MCO46" s="375"/>
      <c r="MCP46" s="375"/>
      <c r="MCQ46" s="375"/>
      <c r="MCR46" s="375"/>
      <c r="MCS46" s="375"/>
      <c r="MCT46" s="375"/>
      <c r="MCU46" s="375"/>
      <c r="MCV46" s="375"/>
      <c r="MCW46" s="375"/>
      <c r="MCX46" s="375"/>
      <c r="MCY46" s="375"/>
      <c r="MCZ46" s="375"/>
      <c r="MDA46" s="375"/>
      <c r="MDB46" s="375"/>
      <c r="MDC46" s="375"/>
      <c r="MDD46" s="375"/>
      <c r="MDE46" s="375"/>
      <c r="MDF46" s="375"/>
      <c r="MDG46" s="375"/>
      <c r="MDH46" s="375"/>
      <c r="MDI46" s="375"/>
      <c r="MDJ46" s="375"/>
      <c r="MDK46" s="375"/>
      <c r="MDL46" s="375"/>
      <c r="MDM46" s="375"/>
      <c r="MDN46" s="375"/>
      <c r="MDO46" s="375"/>
      <c r="MDP46" s="375"/>
      <c r="MDQ46" s="375"/>
      <c r="MDR46" s="375"/>
      <c r="MDS46" s="375"/>
      <c r="MDT46" s="375"/>
      <c r="MDU46" s="375"/>
      <c r="MDV46" s="375"/>
      <c r="MDW46" s="375"/>
      <c r="MDX46" s="375"/>
      <c r="MDY46" s="375"/>
      <c r="MDZ46" s="375"/>
      <c r="MEA46" s="375"/>
      <c r="MEB46" s="375"/>
      <c r="MEC46" s="375"/>
      <c r="MED46" s="375"/>
      <c r="MEE46" s="375"/>
      <c r="MEF46" s="375"/>
      <c r="MEG46" s="375"/>
      <c r="MEH46" s="375"/>
      <c r="MEI46" s="375"/>
      <c r="MEJ46" s="375"/>
      <c r="MEK46" s="375"/>
      <c r="MEL46" s="375"/>
      <c r="MEM46" s="375"/>
      <c r="MEN46" s="375"/>
      <c r="MEO46" s="375"/>
      <c r="MEP46" s="375"/>
      <c r="MEQ46" s="375"/>
      <c r="MER46" s="375"/>
      <c r="MES46" s="375"/>
      <c r="MET46" s="375"/>
      <c r="MEU46" s="375"/>
      <c r="MEV46" s="375"/>
      <c r="MEW46" s="375"/>
      <c r="MEX46" s="375"/>
      <c r="MEY46" s="375"/>
      <c r="MEZ46" s="375"/>
      <c r="MFA46" s="375"/>
      <c r="MFB46" s="375"/>
      <c r="MFC46" s="375"/>
      <c r="MFD46" s="375"/>
      <c r="MFE46" s="375"/>
      <c r="MFF46" s="375"/>
      <c r="MFG46" s="375"/>
      <c r="MFH46" s="375"/>
      <c r="MFI46" s="375"/>
      <c r="MFJ46" s="375"/>
      <c r="MFK46" s="375"/>
      <c r="MFL46" s="375"/>
      <c r="MFM46" s="375"/>
      <c r="MFN46" s="375"/>
      <c r="MFO46" s="375"/>
      <c r="MFP46" s="375"/>
      <c r="MFQ46" s="375"/>
      <c r="MFR46" s="375"/>
      <c r="MFS46" s="375"/>
      <c r="MFT46" s="375"/>
      <c r="MFU46" s="375"/>
      <c r="MFV46" s="375"/>
      <c r="MFW46" s="375"/>
      <c r="MFX46" s="375"/>
      <c r="MFY46" s="375"/>
      <c r="MFZ46" s="375"/>
      <c r="MGA46" s="375"/>
      <c r="MGB46" s="375"/>
      <c r="MGC46" s="375"/>
      <c r="MGD46" s="375"/>
      <c r="MGE46" s="375"/>
      <c r="MGF46" s="375"/>
      <c r="MGG46" s="375"/>
      <c r="MGH46" s="375"/>
      <c r="MGI46" s="375"/>
      <c r="MGJ46" s="375"/>
      <c r="MGK46" s="375"/>
      <c r="MGL46" s="375"/>
      <c r="MGM46" s="375"/>
      <c r="MGN46" s="375"/>
      <c r="MGO46" s="375"/>
      <c r="MGP46" s="375"/>
      <c r="MGQ46" s="375"/>
      <c r="MGR46" s="375"/>
      <c r="MGS46" s="375"/>
      <c r="MGT46" s="375"/>
      <c r="MGU46" s="375"/>
      <c r="MGV46" s="375"/>
      <c r="MGW46" s="375"/>
      <c r="MGX46" s="375"/>
      <c r="MGY46" s="375"/>
      <c r="MGZ46" s="375"/>
      <c r="MHA46" s="375"/>
      <c r="MHB46" s="375"/>
      <c r="MHC46" s="375"/>
      <c r="MHD46" s="375"/>
      <c r="MHE46" s="375"/>
      <c r="MHF46" s="375"/>
      <c r="MHG46" s="375"/>
      <c r="MHH46" s="375"/>
      <c r="MHI46" s="375"/>
      <c r="MHJ46" s="375"/>
      <c r="MHK46" s="375"/>
      <c r="MHL46" s="375"/>
      <c r="MHM46" s="375"/>
      <c r="MHN46" s="375"/>
      <c r="MHO46" s="375"/>
      <c r="MHP46" s="375"/>
      <c r="MHQ46" s="375"/>
      <c r="MHR46" s="375"/>
      <c r="MHS46" s="375"/>
      <c r="MHT46" s="375"/>
      <c r="MHU46" s="375"/>
      <c r="MHV46" s="375"/>
      <c r="MHW46" s="375"/>
      <c r="MHX46" s="375"/>
      <c r="MHY46" s="375"/>
      <c r="MHZ46" s="375"/>
      <c r="MIA46" s="375"/>
      <c r="MIB46" s="375"/>
      <c r="MIC46" s="375"/>
      <c r="MID46" s="375"/>
      <c r="MIE46" s="375"/>
      <c r="MIF46" s="375"/>
      <c r="MIG46" s="375"/>
      <c r="MIH46" s="375"/>
      <c r="MII46" s="375"/>
      <c r="MIJ46" s="375"/>
      <c r="MIK46" s="375"/>
      <c r="MIL46" s="375"/>
      <c r="MIM46" s="375"/>
      <c r="MIN46" s="375"/>
      <c r="MIO46" s="375"/>
      <c r="MIP46" s="375"/>
      <c r="MIQ46" s="375"/>
      <c r="MIR46" s="375"/>
      <c r="MIS46" s="375"/>
      <c r="MIT46" s="375"/>
      <c r="MIU46" s="375"/>
      <c r="MIV46" s="375"/>
      <c r="MIW46" s="375"/>
      <c r="MIX46" s="375"/>
      <c r="MIY46" s="375"/>
      <c r="MIZ46" s="375"/>
      <c r="MJA46" s="375"/>
      <c r="MJB46" s="375"/>
      <c r="MJC46" s="375"/>
      <c r="MJD46" s="375"/>
      <c r="MJE46" s="375"/>
      <c r="MJF46" s="375"/>
      <c r="MJG46" s="375"/>
      <c r="MJH46" s="375"/>
      <c r="MJI46" s="375"/>
      <c r="MJJ46" s="375"/>
      <c r="MJK46" s="375"/>
      <c r="MJL46" s="375"/>
      <c r="MJM46" s="375"/>
      <c r="MJN46" s="375"/>
      <c r="MJO46" s="375"/>
      <c r="MJP46" s="375"/>
      <c r="MJQ46" s="375"/>
      <c r="MJR46" s="375"/>
      <c r="MJS46" s="375"/>
      <c r="MJT46" s="375"/>
      <c r="MJU46" s="375"/>
      <c r="MJV46" s="375"/>
      <c r="MJW46" s="375"/>
      <c r="MJX46" s="375"/>
      <c r="MJY46" s="375"/>
      <c r="MJZ46" s="375"/>
      <c r="MKA46" s="375"/>
      <c r="MKB46" s="375"/>
      <c r="MKC46" s="375"/>
      <c r="MKD46" s="375"/>
      <c r="MKE46" s="375"/>
      <c r="MKF46" s="375"/>
      <c r="MKG46" s="375"/>
      <c r="MKH46" s="375"/>
      <c r="MKI46" s="375"/>
      <c r="MKJ46" s="375"/>
      <c r="MKK46" s="375"/>
      <c r="MKL46" s="375"/>
      <c r="MKM46" s="375"/>
      <c r="MKN46" s="375"/>
      <c r="MKO46" s="375"/>
      <c r="MKP46" s="375"/>
      <c r="MKQ46" s="375"/>
      <c r="MKR46" s="375"/>
      <c r="MKS46" s="375"/>
      <c r="MKT46" s="375"/>
      <c r="MKU46" s="375"/>
      <c r="MKV46" s="375"/>
      <c r="MKW46" s="375"/>
      <c r="MKX46" s="375"/>
      <c r="MKY46" s="375"/>
      <c r="MKZ46" s="375"/>
      <c r="MLA46" s="375"/>
      <c r="MLB46" s="375"/>
      <c r="MLC46" s="375"/>
      <c r="MLD46" s="375"/>
      <c r="MLE46" s="375"/>
      <c r="MLF46" s="375"/>
      <c r="MLG46" s="375"/>
      <c r="MLH46" s="375"/>
      <c r="MLI46" s="375"/>
      <c r="MLJ46" s="375"/>
      <c r="MLK46" s="375"/>
      <c r="MLL46" s="375"/>
      <c r="MLM46" s="375"/>
      <c r="MLN46" s="375"/>
      <c r="MLO46" s="375"/>
      <c r="MLP46" s="375"/>
      <c r="MLQ46" s="375"/>
      <c r="MLR46" s="375"/>
      <c r="MLS46" s="375"/>
      <c r="MLT46" s="375"/>
      <c r="MLU46" s="375"/>
      <c r="MLV46" s="375"/>
      <c r="MLW46" s="375"/>
      <c r="MLX46" s="375"/>
      <c r="MLY46" s="375"/>
      <c r="MLZ46" s="375"/>
      <c r="MMA46" s="375"/>
      <c r="MMB46" s="375"/>
      <c r="MMC46" s="375"/>
      <c r="MMD46" s="375"/>
      <c r="MME46" s="375"/>
      <c r="MMF46" s="375"/>
      <c r="MMG46" s="375"/>
      <c r="MMH46" s="375"/>
      <c r="MMI46" s="375"/>
      <c r="MMJ46" s="375"/>
      <c r="MMK46" s="375"/>
      <c r="MML46" s="375"/>
      <c r="MMM46" s="375"/>
      <c r="MMN46" s="375"/>
      <c r="MMO46" s="375"/>
      <c r="MMP46" s="375"/>
      <c r="MMQ46" s="375"/>
      <c r="MMR46" s="375"/>
      <c r="MMS46" s="375"/>
      <c r="MMT46" s="375"/>
      <c r="MMU46" s="375"/>
      <c r="MMV46" s="375"/>
      <c r="MMW46" s="375"/>
      <c r="MMX46" s="375"/>
      <c r="MMY46" s="375"/>
      <c r="MMZ46" s="375"/>
      <c r="MNA46" s="375"/>
      <c r="MNB46" s="375"/>
      <c r="MNC46" s="375"/>
      <c r="MND46" s="375"/>
      <c r="MNE46" s="375"/>
      <c r="MNF46" s="375"/>
      <c r="MNG46" s="375"/>
      <c r="MNH46" s="375"/>
      <c r="MNI46" s="375"/>
      <c r="MNJ46" s="375"/>
      <c r="MNK46" s="375"/>
      <c r="MNL46" s="375"/>
      <c r="MNM46" s="375"/>
      <c r="MNN46" s="375"/>
      <c r="MNO46" s="375"/>
      <c r="MNP46" s="375"/>
      <c r="MNQ46" s="375"/>
      <c r="MNR46" s="375"/>
      <c r="MNS46" s="375"/>
      <c r="MNT46" s="375"/>
      <c r="MNU46" s="375"/>
      <c r="MNV46" s="375"/>
      <c r="MNW46" s="375"/>
      <c r="MNX46" s="375"/>
      <c r="MNY46" s="375"/>
      <c r="MNZ46" s="375"/>
      <c r="MOA46" s="375"/>
      <c r="MOB46" s="375"/>
      <c r="MOC46" s="375"/>
      <c r="MOD46" s="375"/>
      <c r="MOE46" s="375"/>
      <c r="MOF46" s="375"/>
      <c r="MOG46" s="375"/>
      <c r="MOH46" s="375"/>
      <c r="MOI46" s="375"/>
      <c r="MOJ46" s="375"/>
      <c r="MOK46" s="375"/>
      <c r="MOL46" s="375"/>
      <c r="MOM46" s="375"/>
      <c r="MON46" s="375"/>
      <c r="MOO46" s="375"/>
      <c r="MOP46" s="375"/>
      <c r="MOQ46" s="375"/>
      <c r="MOR46" s="375"/>
      <c r="MOS46" s="375"/>
      <c r="MOT46" s="375"/>
      <c r="MOU46" s="375"/>
      <c r="MOV46" s="375"/>
      <c r="MOW46" s="375"/>
      <c r="MOX46" s="375"/>
      <c r="MOY46" s="375"/>
      <c r="MOZ46" s="375"/>
      <c r="MPA46" s="375"/>
      <c r="MPB46" s="375"/>
      <c r="MPC46" s="375"/>
      <c r="MPD46" s="375"/>
      <c r="MPE46" s="375"/>
      <c r="MPF46" s="375"/>
      <c r="MPG46" s="375"/>
      <c r="MPH46" s="375"/>
      <c r="MPI46" s="375"/>
      <c r="MPJ46" s="375"/>
      <c r="MPK46" s="375"/>
      <c r="MPL46" s="375"/>
      <c r="MPM46" s="375"/>
      <c r="MPN46" s="375"/>
      <c r="MPO46" s="375"/>
      <c r="MPP46" s="375"/>
      <c r="MPQ46" s="375"/>
      <c r="MPR46" s="375"/>
      <c r="MPS46" s="375"/>
      <c r="MPT46" s="375"/>
      <c r="MPU46" s="375"/>
      <c r="MPV46" s="375"/>
      <c r="MPW46" s="375"/>
      <c r="MPX46" s="375"/>
      <c r="MPY46" s="375"/>
      <c r="MPZ46" s="375"/>
      <c r="MQA46" s="375"/>
      <c r="MQB46" s="375"/>
      <c r="MQC46" s="375"/>
      <c r="MQD46" s="375"/>
      <c r="MQE46" s="375"/>
      <c r="MQF46" s="375"/>
      <c r="MQG46" s="375"/>
      <c r="MQH46" s="375"/>
      <c r="MQI46" s="375"/>
      <c r="MQJ46" s="375"/>
      <c r="MQK46" s="375"/>
      <c r="MQL46" s="375"/>
      <c r="MQM46" s="375"/>
      <c r="MQN46" s="375"/>
      <c r="MQO46" s="375"/>
      <c r="MQP46" s="375"/>
      <c r="MQQ46" s="375"/>
      <c r="MQR46" s="375"/>
      <c r="MQS46" s="375"/>
      <c r="MQT46" s="375"/>
      <c r="MQU46" s="375"/>
      <c r="MQV46" s="375"/>
      <c r="MQW46" s="375"/>
      <c r="MQX46" s="375"/>
      <c r="MQY46" s="375"/>
      <c r="MQZ46" s="375"/>
      <c r="MRA46" s="375"/>
      <c r="MRB46" s="375"/>
      <c r="MRC46" s="375"/>
      <c r="MRD46" s="375"/>
      <c r="MRE46" s="375"/>
      <c r="MRF46" s="375"/>
      <c r="MRG46" s="375"/>
      <c r="MRH46" s="375"/>
      <c r="MRI46" s="375"/>
      <c r="MRJ46" s="375"/>
      <c r="MRK46" s="375"/>
      <c r="MRL46" s="375"/>
      <c r="MRM46" s="375"/>
      <c r="MRN46" s="375"/>
      <c r="MRO46" s="375"/>
      <c r="MRP46" s="375"/>
      <c r="MRQ46" s="375"/>
      <c r="MRR46" s="375"/>
      <c r="MRS46" s="375"/>
      <c r="MRT46" s="375"/>
      <c r="MRU46" s="375"/>
      <c r="MRV46" s="375"/>
      <c r="MRW46" s="375"/>
      <c r="MRX46" s="375"/>
      <c r="MRY46" s="375"/>
      <c r="MRZ46" s="375"/>
      <c r="MSA46" s="375"/>
      <c r="MSB46" s="375"/>
      <c r="MSC46" s="375"/>
      <c r="MSD46" s="375"/>
      <c r="MSE46" s="375"/>
      <c r="MSF46" s="375"/>
      <c r="MSG46" s="375"/>
      <c r="MSH46" s="375"/>
      <c r="MSI46" s="375"/>
      <c r="MSJ46" s="375"/>
      <c r="MSK46" s="375"/>
      <c r="MSL46" s="375"/>
      <c r="MSM46" s="375"/>
      <c r="MSN46" s="375"/>
      <c r="MSO46" s="375"/>
      <c r="MSP46" s="375"/>
      <c r="MSQ46" s="375"/>
      <c r="MSR46" s="375"/>
      <c r="MSS46" s="375"/>
      <c r="MST46" s="375"/>
      <c r="MSU46" s="375"/>
      <c r="MSV46" s="375"/>
      <c r="MSW46" s="375"/>
      <c r="MSX46" s="375"/>
      <c r="MSY46" s="375"/>
      <c r="MSZ46" s="375"/>
      <c r="MTA46" s="375"/>
      <c r="MTB46" s="375"/>
      <c r="MTC46" s="375"/>
      <c r="MTD46" s="375"/>
      <c r="MTE46" s="375"/>
      <c r="MTF46" s="375"/>
      <c r="MTG46" s="375"/>
      <c r="MTH46" s="375"/>
      <c r="MTI46" s="375"/>
      <c r="MTJ46" s="375"/>
      <c r="MTK46" s="375"/>
      <c r="MTL46" s="375"/>
      <c r="MTM46" s="375"/>
      <c r="MTN46" s="375"/>
      <c r="MTO46" s="375"/>
      <c r="MTP46" s="375"/>
      <c r="MTQ46" s="375"/>
      <c r="MTR46" s="375"/>
      <c r="MTS46" s="375"/>
      <c r="MTT46" s="375"/>
      <c r="MTU46" s="375"/>
      <c r="MTV46" s="375"/>
      <c r="MTW46" s="375"/>
      <c r="MTX46" s="375"/>
      <c r="MTY46" s="375"/>
      <c r="MTZ46" s="375"/>
      <c r="MUA46" s="375"/>
      <c r="MUB46" s="375"/>
      <c r="MUC46" s="375"/>
      <c r="MUD46" s="375"/>
      <c r="MUE46" s="375"/>
      <c r="MUF46" s="375"/>
      <c r="MUG46" s="375"/>
      <c r="MUH46" s="375"/>
      <c r="MUI46" s="375"/>
      <c r="MUJ46" s="375"/>
      <c r="MUK46" s="375"/>
      <c r="MUL46" s="375"/>
      <c r="MUM46" s="375"/>
      <c r="MUN46" s="375"/>
      <c r="MUO46" s="375"/>
      <c r="MUP46" s="375"/>
      <c r="MUQ46" s="375"/>
      <c r="MUR46" s="375"/>
      <c r="MUS46" s="375"/>
      <c r="MUT46" s="375"/>
      <c r="MUU46" s="375"/>
      <c r="MUV46" s="375"/>
      <c r="MUW46" s="375"/>
      <c r="MUX46" s="375"/>
      <c r="MUY46" s="375"/>
      <c r="MUZ46" s="375"/>
      <c r="MVA46" s="375"/>
      <c r="MVB46" s="375"/>
      <c r="MVC46" s="375"/>
      <c r="MVD46" s="375"/>
      <c r="MVE46" s="375"/>
      <c r="MVF46" s="375"/>
      <c r="MVG46" s="375"/>
      <c r="MVH46" s="375"/>
      <c r="MVI46" s="375"/>
      <c r="MVJ46" s="375"/>
      <c r="MVK46" s="375"/>
      <c r="MVL46" s="375"/>
      <c r="MVM46" s="375"/>
      <c r="MVN46" s="375"/>
      <c r="MVO46" s="375"/>
      <c r="MVP46" s="375"/>
      <c r="MVQ46" s="375"/>
      <c r="MVR46" s="375"/>
      <c r="MVS46" s="375"/>
      <c r="MVT46" s="375"/>
      <c r="MVU46" s="375"/>
      <c r="MVV46" s="375"/>
      <c r="MVW46" s="375"/>
      <c r="MVX46" s="375"/>
      <c r="MVY46" s="375"/>
      <c r="MVZ46" s="375"/>
      <c r="MWA46" s="375"/>
      <c r="MWB46" s="375"/>
      <c r="MWC46" s="375"/>
      <c r="MWD46" s="375"/>
      <c r="MWE46" s="375"/>
      <c r="MWF46" s="375"/>
      <c r="MWG46" s="375"/>
      <c r="MWH46" s="375"/>
      <c r="MWI46" s="375"/>
      <c r="MWJ46" s="375"/>
      <c r="MWK46" s="375"/>
      <c r="MWL46" s="375"/>
      <c r="MWM46" s="375"/>
      <c r="MWN46" s="375"/>
      <c r="MWO46" s="375"/>
      <c r="MWP46" s="375"/>
      <c r="MWQ46" s="375"/>
      <c r="MWR46" s="375"/>
      <c r="MWS46" s="375"/>
      <c r="MWT46" s="375"/>
      <c r="MWU46" s="375"/>
      <c r="MWV46" s="375"/>
      <c r="MWW46" s="375"/>
      <c r="MWX46" s="375"/>
      <c r="MWY46" s="375"/>
      <c r="MWZ46" s="375"/>
      <c r="MXA46" s="375"/>
      <c r="MXB46" s="375"/>
      <c r="MXC46" s="375"/>
      <c r="MXD46" s="375"/>
      <c r="MXE46" s="375"/>
      <c r="MXF46" s="375"/>
      <c r="MXG46" s="375"/>
      <c r="MXH46" s="375"/>
      <c r="MXI46" s="375"/>
      <c r="MXJ46" s="375"/>
      <c r="MXK46" s="375"/>
      <c r="MXL46" s="375"/>
      <c r="MXM46" s="375"/>
      <c r="MXN46" s="375"/>
      <c r="MXO46" s="375"/>
      <c r="MXP46" s="375"/>
      <c r="MXQ46" s="375"/>
      <c r="MXR46" s="375"/>
      <c r="MXS46" s="375"/>
      <c r="MXT46" s="375"/>
      <c r="MXU46" s="375"/>
      <c r="MXV46" s="375"/>
      <c r="MXW46" s="375"/>
      <c r="MXX46" s="375"/>
      <c r="MXY46" s="375"/>
      <c r="MXZ46" s="375"/>
      <c r="MYA46" s="375"/>
      <c r="MYB46" s="375"/>
      <c r="MYC46" s="375"/>
      <c r="MYD46" s="375"/>
      <c r="MYE46" s="375"/>
      <c r="MYF46" s="375"/>
      <c r="MYG46" s="375"/>
      <c r="MYH46" s="375"/>
      <c r="MYI46" s="375"/>
      <c r="MYJ46" s="375"/>
      <c r="MYK46" s="375"/>
      <c r="MYL46" s="375"/>
      <c r="MYM46" s="375"/>
      <c r="MYN46" s="375"/>
      <c r="MYO46" s="375"/>
      <c r="MYP46" s="375"/>
      <c r="MYQ46" s="375"/>
      <c r="MYR46" s="375"/>
      <c r="MYS46" s="375"/>
      <c r="MYT46" s="375"/>
      <c r="MYU46" s="375"/>
      <c r="MYV46" s="375"/>
      <c r="MYW46" s="375"/>
      <c r="MYX46" s="375"/>
      <c r="MYY46" s="375"/>
      <c r="MYZ46" s="375"/>
      <c r="MZA46" s="375"/>
      <c r="MZB46" s="375"/>
      <c r="MZC46" s="375"/>
      <c r="MZD46" s="375"/>
      <c r="MZE46" s="375"/>
      <c r="MZF46" s="375"/>
      <c r="MZG46" s="375"/>
      <c r="MZH46" s="375"/>
      <c r="MZI46" s="375"/>
      <c r="MZJ46" s="375"/>
      <c r="MZK46" s="375"/>
      <c r="MZL46" s="375"/>
      <c r="MZM46" s="375"/>
      <c r="MZN46" s="375"/>
      <c r="MZO46" s="375"/>
      <c r="MZP46" s="375"/>
      <c r="MZQ46" s="375"/>
      <c r="MZR46" s="375"/>
      <c r="MZS46" s="375"/>
      <c r="MZT46" s="375"/>
      <c r="MZU46" s="375"/>
      <c r="MZV46" s="375"/>
      <c r="MZW46" s="375"/>
      <c r="MZX46" s="375"/>
      <c r="MZY46" s="375"/>
      <c r="MZZ46" s="375"/>
      <c r="NAA46" s="375"/>
      <c r="NAB46" s="375"/>
      <c r="NAC46" s="375"/>
      <c r="NAD46" s="375"/>
      <c r="NAE46" s="375"/>
      <c r="NAF46" s="375"/>
      <c r="NAG46" s="375"/>
      <c r="NAH46" s="375"/>
      <c r="NAI46" s="375"/>
      <c r="NAJ46" s="375"/>
      <c r="NAK46" s="375"/>
      <c r="NAL46" s="375"/>
      <c r="NAM46" s="375"/>
      <c r="NAN46" s="375"/>
      <c r="NAO46" s="375"/>
      <c r="NAP46" s="375"/>
      <c r="NAQ46" s="375"/>
      <c r="NAR46" s="375"/>
      <c r="NAS46" s="375"/>
      <c r="NAT46" s="375"/>
      <c r="NAU46" s="375"/>
      <c r="NAV46" s="375"/>
      <c r="NAW46" s="375"/>
      <c r="NAX46" s="375"/>
      <c r="NAY46" s="375"/>
      <c r="NAZ46" s="375"/>
      <c r="NBA46" s="375"/>
      <c r="NBB46" s="375"/>
      <c r="NBC46" s="375"/>
      <c r="NBD46" s="375"/>
      <c r="NBE46" s="375"/>
      <c r="NBF46" s="375"/>
      <c r="NBG46" s="375"/>
      <c r="NBH46" s="375"/>
      <c r="NBI46" s="375"/>
      <c r="NBJ46" s="375"/>
      <c r="NBK46" s="375"/>
      <c r="NBL46" s="375"/>
      <c r="NBM46" s="375"/>
      <c r="NBN46" s="375"/>
      <c r="NBO46" s="375"/>
      <c r="NBP46" s="375"/>
      <c r="NBQ46" s="375"/>
      <c r="NBR46" s="375"/>
      <c r="NBS46" s="375"/>
      <c r="NBT46" s="375"/>
      <c r="NBU46" s="375"/>
      <c r="NBV46" s="375"/>
      <c r="NBW46" s="375"/>
      <c r="NBX46" s="375"/>
      <c r="NBY46" s="375"/>
      <c r="NBZ46" s="375"/>
      <c r="NCA46" s="375"/>
      <c r="NCB46" s="375"/>
      <c r="NCC46" s="375"/>
      <c r="NCD46" s="375"/>
      <c r="NCE46" s="375"/>
      <c r="NCF46" s="375"/>
      <c r="NCG46" s="375"/>
      <c r="NCH46" s="375"/>
      <c r="NCI46" s="375"/>
      <c r="NCJ46" s="375"/>
      <c r="NCK46" s="375"/>
      <c r="NCL46" s="375"/>
      <c r="NCM46" s="375"/>
      <c r="NCN46" s="375"/>
      <c r="NCO46" s="375"/>
      <c r="NCP46" s="375"/>
      <c r="NCQ46" s="375"/>
      <c r="NCR46" s="375"/>
      <c r="NCS46" s="375"/>
      <c r="NCT46" s="375"/>
      <c r="NCU46" s="375"/>
      <c r="NCV46" s="375"/>
      <c r="NCW46" s="375"/>
      <c r="NCX46" s="375"/>
      <c r="NCY46" s="375"/>
      <c r="NCZ46" s="375"/>
      <c r="NDA46" s="375"/>
      <c r="NDB46" s="375"/>
      <c r="NDC46" s="375"/>
      <c r="NDD46" s="375"/>
      <c r="NDE46" s="375"/>
      <c r="NDF46" s="375"/>
      <c r="NDG46" s="375"/>
      <c r="NDH46" s="375"/>
      <c r="NDI46" s="375"/>
      <c r="NDJ46" s="375"/>
      <c r="NDK46" s="375"/>
      <c r="NDL46" s="375"/>
      <c r="NDM46" s="375"/>
      <c r="NDN46" s="375"/>
      <c r="NDO46" s="375"/>
      <c r="NDP46" s="375"/>
      <c r="NDQ46" s="375"/>
      <c r="NDR46" s="375"/>
      <c r="NDS46" s="375"/>
      <c r="NDT46" s="375"/>
      <c r="NDU46" s="375"/>
      <c r="NDV46" s="375"/>
      <c r="NDW46" s="375"/>
      <c r="NDX46" s="375"/>
      <c r="NDY46" s="375"/>
      <c r="NDZ46" s="375"/>
      <c r="NEA46" s="375"/>
      <c r="NEB46" s="375"/>
      <c r="NEC46" s="375"/>
      <c r="NED46" s="375"/>
      <c r="NEE46" s="375"/>
      <c r="NEF46" s="375"/>
      <c r="NEG46" s="375"/>
      <c r="NEH46" s="375"/>
      <c r="NEI46" s="375"/>
      <c r="NEJ46" s="375"/>
      <c r="NEK46" s="375"/>
      <c r="NEL46" s="375"/>
      <c r="NEM46" s="375"/>
      <c r="NEN46" s="375"/>
      <c r="NEO46" s="375"/>
      <c r="NEP46" s="375"/>
      <c r="NEQ46" s="375"/>
      <c r="NER46" s="375"/>
      <c r="NES46" s="375"/>
      <c r="NET46" s="375"/>
      <c r="NEU46" s="375"/>
      <c r="NEV46" s="375"/>
      <c r="NEW46" s="375"/>
      <c r="NEX46" s="375"/>
      <c r="NEY46" s="375"/>
      <c r="NEZ46" s="375"/>
      <c r="NFA46" s="375"/>
      <c r="NFB46" s="375"/>
      <c r="NFC46" s="375"/>
      <c r="NFD46" s="375"/>
      <c r="NFE46" s="375"/>
      <c r="NFF46" s="375"/>
      <c r="NFG46" s="375"/>
      <c r="NFH46" s="375"/>
      <c r="NFI46" s="375"/>
      <c r="NFJ46" s="375"/>
      <c r="NFK46" s="375"/>
      <c r="NFL46" s="375"/>
      <c r="NFM46" s="375"/>
      <c r="NFN46" s="375"/>
      <c r="NFO46" s="375"/>
      <c r="NFP46" s="375"/>
      <c r="NFQ46" s="375"/>
      <c r="NFR46" s="375"/>
      <c r="NFS46" s="375"/>
      <c r="NFT46" s="375"/>
      <c r="NFU46" s="375"/>
      <c r="NFV46" s="375"/>
      <c r="NFW46" s="375"/>
      <c r="NFX46" s="375"/>
      <c r="NFY46" s="375"/>
      <c r="NFZ46" s="375"/>
      <c r="NGA46" s="375"/>
      <c r="NGB46" s="375"/>
      <c r="NGC46" s="375"/>
      <c r="NGD46" s="375"/>
      <c r="NGE46" s="375"/>
      <c r="NGF46" s="375"/>
      <c r="NGG46" s="375"/>
      <c r="NGH46" s="375"/>
      <c r="NGI46" s="375"/>
      <c r="NGJ46" s="375"/>
      <c r="NGK46" s="375"/>
      <c r="NGL46" s="375"/>
      <c r="NGM46" s="375"/>
      <c r="NGN46" s="375"/>
      <c r="NGO46" s="375"/>
      <c r="NGP46" s="375"/>
      <c r="NGQ46" s="375"/>
      <c r="NGR46" s="375"/>
      <c r="NGS46" s="375"/>
      <c r="NGT46" s="375"/>
      <c r="NGU46" s="375"/>
      <c r="NGV46" s="375"/>
      <c r="NGW46" s="375"/>
      <c r="NGX46" s="375"/>
      <c r="NGY46" s="375"/>
      <c r="NGZ46" s="375"/>
      <c r="NHA46" s="375"/>
      <c r="NHB46" s="375"/>
      <c r="NHC46" s="375"/>
      <c r="NHD46" s="375"/>
      <c r="NHE46" s="375"/>
      <c r="NHF46" s="375"/>
      <c r="NHG46" s="375"/>
      <c r="NHH46" s="375"/>
      <c r="NHI46" s="375"/>
      <c r="NHJ46" s="375"/>
      <c r="NHK46" s="375"/>
      <c r="NHL46" s="375"/>
      <c r="NHM46" s="375"/>
      <c r="NHN46" s="375"/>
      <c r="NHO46" s="375"/>
      <c r="NHP46" s="375"/>
      <c r="NHQ46" s="375"/>
      <c r="NHR46" s="375"/>
      <c r="NHS46" s="375"/>
      <c r="NHT46" s="375"/>
      <c r="NHU46" s="375"/>
      <c r="NHV46" s="375"/>
      <c r="NHW46" s="375"/>
      <c r="NHX46" s="375"/>
      <c r="NHY46" s="375"/>
      <c r="NHZ46" s="375"/>
      <c r="NIA46" s="375"/>
      <c r="NIB46" s="375"/>
      <c r="NIC46" s="375"/>
      <c r="NID46" s="375"/>
      <c r="NIE46" s="375"/>
      <c r="NIF46" s="375"/>
      <c r="NIG46" s="375"/>
      <c r="NIH46" s="375"/>
      <c r="NII46" s="375"/>
      <c r="NIJ46" s="375"/>
      <c r="NIK46" s="375"/>
      <c r="NIL46" s="375"/>
      <c r="NIM46" s="375"/>
      <c r="NIN46" s="375"/>
      <c r="NIO46" s="375"/>
      <c r="NIP46" s="375"/>
      <c r="NIQ46" s="375"/>
      <c r="NIR46" s="375"/>
      <c r="NIS46" s="375"/>
      <c r="NIT46" s="375"/>
      <c r="NIU46" s="375"/>
      <c r="NIV46" s="375"/>
      <c r="NIW46" s="375"/>
      <c r="NIX46" s="375"/>
      <c r="NIY46" s="375"/>
      <c r="NIZ46" s="375"/>
      <c r="NJA46" s="375"/>
      <c r="NJB46" s="375"/>
      <c r="NJC46" s="375"/>
      <c r="NJD46" s="375"/>
      <c r="NJE46" s="375"/>
      <c r="NJF46" s="375"/>
      <c r="NJG46" s="375"/>
      <c r="NJH46" s="375"/>
      <c r="NJI46" s="375"/>
      <c r="NJJ46" s="375"/>
      <c r="NJK46" s="375"/>
      <c r="NJL46" s="375"/>
      <c r="NJM46" s="375"/>
      <c r="NJN46" s="375"/>
      <c r="NJO46" s="375"/>
      <c r="NJP46" s="375"/>
      <c r="NJQ46" s="375"/>
      <c r="NJR46" s="375"/>
      <c r="NJS46" s="375"/>
      <c r="NJT46" s="375"/>
      <c r="NJU46" s="375"/>
      <c r="NJV46" s="375"/>
      <c r="NJW46" s="375"/>
      <c r="NJX46" s="375"/>
      <c r="NJY46" s="375"/>
      <c r="NJZ46" s="375"/>
      <c r="NKA46" s="375"/>
      <c r="NKB46" s="375"/>
      <c r="NKC46" s="375"/>
      <c r="NKD46" s="375"/>
      <c r="NKE46" s="375"/>
      <c r="NKF46" s="375"/>
      <c r="NKG46" s="375"/>
      <c r="NKH46" s="375"/>
      <c r="NKI46" s="375"/>
      <c r="NKJ46" s="375"/>
      <c r="NKK46" s="375"/>
      <c r="NKL46" s="375"/>
      <c r="NKM46" s="375"/>
      <c r="NKN46" s="375"/>
      <c r="NKO46" s="375"/>
      <c r="NKP46" s="375"/>
      <c r="NKQ46" s="375"/>
      <c r="NKR46" s="375"/>
      <c r="NKS46" s="375"/>
      <c r="NKT46" s="375"/>
      <c r="NKU46" s="375"/>
      <c r="NKV46" s="375"/>
      <c r="NKW46" s="375"/>
      <c r="NKX46" s="375"/>
      <c r="NKY46" s="375"/>
      <c r="NKZ46" s="375"/>
      <c r="NLA46" s="375"/>
      <c r="NLB46" s="375"/>
      <c r="NLC46" s="375"/>
      <c r="NLD46" s="375"/>
      <c r="NLE46" s="375"/>
      <c r="NLF46" s="375"/>
      <c r="NLG46" s="375"/>
      <c r="NLH46" s="375"/>
      <c r="NLI46" s="375"/>
      <c r="NLJ46" s="375"/>
      <c r="NLK46" s="375"/>
      <c r="NLL46" s="375"/>
      <c r="NLM46" s="375"/>
      <c r="NLN46" s="375"/>
      <c r="NLO46" s="375"/>
      <c r="NLP46" s="375"/>
      <c r="NLQ46" s="375"/>
      <c r="NLR46" s="375"/>
      <c r="NLS46" s="375"/>
      <c r="NLT46" s="375"/>
      <c r="NLU46" s="375"/>
      <c r="NLV46" s="375"/>
      <c r="NLW46" s="375"/>
      <c r="NLX46" s="375"/>
      <c r="NLY46" s="375"/>
      <c r="NLZ46" s="375"/>
      <c r="NMA46" s="375"/>
      <c r="NMB46" s="375"/>
      <c r="NMC46" s="375"/>
      <c r="NMD46" s="375"/>
      <c r="NME46" s="375"/>
      <c r="NMF46" s="375"/>
      <c r="NMG46" s="375"/>
      <c r="NMH46" s="375"/>
      <c r="NMI46" s="375"/>
      <c r="NMJ46" s="375"/>
      <c r="NMK46" s="375"/>
      <c r="NML46" s="375"/>
      <c r="NMM46" s="375"/>
      <c r="NMN46" s="375"/>
      <c r="NMO46" s="375"/>
      <c r="NMP46" s="375"/>
      <c r="NMQ46" s="375"/>
      <c r="NMR46" s="375"/>
      <c r="NMS46" s="375"/>
      <c r="NMT46" s="375"/>
      <c r="NMU46" s="375"/>
      <c r="NMV46" s="375"/>
      <c r="NMW46" s="375"/>
      <c r="NMX46" s="375"/>
      <c r="NMY46" s="375"/>
      <c r="NMZ46" s="375"/>
      <c r="NNA46" s="375"/>
      <c r="NNB46" s="375"/>
      <c r="NNC46" s="375"/>
      <c r="NND46" s="375"/>
      <c r="NNE46" s="375"/>
      <c r="NNF46" s="375"/>
      <c r="NNG46" s="375"/>
      <c r="NNH46" s="375"/>
      <c r="NNI46" s="375"/>
      <c r="NNJ46" s="375"/>
      <c r="NNK46" s="375"/>
      <c r="NNL46" s="375"/>
      <c r="NNM46" s="375"/>
      <c r="NNN46" s="375"/>
      <c r="NNO46" s="375"/>
      <c r="NNP46" s="375"/>
      <c r="NNQ46" s="375"/>
      <c r="NNR46" s="375"/>
      <c r="NNS46" s="375"/>
      <c r="NNT46" s="375"/>
      <c r="NNU46" s="375"/>
      <c r="NNV46" s="375"/>
      <c r="NNW46" s="375"/>
      <c r="NNX46" s="375"/>
      <c r="NNY46" s="375"/>
      <c r="NNZ46" s="375"/>
      <c r="NOA46" s="375"/>
      <c r="NOB46" s="375"/>
      <c r="NOC46" s="375"/>
      <c r="NOD46" s="375"/>
      <c r="NOE46" s="375"/>
      <c r="NOF46" s="375"/>
      <c r="NOG46" s="375"/>
      <c r="NOH46" s="375"/>
      <c r="NOI46" s="375"/>
      <c r="NOJ46" s="375"/>
      <c r="NOK46" s="375"/>
      <c r="NOL46" s="375"/>
      <c r="NOM46" s="375"/>
      <c r="NON46" s="375"/>
      <c r="NOO46" s="375"/>
      <c r="NOP46" s="375"/>
      <c r="NOQ46" s="375"/>
      <c r="NOR46" s="375"/>
      <c r="NOS46" s="375"/>
      <c r="NOT46" s="375"/>
      <c r="NOU46" s="375"/>
      <c r="NOV46" s="375"/>
      <c r="NOW46" s="375"/>
      <c r="NOX46" s="375"/>
      <c r="NOY46" s="375"/>
      <c r="NOZ46" s="375"/>
      <c r="NPA46" s="375"/>
      <c r="NPB46" s="375"/>
      <c r="NPC46" s="375"/>
      <c r="NPD46" s="375"/>
      <c r="NPE46" s="375"/>
      <c r="NPF46" s="375"/>
      <c r="NPG46" s="375"/>
      <c r="NPH46" s="375"/>
      <c r="NPI46" s="375"/>
      <c r="NPJ46" s="375"/>
      <c r="NPK46" s="375"/>
      <c r="NPL46" s="375"/>
      <c r="NPM46" s="375"/>
      <c r="NPN46" s="375"/>
      <c r="NPO46" s="375"/>
      <c r="NPP46" s="375"/>
      <c r="NPQ46" s="375"/>
      <c r="NPR46" s="375"/>
      <c r="NPS46" s="375"/>
      <c r="NPT46" s="375"/>
      <c r="NPU46" s="375"/>
      <c r="NPV46" s="375"/>
      <c r="NPW46" s="375"/>
      <c r="NPX46" s="375"/>
      <c r="NPY46" s="375"/>
      <c r="NPZ46" s="375"/>
      <c r="NQA46" s="375"/>
      <c r="NQB46" s="375"/>
      <c r="NQC46" s="375"/>
      <c r="NQD46" s="375"/>
      <c r="NQE46" s="375"/>
      <c r="NQF46" s="375"/>
      <c r="NQG46" s="375"/>
      <c r="NQH46" s="375"/>
      <c r="NQI46" s="375"/>
      <c r="NQJ46" s="375"/>
      <c r="NQK46" s="375"/>
      <c r="NQL46" s="375"/>
      <c r="NQM46" s="375"/>
      <c r="NQN46" s="375"/>
      <c r="NQO46" s="375"/>
      <c r="NQP46" s="375"/>
      <c r="NQQ46" s="375"/>
      <c r="NQR46" s="375"/>
      <c r="NQS46" s="375"/>
      <c r="NQT46" s="375"/>
      <c r="NQU46" s="375"/>
      <c r="NQV46" s="375"/>
      <c r="NQW46" s="375"/>
      <c r="NQX46" s="375"/>
      <c r="NQY46" s="375"/>
      <c r="NQZ46" s="375"/>
      <c r="NRA46" s="375"/>
      <c r="NRB46" s="375"/>
      <c r="NRC46" s="375"/>
      <c r="NRD46" s="375"/>
      <c r="NRE46" s="375"/>
      <c r="NRF46" s="375"/>
      <c r="NRG46" s="375"/>
      <c r="NRH46" s="375"/>
      <c r="NRI46" s="375"/>
      <c r="NRJ46" s="375"/>
      <c r="NRK46" s="375"/>
      <c r="NRL46" s="375"/>
      <c r="NRM46" s="375"/>
      <c r="NRN46" s="375"/>
      <c r="NRO46" s="375"/>
      <c r="NRP46" s="375"/>
      <c r="NRQ46" s="375"/>
      <c r="NRR46" s="375"/>
      <c r="NRS46" s="375"/>
      <c r="NRT46" s="375"/>
      <c r="NRU46" s="375"/>
      <c r="NRV46" s="375"/>
      <c r="NRW46" s="375"/>
      <c r="NRX46" s="375"/>
      <c r="NRY46" s="375"/>
      <c r="NRZ46" s="375"/>
      <c r="NSA46" s="375"/>
      <c r="NSB46" s="375"/>
      <c r="NSC46" s="375"/>
      <c r="NSD46" s="375"/>
      <c r="NSE46" s="375"/>
      <c r="NSF46" s="375"/>
      <c r="NSG46" s="375"/>
      <c r="NSH46" s="375"/>
      <c r="NSI46" s="375"/>
      <c r="NSJ46" s="375"/>
      <c r="NSK46" s="375"/>
      <c r="NSL46" s="375"/>
      <c r="NSM46" s="375"/>
      <c r="NSN46" s="375"/>
      <c r="NSO46" s="375"/>
      <c r="NSP46" s="375"/>
      <c r="NSQ46" s="375"/>
      <c r="NSR46" s="375"/>
      <c r="NSS46" s="375"/>
      <c r="NST46" s="375"/>
      <c r="NSU46" s="375"/>
      <c r="NSV46" s="375"/>
      <c r="NSW46" s="375"/>
      <c r="NSX46" s="375"/>
      <c r="NSY46" s="375"/>
      <c r="NSZ46" s="375"/>
      <c r="NTA46" s="375"/>
      <c r="NTB46" s="375"/>
      <c r="NTC46" s="375"/>
      <c r="NTD46" s="375"/>
      <c r="NTE46" s="375"/>
      <c r="NTF46" s="375"/>
      <c r="NTG46" s="375"/>
      <c r="NTH46" s="375"/>
      <c r="NTI46" s="375"/>
      <c r="NTJ46" s="375"/>
      <c r="NTK46" s="375"/>
      <c r="NTL46" s="375"/>
      <c r="NTM46" s="375"/>
      <c r="NTN46" s="375"/>
      <c r="NTO46" s="375"/>
      <c r="NTP46" s="375"/>
      <c r="NTQ46" s="375"/>
      <c r="NTR46" s="375"/>
      <c r="NTS46" s="375"/>
      <c r="NTT46" s="375"/>
      <c r="NTU46" s="375"/>
      <c r="NTV46" s="375"/>
      <c r="NTW46" s="375"/>
      <c r="NTX46" s="375"/>
      <c r="NTY46" s="375"/>
      <c r="NTZ46" s="375"/>
      <c r="NUA46" s="375"/>
      <c r="NUB46" s="375"/>
      <c r="NUC46" s="375"/>
      <c r="NUD46" s="375"/>
      <c r="NUE46" s="375"/>
      <c r="NUF46" s="375"/>
      <c r="NUG46" s="375"/>
      <c r="NUH46" s="375"/>
      <c r="NUI46" s="375"/>
      <c r="NUJ46" s="375"/>
      <c r="NUK46" s="375"/>
      <c r="NUL46" s="375"/>
      <c r="NUM46" s="375"/>
      <c r="NUN46" s="375"/>
      <c r="NUO46" s="375"/>
      <c r="NUP46" s="375"/>
      <c r="NUQ46" s="375"/>
      <c r="NUR46" s="375"/>
      <c r="NUS46" s="375"/>
      <c r="NUT46" s="375"/>
      <c r="NUU46" s="375"/>
      <c r="NUV46" s="375"/>
      <c r="NUW46" s="375"/>
      <c r="NUX46" s="375"/>
      <c r="NUY46" s="375"/>
      <c r="NUZ46" s="375"/>
      <c r="NVA46" s="375"/>
      <c r="NVB46" s="375"/>
      <c r="NVC46" s="375"/>
      <c r="NVD46" s="375"/>
      <c r="NVE46" s="375"/>
      <c r="NVF46" s="375"/>
      <c r="NVG46" s="375"/>
      <c r="NVH46" s="375"/>
      <c r="NVI46" s="375"/>
      <c r="NVJ46" s="375"/>
      <c r="NVK46" s="375"/>
      <c r="NVL46" s="375"/>
      <c r="NVM46" s="375"/>
      <c r="NVN46" s="375"/>
      <c r="NVO46" s="375"/>
      <c r="NVP46" s="375"/>
      <c r="NVQ46" s="375"/>
      <c r="NVR46" s="375"/>
      <c r="NVS46" s="375"/>
      <c r="NVT46" s="375"/>
      <c r="NVU46" s="375"/>
      <c r="NVV46" s="375"/>
      <c r="NVW46" s="375"/>
      <c r="NVX46" s="375"/>
      <c r="NVY46" s="375"/>
      <c r="NVZ46" s="375"/>
      <c r="NWA46" s="375"/>
      <c r="NWB46" s="375"/>
      <c r="NWC46" s="375"/>
      <c r="NWD46" s="375"/>
      <c r="NWE46" s="375"/>
      <c r="NWF46" s="375"/>
      <c r="NWG46" s="375"/>
      <c r="NWH46" s="375"/>
      <c r="NWI46" s="375"/>
      <c r="NWJ46" s="375"/>
      <c r="NWK46" s="375"/>
      <c r="NWL46" s="375"/>
      <c r="NWM46" s="375"/>
      <c r="NWN46" s="375"/>
      <c r="NWO46" s="375"/>
      <c r="NWP46" s="375"/>
      <c r="NWQ46" s="375"/>
      <c r="NWR46" s="375"/>
      <c r="NWS46" s="375"/>
      <c r="NWT46" s="375"/>
      <c r="NWU46" s="375"/>
      <c r="NWV46" s="375"/>
      <c r="NWW46" s="375"/>
      <c r="NWX46" s="375"/>
      <c r="NWY46" s="375"/>
      <c r="NWZ46" s="375"/>
      <c r="NXA46" s="375"/>
      <c r="NXB46" s="375"/>
      <c r="NXC46" s="375"/>
      <c r="NXD46" s="375"/>
      <c r="NXE46" s="375"/>
      <c r="NXF46" s="375"/>
      <c r="NXG46" s="375"/>
      <c r="NXH46" s="375"/>
      <c r="NXI46" s="375"/>
      <c r="NXJ46" s="375"/>
      <c r="NXK46" s="375"/>
      <c r="NXL46" s="375"/>
      <c r="NXM46" s="375"/>
      <c r="NXN46" s="375"/>
      <c r="NXO46" s="375"/>
      <c r="NXP46" s="375"/>
      <c r="NXQ46" s="375"/>
      <c r="NXR46" s="375"/>
      <c r="NXS46" s="375"/>
      <c r="NXT46" s="375"/>
      <c r="NXU46" s="375"/>
      <c r="NXV46" s="375"/>
      <c r="NXW46" s="375"/>
      <c r="NXX46" s="375"/>
      <c r="NXY46" s="375"/>
      <c r="NXZ46" s="375"/>
      <c r="NYA46" s="375"/>
      <c r="NYB46" s="375"/>
      <c r="NYC46" s="375"/>
      <c r="NYD46" s="375"/>
      <c r="NYE46" s="375"/>
      <c r="NYF46" s="375"/>
      <c r="NYG46" s="375"/>
      <c r="NYH46" s="375"/>
      <c r="NYI46" s="375"/>
      <c r="NYJ46" s="375"/>
      <c r="NYK46" s="375"/>
      <c r="NYL46" s="375"/>
      <c r="NYM46" s="375"/>
      <c r="NYN46" s="375"/>
      <c r="NYO46" s="375"/>
      <c r="NYP46" s="375"/>
      <c r="NYQ46" s="375"/>
      <c r="NYR46" s="375"/>
      <c r="NYS46" s="375"/>
      <c r="NYT46" s="375"/>
      <c r="NYU46" s="375"/>
      <c r="NYV46" s="375"/>
      <c r="NYW46" s="375"/>
      <c r="NYX46" s="375"/>
      <c r="NYY46" s="375"/>
      <c r="NYZ46" s="375"/>
      <c r="NZA46" s="375"/>
      <c r="NZB46" s="375"/>
      <c r="NZC46" s="375"/>
      <c r="NZD46" s="375"/>
      <c r="NZE46" s="375"/>
      <c r="NZF46" s="375"/>
      <c r="NZG46" s="375"/>
      <c r="NZH46" s="375"/>
      <c r="NZI46" s="375"/>
      <c r="NZJ46" s="375"/>
      <c r="NZK46" s="375"/>
      <c r="NZL46" s="375"/>
      <c r="NZM46" s="375"/>
      <c r="NZN46" s="375"/>
      <c r="NZO46" s="375"/>
      <c r="NZP46" s="375"/>
      <c r="NZQ46" s="375"/>
      <c r="NZR46" s="375"/>
      <c r="NZS46" s="375"/>
      <c r="NZT46" s="375"/>
      <c r="NZU46" s="375"/>
      <c r="NZV46" s="375"/>
      <c r="NZW46" s="375"/>
      <c r="NZX46" s="375"/>
      <c r="NZY46" s="375"/>
      <c r="NZZ46" s="375"/>
      <c r="OAA46" s="375"/>
      <c r="OAB46" s="375"/>
      <c r="OAC46" s="375"/>
      <c r="OAD46" s="375"/>
      <c r="OAE46" s="375"/>
      <c r="OAF46" s="375"/>
      <c r="OAG46" s="375"/>
      <c r="OAH46" s="375"/>
      <c r="OAI46" s="375"/>
      <c r="OAJ46" s="375"/>
      <c r="OAK46" s="375"/>
      <c r="OAL46" s="375"/>
      <c r="OAM46" s="375"/>
      <c r="OAN46" s="375"/>
      <c r="OAO46" s="375"/>
      <c r="OAP46" s="375"/>
      <c r="OAQ46" s="375"/>
      <c r="OAR46" s="375"/>
      <c r="OAS46" s="375"/>
      <c r="OAT46" s="375"/>
      <c r="OAU46" s="375"/>
      <c r="OAV46" s="375"/>
      <c r="OAW46" s="375"/>
      <c r="OAX46" s="375"/>
      <c r="OAY46" s="375"/>
      <c r="OAZ46" s="375"/>
      <c r="OBA46" s="375"/>
      <c r="OBB46" s="375"/>
      <c r="OBC46" s="375"/>
      <c r="OBD46" s="375"/>
      <c r="OBE46" s="375"/>
      <c r="OBF46" s="375"/>
      <c r="OBG46" s="375"/>
      <c r="OBH46" s="375"/>
      <c r="OBI46" s="375"/>
      <c r="OBJ46" s="375"/>
      <c r="OBK46" s="375"/>
      <c r="OBL46" s="375"/>
      <c r="OBM46" s="375"/>
      <c r="OBN46" s="375"/>
      <c r="OBO46" s="375"/>
      <c r="OBP46" s="375"/>
      <c r="OBQ46" s="375"/>
      <c r="OBR46" s="375"/>
      <c r="OBS46" s="375"/>
      <c r="OBT46" s="375"/>
      <c r="OBU46" s="375"/>
      <c r="OBV46" s="375"/>
      <c r="OBW46" s="375"/>
      <c r="OBX46" s="375"/>
      <c r="OBY46" s="375"/>
      <c r="OBZ46" s="375"/>
      <c r="OCA46" s="375"/>
      <c r="OCB46" s="375"/>
      <c r="OCC46" s="375"/>
      <c r="OCD46" s="375"/>
      <c r="OCE46" s="375"/>
      <c r="OCF46" s="375"/>
      <c r="OCG46" s="375"/>
      <c r="OCH46" s="375"/>
      <c r="OCI46" s="375"/>
      <c r="OCJ46" s="375"/>
      <c r="OCK46" s="375"/>
      <c r="OCL46" s="375"/>
      <c r="OCM46" s="375"/>
      <c r="OCN46" s="375"/>
      <c r="OCO46" s="375"/>
      <c r="OCP46" s="375"/>
      <c r="OCQ46" s="375"/>
      <c r="OCR46" s="375"/>
      <c r="OCS46" s="375"/>
      <c r="OCT46" s="375"/>
      <c r="OCU46" s="375"/>
      <c r="OCV46" s="375"/>
      <c r="OCW46" s="375"/>
      <c r="OCX46" s="375"/>
      <c r="OCY46" s="375"/>
      <c r="OCZ46" s="375"/>
      <c r="ODA46" s="375"/>
      <c r="ODB46" s="375"/>
      <c r="ODC46" s="375"/>
      <c r="ODD46" s="375"/>
      <c r="ODE46" s="375"/>
      <c r="ODF46" s="375"/>
      <c r="ODG46" s="375"/>
      <c r="ODH46" s="375"/>
      <c r="ODI46" s="375"/>
      <c r="ODJ46" s="375"/>
      <c r="ODK46" s="375"/>
      <c r="ODL46" s="375"/>
      <c r="ODM46" s="375"/>
      <c r="ODN46" s="375"/>
      <c r="ODO46" s="375"/>
      <c r="ODP46" s="375"/>
      <c r="ODQ46" s="375"/>
      <c r="ODR46" s="375"/>
      <c r="ODS46" s="375"/>
      <c r="ODT46" s="375"/>
      <c r="ODU46" s="375"/>
      <c r="ODV46" s="375"/>
      <c r="ODW46" s="375"/>
      <c r="ODX46" s="375"/>
      <c r="ODY46" s="375"/>
      <c r="ODZ46" s="375"/>
      <c r="OEA46" s="375"/>
      <c r="OEB46" s="375"/>
      <c r="OEC46" s="375"/>
      <c r="OED46" s="375"/>
      <c r="OEE46" s="375"/>
      <c r="OEF46" s="375"/>
      <c r="OEG46" s="375"/>
      <c r="OEH46" s="375"/>
      <c r="OEI46" s="375"/>
      <c r="OEJ46" s="375"/>
      <c r="OEK46" s="375"/>
      <c r="OEL46" s="375"/>
      <c r="OEM46" s="375"/>
      <c r="OEN46" s="375"/>
      <c r="OEO46" s="375"/>
      <c r="OEP46" s="375"/>
      <c r="OEQ46" s="375"/>
      <c r="OER46" s="375"/>
      <c r="OES46" s="375"/>
      <c r="OET46" s="375"/>
      <c r="OEU46" s="375"/>
      <c r="OEV46" s="375"/>
      <c r="OEW46" s="375"/>
      <c r="OEX46" s="375"/>
      <c r="OEY46" s="375"/>
      <c r="OEZ46" s="375"/>
      <c r="OFA46" s="375"/>
      <c r="OFB46" s="375"/>
      <c r="OFC46" s="375"/>
      <c r="OFD46" s="375"/>
      <c r="OFE46" s="375"/>
      <c r="OFF46" s="375"/>
      <c r="OFG46" s="375"/>
      <c r="OFH46" s="375"/>
      <c r="OFI46" s="375"/>
      <c r="OFJ46" s="375"/>
      <c r="OFK46" s="375"/>
      <c r="OFL46" s="375"/>
      <c r="OFM46" s="375"/>
      <c r="OFN46" s="375"/>
      <c r="OFO46" s="375"/>
      <c r="OFP46" s="375"/>
      <c r="OFQ46" s="375"/>
      <c r="OFR46" s="375"/>
      <c r="OFS46" s="375"/>
      <c r="OFT46" s="375"/>
      <c r="OFU46" s="375"/>
      <c r="OFV46" s="375"/>
      <c r="OFW46" s="375"/>
      <c r="OFX46" s="375"/>
      <c r="OFY46" s="375"/>
      <c r="OFZ46" s="375"/>
      <c r="OGA46" s="375"/>
      <c r="OGB46" s="375"/>
      <c r="OGC46" s="375"/>
      <c r="OGD46" s="375"/>
      <c r="OGE46" s="375"/>
      <c r="OGF46" s="375"/>
      <c r="OGG46" s="375"/>
      <c r="OGH46" s="375"/>
      <c r="OGI46" s="375"/>
      <c r="OGJ46" s="375"/>
      <c r="OGK46" s="375"/>
      <c r="OGL46" s="375"/>
      <c r="OGM46" s="375"/>
      <c r="OGN46" s="375"/>
      <c r="OGO46" s="375"/>
      <c r="OGP46" s="375"/>
      <c r="OGQ46" s="375"/>
      <c r="OGR46" s="375"/>
      <c r="OGS46" s="375"/>
      <c r="OGT46" s="375"/>
      <c r="OGU46" s="375"/>
      <c r="OGV46" s="375"/>
      <c r="OGW46" s="375"/>
      <c r="OGX46" s="375"/>
      <c r="OGY46" s="375"/>
      <c r="OGZ46" s="375"/>
      <c r="OHA46" s="375"/>
      <c r="OHB46" s="375"/>
      <c r="OHC46" s="375"/>
      <c r="OHD46" s="375"/>
      <c r="OHE46" s="375"/>
      <c r="OHF46" s="375"/>
      <c r="OHG46" s="375"/>
      <c r="OHH46" s="375"/>
      <c r="OHI46" s="375"/>
      <c r="OHJ46" s="375"/>
      <c r="OHK46" s="375"/>
      <c r="OHL46" s="375"/>
      <c r="OHM46" s="375"/>
      <c r="OHN46" s="375"/>
      <c r="OHO46" s="375"/>
      <c r="OHP46" s="375"/>
      <c r="OHQ46" s="375"/>
      <c r="OHR46" s="375"/>
      <c r="OHS46" s="375"/>
      <c r="OHT46" s="375"/>
      <c r="OHU46" s="375"/>
      <c r="OHV46" s="375"/>
      <c r="OHW46" s="375"/>
      <c r="OHX46" s="375"/>
      <c r="OHY46" s="375"/>
      <c r="OHZ46" s="375"/>
      <c r="OIA46" s="375"/>
      <c r="OIB46" s="375"/>
      <c r="OIC46" s="375"/>
      <c r="OID46" s="375"/>
      <c r="OIE46" s="375"/>
      <c r="OIF46" s="375"/>
      <c r="OIG46" s="375"/>
      <c r="OIH46" s="375"/>
      <c r="OII46" s="375"/>
      <c r="OIJ46" s="375"/>
      <c r="OIK46" s="375"/>
      <c r="OIL46" s="375"/>
      <c r="OIM46" s="375"/>
      <c r="OIN46" s="375"/>
      <c r="OIO46" s="375"/>
      <c r="OIP46" s="375"/>
      <c r="OIQ46" s="375"/>
      <c r="OIR46" s="375"/>
      <c r="OIS46" s="375"/>
      <c r="OIT46" s="375"/>
      <c r="OIU46" s="375"/>
      <c r="OIV46" s="375"/>
      <c r="OIW46" s="375"/>
      <c r="OIX46" s="375"/>
      <c r="OIY46" s="375"/>
      <c r="OIZ46" s="375"/>
      <c r="OJA46" s="375"/>
      <c r="OJB46" s="375"/>
      <c r="OJC46" s="375"/>
      <c r="OJD46" s="375"/>
      <c r="OJE46" s="375"/>
      <c r="OJF46" s="375"/>
      <c r="OJG46" s="375"/>
      <c r="OJH46" s="375"/>
      <c r="OJI46" s="375"/>
      <c r="OJJ46" s="375"/>
      <c r="OJK46" s="375"/>
      <c r="OJL46" s="375"/>
      <c r="OJM46" s="375"/>
      <c r="OJN46" s="375"/>
      <c r="OJO46" s="375"/>
      <c r="OJP46" s="375"/>
      <c r="OJQ46" s="375"/>
      <c r="OJR46" s="375"/>
      <c r="OJS46" s="375"/>
      <c r="OJT46" s="375"/>
      <c r="OJU46" s="375"/>
      <c r="OJV46" s="375"/>
      <c r="OJW46" s="375"/>
      <c r="OJX46" s="375"/>
      <c r="OJY46" s="375"/>
      <c r="OJZ46" s="375"/>
      <c r="OKA46" s="375"/>
      <c r="OKB46" s="375"/>
      <c r="OKC46" s="375"/>
      <c r="OKD46" s="375"/>
      <c r="OKE46" s="375"/>
      <c r="OKF46" s="375"/>
      <c r="OKG46" s="375"/>
      <c r="OKH46" s="375"/>
      <c r="OKI46" s="375"/>
      <c r="OKJ46" s="375"/>
      <c r="OKK46" s="375"/>
      <c r="OKL46" s="375"/>
      <c r="OKM46" s="375"/>
      <c r="OKN46" s="375"/>
      <c r="OKO46" s="375"/>
      <c r="OKP46" s="375"/>
      <c r="OKQ46" s="375"/>
      <c r="OKR46" s="375"/>
      <c r="OKS46" s="375"/>
      <c r="OKT46" s="375"/>
      <c r="OKU46" s="375"/>
      <c r="OKV46" s="375"/>
      <c r="OKW46" s="375"/>
      <c r="OKX46" s="375"/>
      <c r="OKY46" s="375"/>
      <c r="OKZ46" s="375"/>
      <c r="OLA46" s="375"/>
      <c r="OLB46" s="375"/>
      <c r="OLC46" s="375"/>
      <c r="OLD46" s="375"/>
      <c r="OLE46" s="375"/>
      <c r="OLF46" s="375"/>
      <c r="OLG46" s="375"/>
      <c r="OLH46" s="375"/>
      <c r="OLI46" s="375"/>
      <c r="OLJ46" s="375"/>
      <c r="OLK46" s="375"/>
      <c r="OLL46" s="375"/>
      <c r="OLM46" s="375"/>
      <c r="OLN46" s="375"/>
      <c r="OLO46" s="375"/>
      <c r="OLP46" s="375"/>
      <c r="OLQ46" s="375"/>
      <c r="OLR46" s="375"/>
      <c r="OLS46" s="375"/>
      <c r="OLT46" s="375"/>
      <c r="OLU46" s="375"/>
      <c r="OLV46" s="375"/>
      <c r="OLW46" s="375"/>
      <c r="OLX46" s="375"/>
      <c r="OLY46" s="375"/>
      <c r="OLZ46" s="375"/>
      <c r="OMA46" s="375"/>
      <c r="OMB46" s="375"/>
      <c r="OMC46" s="375"/>
      <c r="OMD46" s="375"/>
      <c r="OME46" s="375"/>
      <c r="OMF46" s="375"/>
      <c r="OMG46" s="375"/>
      <c r="OMH46" s="375"/>
      <c r="OMI46" s="375"/>
      <c r="OMJ46" s="375"/>
      <c r="OMK46" s="375"/>
      <c r="OML46" s="375"/>
      <c r="OMM46" s="375"/>
      <c r="OMN46" s="375"/>
      <c r="OMO46" s="375"/>
      <c r="OMP46" s="375"/>
      <c r="OMQ46" s="375"/>
      <c r="OMR46" s="375"/>
      <c r="OMS46" s="375"/>
      <c r="OMT46" s="375"/>
      <c r="OMU46" s="375"/>
      <c r="OMV46" s="375"/>
      <c r="OMW46" s="375"/>
      <c r="OMX46" s="375"/>
      <c r="OMY46" s="375"/>
      <c r="OMZ46" s="375"/>
      <c r="ONA46" s="375"/>
      <c r="ONB46" s="375"/>
      <c r="ONC46" s="375"/>
      <c r="OND46" s="375"/>
      <c r="ONE46" s="375"/>
      <c r="ONF46" s="375"/>
      <c r="ONG46" s="375"/>
      <c r="ONH46" s="375"/>
      <c r="ONI46" s="375"/>
      <c r="ONJ46" s="375"/>
      <c r="ONK46" s="375"/>
      <c r="ONL46" s="375"/>
      <c r="ONM46" s="375"/>
      <c r="ONN46" s="375"/>
      <c r="ONO46" s="375"/>
      <c r="ONP46" s="375"/>
      <c r="ONQ46" s="375"/>
      <c r="ONR46" s="375"/>
      <c r="ONS46" s="375"/>
      <c r="ONT46" s="375"/>
      <c r="ONU46" s="375"/>
      <c r="ONV46" s="375"/>
      <c r="ONW46" s="375"/>
      <c r="ONX46" s="375"/>
      <c r="ONY46" s="375"/>
      <c r="ONZ46" s="375"/>
      <c r="OOA46" s="375"/>
      <c r="OOB46" s="375"/>
      <c r="OOC46" s="375"/>
      <c r="OOD46" s="375"/>
      <c r="OOE46" s="375"/>
      <c r="OOF46" s="375"/>
      <c r="OOG46" s="375"/>
      <c r="OOH46" s="375"/>
      <c r="OOI46" s="375"/>
      <c r="OOJ46" s="375"/>
      <c r="OOK46" s="375"/>
      <c r="OOL46" s="375"/>
      <c r="OOM46" s="375"/>
      <c r="OON46" s="375"/>
      <c r="OOO46" s="375"/>
      <c r="OOP46" s="375"/>
      <c r="OOQ46" s="375"/>
      <c r="OOR46" s="375"/>
      <c r="OOS46" s="375"/>
      <c r="OOT46" s="375"/>
      <c r="OOU46" s="375"/>
      <c r="OOV46" s="375"/>
      <c r="OOW46" s="375"/>
      <c r="OOX46" s="375"/>
      <c r="OOY46" s="375"/>
      <c r="OOZ46" s="375"/>
      <c r="OPA46" s="375"/>
      <c r="OPB46" s="375"/>
      <c r="OPC46" s="375"/>
      <c r="OPD46" s="375"/>
      <c r="OPE46" s="375"/>
      <c r="OPF46" s="375"/>
      <c r="OPG46" s="375"/>
      <c r="OPH46" s="375"/>
      <c r="OPI46" s="375"/>
      <c r="OPJ46" s="375"/>
      <c r="OPK46" s="375"/>
      <c r="OPL46" s="375"/>
      <c r="OPM46" s="375"/>
      <c r="OPN46" s="375"/>
      <c r="OPO46" s="375"/>
      <c r="OPP46" s="375"/>
      <c r="OPQ46" s="375"/>
      <c r="OPR46" s="375"/>
      <c r="OPS46" s="375"/>
      <c r="OPT46" s="375"/>
      <c r="OPU46" s="375"/>
      <c r="OPV46" s="375"/>
      <c r="OPW46" s="375"/>
      <c r="OPX46" s="375"/>
      <c r="OPY46" s="375"/>
      <c r="OPZ46" s="375"/>
      <c r="OQA46" s="375"/>
      <c r="OQB46" s="375"/>
      <c r="OQC46" s="375"/>
      <c r="OQD46" s="375"/>
      <c r="OQE46" s="375"/>
      <c r="OQF46" s="375"/>
      <c r="OQG46" s="375"/>
      <c r="OQH46" s="375"/>
      <c r="OQI46" s="375"/>
      <c r="OQJ46" s="375"/>
      <c r="OQK46" s="375"/>
      <c r="OQL46" s="375"/>
      <c r="OQM46" s="375"/>
      <c r="OQN46" s="375"/>
      <c r="OQO46" s="375"/>
      <c r="OQP46" s="375"/>
      <c r="OQQ46" s="375"/>
      <c r="OQR46" s="375"/>
      <c r="OQS46" s="375"/>
      <c r="OQT46" s="375"/>
      <c r="OQU46" s="375"/>
      <c r="OQV46" s="375"/>
      <c r="OQW46" s="375"/>
      <c r="OQX46" s="375"/>
      <c r="OQY46" s="375"/>
      <c r="OQZ46" s="375"/>
      <c r="ORA46" s="375"/>
      <c r="ORB46" s="375"/>
      <c r="ORC46" s="375"/>
      <c r="ORD46" s="375"/>
      <c r="ORE46" s="375"/>
      <c r="ORF46" s="375"/>
      <c r="ORG46" s="375"/>
      <c r="ORH46" s="375"/>
      <c r="ORI46" s="375"/>
      <c r="ORJ46" s="375"/>
      <c r="ORK46" s="375"/>
      <c r="ORL46" s="375"/>
      <c r="ORM46" s="375"/>
      <c r="ORN46" s="375"/>
      <c r="ORO46" s="375"/>
      <c r="ORP46" s="375"/>
      <c r="ORQ46" s="375"/>
      <c r="ORR46" s="375"/>
      <c r="ORS46" s="375"/>
      <c r="ORT46" s="375"/>
      <c r="ORU46" s="375"/>
      <c r="ORV46" s="375"/>
      <c r="ORW46" s="375"/>
      <c r="ORX46" s="375"/>
      <c r="ORY46" s="375"/>
      <c r="ORZ46" s="375"/>
      <c r="OSA46" s="375"/>
      <c r="OSB46" s="375"/>
      <c r="OSC46" s="375"/>
      <c r="OSD46" s="375"/>
      <c r="OSE46" s="375"/>
      <c r="OSF46" s="375"/>
      <c r="OSG46" s="375"/>
      <c r="OSH46" s="375"/>
      <c r="OSI46" s="375"/>
      <c r="OSJ46" s="375"/>
      <c r="OSK46" s="375"/>
      <c r="OSL46" s="375"/>
      <c r="OSM46" s="375"/>
      <c r="OSN46" s="375"/>
      <c r="OSO46" s="375"/>
      <c r="OSP46" s="375"/>
      <c r="OSQ46" s="375"/>
      <c r="OSR46" s="375"/>
      <c r="OSS46" s="375"/>
      <c r="OST46" s="375"/>
      <c r="OSU46" s="375"/>
      <c r="OSV46" s="375"/>
      <c r="OSW46" s="375"/>
      <c r="OSX46" s="375"/>
      <c r="OSY46" s="375"/>
      <c r="OSZ46" s="375"/>
      <c r="OTA46" s="375"/>
      <c r="OTB46" s="375"/>
      <c r="OTC46" s="375"/>
      <c r="OTD46" s="375"/>
      <c r="OTE46" s="375"/>
      <c r="OTF46" s="375"/>
      <c r="OTG46" s="375"/>
      <c r="OTH46" s="375"/>
      <c r="OTI46" s="375"/>
      <c r="OTJ46" s="375"/>
      <c r="OTK46" s="375"/>
      <c r="OTL46" s="375"/>
      <c r="OTM46" s="375"/>
      <c r="OTN46" s="375"/>
      <c r="OTO46" s="375"/>
      <c r="OTP46" s="375"/>
      <c r="OTQ46" s="375"/>
      <c r="OTR46" s="375"/>
      <c r="OTS46" s="375"/>
      <c r="OTT46" s="375"/>
      <c r="OTU46" s="375"/>
      <c r="OTV46" s="375"/>
      <c r="OTW46" s="375"/>
      <c r="OTX46" s="375"/>
      <c r="OTY46" s="375"/>
      <c r="OTZ46" s="375"/>
      <c r="OUA46" s="375"/>
      <c r="OUB46" s="375"/>
      <c r="OUC46" s="375"/>
      <c r="OUD46" s="375"/>
      <c r="OUE46" s="375"/>
      <c r="OUF46" s="375"/>
      <c r="OUG46" s="375"/>
      <c r="OUH46" s="375"/>
      <c r="OUI46" s="375"/>
      <c r="OUJ46" s="375"/>
      <c r="OUK46" s="375"/>
      <c r="OUL46" s="375"/>
      <c r="OUM46" s="375"/>
      <c r="OUN46" s="375"/>
      <c r="OUO46" s="375"/>
      <c r="OUP46" s="375"/>
      <c r="OUQ46" s="375"/>
      <c r="OUR46" s="375"/>
      <c r="OUS46" s="375"/>
      <c r="OUT46" s="375"/>
      <c r="OUU46" s="375"/>
      <c r="OUV46" s="375"/>
      <c r="OUW46" s="375"/>
      <c r="OUX46" s="375"/>
      <c r="OUY46" s="375"/>
      <c r="OUZ46" s="375"/>
      <c r="OVA46" s="375"/>
      <c r="OVB46" s="375"/>
      <c r="OVC46" s="375"/>
      <c r="OVD46" s="375"/>
      <c r="OVE46" s="375"/>
      <c r="OVF46" s="375"/>
      <c r="OVG46" s="375"/>
      <c r="OVH46" s="375"/>
      <c r="OVI46" s="375"/>
      <c r="OVJ46" s="375"/>
      <c r="OVK46" s="375"/>
      <c r="OVL46" s="375"/>
      <c r="OVM46" s="375"/>
      <c r="OVN46" s="375"/>
      <c r="OVO46" s="375"/>
      <c r="OVP46" s="375"/>
      <c r="OVQ46" s="375"/>
      <c r="OVR46" s="375"/>
      <c r="OVS46" s="375"/>
      <c r="OVT46" s="375"/>
      <c r="OVU46" s="375"/>
      <c r="OVV46" s="375"/>
      <c r="OVW46" s="375"/>
      <c r="OVX46" s="375"/>
      <c r="OVY46" s="375"/>
      <c r="OVZ46" s="375"/>
      <c r="OWA46" s="375"/>
      <c r="OWB46" s="375"/>
      <c r="OWC46" s="375"/>
      <c r="OWD46" s="375"/>
      <c r="OWE46" s="375"/>
      <c r="OWF46" s="375"/>
      <c r="OWG46" s="375"/>
      <c r="OWH46" s="375"/>
      <c r="OWI46" s="375"/>
      <c r="OWJ46" s="375"/>
      <c r="OWK46" s="375"/>
      <c r="OWL46" s="375"/>
      <c r="OWM46" s="375"/>
      <c r="OWN46" s="375"/>
      <c r="OWO46" s="375"/>
      <c r="OWP46" s="375"/>
      <c r="OWQ46" s="375"/>
      <c r="OWR46" s="375"/>
      <c r="OWS46" s="375"/>
      <c r="OWT46" s="375"/>
      <c r="OWU46" s="375"/>
      <c r="OWV46" s="375"/>
      <c r="OWW46" s="375"/>
      <c r="OWX46" s="375"/>
      <c r="OWY46" s="375"/>
      <c r="OWZ46" s="375"/>
      <c r="OXA46" s="375"/>
      <c r="OXB46" s="375"/>
      <c r="OXC46" s="375"/>
      <c r="OXD46" s="375"/>
      <c r="OXE46" s="375"/>
      <c r="OXF46" s="375"/>
      <c r="OXG46" s="375"/>
      <c r="OXH46" s="375"/>
      <c r="OXI46" s="375"/>
      <c r="OXJ46" s="375"/>
      <c r="OXK46" s="375"/>
      <c r="OXL46" s="375"/>
      <c r="OXM46" s="375"/>
      <c r="OXN46" s="375"/>
      <c r="OXO46" s="375"/>
      <c r="OXP46" s="375"/>
      <c r="OXQ46" s="375"/>
      <c r="OXR46" s="375"/>
      <c r="OXS46" s="375"/>
      <c r="OXT46" s="375"/>
      <c r="OXU46" s="375"/>
      <c r="OXV46" s="375"/>
      <c r="OXW46" s="375"/>
      <c r="OXX46" s="375"/>
      <c r="OXY46" s="375"/>
      <c r="OXZ46" s="375"/>
      <c r="OYA46" s="375"/>
      <c r="OYB46" s="375"/>
      <c r="OYC46" s="375"/>
      <c r="OYD46" s="375"/>
      <c r="OYE46" s="375"/>
      <c r="OYF46" s="375"/>
      <c r="OYG46" s="375"/>
      <c r="OYH46" s="375"/>
      <c r="OYI46" s="375"/>
      <c r="OYJ46" s="375"/>
      <c r="OYK46" s="375"/>
      <c r="OYL46" s="375"/>
      <c r="OYM46" s="375"/>
      <c r="OYN46" s="375"/>
      <c r="OYO46" s="375"/>
      <c r="OYP46" s="375"/>
      <c r="OYQ46" s="375"/>
      <c r="OYR46" s="375"/>
      <c r="OYS46" s="375"/>
      <c r="OYT46" s="375"/>
      <c r="OYU46" s="375"/>
      <c r="OYV46" s="375"/>
      <c r="OYW46" s="375"/>
      <c r="OYX46" s="375"/>
      <c r="OYY46" s="375"/>
      <c r="OYZ46" s="375"/>
      <c r="OZA46" s="375"/>
      <c r="OZB46" s="375"/>
      <c r="OZC46" s="375"/>
      <c r="OZD46" s="375"/>
      <c r="OZE46" s="375"/>
      <c r="OZF46" s="375"/>
      <c r="OZG46" s="375"/>
      <c r="OZH46" s="375"/>
      <c r="OZI46" s="375"/>
      <c r="OZJ46" s="375"/>
      <c r="OZK46" s="375"/>
      <c r="OZL46" s="375"/>
      <c r="OZM46" s="375"/>
      <c r="OZN46" s="375"/>
      <c r="OZO46" s="375"/>
      <c r="OZP46" s="375"/>
      <c r="OZQ46" s="375"/>
      <c r="OZR46" s="375"/>
      <c r="OZS46" s="375"/>
      <c r="OZT46" s="375"/>
      <c r="OZU46" s="375"/>
      <c r="OZV46" s="375"/>
      <c r="OZW46" s="375"/>
      <c r="OZX46" s="375"/>
      <c r="OZY46" s="375"/>
      <c r="OZZ46" s="375"/>
      <c r="PAA46" s="375"/>
      <c r="PAB46" s="375"/>
      <c r="PAC46" s="375"/>
      <c r="PAD46" s="375"/>
      <c r="PAE46" s="375"/>
      <c r="PAF46" s="375"/>
      <c r="PAG46" s="375"/>
      <c r="PAH46" s="375"/>
      <c r="PAI46" s="375"/>
      <c r="PAJ46" s="375"/>
      <c r="PAK46" s="375"/>
      <c r="PAL46" s="375"/>
      <c r="PAM46" s="375"/>
      <c r="PAN46" s="375"/>
      <c r="PAO46" s="375"/>
      <c r="PAP46" s="375"/>
      <c r="PAQ46" s="375"/>
      <c r="PAR46" s="375"/>
      <c r="PAS46" s="375"/>
      <c r="PAT46" s="375"/>
      <c r="PAU46" s="375"/>
      <c r="PAV46" s="375"/>
      <c r="PAW46" s="375"/>
      <c r="PAX46" s="375"/>
      <c r="PAY46" s="375"/>
      <c r="PAZ46" s="375"/>
      <c r="PBA46" s="375"/>
      <c r="PBB46" s="375"/>
      <c r="PBC46" s="375"/>
      <c r="PBD46" s="375"/>
      <c r="PBE46" s="375"/>
      <c r="PBF46" s="375"/>
      <c r="PBG46" s="375"/>
      <c r="PBH46" s="375"/>
      <c r="PBI46" s="375"/>
      <c r="PBJ46" s="375"/>
      <c r="PBK46" s="375"/>
      <c r="PBL46" s="375"/>
      <c r="PBM46" s="375"/>
      <c r="PBN46" s="375"/>
      <c r="PBO46" s="375"/>
      <c r="PBP46" s="375"/>
      <c r="PBQ46" s="375"/>
      <c r="PBR46" s="375"/>
      <c r="PBS46" s="375"/>
      <c r="PBT46" s="375"/>
      <c r="PBU46" s="375"/>
      <c r="PBV46" s="375"/>
      <c r="PBW46" s="375"/>
      <c r="PBX46" s="375"/>
      <c r="PBY46" s="375"/>
      <c r="PBZ46" s="375"/>
      <c r="PCA46" s="375"/>
      <c r="PCB46" s="375"/>
      <c r="PCC46" s="375"/>
      <c r="PCD46" s="375"/>
      <c r="PCE46" s="375"/>
      <c r="PCF46" s="375"/>
      <c r="PCG46" s="375"/>
      <c r="PCH46" s="375"/>
      <c r="PCI46" s="375"/>
      <c r="PCJ46" s="375"/>
      <c r="PCK46" s="375"/>
      <c r="PCL46" s="375"/>
      <c r="PCM46" s="375"/>
      <c r="PCN46" s="375"/>
      <c r="PCO46" s="375"/>
      <c r="PCP46" s="375"/>
      <c r="PCQ46" s="375"/>
      <c r="PCR46" s="375"/>
      <c r="PCS46" s="375"/>
      <c r="PCT46" s="375"/>
      <c r="PCU46" s="375"/>
      <c r="PCV46" s="375"/>
      <c r="PCW46" s="375"/>
      <c r="PCX46" s="375"/>
      <c r="PCY46" s="375"/>
      <c r="PCZ46" s="375"/>
      <c r="PDA46" s="375"/>
      <c r="PDB46" s="375"/>
      <c r="PDC46" s="375"/>
      <c r="PDD46" s="375"/>
      <c r="PDE46" s="375"/>
      <c r="PDF46" s="375"/>
      <c r="PDG46" s="375"/>
      <c r="PDH46" s="375"/>
      <c r="PDI46" s="375"/>
      <c r="PDJ46" s="375"/>
      <c r="PDK46" s="375"/>
      <c r="PDL46" s="375"/>
      <c r="PDM46" s="375"/>
      <c r="PDN46" s="375"/>
      <c r="PDO46" s="375"/>
      <c r="PDP46" s="375"/>
      <c r="PDQ46" s="375"/>
      <c r="PDR46" s="375"/>
      <c r="PDS46" s="375"/>
      <c r="PDT46" s="375"/>
      <c r="PDU46" s="375"/>
      <c r="PDV46" s="375"/>
      <c r="PDW46" s="375"/>
      <c r="PDX46" s="375"/>
      <c r="PDY46" s="375"/>
      <c r="PDZ46" s="375"/>
      <c r="PEA46" s="375"/>
      <c r="PEB46" s="375"/>
      <c r="PEC46" s="375"/>
      <c r="PED46" s="375"/>
      <c r="PEE46" s="375"/>
      <c r="PEF46" s="375"/>
      <c r="PEG46" s="375"/>
      <c r="PEH46" s="375"/>
      <c r="PEI46" s="375"/>
      <c r="PEJ46" s="375"/>
      <c r="PEK46" s="375"/>
      <c r="PEL46" s="375"/>
      <c r="PEM46" s="375"/>
      <c r="PEN46" s="375"/>
      <c r="PEO46" s="375"/>
      <c r="PEP46" s="375"/>
      <c r="PEQ46" s="375"/>
      <c r="PER46" s="375"/>
      <c r="PES46" s="375"/>
      <c r="PET46" s="375"/>
      <c r="PEU46" s="375"/>
      <c r="PEV46" s="375"/>
      <c r="PEW46" s="375"/>
      <c r="PEX46" s="375"/>
      <c r="PEY46" s="375"/>
      <c r="PEZ46" s="375"/>
      <c r="PFA46" s="375"/>
      <c r="PFB46" s="375"/>
      <c r="PFC46" s="375"/>
      <c r="PFD46" s="375"/>
      <c r="PFE46" s="375"/>
      <c r="PFF46" s="375"/>
      <c r="PFG46" s="375"/>
      <c r="PFH46" s="375"/>
      <c r="PFI46" s="375"/>
      <c r="PFJ46" s="375"/>
      <c r="PFK46" s="375"/>
      <c r="PFL46" s="375"/>
      <c r="PFM46" s="375"/>
      <c r="PFN46" s="375"/>
      <c r="PFO46" s="375"/>
      <c r="PFP46" s="375"/>
      <c r="PFQ46" s="375"/>
      <c r="PFR46" s="375"/>
      <c r="PFS46" s="375"/>
      <c r="PFT46" s="375"/>
      <c r="PFU46" s="375"/>
      <c r="PFV46" s="375"/>
      <c r="PFW46" s="375"/>
      <c r="PFX46" s="375"/>
      <c r="PFY46" s="375"/>
      <c r="PFZ46" s="375"/>
      <c r="PGA46" s="375"/>
      <c r="PGB46" s="375"/>
      <c r="PGC46" s="375"/>
      <c r="PGD46" s="375"/>
      <c r="PGE46" s="375"/>
      <c r="PGF46" s="375"/>
      <c r="PGG46" s="375"/>
      <c r="PGH46" s="375"/>
      <c r="PGI46" s="375"/>
      <c r="PGJ46" s="375"/>
      <c r="PGK46" s="375"/>
      <c r="PGL46" s="375"/>
      <c r="PGM46" s="375"/>
      <c r="PGN46" s="375"/>
      <c r="PGO46" s="375"/>
      <c r="PGP46" s="375"/>
      <c r="PGQ46" s="375"/>
      <c r="PGR46" s="375"/>
      <c r="PGS46" s="375"/>
      <c r="PGT46" s="375"/>
      <c r="PGU46" s="375"/>
      <c r="PGV46" s="375"/>
      <c r="PGW46" s="375"/>
      <c r="PGX46" s="375"/>
      <c r="PGY46" s="375"/>
      <c r="PGZ46" s="375"/>
      <c r="PHA46" s="375"/>
      <c r="PHB46" s="375"/>
      <c r="PHC46" s="375"/>
      <c r="PHD46" s="375"/>
      <c r="PHE46" s="375"/>
      <c r="PHF46" s="375"/>
      <c r="PHG46" s="375"/>
      <c r="PHH46" s="375"/>
      <c r="PHI46" s="375"/>
      <c r="PHJ46" s="375"/>
      <c r="PHK46" s="375"/>
      <c r="PHL46" s="375"/>
      <c r="PHM46" s="375"/>
      <c r="PHN46" s="375"/>
      <c r="PHO46" s="375"/>
      <c r="PHP46" s="375"/>
      <c r="PHQ46" s="375"/>
      <c r="PHR46" s="375"/>
      <c r="PHS46" s="375"/>
      <c r="PHT46" s="375"/>
      <c r="PHU46" s="375"/>
      <c r="PHV46" s="375"/>
      <c r="PHW46" s="375"/>
      <c r="PHX46" s="375"/>
      <c r="PHY46" s="375"/>
      <c r="PHZ46" s="375"/>
      <c r="PIA46" s="375"/>
      <c r="PIB46" s="375"/>
      <c r="PIC46" s="375"/>
      <c r="PID46" s="375"/>
      <c r="PIE46" s="375"/>
      <c r="PIF46" s="375"/>
      <c r="PIG46" s="375"/>
      <c r="PIH46" s="375"/>
      <c r="PII46" s="375"/>
      <c r="PIJ46" s="375"/>
      <c r="PIK46" s="375"/>
      <c r="PIL46" s="375"/>
      <c r="PIM46" s="375"/>
      <c r="PIN46" s="375"/>
      <c r="PIO46" s="375"/>
      <c r="PIP46" s="375"/>
      <c r="PIQ46" s="375"/>
      <c r="PIR46" s="375"/>
      <c r="PIS46" s="375"/>
      <c r="PIT46" s="375"/>
      <c r="PIU46" s="375"/>
      <c r="PIV46" s="375"/>
      <c r="PIW46" s="375"/>
      <c r="PIX46" s="375"/>
      <c r="PIY46" s="375"/>
      <c r="PIZ46" s="375"/>
      <c r="PJA46" s="375"/>
      <c r="PJB46" s="375"/>
      <c r="PJC46" s="375"/>
      <c r="PJD46" s="375"/>
      <c r="PJE46" s="375"/>
      <c r="PJF46" s="375"/>
      <c r="PJG46" s="375"/>
      <c r="PJH46" s="375"/>
      <c r="PJI46" s="375"/>
      <c r="PJJ46" s="375"/>
      <c r="PJK46" s="375"/>
      <c r="PJL46" s="375"/>
      <c r="PJM46" s="375"/>
      <c r="PJN46" s="375"/>
      <c r="PJO46" s="375"/>
      <c r="PJP46" s="375"/>
      <c r="PJQ46" s="375"/>
      <c r="PJR46" s="375"/>
      <c r="PJS46" s="375"/>
      <c r="PJT46" s="375"/>
      <c r="PJU46" s="375"/>
      <c r="PJV46" s="375"/>
      <c r="PJW46" s="375"/>
      <c r="PJX46" s="375"/>
      <c r="PJY46" s="375"/>
      <c r="PJZ46" s="375"/>
      <c r="PKA46" s="375"/>
      <c r="PKB46" s="375"/>
      <c r="PKC46" s="375"/>
      <c r="PKD46" s="375"/>
      <c r="PKE46" s="375"/>
      <c r="PKF46" s="375"/>
      <c r="PKG46" s="375"/>
      <c r="PKH46" s="375"/>
      <c r="PKI46" s="375"/>
      <c r="PKJ46" s="375"/>
      <c r="PKK46" s="375"/>
      <c r="PKL46" s="375"/>
      <c r="PKM46" s="375"/>
      <c r="PKN46" s="375"/>
      <c r="PKO46" s="375"/>
      <c r="PKP46" s="375"/>
      <c r="PKQ46" s="375"/>
      <c r="PKR46" s="375"/>
      <c r="PKS46" s="375"/>
      <c r="PKT46" s="375"/>
      <c r="PKU46" s="375"/>
      <c r="PKV46" s="375"/>
      <c r="PKW46" s="375"/>
      <c r="PKX46" s="375"/>
      <c r="PKY46" s="375"/>
      <c r="PKZ46" s="375"/>
      <c r="PLA46" s="375"/>
      <c r="PLB46" s="375"/>
      <c r="PLC46" s="375"/>
      <c r="PLD46" s="375"/>
      <c r="PLE46" s="375"/>
      <c r="PLF46" s="375"/>
      <c r="PLG46" s="375"/>
      <c r="PLH46" s="375"/>
      <c r="PLI46" s="375"/>
      <c r="PLJ46" s="375"/>
      <c r="PLK46" s="375"/>
      <c r="PLL46" s="375"/>
      <c r="PLM46" s="375"/>
      <c r="PLN46" s="375"/>
      <c r="PLO46" s="375"/>
      <c r="PLP46" s="375"/>
      <c r="PLQ46" s="375"/>
      <c r="PLR46" s="375"/>
      <c r="PLS46" s="375"/>
      <c r="PLT46" s="375"/>
      <c r="PLU46" s="375"/>
      <c r="PLV46" s="375"/>
      <c r="PLW46" s="375"/>
      <c r="PLX46" s="375"/>
      <c r="PLY46" s="375"/>
      <c r="PLZ46" s="375"/>
      <c r="PMA46" s="375"/>
      <c r="PMB46" s="375"/>
      <c r="PMC46" s="375"/>
      <c r="PMD46" s="375"/>
      <c r="PME46" s="375"/>
      <c r="PMF46" s="375"/>
      <c r="PMG46" s="375"/>
      <c r="PMH46" s="375"/>
      <c r="PMI46" s="375"/>
      <c r="PMJ46" s="375"/>
      <c r="PMK46" s="375"/>
      <c r="PML46" s="375"/>
      <c r="PMM46" s="375"/>
      <c r="PMN46" s="375"/>
      <c r="PMO46" s="375"/>
      <c r="PMP46" s="375"/>
      <c r="PMQ46" s="375"/>
      <c r="PMR46" s="375"/>
      <c r="PMS46" s="375"/>
      <c r="PMT46" s="375"/>
      <c r="PMU46" s="375"/>
      <c r="PMV46" s="375"/>
      <c r="PMW46" s="375"/>
      <c r="PMX46" s="375"/>
      <c r="PMY46" s="375"/>
      <c r="PMZ46" s="375"/>
      <c r="PNA46" s="375"/>
      <c r="PNB46" s="375"/>
      <c r="PNC46" s="375"/>
      <c r="PND46" s="375"/>
      <c r="PNE46" s="375"/>
      <c r="PNF46" s="375"/>
      <c r="PNG46" s="375"/>
      <c r="PNH46" s="375"/>
      <c r="PNI46" s="375"/>
      <c r="PNJ46" s="375"/>
      <c r="PNK46" s="375"/>
      <c r="PNL46" s="375"/>
      <c r="PNM46" s="375"/>
      <c r="PNN46" s="375"/>
      <c r="PNO46" s="375"/>
      <c r="PNP46" s="375"/>
      <c r="PNQ46" s="375"/>
      <c r="PNR46" s="375"/>
      <c r="PNS46" s="375"/>
      <c r="PNT46" s="375"/>
      <c r="PNU46" s="375"/>
      <c r="PNV46" s="375"/>
      <c r="PNW46" s="375"/>
      <c r="PNX46" s="375"/>
      <c r="PNY46" s="375"/>
      <c r="PNZ46" s="375"/>
      <c r="POA46" s="375"/>
      <c r="POB46" s="375"/>
      <c r="POC46" s="375"/>
      <c r="POD46" s="375"/>
      <c r="POE46" s="375"/>
      <c r="POF46" s="375"/>
      <c r="POG46" s="375"/>
      <c r="POH46" s="375"/>
      <c r="POI46" s="375"/>
      <c r="POJ46" s="375"/>
      <c r="POK46" s="375"/>
      <c r="POL46" s="375"/>
      <c r="POM46" s="375"/>
      <c r="PON46" s="375"/>
      <c r="POO46" s="375"/>
      <c r="POP46" s="375"/>
      <c r="POQ46" s="375"/>
      <c r="POR46" s="375"/>
      <c r="POS46" s="375"/>
      <c r="POT46" s="375"/>
      <c r="POU46" s="375"/>
      <c r="POV46" s="375"/>
      <c r="POW46" s="375"/>
      <c r="POX46" s="375"/>
      <c r="POY46" s="375"/>
      <c r="POZ46" s="375"/>
      <c r="PPA46" s="375"/>
      <c r="PPB46" s="375"/>
      <c r="PPC46" s="375"/>
      <c r="PPD46" s="375"/>
      <c r="PPE46" s="375"/>
      <c r="PPF46" s="375"/>
      <c r="PPG46" s="375"/>
      <c r="PPH46" s="375"/>
      <c r="PPI46" s="375"/>
      <c r="PPJ46" s="375"/>
      <c r="PPK46" s="375"/>
      <c r="PPL46" s="375"/>
      <c r="PPM46" s="375"/>
      <c r="PPN46" s="375"/>
      <c r="PPO46" s="375"/>
      <c r="PPP46" s="375"/>
      <c r="PPQ46" s="375"/>
      <c r="PPR46" s="375"/>
      <c r="PPS46" s="375"/>
      <c r="PPT46" s="375"/>
      <c r="PPU46" s="375"/>
      <c r="PPV46" s="375"/>
      <c r="PPW46" s="375"/>
      <c r="PPX46" s="375"/>
      <c r="PPY46" s="375"/>
      <c r="PPZ46" s="375"/>
      <c r="PQA46" s="375"/>
      <c r="PQB46" s="375"/>
      <c r="PQC46" s="375"/>
      <c r="PQD46" s="375"/>
      <c r="PQE46" s="375"/>
      <c r="PQF46" s="375"/>
      <c r="PQG46" s="375"/>
      <c r="PQH46" s="375"/>
      <c r="PQI46" s="375"/>
      <c r="PQJ46" s="375"/>
      <c r="PQK46" s="375"/>
      <c r="PQL46" s="375"/>
      <c r="PQM46" s="375"/>
      <c r="PQN46" s="375"/>
      <c r="PQO46" s="375"/>
      <c r="PQP46" s="375"/>
      <c r="PQQ46" s="375"/>
      <c r="PQR46" s="375"/>
      <c r="PQS46" s="375"/>
      <c r="PQT46" s="375"/>
      <c r="PQU46" s="375"/>
      <c r="PQV46" s="375"/>
      <c r="PQW46" s="375"/>
      <c r="PQX46" s="375"/>
      <c r="PQY46" s="375"/>
      <c r="PQZ46" s="375"/>
      <c r="PRA46" s="375"/>
      <c r="PRB46" s="375"/>
      <c r="PRC46" s="375"/>
      <c r="PRD46" s="375"/>
      <c r="PRE46" s="375"/>
      <c r="PRF46" s="375"/>
      <c r="PRG46" s="375"/>
      <c r="PRH46" s="375"/>
      <c r="PRI46" s="375"/>
      <c r="PRJ46" s="375"/>
      <c r="PRK46" s="375"/>
      <c r="PRL46" s="375"/>
      <c r="PRM46" s="375"/>
      <c r="PRN46" s="375"/>
      <c r="PRO46" s="375"/>
      <c r="PRP46" s="375"/>
      <c r="PRQ46" s="375"/>
      <c r="PRR46" s="375"/>
      <c r="PRS46" s="375"/>
      <c r="PRT46" s="375"/>
      <c r="PRU46" s="375"/>
      <c r="PRV46" s="375"/>
      <c r="PRW46" s="375"/>
      <c r="PRX46" s="375"/>
      <c r="PRY46" s="375"/>
      <c r="PRZ46" s="375"/>
      <c r="PSA46" s="375"/>
      <c r="PSB46" s="375"/>
      <c r="PSC46" s="375"/>
      <c r="PSD46" s="375"/>
      <c r="PSE46" s="375"/>
      <c r="PSF46" s="375"/>
      <c r="PSG46" s="375"/>
      <c r="PSH46" s="375"/>
      <c r="PSI46" s="375"/>
      <c r="PSJ46" s="375"/>
      <c r="PSK46" s="375"/>
      <c r="PSL46" s="375"/>
      <c r="PSM46" s="375"/>
      <c r="PSN46" s="375"/>
      <c r="PSO46" s="375"/>
      <c r="PSP46" s="375"/>
      <c r="PSQ46" s="375"/>
      <c r="PSR46" s="375"/>
      <c r="PSS46" s="375"/>
      <c r="PST46" s="375"/>
      <c r="PSU46" s="375"/>
      <c r="PSV46" s="375"/>
      <c r="PSW46" s="375"/>
      <c r="PSX46" s="375"/>
      <c r="PSY46" s="375"/>
      <c r="PSZ46" s="375"/>
      <c r="PTA46" s="375"/>
      <c r="PTB46" s="375"/>
      <c r="PTC46" s="375"/>
      <c r="PTD46" s="375"/>
      <c r="PTE46" s="375"/>
      <c r="PTF46" s="375"/>
      <c r="PTG46" s="375"/>
      <c r="PTH46" s="375"/>
      <c r="PTI46" s="375"/>
      <c r="PTJ46" s="375"/>
      <c r="PTK46" s="375"/>
      <c r="PTL46" s="375"/>
      <c r="PTM46" s="375"/>
      <c r="PTN46" s="375"/>
      <c r="PTO46" s="375"/>
      <c r="PTP46" s="375"/>
      <c r="PTQ46" s="375"/>
      <c r="PTR46" s="375"/>
      <c r="PTS46" s="375"/>
      <c r="PTT46" s="375"/>
      <c r="PTU46" s="375"/>
      <c r="PTV46" s="375"/>
      <c r="PTW46" s="375"/>
      <c r="PTX46" s="375"/>
      <c r="PTY46" s="375"/>
      <c r="PTZ46" s="375"/>
      <c r="PUA46" s="375"/>
      <c r="PUB46" s="375"/>
      <c r="PUC46" s="375"/>
      <c r="PUD46" s="375"/>
      <c r="PUE46" s="375"/>
      <c r="PUF46" s="375"/>
      <c r="PUG46" s="375"/>
      <c r="PUH46" s="375"/>
      <c r="PUI46" s="375"/>
      <c r="PUJ46" s="375"/>
      <c r="PUK46" s="375"/>
      <c r="PUL46" s="375"/>
      <c r="PUM46" s="375"/>
      <c r="PUN46" s="375"/>
      <c r="PUO46" s="375"/>
      <c r="PUP46" s="375"/>
      <c r="PUQ46" s="375"/>
      <c r="PUR46" s="375"/>
      <c r="PUS46" s="375"/>
      <c r="PUT46" s="375"/>
      <c r="PUU46" s="375"/>
      <c r="PUV46" s="375"/>
      <c r="PUW46" s="375"/>
      <c r="PUX46" s="375"/>
      <c r="PUY46" s="375"/>
      <c r="PUZ46" s="375"/>
      <c r="PVA46" s="375"/>
      <c r="PVB46" s="375"/>
      <c r="PVC46" s="375"/>
      <c r="PVD46" s="375"/>
      <c r="PVE46" s="375"/>
      <c r="PVF46" s="375"/>
      <c r="PVG46" s="375"/>
      <c r="PVH46" s="375"/>
      <c r="PVI46" s="375"/>
      <c r="PVJ46" s="375"/>
      <c r="PVK46" s="375"/>
      <c r="PVL46" s="375"/>
      <c r="PVM46" s="375"/>
      <c r="PVN46" s="375"/>
      <c r="PVO46" s="375"/>
      <c r="PVP46" s="375"/>
      <c r="PVQ46" s="375"/>
      <c r="PVR46" s="375"/>
      <c r="PVS46" s="375"/>
      <c r="PVT46" s="375"/>
      <c r="PVU46" s="375"/>
      <c r="PVV46" s="375"/>
      <c r="PVW46" s="375"/>
      <c r="PVX46" s="375"/>
      <c r="PVY46" s="375"/>
      <c r="PVZ46" s="375"/>
      <c r="PWA46" s="375"/>
      <c r="PWB46" s="375"/>
      <c r="PWC46" s="375"/>
      <c r="PWD46" s="375"/>
      <c r="PWE46" s="375"/>
      <c r="PWF46" s="375"/>
      <c r="PWG46" s="375"/>
      <c r="PWH46" s="375"/>
      <c r="PWI46" s="375"/>
      <c r="PWJ46" s="375"/>
      <c r="PWK46" s="375"/>
      <c r="PWL46" s="375"/>
      <c r="PWM46" s="375"/>
      <c r="PWN46" s="375"/>
      <c r="PWO46" s="375"/>
      <c r="PWP46" s="375"/>
      <c r="PWQ46" s="375"/>
      <c r="PWR46" s="375"/>
      <c r="PWS46" s="375"/>
      <c r="PWT46" s="375"/>
      <c r="PWU46" s="375"/>
      <c r="PWV46" s="375"/>
      <c r="PWW46" s="375"/>
      <c r="PWX46" s="375"/>
      <c r="PWY46" s="375"/>
      <c r="PWZ46" s="375"/>
      <c r="PXA46" s="375"/>
      <c r="PXB46" s="375"/>
      <c r="PXC46" s="375"/>
      <c r="PXD46" s="375"/>
      <c r="PXE46" s="375"/>
      <c r="PXF46" s="375"/>
      <c r="PXG46" s="375"/>
      <c r="PXH46" s="375"/>
      <c r="PXI46" s="375"/>
      <c r="PXJ46" s="375"/>
      <c r="PXK46" s="375"/>
      <c r="PXL46" s="375"/>
      <c r="PXM46" s="375"/>
      <c r="PXN46" s="375"/>
      <c r="PXO46" s="375"/>
      <c r="PXP46" s="375"/>
      <c r="PXQ46" s="375"/>
      <c r="PXR46" s="375"/>
      <c r="PXS46" s="375"/>
      <c r="PXT46" s="375"/>
      <c r="PXU46" s="375"/>
      <c r="PXV46" s="375"/>
      <c r="PXW46" s="375"/>
      <c r="PXX46" s="375"/>
      <c r="PXY46" s="375"/>
      <c r="PXZ46" s="375"/>
      <c r="PYA46" s="375"/>
      <c r="PYB46" s="375"/>
      <c r="PYC46" s="375"/>
      <c r="PYD46" s="375"/>
      <c r="PYE46" s="375"/>
      <c r="PYF46" s="375"/>
      <c r="PYG46" s="375"/>
      <c r="PYH46" s="375"/>
      <c r="PYI46" s="375"/>
      <c r="PYJ46" s="375"/>
      <c r="PYK46" s="375"/>
      <c r="PYL46" s="375"/>
      <c r="PYM46" s="375"/>
      <c r="PYN46" s="375"/>
      <c r="PYO46" s="375"/>
      <c r="PYP46" s="375"/>
      <c r="PYQ46" s="375"/>
      <c r="PYR46" s="375"/>
      <c r="PYS46" s="375"/>
      <c r="PYT46" s="375"/>
      <c r="PYU46" s="375"/>
      <c r="PYV46" s="375"/>
      <c r="PYW46" s="375"/>
      <c r="PYX46" s="375"/>
      <c r="PYY46" s="375"/>
      <c r="PYZ46" s="375"/>
      <c r="PZA46" s="375"/>
      <c r="PZB46" s="375"/>
      <c r="PZC46" s="375"/>
      <c r="PZD46" s="375"/>
      <c r="PZE46" s="375"/>
      <c r="PZF46" s="375"/>
      <c r="PZG46" s="375"/>
      <c r="PZH46" s="375"/>
      <c r="PZI46" s="375"/>
      <c r="PZJ46" s="375"/>
      <c r="PZK46" s="375"/>
      <c r="PZL46" s="375"/>
      <c r="PZM46" s="375"/>
      <c r="PZN46" s="375"/>
      <c r="PZO46" s="375"/>
      <c r="PZP46" s="375"/>
      <c r="PZQ46" s="375"/>
      <c r="PZR46" s="375"/>
      <c r="PZS46" s="375"/>
      <c r="PZT46" s="375"/>
      <c r="PZU46" s="375"/>
      <c r="PZV46" s="375"/>
      <c r="PZW46" s="375"/>
      <c r="PZX46" s="375"/>
      <c r="PZY46" s="375"/>
      <c r="PZZ46" s="375"/>
      <c r="QAA46" s="375"/>
      <c r="QAB46" s="375"/>
      <c r="QAC46" s="375"/>
      <c r="QAD46" s="375"/>
      <c r="QAE46" s="375"/>
      <c r="QAF46" s="375"/>
      <c r="QAG46" s="375"/>
      <c r="QAH46" s="375"/>
      <c r="QAI46" s="375"/>
      <c r="QAJ46" s="375"/>
      <c r="QAK46" s="375"/>
      <c r="QAL46" s="375"/>
      <c r="QAM46" s="375"/>
      <c r="QAN46" s="375"/>
      <c r="QAO46" s="375"/>
      <c r="QAP46" s="375"/>
      <c r="QAQ46" s="375"/>
      <c r="QAR46" s="375"/>
      <c r="QAS46" s="375"/>
      <c r="QAT46" s="375"/>
      <c r="QAU46" s="375"/>
      <c r="QAV46" s="375"/>
      <c r="QAW46" s="375"/>
      <c r="QAX46" s="375"/>
      <c r="QAY46" s="375"/>
      <c r="QAZ46" s="375"/>
      <c r="QBA46" s="375"/>
      <c r="QBB46" s="375"/>
      <c r="QBC46" s="375"/>
      <c r="QBD46" s="375"/>
      <c r="QBE46" s="375"/>
      <c r="QBF46" s="375"/>
      <c r="QBG46" s="375"/>
      <c r="QBH46" s="375"/>
      <c r="QBI46" s="375"/>
      <c r="QBJ46" s="375"/>
      <c r="QBK46" s="375"/>
      <c r="QBL46" s="375"/>
      <c r="QBM46" s="375"/>
      <c r="QBN46" s="375"/>
      <c r="QBO46" s="375"/>
      <c r="QBP46" s="375"/>
      <c r="QBQ46" s="375"/>
      <c r="QBR46" s="375"/>
      <c r="QBS46" s="375"/>
      <c r="QBT46" s="375"/>
      <c r="QBU46" s="375"/>
      <c r="QBV46" s="375"/>
      <c r="QBW46" s="375"/>
      <c r="QBX46" s="375"/>
      <c r="QBY46" s="375"/>
      <c r="QBZ46" s="375"/>
      <c r="QCA46" s="375"/>
      <c r="QCB46" s="375"/>
      <c r="QCC46" s="375"/>
      <c r="QCD46" s="375"/>
      <c r="QCE46" s="375"/>
      <c r="QCF46" s="375"/>
      <c r="QCG46" s="375"/>
      <c r="QCH46" s="375"/>
      <c r="QCI46" s="375"/>
      <c r="QCJ46" s="375"/>
      <c r="QCK46" s="375"/>
      <c r="QCL46" s="375"/>
      <c r="QCM46" s="375"/>
      <c r="QCN46" s="375"/>
      <c r="QCO46" s="375"/>
      <c r="QCP46" s="375"/>
      <c r="QCQ46" s="375"/>
      <c r="QCR46" s="375"/>
      <c r="QCS46" s="375"/>
      <c r="QCT46" s="375"/>
      <c r="QCU46" s="375"/>
      <c r="QCV46" s="375"/>
      <c r="QCW46" s="375"/>
      <c r="QCX46" s="375"/>
      <c r="QCY46" s="375"/>
      <c r="QCZ46" s="375"/>
      <c r="QDA46" s="375"/>
      <c r="QDB46" s="375"/>
      <c r="QDC46" s="375"/>
      <c r="QDD46" s="375"/>
      <c r="QDE46" s="375"/>
      <c r="QDF46" s="375"/>
      <c r="QDG46" s="375"/>
      <c r="QDH46" s="375"/>
      <c r="QDI46" s="375"/>
      <c r="QDJ46" s="375"/>
      <c r="QDK46" s="375"/>
      <c r="QDL46" s="375"/>
      <c r="QDM46" s="375"/>
      <c r="QDN46" s="375"/>
      <c r="QDO46" s="375"/>
      <c r="QDP46" s="375"/>
      <c r="QDQ46" s="375"/>
      <c r="QDR46" s="375"/>
      <c r="QDS46" s="375"/>
      <c r="QDT46" s="375"/>
      <c r="QDU46" s="375"/>
      <c r="QDV46" s="375"/>
      <c r="QDW46" s="375"/>
      <c r="QDX46" s="375"/>
      <c r="QDY46" s="375"/>
      <c r="QDZ46" s="375"/>
      <c r="QEA46" s="375"/>
      <c r="QEB46" s="375"/>
      <c r="QEC46" s="375"/>
      <c r="QED46" s="375"/>
      <c r="QEE46" s="375"/>
      <c r="QEF46" s="375"/>
      <c r="QEG46" s="375"/>
      <c r="QEH46" s="375"/>
      <c r="QEI46" s="375"/>
      <c r="QEJ46" s="375"/>
      <c r="QEK46" s="375"/>
      <c r="QEL46" s="375"/>
      <c r="QEM46" s="375"/>
      <c r="QEN46" s="375"/>
      <c r="QEO46" s="375"/>
      <c r="QEP46" s="375"/>
      <c r="QEQ46" s="375"/>
      <c r="QER46" s="375"/>
      <c r="QES46" s="375"/>
      <c r="QET46" s="375"/>
      <c r="QEU46" s="375"/>
      <c r="QEV46" s="375"/>
      <c r="QEW46" s="375"/>
      <c r="QEX46" s="375"/>
      <c r="QEY46" s="375"/>
      <c r="QEZ46" s="375"/>
      <c r="QFA46" s="375"/>
      <c r="QFB46" s="375"/>
      <c r="QFC46" s="375"/>
      <c r="QFD46" s="375"/>
      <c r="QFE46" s="375"/>
      <c r="QFF46" s="375"/>
      <c r="QFG46" s="375"/>
      <c r="QFH46" s="375"/>
      <c r="QFI46" s="375"/>
      <c r="QFJ46" s="375"/>
      <c r="QFK46" s="375"/>
      <c r="QFL46" s="375"/>
      <c r="QFM46" s="375"/>
      <c r="QFN46" s="375"/>
      <c r="QFO46" s="375"/>
      <c r="QFP46" s="375"/>
      <c r="QFQ46" s="375"/>
      <c r="QFR46" s="375"/>
      <c r="QFS46" s="375"/>
      <c r="QFT46" s="375"/>
      <c r="QFU46" s="375"/>
      <c r="QFV46" s="375"/>
      <c r="QFW46" s="375"/>
      <c r="QFX46" s="375"/>
      <c r="QFY46" s="375"/>
      <c r="QFZ46" s="375"/>
      <c r="QGA46" s="375"/>
      <c r="QGB46" s="375"/>
      <c r="QGC46" s="375"/>
      <c r="QGD46" s="375"/>
      <c r="QGE46" s="375"/>
      <c r="QGF46" s="375"/>
      <c r="QGG46" s="375"/>
      <c r="QGH46" s="375"/>
      <c r="QGI46" s="375"/>
      <c r="QGJ46" s="375"/>
      <c r="QGK46" s="375"/>
      <c r="QGL46" s="375"/>
      <c r="QGM46" s="375"/>
      <c r="QGN46" s="375"/>
      <c r="QGO46" s="375"/>
      <c r="QGP46" s="375"/>
      <c r="QGQ46" s="375"/>
      <c r="QGR46" s="375"/>
      <c r="QGS46" s="375"/>
      <c r="QGT46" s="375"/>
      <c r="QGU46" s="375"/>
      <c r="QGV46" s="375"/>
      <c r="QGW46" s="375"/>
      <c r="QGX46" s="375"/>
      <c r="QGY46" s="375"/>
      <c r="QGZ46" s="375"/>
      <c r="QHA46" s="375"/>
      <c r="QHB46" s="375"/>
      <c r="QHC46" s="375"/>
      <c r="QHD46" s="375"/>
      <c r="QHE46" s="375"/>
      <c r="QHF46" s="375"/>
      <c r="QHG46" s="375"/>
      <c r="QHH46" s="375"/>
      <c r="QHI46" s="375"/>
      <c r="QHJ46" s="375"/>
      <c r="QHK46" s="375"/>
      <c r="QHL46" s="375"/>
      <c r="QHM46" s="375"/>
      <c r="QHN46" s="375"/>
      <c r="QHO46" s="375"/>
      <c r="QHP46" s="375"/>
      <c r="QHQ46" s="375"/>
      <c r="QHR46" s="375"/>
      <c r="QHS46" s="375"/>
      <c r="QHT46" s="375"/>
      <c r="QHU46" s="375"/>
      <c r="QHV46" s="375"/>
      <c r="QHW46" s="375"/>
      <c r="QHX46" s="375"/>
      <c r="QHY46" s="375"/>
      <c r="QHZ46" s="375"/>
      <c r="QIA46" s="375"/>
      <c r="QIB46" s="375"/>
      <c r="QIC46" s="375"/>
      <c r="QID46" s="375"/>
      <c r="QIE46" s="375"/>
      <c r="QIF46" s="375"/>
      <c r="QIG46" s="375"/>
      <c r="QIH46" s="375"/>
      <c r="QII46" s="375"/>
      <c r="QIJ46" s="375"/>
      <c r="QIK46" s="375"/>
      <c r="QIL46" s="375"/>
      <c r="QIM46" s="375"/>
      <c r="QIN46" s="375"/>
      <c r="QIO46" s="375"/>
      <c r="QIP46" s="375"/>
      <c r="QIQ46" s="375"/>
      <c r="QIR46" s="375"/>
      <c r="QIS46" s="375"/>
      <c r="QIT46" s="375"/>
      <c r="QIU46" s="375"/>
      <c r="QIV46" s="375"/>
      <c r="QIW46" s="375"/>
      <c r="QIX46" s="375"/>
      <c r="QIY46" s="375"/>
      <c r="QIZ46" s="375"/>
      <c r="QJA46" s="375"/>
      <c r="QJB46" s="375"/>
      <c r="QJC46" s="375"/>
      <c r="QJD46" s="375"/>
      <c r="QJE46" s="375"/>
      <c r="QJF46" s="375"/>
      <c r="QJG46" s="375"/>
      <c r="QJH46" s="375"/>
      <c r="QJI46" s="375"/>
      <c r="QJJ46" s="375"/>
      <c r="QJK46" s="375"/>
      <c r="QJL46" s="375"/>
      <c r="QJM46" s="375"/>
      <c r="QJN46" s="375"/>
      <c r="QJO46" s="375"/>
      <c r="QJP46" s="375"/>
      <c r="QJQ46" s="375"/>
      <c r="QJR46" s="375"/>
      <c r="QJS46" s="375"/>
      <c r="QJT46" s="375"/>
      <c r="QJU46" s="375"/>
      <c r="QJV46" s="375"/>
      <c r="QJW46" s="375"/>
      <c r="QJX46" s="375"/>
      <c r="QJY46" s="375"/>
      <c r="QJZ46" s="375"/>
      <c r="QKA46" s="375"/>
      <c r="QKB46" s="375"/>
      <c r="QKC46" s="375"/>
      <c r="QKD46" s="375"/>
      <c r="QKE46" s="375"/>
      <c r="QKF46" s="375"/>
      <c r="QKG46" s="375"/>
      <c r="QKH46" s="375"/>
      <c r="QKI46" s="375"/>
      <c r="QKJ46" s="375"/>
      <c r="QKK46" s="375"/>
      <c r="QKL46" s="375"/>
      <c r="QKM46" s="375"/>
      <c r="QKN46" s="375"/>
      <c r="QKO46" s="375"/>
      <c r="QKP46" s="375"/>
      <c r="QKQ46" s="375"/>
      <c r="QKR46" s="375"/>
      <c r="QKS46" s="375"/>
      <c r="QKT46" s="375"/>
      <c r="QKU46" s="375"/>
      <c r="QKV46" s="375"/>
      <c r="QKW46" s="375"/>
      <c r="QKX46" s="375"/>
      <c r="QKY46" s="375"/>
      <c r="QKZ46" s="375"/>
      <c r="QLA46" s="375"/>
      <c r="QLB46" s="375"/>
      <c r="QLC46" s="375"/>
      <c r="QLD46" s="375"/>
      <c r="QLE46" s="375"/>
      <c r="QLF46" s="375"/>
      <c r="QLG46" s="375"/>
      <c r="QLH46" s="375"/>
      <c r="QLI46" s="375"/>
      <c r="QLJ46" s="375"/>
      <c r="QLK46" s="375"/>
      <c r="QLL46" s="375"/>
      <c r="QLM46" s="375"/>
      <c r="QLN46" s="375"/>
      <c r="QLO46" s="375"/>
      <c r="QLP46" s="375"/>
      <c r="QLQ46" s="375"/>
      <c r="QLR46" s="375"/>
      <c r="QLS46" s="375"/>
      <c r="QLT46" s="375"/>
      <c r="QLU46" s="375"/>
      <c r="QLV46" s="375"/>
      <c r="QLW46" s="375"/>
      <c r="QLX46" s="375"/>
      <c r="QLY46" s="375"/>
      <c r="QLZ46" s="375"/>
      <c r="QMA46" s="375"/>
      <c r="QMB46" s="375"/>
      <c r="QMC46" s="375"/>
      <c r="QMD46" s="375"/>
      <c r="QME46" s="375"/>
      <c r="QMF46" s="375"/>
      <c r="QMG46" s="375"/>
      <c r="QMH46" s="375"/>
      <c r="QMI46" s="375"/>
      <c r="QMJ46" s="375"/>
      <c r="QMK46" s="375"/>
      <c r="QML46" s="375"/>
      <c r="QMM46" s="375"/>
      <c r="QMN46" s="375"/>
      <c r="QMO46" s="375"/>
      <c r="QMP46" s="375"/>
      <c r="QMQ46" s="375"/>
      <c r="QMR46" s="375"/>
      <c r="QMS46" s="375"/>
      <c r="QMT46" s="375"/>
      <c r="QMU46" s="375"/>
      <c r="QMV46" s="375"/>
      <c r="QMW46" s="375"/>
      <c r="QMX46" s="375"/>
      <c r="QMY46" s="375"/>
      <c r="QMZ46" s="375"/>
      <c r="QNA46" s="375"/>
      <c r="QNB46" s="375"/>
      <c r="QNC46" s="375"/>
      <c r="QND46" s="375"/>
      <c r="QNE46" s="375"/>
      <c r="QNF46" s="375"/>
      <c r="QNG46" s="375"/>
      <c r="QNH46" s="375"/>
      <c r="QNI46" s="375"/>
      <c r="QNJ46" s="375"/>
      <c r="QNK46" s="375"/>
      <c r="QNL46" s="375"/>
      <c r="QNM46" s="375"/>
      <c r="QNN46" s="375"/>
      <c r="QNO46" s="375"/>
      <c r="QNP46" s="375"/>
      <c r="QNQ46" s="375"/>
      <c r="QNR46" s="375"/>
      <c r="QNS46" s="375"/>
      <c r="QNT46" s="375"/>
      <c r="QNU46" s="375"/>
      <c r="QNV46" s="375"/>
      <c r="QNW46" s="375"/>
      <c r="QNX46" s="375"/>
      <c r="QNY46" s="375"/>
      <c r="QNZ46" s="375"/>
      <c r="QOA46" s="375"/>
      <c r="QOB46" s="375"/>
      <c r="QOC46" s="375"/>
      <c r="QOD46" s="375"/>
      <c r="QOE46" s="375"/>
      <c r="QOF46" s="375"/>
      <c r="QOG46" s="375"/>
      <c r="QOH46" s="375"/>
      <c r="QOI46" s="375"/>
      <c r="QOJ46" s="375"/>
      <c r="QOK46" s="375"/>
      <c r="QOL46" s="375"/>
      <c r="QOM46" s="375"/>
      <c r="QON46" s="375"/>
      <c r="QOO46" s="375"/>
      <c r="QOP46" s="375"/>
      <c r="QOQ46" s="375"/>
      <c r="QOR46" s="375"/>
      <c r="QOS46" s="375"/>
      <c r="QOT46" s="375"/>
      <c r="QOU46" s="375"/>
      <c r="QOV46" s="375"/>
      <c r="QOW46" s="375"/>
      <c r="QOX46" s="375"/>
      <c r="QOY46" s="375"/>
      <c r="QOZ46" s="375"/>
      <c r="QPA46" s="375"/>
      <c r="QPB46" s="375"/>
      <c r="QPC46" s="375"/>
      <c r="QPD46" s="375"/>
      <c r="QPE46" s="375"/>
      <c r="QPF46" s="375"/>
      <c r="QPG46" s="375"/>
      <c r="QPH46" s="375"/>
      <c r="QPI46" s="375"/>
      <c r="QPJ46" s="375"/>
      <c r="QPK46" s="375"/>
      <c r="QPL46" s="375"/>
      <c r="QPM46" s="375"/>
      <c r="QPN46" s="375"/>
      <c r="QPO46" s="375"/>
      <c r="QPP46" s="375"/>
      <c r="QPQ46" s="375"/>
      <c r="QPR46" s="375"/>
      <c r="QPS46" s="375"/>
      <c r="QPT46" s="375"/>
      <c r="QPU46" s="375"/>
      <c r="QPV46" s="375"/>
      <c r="QPW46" s="375"/>
      <c r="QPX46" s="375"/>
      <c r="QPY46" s="375"/>
      <c r="QPZ46" s="375"/>
      <c r="QQA46" s="375"/>
      <c r="QQB46" s="375"/>
      <c r="QQC46" s="375"/>
      <c r="QQD46" s="375"/>
      <c r="QQE46" s="375"/>
      <c r="QQF46" s="375"/>
      <c r="QQG46" s="375"/>
      <c r="QQH46" s="375"/>
      <c r="QQI46" s="375"/>
      <c r="QQJ46" s="375"/>
      <c r="QQK46" s="375"/>
      <c r="QQL46" s="375"/>
      <c r="QQM46" s="375"/>
      <c r="QQN46" s="375"/>
      <c r="QQO46" s="375"/>
      <c r="QQP46" s="375"/>
      <c r="QQQ46" s="375"/>
      <c r="QQR46" s="375"/>
      <c r="QQS46" s="375"/>
      <c r="QQT46" s="375"/>
      <c r="QQU46" s="375"/>
      <c r="QQV46" s="375"/>
      <c r="QQW46" s="375"/>
      <c r="QQX46" s="375"/>
      <c r="QQY46" s="375"/>
      <c r="QQZ46" s="375"/>
      <c r="QRA46" s="375"/>
      <c r="QRB46" s="375"/>
      <c r="QRC46" s="375"/>
      <c r="QRD46" s="375"/>
      <c r="QRE46" s="375"/>
      <c r="QRF46" s="375"/>
      <c r="QRG46" s="375"/>
      <c r="QRH46" s="375"/>
      <c r="QRI46" s="375"/>
      <c r="QRJ46" s="375"/>
      <c r="QRK46" s="375"/>
      <c r="QRL46" s="375"/>
      <c r="QRM46" s="375"/>
      <c r="QRN46" s="375"/>
      <c r="QRO46" s="375"/>
      <c r="QRP46" s="375"/>
      <c r="QRQ46" s="375"/>
      <c r="QRR46" s="375"/>
      <c r="QRS46" s="375"/>
      <c r="QRT46" s="375"/>
      <c r="QRU46" s="375"/>
      <c r="QRV46" s="375"/>
      <c r="QRW46" s="375"/>
      <c r="QRX46" s="375"/>
      <c r="QRY46" s="375"/>
      <c r="QRZ46" s="375"/>
      <c r="QSA46" s="375"/>
      <c r="QSB46" s="375"/>
      <c r="QSC46" s="375"/>
      <c r="QSD46" s="375"/>
      <c r="QSE46" s="375"/>
      <c r="QSF46" s="375"/>
      <c r="QSG46" s="375"/>
      <c r="QSH46" s="375"/>
      <c r="QSI46" s="375"/>
      <c r="QSJ46" s="375"/>
      <c r="QSK46" s="375"/>
      <c r="QSL46" s="375"/>
      <c r="QSM46" s="375"/>
      <c r="QSN46" s="375"/>
      <c r="QSO46" s="375"/>
      <c r="QSP46" s="375"/>
      <c r="QSQ46" s="375"/>
      <c r="QSR46" s="375"/>
      <c r="QSS46" s="375"/>
      <c r="QST46" s="375"/>
      <c r="QSU46" s="375"/>
      <c r="QSV46" s="375"/>
      <c r="QSW46" s="375"/>
      <c r="QSX46" s="375"/>
      <c r="QSY46" s="375"/>
      <c r="QSZ46" s="375"/>
      <c r="QTA46" s="375"/>
      <c r="QTB46" s="375"/>
      <c r="QTC46" s="375"/>
      <c r="QTD46" s="375"/>
      <c r="QTE46" s="375"/>
      <c r="QTF46" s="375"/>
      <c r="QTG46" s="375"/>
      <c r="QTH46" s="375"/>
      <c r="QTI46" s="375"/>
      <c r="QTJ46" s="375"/>
      <c r="QTK46" s="375"/>
      <c r="QTL46" s="375"/>
      <c r="QTM46" s="375"/>
      <c r="QTN46" s="375"/>
      <c r="QTO46" s="375"/>
      <c r="QTP46" s="375"/>
      <c r="QTQ46" s="375"/>
      <c r="QTR46" s="375"/>
      <c r="QTS46" s="375"/>
      <c r="QTT46" s="375"/>
      <c r="QTU46" s="375"/>
      <c r="QTV46" s="375"/>
      <c r="QTW46" s="375"/>
      <c r="QTX46" s="375"/>
      <c r="QTY46" s="375"/>
      <c r="QTZ46" s="375"/>
      <c r="QUA46" s="375"/>
      <c r="QUB46" s="375"/>
      <c r="QUC46" s="375"/>
      <c r="QUD46" s="375"/>
      <c r="QUE46" s="375"/>
      <c r="QUF46" s="375"/>
      <c r="QUG46" s="375"/>
      <c r="QUH46" s="375"/>
      <c r="QUI46" s="375"/>
      <c r="QUJ46" s="375"/>
      <c r="QUK46" s="375"/>
      <c r="QUL46" s="375"/>
      <c r="QUM46" s="375"/>
      <c r="QUN46" s="375"/>
      <c r="QUO46" s="375"/>
      <c r="QUP46" s="375"/>
      <c r="QUQ46" s="375"/>
      <c r="QUR46" s="375"/>
      <c r="QUS46" s="375"/>
      <c r="QUT46" s="375"/>
      <c r="QUU46" s="375"/>
      <c r="QUV46" s="375"/>
      <c r="QUW46" s="375"/>
      <c r="QUX46" s="375"/>
      <c r="QUY46" s="375"/>
      <c r="QUZ46" s="375"/>
      <c r="QVA46" s="375"/>
      <c r="QVB46" s="375"/>
      <c r="QVC46" s="375"/>
      <c r="QVD46" s="375"/>
      <c r="QVE46" s="375"/>
      <c r="QVF46" s="375"/>
      <c r="QVG46" s="375"/>
      <c r="QVH46" s="375"/>
      <c r="QVI46" s="375"/>
      <c r="QVJ46" s="375"/>
      <c r="QVK46" s="375"/>
      <c r="QVL46" s="375"/>
      <c r="QVM46" s="375"/>
      <c r="QVN46" s="375"/>
      <c r="QVO46" s="375"/>
      <c r="QVP46" s="375"/>
      <c r="QVQ46" s="375"/>
      <c r="QVR46" s="375"/>
      <c r="QVS46" s="375"/>
      <c r="QVT46" s="375"/>
      <c r="QVU46" s="375"/>
      <c r="QVV46" s="375"/>
      <c r="QVW46" s="375"/>
      <c r="QVX46" s="375"/>
      <c r="QVY46" s="375"/>
      <c r="QVZ46" s="375"/>
      <c r="QWA46" s="375"/>
      <c r="QWB46" s="375"/>
      <c r="QWC46" s="375"/>
      <c r="QWD46" s="375"/>
      <c r="QWE46" s="375"/>
      <c r="QWF46" s="375"/>
      <c r="QWG46" s="375"/>
      <c r="QWH46" s="375"/>
      <c r="QWI46" s="375"/>
      <c r="QWJ46" s="375"/>
      <c r="QWK46" s="375"/>
      <c r="QWL46" s="375"/>
      <c r="QWM46" s="375"/>
      <c r="QWN46" s="375"/>
      <c r="QWO46" s="375"/>
      <c r="QWP46" s="375"/>
      <c r="QWQ46" s="375"/>
      <c r="QWR46" s="375"/>
      <c r="QWS46" s="375"/>
      <c r="QWT46" s="375"/>
      <c r="QWU46" s="375"/>
      <c r="QWV46" s="375"/>
      <c r="QWW46" s="375"/>
      <c r="QWX46" s="375"/>
      <c r="QWY46" s="375"/>
      <c r="QWZ46" s="375"/>
      <c r="QXA46" s="375"/>
      <c r="QXB46" s="375"/>
      <c r="QXC46" s="375"/>
      <c r="QXD46" s="375"/>
      <c r="QXE46" s="375"/>
      <c r="QXF46" s="375"/>
      <c r="QXG46" s="375"/>
      <c r="QXH46" s="375"/>
      <c r="QXI46" s="375"/>
      <c r="QXJ46" s="375"/>
      <c r="QXK46" s="375"/>
      <c r="QXL46" s="375"/>
      <c r="QXM46" s="375"/>
      <c r="QXN46" s="375"/>
      <c r="QXO46" s="375"/>
      <c r="QXP46" s="375"/>
      <c r="QXQ46" s="375"/>
      <c r="QXR46" s="375"/>
      <c r="QXS46" s="375"/>
      <c r="QXT46" s="375"/>
      <c r="QXU46" s="375"/>
      <c r="QXV46" s="375"/>
      <c r="QXW46" s="375"/>
      <c r="QXX46" s="375"/>
      <c r="QXY46" s="375"/>
      <c r="QXZ46" s="375"/>
      <c r="QYA46" s="375"/>
      <c r="QYB46" s="375"/>
      <c r="QYC46" s="375"/>
      <c r="QYD46" s="375"/>
      <c r="QYE46" s="375"/>
      <c r="QYF46" s="375"/>
      <c r="QYG46" s="375"/>
      <c r="QYH46" s="375"/>
      <c r="QYI46" s="375"/>
      <c r="QYJ46" s="375"/>
      <c r="QYK46" s="375"/>
      <c r="QYL46" s="375"/>
      <c r="QYM46" s="375"/>
      <c r="QYN46" s="375"/>
      <c r="QYO46" s="375"/>
      <c r="QYP46" s="375"/>
      <c r="QYQ46" s="375"/>
      <c r="QYR46" s="375"/>
      <c r="QYS46" s="375"/>
      <c r="QYT46" s="375"/>
      <c r="QYU46" s="375"/>
      <c r="QYV46" s="375"/>
      <c r="QYW46" s="375"/>
      <c r="QYX46" s="375"/>
      <c r="QYY46" s="375"/>
      <c r="QYZ46" s="375"/>
      <c r="QZA46" s="375"/>
      <c r="QZB46" s="375"/>
      <c r="QZC46" s="375"/>
      <c r="QZD46" s="375"/>
      <c r="QZE46" s="375"/>
      <c r="QZF46" s="375"/>
      <c r="QZG46" s="375"/>
      <c r="QZH46" s="375"/>
      <c r="QZI46" s="375"/>
      <c r="QZJ46" s="375"/>
      <c r="QZK46" s="375"/>
      <c r="QZL46" s="375"/>
      <c r="QZM46" s="375"/>
      <c r="QZN46" s="375"/>
      <c r="QZO46" s="375"/>
      <c r="QZP46" s="375"/>
      <c r="QZQ46" s="375"/>
      <c r="QZR46" s="375"/>
      <c r="QZS46" s="375"/>
      <c r="QZT46" s="375"/>
      <c r="QZU46" s="375"/>
      <c r="QZV46" s="375"/>
      <c r="QZW46" s="375"/>
      <c r="QZX46" s="375"/>
      <c r="QZY46" s="375"/>
      <c r="QZZ46" s="375"/>
      <c r="RAA46" s="375"/>
      <c r="RAB46" s="375"/>
      <c r="RAC46" s="375"/>
      <c r="RAD46" s="375"/>
      <c r="RAE46" s="375"/>
      <c r="RAF46" s="375"/>
      <c r="RAG46" s="375"/>
      <c r="RAH46" s="375"/>
      <c r="RAI46" s="375"/>
      <c r="RAJ46" s="375"/>
      <c r="RAK46" s="375"/>
      <c r="RAL46" s="375"/>
      <c r="RAM46" s="375"/>
      <c r="RAN46" s="375"/>
      <c r="RAO46" s="375"/>
      <c r="RAP46" s="375"/>
      <c r="RAQ46" s="375"/>
      <c r="RAR46" s="375"/>
      <c r="RAS46" s="375"/>
      <c r="RAT46" s="375"/>
      <c r="RAU46" s="375"/>
      <c r="RAV46" s="375"/>
      <c r="RAW46" s="375"/>
      <c r="RAX46" s="375"/>
      <c r="RAY46" s="375"/>
      <c r="RAZ46" s="375"/>
      <c r="RBA46" s="375"/>
      <c r="RBB46" s="375"/>
      <c r="RBC46" s="375"/>
      <c r="RBD46" s="375"/>
      <c r="RBE46" s="375"/>
      <c r="RBF46" s="375"/>
      <c r="RBG46" s="375"/>
      <c r="RBH46" s="375"/>
      <c r="RBI46" s="375"/>
      <c r="RBJ46" s="375"/>
      <c r="RBK46" s="375"/>
      <c r="RBL46" s="375"/>
      <c r="RBM46" s="375"/>
      <c r="RBN46" s="375"/>
      <c r="RBO46" s="375"/>
      <c r="RBP46" s="375"/>
      <c r="RBQ46" s="375"/>
      <c r="RBR46" s="375"/>
      <c r="RBS46" s="375"/>
      <c r="RBT46" s="375"/>
      <c r="RBU46" s="375"/>
      <c r="RBV46" s="375"/>
      <c r="RBW46" s="375"/>
      <c r="RBX46" s="375"/>
      <c r="RBY46" s="375"/>
      <c r="RBZ46" s="375"/>
      <c r="RCA46" s="375"/>
      <c r="RCB46" s="375"/>
      <c r="RCC46" s="375"/>
      <c r="RCD46" s="375"/>
      <c r="RCE46" s="375"/>
      <c r="RCF46" s="375"/>
      <c r="RCG46" s="375"/>
      <c r="RCH46" s="375"/>
      <c r="RCI46" s="375"/>
      <c r="RCJ46" s="375"/>
      <c r="RCK46" s="375"/>
      <c r="RCL46" s="375"/>
      <c r="RCM46" s="375"/>
      <c r="RCN46" s="375"/>
      <c r="RCO46" s="375"/>
      <c r="RCP46" s="375"/>
      <c r="RCQ46" s="375"/>
      <c r="RCR46" s="375"/>
      <c r="RCS46" s="375"/>
      <c r="RCT46" s="375"/>
      <c r="RCU46" s="375"/>
      <c r="RCV46" s="375"/>
      <c r="RCW46" s="375"/>
      <c r="RCX46" s="375"/>
      <c r="RCY46" s="375"/>
      <c r="RCZ46" s="375"/>
      <c r="RDA46" s="375"/>
      <c r="RDB46" s="375"/>
      <c r="RDC46" s="375"/>
      <c r="RDD46" s="375"/>
      <c r="RDE46" s="375"/>
      <c r="RDF46" s="375"/>
      <c r="RDG46" s="375"/>
      <c r="RDH46" s="375"/>
      <c r="RDI46" s="375"/>
      <c r="RDJ46" s="375"/>
      <c r="RDK46" s="375"/>
      <c r="RDL46" s="375"/>
      <c r="RDM46" s="375"/>
      <c r="RDN46" s="375"/>
      <c r="RDO46" s="375"/>
      <c r="RDP46" s="375"/>
      <c r="RDQ46" s="375"/>
      <c r="RDR46" s="375"/>
      <c r="RDS46" s="375"/>
      <c r="RDT46" s="375"/>
      <c r="RDU46" s="375"/>
      <c r="RDV46" s="375"/>
      <c r="RDW46" s="375"/>
      <c r="RDX46" s="375"/>
      <c r="RDY46" s="375"/>
      <c r="RDZ46" s="375"/>
      <c r="REA46" s="375"/>
      <c r="REB46" s="375"/>
      <c r="REC46" s="375"/>
      <c r="RED46" s="375"/>
      <c r="REE46" s="375"/>
      <c r="REF46" s="375"/>
      <c r="REG46" s="375"/>
      <c r="REH46" s="375"/>
      <c r="REI46" s="375"/>
      <c r="REJ46" s="375"/>
      <c r="REK46" s="375"/>
      <c r="REL46" s="375"/>
      <c r="REM46" s="375"/>
      <c r="REN46" s="375"/>
      <c r="REO46" s="375"/>
      <c r="REP46" s="375"/>
      <c r="REQ46" s="375"/>
      <c r="RER46" s="375"/>
      <c r="RES46" s="375"/>
      <c r="RET46" s="375"/>
      <c r="REU46" s="375"/>
      <c r="REV46" s="375"/>
      <c r="REW46" s="375"/>
      <c r="REX46" s="375"/>
      <c r="REY46" s="375"/>
      <c r="REZ46" s="375"/>
      <c r="RFA46" s="375"/>
      <c r="RFB46" s="375"/>
      <c r="RFC46" s="375"/>
      <c r="RFD46" s="375"/>
      <c r="RFE46" s="375"/>
      <c r="RFF46" s="375"/>
      <c r="RFG46" s="375"/>
      <c r="RFH46" s="375"/>
      <c r="RFI46" s="375"/>
      <c r="RFJ46" s="375"/>
      <c r="RFK46" s="375"/>
      <c r="RFL46" s="375"/>
      <c r="RFM46" s="375"/>
      <c r="RFN46" s="375"/>
      <c r="RFO46" s="375"/>
      <c r="RFP46" s="375"/>
      <c r="RFQ46" s="375"/>
      <c r="RFR46" s="375"/>
      <c r="RFS46" s="375"/>
      <c r="RFT46" s="375"/>
      <c r="RFU46" s="375"/>
      <c r="RFV46" s="375"/>
      <c r="RFW46" s="375"/>
      <c r="RFX46" s="375"/>
      <c r="RFY46" s="375"/>
      <c r="RFZ46" s="375"/>
      <c r="RGA46" s="375"/>
      <c r="RGB46" s="375"/>
      <c r="RGC46" s="375"/>
      <c r="RGD46" s="375"/>
      <c r="RGE46" s="375"/>
      <c r="RGF46" s="375"/>
      <c r="RGG46" s="375"/>
      <c r="RGH46" s="375"/>
      <c r="RGI46" s="375"/>
      <c r="RGJ46" s="375"/>
      <c r="RGK46" s="375"/>
      <c r="RGL46" s="375"/>
      <c r="RGM46" s="375"/>
      <c r="RGN46" s="375"/>
      <c r="RGO46" s="375"/>
      <c r="RGP46" s="375"/>
      <c r="RGQ46" s="375"/>
      <c r="RGR46" s="375"/>
      <c r="RGS46" s="375"/>
      <c r="RGT46" s="375"/>
      <c r="RGU46" s="375"/>
      <c r="RGV46" s="375"/>
      <c r="RGW46" s="375"/>
      <c r="RGX46" s="375"/>
      <c r="RGY46" s="375"/>
      <c r="RGZ46" s="375"/>
      <c r="RHA46" s="375"/>
      <c r="RHB46" s="375"/>
      <c r="RHC46" s="375"/>
      <c r="RHD46" s="375"/>
      <c r="RHE46" s="375"/>
      <c r="RHF46" s="375"/>
      <c r="RHG46" s="375"/>
      <c r="RHH46" s="375"/>
      <c r="RHI46" s="375"/>
      <c r="RHJ46" s="375"/>
      <c r="RHK46" s="375"/>
      <c r="RHL46" s="375"/>
      <c r="RHM46" s="375"/>
      <c r="RHN46" s="375"/>
      <c r="RHO46" s="375"/>
      <c r="RHP46" s="375"/>
      <c r="RHQ46" s="375"/>
      <c r="RHR46" s="375"/>
      <c r="RHS46" s="375"/>
      <c r="RHT46" s="375"/>
      <c r="RHU46" s="375"/>
      <c r="RHV46" s="375"/>
      <c r="RHW46" s="375"/>
      <c r="RHX46" s="375"/>
      <c r="RHY46" s="375"/>
      <c r="RHZ46" s="375"/>
      <c r="RIA46" s="375"/>
      <c r="RIB46" s="375"/>
      <c r="RIC46" s="375"/>
      <c r="RID46" s="375"/>
      <c r="RIE46" s="375"/>
      <c r="RIF46" s="375"/>
      <c r="RIG46" s="375"/>
      <c r="RIH46" s="375"/>
      <c r="RII46" s="375"/>
      <c r="RIJ46" s="375"/>
      <c r="RIK46" s="375"/>
      <c r="RIL46" s="375"/>
      <c r="RIM46" s="375"/>
      <c r="RIN46" s="375"/>
      <c r="RIO46" s="375"/>
      <c r="RIP46" s="375"/>
      <c r="RIQ46" s="375"/>
      <c r="RIR46" s="375"/>
      <c r="RIS46" s="375"/>
      <c r="RIT46" s="375"/>
      <c r="RIU46" s="375"/>
      <c r="RIV46" s="375"/>
      <c r="RIW46" s="375"/>
      <c r="RIX46" s="375"/>
      <c r="RIY46" s="375"/>
      <c r="RIZ46" s="375"/>
      <c r="RJA46" s="375"/>
      <c r="RJB46" s="375"/>
      <c r="RJC46" s="375"/>
      <c r="RJD46" s="375"/>
      <c r="RJE46" s="375"/>
      <c r="RJF46" s="375"/>
      <c r="RJG46" s="375"/>
      <c r="RJH46" s="375"/>
      <c r="RJI46" s="375"/>
      <c r="RJJ46" s="375"/>
      <c r="RJK46" s="375"/>
      <c r="RJL46" s="375"/>
      <c r="RJM46" s="375"/>
      <c r="RJN46" s="375"/>
      <c r="RJO46" s="375"/>
      <c r="RJP46" s="375"/>
      <c r="RJQ46" s="375"/>
      <c r="RJR46" s="375"/>
      <c r="RJS46" s="375"/>
      <c r="RJT46" s="375"/>
      <c r="RJU46" s="375"/>
      <c r="RJV46" s="375"/>
      <c r="RJW46" s="375"/>
      <c r="RJX46" s="375"/>
      <c r="RJY46" s="375"/>
      <c r="RJZ46" s="375"/>
      <c r="RKA46" s="375"/>
      <c r="RKB46" s="375"/>
      <c r="RKC46" s="375"/>
      <c r="RKD46" s="375"/>
      <c r="RKE46" s="375"/>
      <c r="RKF46" s="375"/>
      <c r="RKG46" s="375"/>
      <c r="RKH46" s="375"/>
      <c r="RKI46" s="375"/>
      <c r="RKJ46" s="375"/>
      <c r="RKK46" s="375"/>
      <c r="RKL46" s="375"/>
      <c r="RKM46" s="375"/>
      <c r="RKN46" s="375"/>
      <c r="RKO46" s="375"/>
      <c r="RKP46" s="375"/>
      <c r="RKQ46" s="375"/>
      <c r="RKR46" s="375"/>
      <c r="RKS46" s="375"/>
      <c r="RKT46" s="375"/>
      <c r="RKU46" s="375"/>
      <c r="RKV46" s="375"/>
      <c r="RKW46" s="375"/>
      <c r="RKX46" s="375"/>
      <c r="RKY46" s="375"/>
      <c r="RKZ46" s="375"/>
      <c r="RLA46" s="375"/>
      <c r="RLB46" s="375"/>
      <c r="RLC46" s="375"/>
      <c r="RLD46" s="375"/>
      <c r="RLE46" s="375"/>
      <c r="RLF46" s="375"/>
      <c r="RLG46" s="375"/>
      <c r="RLH46" s="375"/>
      <c r="RLI46" s="375"/>
      <c r="RLJ46" s="375"/>
      <c r="RLK46" s="375"/>
      <c r="RLL46" s="375"/>
      <c r="RLM46" s="375"/>
      <c r="RLN46" s="375"/>
      <c r="RLO46" s="375"/>
      <c r="RLP46" s="375"/>
      <c r="RLQ46" s="375"/>
      <c r="RLR46" s="375"/>
      <c r="RLS46" s="375"/>
      <c r="RLT46" s="375"/>
      <c r="RLU46" s="375"/>
      <c r="RLV46" s="375"/>
      <c r="RLW46" s="375"/>
      <c r="RLX46" s="375"/>
      <c r="RLY46" s="375"/>
      <c r="RLZ46" s="375"/>
      <c r="RMA46" s="375"/>
      <c r="RMB46" s="375"/>
      <c r="RMC46" s="375"/>
      <c r="RMD46" s="375"/>
      <c r="RME46" s="375"/>
      <c r="RMF46" s="375"/>
      <c r="RMG46" s="375"/>
      <c r="RMH46" s="375"/>
      <c r="RMI46" s="375"/>
      <c r="RMJ46" s="375"/>
      <c r="RMK46" s="375"/>
      <c r="RML46" s="375"/>
      <c r="RMM46" s="375"/>
      <c r="RMN46" s="375"/>
      <c r="RMO46" s="375"/>
      <c r="RMP46" s="375"/>
      <c r="RMQ46" s="375"/>
      <c r="RMR46" s="375"/>
      <c r="RMS46" s="375"/>
      <c r="RMT46" s="375"/>
      <c r="RMU46" s="375"/>
      <c r="RMV46" s="375"/>
      <c r="RMW46" s="375"/>
      <c r="RMX46" s="375"/>
      <c r="RMY46" s="375"/>
      <c r="RMZ46" s="375"/>
      <c r="RNA46" s="375"/>
      <c r="RNB46" s="375"/>
      <c r="RNC46" s="375"/>
      <c r="RND46" s="375"/>
      <c r="RNE46" s="375"/>
      <c r="RNF46" s="375"/>
      <c r="RNG46" s="375"/>
      <c r="RNH46" s="375"/>
      <c r="RNI46" s="375"/>
      <c r="RNJ46" s="375"/>
      <c r="RNK46" s="375"/>
      <c r="RNL46" s="375"/>
      <c r="RNM46" s="375"/>
      <c r="RNN46" s="375"/>
      <c r="RNO46" s="375"/>
      <c r="RNP46" s="375"/>
      <c r="RNQ46" s="375"/>
      <c r="RNR46" s="375"/>
      <c r="RNS46" s="375"/>
      <c r="RNT46" s="375"/>
      <c r="RNU46" s="375"/>
      <c r="RNV46" s="375"/>
      <c r="RNW46" s="375"/>
      <c r="RNX46" s="375"/>
      <c r="RNY46" s="375"/>
      <c r="RNZ46" s="375"/>
      <c r="ROA46" s="375"/>
      <c r="ROB46" s="375"/>
      <c r="ROC46" s="375"/>
      <c r="ROD46" s="375"/>
      <c r="ROE46" s="375"/>
      <c r="ROF46" s="375"/>
      <c r="ROG46" s="375"/>
      <c r="ROH46" s="375"/>
      <c r="ROI46" s="375"/>
      <c r="ROJ46" s="375"/>
      <c r="ROK46" s="375"/>
      <c r="ROL46" s="375"/>
      <c r="ROM46" s="375"/>
      <c r="RON46" s="375"/>
      <c r="ROO46" s="375"/>
      <c r="ROP46" s="375"/>
      <c r="ROQ46" s="375"/>
      <c r="ROR46" s="375"/>
      <c r="ROS46" s="375"/>
      <c r="ROT46" s="375"/>
      <c r="ROU46" s="375"/>
      <c r="ROV46" s="375"/>
      <c r="ROW46" s="375"/>
      <c r="ROX46" s="375"/>
      <c r="ROY46" s="375"/>
      <c r="ROZ46" s="375"/>
      <c r="RPA46" s="375"/>
      <c r="RPB46" s="375"/>
      <c r="RPC46" s="375"/>
      <c r="RPD46" s="375"/>
      <c r="RPE46" s="375"/>
      <c r="RPF46" s="375"/>
      <c r="RPG46" s="375"/>
      <c r="RPH46" s="375"/>
      <c r="RPI46" s="375"/>
      <c r="RPJ46" s="375"/>
      <c r="RPK46" s="375"/>
      <c r="RPL46" s="375"/>
      <c r="RPM46" s="375"/>
      <c r="RPN46" s="375"/>
      <c r="RPO46" s="375"/>
      <c r="RPP46" s="375"/>
      <c r="RPQ46" s="375"/>
      <c r="RPR46" s="375"/>
      <c r="RPS46" s="375"/>
      <c r="RPT46" s="375"/>
      <c r="RPU46" s="375"/>
      <c r="RPV46" s="375"/>
      <c r="RPW46" s="375"/>
      <c r="RPX46" s="375"/>
      <c r="RPY46" s="375"/>
      <c r="RPZ46" s="375"/>
      <c r="RQA46" s="375"/>
      <c r="RQB46" s="375"/>
      <c r="RQC46" s="375"/>
      <c r="RQD46" s="375"/>
      <c r="RQE46" s="375"/>
      <c r="RQF46" s="375"/>
      <c r="RQG46" s="375"/>
      <c r="RQH46" s="375"/>
      <c r="RQI46" s="375"/>
      <c r="RQJ46" s="375"/>
      <c r="RQK46" s="375"/>
      <c r="RQL46" s="375"/>
      <c r="RQM46" s="375"/>
      <c r="RQN46" s="375"/>
      <c r="RQO46" s="375"/>
      <c r="RQP46" s="375"/>
      <c r="RQQ46" s="375"/>
      <c r="RQR46" s="375"/>
      <c r="RQS46" s="375"/>
      <c r="RQT46" s="375"/>
      <c r="RQU46" s="375"/>
      <c r="RQV46" s="375"/>
      <c r="RQW46" s="375"/>
      <c r="RQX46" s="375"/>
      <c r="RQY46" s="375"/>
      <c r="RQZ46" s="375"/>
      <c r="RRA46" s="375"/>
      <c r="RRB46" s="375"/>
      <c r="RRC46" s="375"/>
      <c r="RRD46" s="375"/>
      <c r="RRE46" s="375"/>
      <c r="RRF46" s="375"/>
      <c r="RRG46" s="375"/>
      <c r="RRH46" s="375"/>
      <c r="RRI46" s="375"/>
      <c r="RRJ46" s="375"/>
      <c r="RRK46" s="375"/>
      <c r="RRL46" s="375"/>
      <c r="RRM46" s="375"/>
      <c r="RRN46" s="375"/>
      <c r="RRO46" s="375"/>
      <c r="RRP46" s="375"/>
      <c r="RRQ46" s="375"/>
      <c r="RRR46" s="375"/>
      <c r="RRS46" s="375"/>
      <c r="RRT46" s="375"/>
      <c r="RRU46" s="375"/>
      <c r="RRV46" s="375"/>
      <c r="RRW46" s="375"/>
      <c r="RRX46" s="375"/>
      <c r="RRY46" s="375"/>
      <c r="RRZ46" s="375"/>
      <c r="RSA46" s="375"/>
      <c r="RSB46" s="375"/>
      <c r="RSC46" s="375"/>
      <c r="RSD46" s="375"/>
      <c r="RSE46" s="375"/>
      <c r="RSF46" s="375"/>
      <c r="RSG46" s="375"/>
      <c r="RSH46" s="375"/>
      <c r="RSI46" s="375"/>
      <c r="RSJ46" s="375"/>
      <c r="RSK46" s="375"/>
      <c r="RSL46" s="375"/>
      <c r="RSM46" s="375"/>
      <c r="RSN46" s="375"/>
      <c r="RSO46" s="375"/>
      <c r="RSP46" s="375"/>
      <c r="RSQ46" s="375"/>
      <c r="RSR46" s="375"/>
      <c r="RSS46" s="375"/>
      <c r="RST46" s="375"/>
      <c r="RSU46" s="375"/>
      <c r="RSV46" s="375"/>
      <c r="RSW46" s="375"/>
      <c r="RSX46" s="375"/>
      <c r="RSY46" s="375"/>
      <c r="RSZ46" s="375"/>
      <c r="RTA46" s="375"/>
      <c r="RTB46" s="375"/>
      <c r="RTC46" s="375"/>
      <c r="RTD46" s="375"/>
      <c r="RTE46" s="375"/>
      <c r="RTF46" s="375"/>
      <c r="RTG46" s="375"/>
      <c r="RTH46" s="375"/>
      <c r="RTI46" s="375"/>
      <c r="RTJ46" s="375"/>
      <c r="RTK46" s="375"/>
      <c r="RTL46" s="375"/>
      <c r="RTM46" s="375"/>
      <c r="RTN46" s="375"/>
      <c r="RTO46" s="375"/>
      <c r="RTP46" s="375"/>
      <c r="RTQ46" s="375"/>
      <c r="RTR46" s="375"/>
      <c r="RTS46" s="375"/>
      <c r="RTT46" s="375"/>
      <c r="RTU46" s="375"/>
      <c r="RTV46" s="375"/>
      <c r="RTW46" s="375"/>
      <c r="RTX46" s="375"/>
      <c r="RTY46" s="375"/>
      <c r="RTZ46" s="375"/>
      <c r="RUA46" s="375"/>
      <c r="RUB46" s="375"/>
      <c r="RUC46" s="375"/>
      <c r="RUD46" s="375"/>
      <c r="RUE46" s="375"/>
      <c r="RUF46" s="375"/>
      <c r="RUG46" s="375"/>
      <c r="RUH46" s="375"/>
      <c r="RUI46" s="375"/>
      <c r="RUJ46" s="375"/>
      <c r="RUK46" s="375"/>
      <c r="RUL46" s="375"/>
      <c r="RUM46" s="375"/>
      <c r="RUN46" s="375"/>
      <c r="RUO46" s="375"/>
      <c r="RUP46" s="375"/>
      <c r="RUQ46" s="375"/>
      <c r="RUR46" s="375"/>
      <c r="RUS46" s="375"/>
      <c r="RUT46" s="375"/>
      <c r="RUU46" s="375"/>
      <c r="RUV46" s="375"/>
      <c r="RUW46" s="375"/>
      <c r="RUX46" s="375"/>
      <c r="RUY46" s="375"/>
      <c r="RUZ46" s="375"/>
      <c r="RVA46" s="375"/>
      <c r="RVB46" s="375"/>
      <c r="RVC46" s="375"/>
      <c r="RVD46" s="375"/>
      <c r="RVE46" s="375"/>
      <c r="RVF46" s="375"/>
      <c r="RVG46" s="375"/>
      <c r="RVH46" s="375"/>
      <c r="RVI46" s="375"/>
      <c r="RVJ46" s="375"/>
      <c r="RVK46" s="375"/>
      <c r="RVL46" s="375"/>
      <c r="RVM46" s="375"/>
      <c r="RVN46" s="375"/>
      <c r="RVO46" s="375"/>
      <c r="RVP46" s="375"/>
      <c r="RVQ46" s="375"/>
      <c r="RVR46" s="375"/>
      <c r="RVS46" s="375"/>
      <c r="RVT46" s="375"/>
      <c r="RVU46" s="375"/>
      <c r="RVV46" s="375"/>
      <c r="RVW46" s="375"/>
      <c r="RVX46" s="375"/>
      <c r="RVY46" s="375"/>
      <c r="RVZ46" s="375"/>
      <c r="RWA46" s="375"/>
      <c r="RWB46" s="375"/>
      <c r="RWC46" s="375"/>
      <c r="RWD46" s="375"/>
      <c r="RWE46" s="375"/>
      <c r="RWF46" s="375"/>
      <c r="RWG46" s="375"/>
      <c r="RWH46" s="375"/>
      <c r="RWI46" s="375"/>
      <c r="RWJ46" s="375"/>
      <c r="RWK46" s="375"/>
      <c r="RWL46" s="375"/>
      <c r="RWM46" s="375"/>
      <c r="RWN46" s="375"/>
      <c r="RWO46" s="375"/>
      <c r="RWP46" s="375"/>
      <c r="RWQ46" s="375"/>
      <c r="RWR46" s="375"/>
      <c r="RWS46" s="375"/>
      <c r="RWT46" s="375"/>
      <c r="RWU46" s="375"/>
      <c r="RWV46" s="375"/>
      <c r="RWW46" s="375"/>
      <c r="RWX46" s="375"/>
      <c r="RWY46" s="375"/>
      <c r="RWZ46" s="375"/>
      <c r="RXA46" s="375"/>
      <c r="RXB46" s="375"/>
      <c r="RXC46" s="375"/>
      <c r="RXD46" s="375"/>
      <c r="RXE46" s="375"/>
      <c r="RXF46" s="375"/>
      <c r="RXG46" s="375"/>
      <c r="RXH46" s="375"/>
      <c r="RXI46" s="375"/>
      <c r="RXJ46" s="375"/>
      <c r="RXK46" s="375"/>
      <c r="RXL46" s="375"/>
      <c r="RXM46" s="375"/>
      <c r="RXN46" s="375"/>
      <c r="RXO46" s="375"/>
      <c r="RXP46" s="375"/>
      <c r="RXQ46" s="375"/>
      <c r="RXR46" s="375"/>
      <c r="RXS46" s="375"/>
      <c r="RXT46" s="375"/>
      <c r="RXU46" s="375"/>
      <c r="RXV46" s="375"/>
      <c r="RXW46" s="375"/>
      <c r="RXX46" s="375"/>
      <c r="RXY46" s="375"/>
      <c r="RXZ46" s="375"/>
      <c r="RYA46" s="375"/>
      <c r="RYB46" s="375"/>
      <c r="RYC46" s="375"/>
      <c r="RYD46" s="375"/>
      <c r="RYE46" s="375"/>
      <c r="RYF46" s="375"/>
      <c r="RYG46" s="375"/>
      <c r="RYH46" s="375"/>
      <c r="RYI46" s="375"/>
      <c r="RYJ46" s="375"/>
      <c r="RYK46" s="375"/>
      <c r="RYL46" s="375"/>
      <c r="RYM46" s="375"/>
      <c r="RYN46" s="375"/>
      <c r="RYO46" s="375"/>
      <c r="RYP46" s="375"/>
      <c r="RYQ46" s="375"/>
      <c r="RYR46" s="375"/>
      <c r="RYS46" s="375"/>
      <c r="RYT46" s="375"/>
      <c r="RYU46" s="375"/>
      <c r="RYV46" s="375"/>
      <c r="RYW46" s="375"/>
      <c r="RYX46" s="375"/>
      <c r="RYY46" s="375"/>
      <c r="RYZ46" s="375"/>
      <c r="RZA46" s="375"/>
      <c r="RZB46" s="375"/>
      <c r="RZC46" s="375"/>
      <c r="RZD46" s="375"/>
      <c r="RZE46" s="375"/>
      <c r="RZF46" s="375"/>
      <c r="RZG46" s="375"/>
      <c r="RZH46" s="375"/>
      <c r="RZI46" s="375"/>
      <c r="RZJ46" s="375"/>
      <c r="RZK46" s="375"/>
      <c r="RZL46" s="375"/>
      <c r="RZM46" s="375"/>
      <c r="RZN46" s="375"/>
      <c r="RZO46" s="375"/>
      <c r="RZP46" s="375"/>
      <c r="RZQ46" s="375"/>
      <c r="RZR46" s="375"/>
      <c r="RZS46" s="375"/>
      <c r="RZT46" s="375"/>
      <c r="RZU46" s="375"/>
      <c r="RZV46" s="375"/>
      <c r="RZW46" s="375"/>
      <c r="RZX46" s="375"/>
      <c r="RZY46" s="375"/>
      <c r="RZZ46" s="375"/>
      <c r="SAA46" s="375"/>
      <c r="SAB46" s="375"/>
      <c r="SAC46" s="375"/>
      <c r="SAD46" s="375"/>
      <c r="SAE46" s="375"/>
      <c r="SAF46" s="375"/>
      <c r="SAG46" s="375"/>
      <c r="SAH46" s="375"/>
      <c r="SAI46" s="375"/>
      <c r="SAJ46" s="375"/>
      <c r="SAK46" s="375"/>
      <c r="SAL46" s="375"/>
      <c r="SAM46" s="375"/>
      <c r="SAN46" s="375"/>
      <c r="SAO46" s="375"/>
      <c r="SAP46" s="375"/>
      <c r="SAQ46" s="375"/>
      <c r="SAR46" s="375"/>
      <c r="SAS46" s="375"/>
      <c r="SAT46" s="375"/>
      <c r="SAU46" s="375"/>
      <c r="SAV46" s="375"/>
      <c r="SAW46" s="375"/>
      <c r="SAX46" s="375"/>
      <c r="SAY46" s="375"/>
      <c r="SAZ46" s="375"/>
      <c r="SBA46" s="375"/>
      <c r="SBB46" s="375"/>
      <c r="SBC46" s="375"/>
      <c r="SBD46" s="375"/>
      <c r="SBE46" s="375"/>
      <c r="SBF46" s="375"/>
      <c r="SBG46" s="375"/>
      <c r="SBH46" s="375"/>
      <c r="SBI46" s="375"/>
      <c r="SBJ46" s="375"/>
      <c r="SBK46" s="375"/>
      <c r="SBL46" s="375"/>
      <c r="SBM46" s="375"/>
      <c r="SBN46" s="375"/>
      <c r="SBO46" s="375"/>
      <c r="SBP46" s="375"/>
      <c r="SBQ46" s="375"/>
      <c r="SBR46" s="375"/>
      <c r="SBS46" s="375"/>
      <c r="SBT46" s="375"/>
      <c r="SBU46" s="375"/>
      <c r="SBV46" s="375"/>
      <c r="SBW46" s="375"/>
      <c r="SBX46" s="375"/>
      <c r="SBY46" s="375"/>
      <c r="SBZ46" s="375"/>
      <c r="SCA46" s="375"/>
      <c r="SCB46" s="375"/>
      <c r="SCC46" s="375"/>
      <c r="SCD46" s="375"/>
      <c r="SCE46" s="375"/>
      <c r="SCF46" s="375"/>
      <c r="SCG46" s="375"/>
      <c r="SCH46" s="375"/>
      <c r="SCI46" s="375"/>
      <c r="SCJ46" s="375"/>
      <c r="SCK46" s="375"/>
      <c r="SCL46" s="375"/>
      <c r="SCM46" s="375"/>
      <c r="SCN46" s="375"/>
      <c r="SCO46" s="375"/>
      <c r="SCP46" s="375"/>
      <c r="SCQ46" s="375"/>
      <c r="SCR46" s="375"/>
      <c r="SCS46" s="375"/>
      <c r="SCT46" s="375"/>
      <c r="SCU46" s="375"/>
      <c r="SCV46" s="375"/>
      <c r="SCW46" s="375"/>
      <c r="SCX46" s="375"/>
      <c r="SCY46" s="375"/>
      <c r="SCZ46" s="375"/>
      <c r="SDA46" s="375"/>
      <c r="SDB46" s="375"/>
      <c r="SDC46" s="375"/>
      <c r="SDD46" s="375"/>
      <c r="SDE46" s="375"/>
      <c r="SDF46" s="375"/>
      <c r="SDG46" s="375"/>
      <c r="SDH46" s="375"/>
      <c r="SDI46" s="375"/>
      <c r="SDJ46" s="375"/>
      <c r="SDK46" s="375"/>
      <c r="SDL46" s="375"/>
      <c r="SDM46" s="375"/>
      <c r="SDN46" s="375"/>
      <c r="SDO46" s="375"/>
      <c r="SDP46" s="375"/>
      <c r="SDQ46" s="375"/>
      <c r="SDR46" s="375"/>
      <c r="SDS46" s="375"/>
      <c r="SDT46" s="375"/>
      <c r="SDU46" s="375"/>
      <c r="SDV46" s="375"/>
      <c r="SDW46" s="375"/>
      <c r="SDX46" s="375"/>
      <c r="SDY46" s="375"/>
      <c r="SDZ46" s="375"/>
      <c r="SEA46" s="375"/>
      <c r="SEB46" s="375"/>
      <c r="SEC46" s="375"/>
      <c r="SED46" s="375"/>
      <c r="SEE46" s="375"/>
      <c r="SEF46" s="375"/>
      <c r="SEG46" s="375"/>
      <c r="SEH46" s="375"/>
      <c r="SEI46" s="375"/>
      <c r="SEJ46" s="375"/>
      <c r="SEK46" s="375"/>
      <c r="SEL46" s="375"/>
      <c r="SEM46" s="375"/>
      <c r="SEN46" s="375"/>
      <c r="SEO46" s="375"/>
      <c r="SEP46" s="375"/>
      <c r="SEQ46" s="375"/>
      <c r="SER46" s="375"/>
      <c r="SES46" s="375"/>
      <c r="SET46" s="375"/>
      <c r="SEU46" s="375"/>
      <c r="SEV46" s="375"/>
      <c r="SEW46" s="375"/>
      <c r="SEX46" s="375"/>
      <c r="SEY46" s="375"/>
      <c r="SEZ46" s="375"/>
      <c r="SFA46" s="375"/>
      <c r="SFB46" s="375"/>
      <c r="SFC46" s="375"/>
      <c r="SFD46" s="375"/>
      <c r="SFE46" s="375"/>
      <c r="SFF46" s="375"/>
      <c r="SFG46" s="375"/>
      <c r="SFH46" s="375"/>
      <c r="SFI46" s="375"/>
      <c r="SFJ46" s="375"/>
      <c r="SFK46" s="375"/>
      <c r="SFL46" s="375"/>
      <c r="SFM46" s="375"/>
      <c r="SFN46" s="375"/>
      <c r="SFO46" s="375"/>
      <c r="SFP46" s="375"/>
      <c r="SFQ46" s="375"/>
      <c r="SFR46" s="375"/>
      <c r="SFS46" s="375"/>
      <c r="SFT46" s="375"/>
      <c r="SFU46" s="375"/>
      <c r="SFV46" s="375"/>
      <c r="SFW46" s="375"/>
      <c r="SFX46" s="375"/>
      <c r="SFY46" s="375"/>
      <c r="SFZ46" s="375"/>
      <c r="SGA46" s="375"/>
      <c r="SGB46" s="375"/>
      <c r="SGC46" s="375"/>
      <c r="SGD46" s="375"/>
      <c r="SGE46" s="375"/>
      <c r="SGF46" s="375"/>
      <c r="SGG46" s="375"/>
      <c r="SGH46" s="375"/>
      <c r="SGI46" s="375"/>
      <c r="SGJ46" s="375"/>
      <c r="SGK46" s="375"/>
      <c r="SGL46" s="375"/>
      <c r="SGM46" s="375"/>
      <c r="SGN46" s="375"/>
      <c r="SGO46" s="375"/>
      <c r="SGP46" s="375"/>
      <c r="SGQ46" s="375"/>
      <c r="SGR46" s="375"/>
      <c r="SGS46" s="375"/>
      <c r="SGT46" s="375"/>
      <c r="SGU46" s="375"/>
      <c r="SGV46" s="375"/>
      <c r="SGW46" s="375"/>
      <c r="SGX46" s="375"/>
      <c r="SGY46" s="375"/>
      <c r="SGZ46" s="375"/>
      <c r="SHA46" s="375"/>
      <c r="SHB46" s="375"/>
      <c r="SHC46" s="375"/>
      <c r="SHD46" s="375"/>
      <c r="SHE46" s="375"/>
      <c r="SHF46" s="375"/>
      <c r="SHG46" s="375"/>
      <c r="SHH46" s="375"/>
      <c r="SHI46" s="375"/>
      <c r="SHJ46" s="375"/>
      <c r="SHK46" s="375"/>
      <c r="SHL46" s="375"/>
      <c r="SHM46" s="375"/>
      <c r="SHN46" s="375"/>
      <c r="SHO46" s="375"/>
      <c r="SHP46" s="375"/>
      <c r="SHQ46" s="375"/>
      <c r="SHR46" s="375"/>
      <c r="SHS46" s="375"/>
      <c r="SHT46" s="375"/>
      <c r="SHU46" s="375"/>
      <c r="SHV46" s="375"/>
      <c r="SHW46" s="375"/>
      <c r="SHX46" s="375"/>
      <c r="SHY46" s="375"/>
      <c r="SHZ46" s="375"/>
      <c r="SIA46" s="375"/>
      <c r="SIB46" s="375"/>
      <c r="SIC46" s="375"/>
      <c r="SID46" s="375"/>
      <c r="SIE46" s="375"/>
      <c r="SIF46" s="375"/>
      <c r="SIG46" s="375"/>
      <c r="SIH46" s="375"/>
      <c r="SII46" s="375"/>
      <c r="SIJ46" s="375"/>
      <c r="SIK46" s="375"/>
      <c r="SIL46" s="375"/>
      <c r="SIM46" s="375"/>
      <c r="SIN46" s="375"/>
      <c r="SIO46" s="375"/>
      <c r="SIP46" s="375"/>
      <c r="SIQ46" s="375"/>
      <c r="SIR46" s="375"/>
      <c r="SIS46" s="375"/>
      <c r="SIT46" s="375"/>
      <c r="SIU46" s="375"/>
      <c r="SIV46" s="375"/>
      <c r="SIW46" s="375"/>
      <c r="SIX46" s="375"/>
      <c r="SIY46" s="375"/>
      <c r="SIZ46" s="375"/>
      <c r="SJA46" s="375"/>
      <c r="SJB46" s="375"/>
      <c r="SJC46" s="375"/>
      <c r="SJD46" s="375"/>
      <c r="SJE46" s="375"/>
      <c r="SJF46" s="375"/>
      <c r="SJG46" s="375"/>
      <c r="SJH46" s="375"/>
      <c r="SJI46" s="375"/>
      <c r="SJJ46" s="375"/>
      <c r="SJK46" s="375"/>
      <c r="SJL46" s="375"/>
      <c r="SJM46" s="375"/>
      <c r="SJN46" s="375"/>
      <c r="SJO46" s="375"/>
      <c r="SJP46" s="375"/>
      <c r="SJQ46" s="375"/>
      <c r="SJR46" s="375"/>
      <c r="SJS46" s="375"/>
      <c r="SJT46" s="375"/>
      <c r="SJU46" s="375"/>
      <c r="SJV46" s="375"/>
      <c r="SJW46" s="375"/>
      <c r="SJX46" s="375"/>
      <c r="SJY46" s="375"/>
      <c r="SJZ46" s="375"/>
      <c r="SKA46" s="375"/>
      <c r="SKB46" s="375"/>
      <c r="SKC46" s="375"/>
      <c r="SKD46" s="375"/>
      <c r="SKE46" s="375"/>
      <c r="SKF46" s="375"/>
      <c r="SKG46" s="375"/>
      <c r="SKH46" s="375"/>
      <c r="SKI46" s="375"/>
      <c r="SKJ46" s="375"/>
      <c r="SKK46" s="375"/>
      <c r="SKL46" s="375"/>
      <c r="SKM46" s="375"/>
      <c r="SKN46" s="375"/>
      <c r="SKO46" s="375"/>
      <c r="SKP46" s="375"/>
      <c r="SKQ46" s="375"/>
      <c r="SKR46" s="375"/>
      <c r="SKS46" s="375"/>
      <c r="SKT46" s="375"/>
      <c r="SKU46" s="375"/>
      <c r="SKV46" s="375"/>
      <c r="SKW46" s="375"/>
      <c r="SKX46" s="375"/>
      <c r="SKY46" s="375"/>
      <c r="SKZ46" s="375"/>
      <c r="SLA46" s="375"/>
      <c r="SLB46" s="375"/>
      <c r="SLC46" s="375"/>
      <c r="SLD46" s="375"/>
      <c r="SLE46" s="375"/>
      <c r="SLF46" s="375"/>
      <c r="SLG46" s="375"/>
      <c r="SLH46" s="375"/>
      <c r="SLI46" s="375"/>
      <c r="SLJ46" s="375"/>
      <c r="SLK46" s="375"/>
      <c r="SLL46" s="375"/>
      <c r="SLM46" s="375"/>
      <c r="SLN46" s="375"/>
      <c r="SLO46" s="375"/>
      <c r="SLP46" s="375"/>
      <c r="SLQ46" s="375"/>
      <c r="SLR46" s="375"/>
      <c r="SLS46" s="375"/>
      <c r="SLT46" s="375"/>
      <c r="SLU46" s="375"/>
      <c r="SLV46" s="375"/>
      <c r="SLW46" s="375"/>
      <c r="SLX46" s="375"/>
      <c r="SLY46" s="375"/>
      <c r="SLZ46" s="375"/>
      <c r="SMA46" s="375"/>
      <c r="SMB46" s="375"/>
      <c r="SMC46" s="375"/>
      <c r="SMD46" s="375"/>
      <c r="SME46" s="375"/>
      <c r="SMF46" s="375"/>
      <c r="SMG46" s="375"/>
      <c r="SMH46" s="375"/>
      <c r="SMI46" s="375"/>
      <c r="SMJ46" s="375"/>
      <c r="SMK46" s="375"/>
      <c r="SML46" s="375"/>
      <c r="SMM46" s="375"/>
      <c r="SMN46" s="375"/>
      <c r="SMO46" s="375"/>
      <c r="SMP46" s="375"/>
      <c r="SMQ46" s="375"/>
      <c r="SMR46" s="375"/>
      <c r="SMS46" s="375"/>
      <c r="SMT46" s="375"/>
      <c r="SMU46" s="375"/>
      <c r="SMV46" s="375"/>
      <c r="SMW46" s="375"/>
      <c r="SMX46" s="375"/>
      <c r="SMY46" s="375"/>
      <c r="SMZ46" s="375"/>
      <c r="SNA46" s="375"/>
      <c r="SNB46" s="375"/>
      <c r="SNC46" s="375"/>
      <c r="SND46" s="375"/>
      <c r="SNE46" s="375"/>
      <c r="SNF46" s="375"/>
      <c r="SNG46" s="375"/>
      <c r="SNH46" s="375"/>
      <c r="SNI46" s="375"/>
      <c r="SNJ46" s="375"/>
      <c r="SNK46" s="375"/>
      <c r="SNL46" s="375"/>
      <c r="SNM46" s="375"/>
      <c r="SNN46" s="375"/>
      <c r="SNO46" s="375"/>
      <c r="SNP46" s="375"/>
      <c r="SNQ46" s="375"/>
      <c r="SNR46" s="375"/>
      <c r="SNS46" s="375"/>
      <c r="SNT46" s="375"/>
      <c r="SNU46" s="375"/>
      <c r="SNV46" s="375"/>
      <c r="SNW46" s="375"/>
      <c r="SNX46" s="375"/>
      <c r="SNY46" s="375"/>
      <c r="SNZ46" s="375"/>
      <c r="SOA46" s="375"/>
      <c r="SOB46" s="375"/>
      <c r="SOC46" s="375"/>
      <c r="SOD46" s="375"/>
      <c r="SOE46" s="375"/>
      <c r="SOF46" s="375"/>
      <c r="SOG46" s="375"/>
      <c r="SOH46" s="375"/>
      <c r="SOI46" s="375"/>
      <c r="SOJ46" s="375"/>
      <c r="SOK46" s="375"/>
      <c r="SOL46" s="375"/>
      <c r="SOM46" s="375"/>
      <c r="SON46" s="375"/>
      <c r="SOO46" s="375"/>
      <c r="SOP46" s="375"/>
      <c r="SOQ46" s="375"/>
      <c r="SOR46" s="375"/>
      <c r="SOS46" s="375"/>
      <c r="SOT46" s="375"/>
      <c r="SOU46" s="375"/>
      <c r="SOV46" s="375"/>
      <c r="SOW46" s="375"/>
      <c r="SOX46" s="375"/>
      <c r="SOY46" s="375"/>
      <c r="SOZ46" s="375"/>
      <c r="SPA46" s="375"/>
      <c r="SPB46" s="375"/>
      <c r="SPC46" s="375"/>
      <c r="SPD46" s="375"/>
      <c r="SPE46" s="375"/>
      <c r="SPF46" s="375"/>
      <c r="SPG46" s="375"/>
      <c r="SPH46" s="375"/>
      <c r="SPI46" s="375"/>
      <c r="SPJ46" s="375"/>
      <c r="SPK46" s="375"/>
      <c r="SPL46" s="375"/>
      <c r="SPM46" s="375"/>
      <c r="SPN46" s="375"/>
      <c r="SPO46" s="375"/>
      <c r="SPP46" s="375"/>
      <c r="SPQ46" s="375"/>
      <c r="SPR46" s="375"/>
      <c r="SPS46" s="375"/>
      <c r="SPT46" s="375"/>
      <c r="SPU46" s="375"/>
      <c r="SPV46" s="375"/>
      <c r="SPW46" s="375"/>
      <c r="SPX46" s="375"/>
      <c r="SPY46" s="375"/>
      <c r="SPZ46" s="375"/>
      <c r="SQA46" s="375"/>
      <c r="SQB46" s="375"/>
      <c r="SQC46" s="375"/>
      <c r="SQD46" s="375"/>
      <c r="SQE46" s="375"/>
      <c r="SQF46" s="375"/>
      <c r="SQG46" s="375"/>
      <c r="SQH46" s="375"/>
      <c r="SQI46" s="375"/>
      <c r="SQJ46" s="375"/>
      <c r="SQK46" s="375"/>
      <c r="SQL46" s="375"/>
      <c r="SQM46" s="375"/>
      <c r="SQN46" s="375"/>
      <c r="SQO46" s="375"/>
      <c r="SQP46" s="375"/>
      <c r="SQQ46" s="375"/>
      <c r="SQR46" s="375"/>
      <c r="SQS46" s="375"/>
      <c r="SQT46" s="375"/>
      <c r="SQU46" s="375"/>
      <c r="SQV46" s="375"/>
      <c r="SQW46" s="375"/>
      <c r="SQX46" s="375"/>
      <c r="SQY46" s="375"/>
      <c r="SQZ46" s="375"/>
      <c r="SRA46" s="375"/>
      <c r="SRB46" s="375"/>
      <c r="SRC46" s="375"/>
      <c r="SRD46" s="375"/>
      <c r="SRE46" s="375"/>
      <c r="SRF46" s="375"/>
      <c r="SRG46" s="375"/>
      <c r="SRH46" s="375"/>
      <c r="SRI46" s="375"/>
      <c r="SRJ46" s="375"/>
      <c r="SRK46" s="375"/>
      <c r="SRL46" s="375"/>
      <c r="SRM46" s="375"/>
      <c r="SRN46" s="375"/>
      <c r="SRO46" s="375"/>
      <c r="SRP46" s="375"/>
      <c r="SRQ46" s="375"/>
      <c r="SRR46" s="375"/>
      <c r="SRS46" s="375"/>
      <c r="SRT46" s="375"/>
      <c r="SRU46" s="375"/>
      <c r="SRV46" s="375"/>
      <c r="SRW46" s="375"/>
      <c r="SRX46" s="375"/>
      <c r="SRY46" s="375"/>
      <c r="SRZ46" s="375"/>
      <c r="SSA46" s="375"/>
      <c r="SSB46" s="375"/>
      <c r="SSC46" s="375"/>
      <c r="SSD46" s="375"/>
      <c r="SSE46" s="375"/>
      <c r="SSF46" s="375"/>
      <c r="SSG46" s="375"/>
      <c r="SSH46" s="375"/>
      <c r="SSI46" s="375"/>
      <c r="SSJ46" s="375"/>
      <c r="SSK46" s="375"/>
      <c r="SSL46" s="375"/>
      <c r="SSM46" s="375"/>
      <c r="SSN46" s="375"/>
      <c r="SSO46" s="375"/>
      <c r="SSP46" s="375"/>
      <c r="SSQ46" s="375"/>
      <c r="SSR46" s="375"/>
      <c r="SSS46" s="375"/>
      <c r="SST46" s="375"/>
      <c r="SSU46" s="375"/>
      <c r="SSV46" s="375"/>
      <c r="SSW46" s="375"/>
      <c r="SSX46" s="375"/>
      <c r="SSY46" s="375"/>
      <c r="SSZ46" s="375"/>
      <c r="STA46" s="375"/>
      <c r="STB46" s="375"/>
      <c r="STC46" s="375"/>
      <c r="STD46" s="375"/>
      <c r="STE46" s="375"/>
      <c r="STF46" s="375"/>
      <c r="STG46" s="375"/>
      <c r="STH46" s="375"/>
      <c r="STI46" s="375"/>
      <c r="STJ46" s="375"/>
      <c r="STK46" s="375"/>
      <c r="STL46" s="375"/>
      <c r="STM46" s="375"/>
      <c r="STN46" s="375"/>
      <c r="STO46" s="375"/>
      <c r="STP46" s="375"/>
      <c r="STQ46" s="375"/>
      <c r="STR46" s="375"/>
      <c r="STS46" s="375"/>
      <c r="STT46" s="375"/>
      <c r="STU46" s="375"/>
      <c r="STV46" s="375"/>
      <c r="STW46" s="375"/>
      <c r="STX46" s="375"/>
      <c r="STY46" s="375"/>
      <c r="STZ46" s="375"/>
      <c r="SUA46" s="375"/>
      <c r="SUB46" s="375"/>
      <c r="SUC46" s="375"/>
      <c r="SUD46" s="375"/>
      <c r="SUE46" s="375"/>
      <c r="SUF46" s="375"/>
      <c r="SUG46" s="375"/>
      <c r="SUH46" s="375"/>
      <c r="SUI46" s="375"/>
      <c r="SUJ46" s="375"/>
      <c r="SUK46" s="375"/>
      <c r="SUL46" s="375"/>
      <c r="SUM46" s="375"/>
      <c r="SUN46" s="375"/>
      <c r="SUO46" s="375"/>
      <c r="SUP46" s="375"/>
      <c r="SUQ46" s="375"/>
      <c r="SUR46" s="375"/>
      <c r="SUS46" s="375"/>
      <c r="SUT46" s="375"/>
      <c r="SUU46" s="375"/>
      <c r="SUV46" s="375"/>
      <c r="SUW46" s="375"/>
      <c r="SUX46" s="375"/>
      <c r="SUY46" s="375"/>
      <c r="SUZ46" s="375"/>
      <c r="SVA46" s="375"/>
      <c r="SVB46" s="375"/>
      <c r="SVC46" s="375"/>
      <c r="SVD46" s="375"/>
      <c r="SVE46" s="375"/>
      <c r="SVF46" s="375"/>
      <c r="SVG46" s="375"/>
      <c r="SVH46" s="375"/>
      <c r="SVI46" s="375"/>
      <c r="SVJ46" s="375"/>
      <c r="SVK46" s="375"/>
      <c r="SVL46" s="375"/>
      <c r="SVM46" s="375"/>
      <c r="SVN46" s="375"/>
      <c r="SVO46" s="375"/>
      <c r="SVP46" s="375"/>
      <c r="SVQ46" s="375"/>
      <c r="SVR46" s="375"/>
      <c r="SVS46" s="375"/>
      <c r="SVT46" s="375"/>
      <c r="SVU46" s="375"/>
      <c r="SVV46" s="375"/>
      <c r="SVW46" s="375"/>
      <c r="SVX46" s="375"/>
      <c r="SVY46" s="375"/>
      <c r="SVZ46" s="375"/>
      <c r="SWA46" s="375"/>
      <c r="SWB46" s="375"/>
      <c r="SWC46" s="375"/>
      <c r="SWD46" s="375"/>
      <c r="SWE46" s="375"/>
      <c r="SWF46" s="375"/>
      <c r="SWG46" s="375"/>
      <c r="SWH46" s="375"/>
      <c r="SWI46" s="375"/>
      <c r="SWJ46" s="375"/>
      <c r="SWK46" s="375"/>
      <c r="SWL46" s="375"/>
      <c r="SWM46" s="375"/>
      <c r="SWN46" s="375"/>
      <c r="SWO46" s="375"/>
      <c r="SWP46" s="375"/>
      <c r="SWQ46" s="375"/>
      <c r="SWR46" s="375"/>
      <c r="SWS46" s="375"/>
      <c r="SWT46" s="375"/>
      <c r="SWU46" s="375"/>
      <c r="SWV46" s="375"/>
      <c r="SWW46" s="375"/>
      <c r="SWX46" s="375"/>
      <c r="SWY46" s="375"/>
      <c r="SWZ46" s="375"/>
      <c r="SXA46" s="375"/>
      <c r="SXB46" s="375"/>
      <c r="SXC46" s="375"/>
      <c r="SXD46" s="375"/>
      <c r="SXE46" s="375"/>
      <c r="SXF46" s="375"/>
      <c r="SXG46" s="375"/>
      <c r="SXH46" s="375"/>
      <c r="SXI46" s="375"/>
      <c r="SXJ46" s="375"/>
      <c r="SXK46" s="375"/>
      <c r="SXL46" s="375"/>
      <c r="SXM46" s="375"/>
      <c r="SXN46" s="375"/>
      <c r="SXO46" s="375"/>
      <c r="SXP46" s="375"/>
      <c r="SXQ46" s="375"/>
      <c r="SXR46" s="375"/>
      <c r="SXS46" s="375"/>
      <c r="SXT46" s="375"/>
      <c r="SXU46" s="375"/>
      <c r="SXV46" s="375"/>
      <c r="SXW46" s="375"/>
      <c r="SXX46" s="375"/>
      <c r="SXY46" s="375"/>
      <c r="SXZ46" s="375"/>
      <c r="SYA46" s="375"/>
      <c r="SYB46" s="375"/>
      <c r="SYC46" s="375"/>
      <c r="SYD46" s="375"/>
      <c r="SYE46" s="375"/>
      <c r="SYF46" s="375"/>
      <c r="SYG46" s="375"/>
      <c r="SYH46" s="375"/>
      <c r="SYI46" s="375"/>
      <c r="SYJ46" s="375"/>
      <c r="SYK46" s="375"/>
      <c r="SYL46" s="375"/>
      <c r="SYM46" s="375"/>
      <c r="SYN46" s="375"/>
      <c r="SYO46" s="375"/>
      <c r="SYP46" s="375"/>
      <c r="SYQ46" s="375"/>
      <c r="SYR46" s="375"/>
      <c r="SYS46" s="375"/>
      <c r="SYT46" s="375"/>
      <c r="SYU46" s="375"/>
      <c r="SYV46" s="375"/>
      <c r="SYW46" s="375"/>
      <c r="SYX46" s="375"/>
      <c r="SYY46" s="375"/>
      <c r="SYZ46" s="375"/>
      <c r="SZA46" s="375"/>
      <c r="SZB46" s="375"/>
      <c r="SZC46" s="375"/>
      <c r="SZD46" s="375"/>
      <c r="SZE46" s="375"/>
      <c r="SZF46" s="375"/>
      <c r="SZG46" s="375"/>
      <c r="SZH46" s="375"/>
      <c r="SZI46" s="375"/>
      <c r="SZJ46" s="375"/>
      <c r="SZK46" s="375"/>
      <c r="SZL46" s="375"/>
      <c r="SZM46" s="375"/>
      <c r="SZN46" s="375"/>
      <c r="SZO46" s="375"/>
      <c r="SZP46" s="375"/>
      <c r="SZQ46" s="375"/>
      <c r="SZR46" s="375"/>
      <c r="SZS46" s="375"/>
      <c r="SZT46" s="375"/>
      <c r="SZU46" s="375"/>
      <c r="SZV46" s="375"/>
      <c r="SZW46" s="375"/>
      <c r="SZX46" s="375"/>
      <c r="SZY46" s="375"/>
      <c r="SZZ46" s="375"/>
      <c r="TAA46" s="375"/>
      <c r="TAB46" s="375"/>
      <c r="TAC46" s="375"/>
      <c r="TAD46" s="375"/>
      <c r="TAE46" s="375"/>
      <c r="TAF46" s="375"/>
      <c r="TAG46" s="375"/>
      <c r="TAH46" s="375"/>
      <c r="TAI46" s="375"/>
      <c r="TAJ46" s="375"/>
      <c r="TAK46" s="375"/>
      <c r="TAL46" s="375"/>
      <c r="TAM46" s="375"/>
      <c r="TAN46" s="375"/>
      <c r="TAO46" s="375"/>
      <c r="TAP46" s="375"/>
      <c r="TAQ46" s="375"/>
      <c r="TAR46" s="375"/>
      <c r="TAS46" s="375"/>
      <c r="TAT46" s="375"/>
      <c r="TAU46" s="375"/>
      <c r="TAV46" s="375"/>
      <c r="TAW46" s="375"/>
      <c r="TAX46" s="375"/>
      <c r="TAY46" s="375"/>
      <c r="TAZ46" s="375"/>
      <c r="TBA46" s="375"/>
      <c r="TBB46" s="375"/>
      <c r="TBC46" s="375"/>
      <c r="TBD46" s="375"/>
      <c r="TBE46" s="375"/>
      <c r="TBF46" s="375"/>
      <c r="TBG46" s="375"/>
      <c r="TBH46" s="375"/>
      <c r="TBI46" s="375"/>
      <c r="TBJ46" s="375"/>
      <c r="TBK46" s="375"/>
      <c r="TBL46" s="375"/>
      <c r="TBM46" s="375"/>
      <c r="TBN46" s="375"/>
      <c r="TBO46" s="375"/>
      <c r="TBP46" s="375"/>
      <c r="TBQ46" s="375"/>
      <c r="TBR46" s="375"/>
      <c r="TBS46" s="375"/>
      <c r="TBT46" s="375"/>
      <c r="TBU46" s="375"/>
      <c r="TBV46" s="375"/>
      <c r="TBW46" s="375"/>
      <c r="TBX46" s="375"/>
      <c r="TBY46" s="375"/>
      <c r="TBZ46" s="375"/>
      <c r="TCA46" s="375"/>
      <c r="TCB46" s="375"/>
      <c r="TCC46" s="375"/>
      <c r="TCD46" s="375"/>
      <c r="TCE46" s="375"/>
      <c r="TCF46" s="375"/>
      <c r="TCG46" s="375"/>
      <c r="TCH46" s="375"/>
      <c r="TCI46" s="375"/>
      <c r="TCJ46" s="375"/>
      <c r="TCK46" s="375"/>
      <c r="TCL46" s="375"/>
      <c r="TCM46" s="375"/>
      <c r="TCN46" s="375"/>
      <c r="TCO46" s="375"/>
      <c r="TCP46" s="375"/>
      <c r="TCQ46" s="375"/>
      <c r="TCR46" s="375"/>
      <c r="TCS46" s="375"/>
      <c r="TCT46" s="375"/>
      <c r="TCU46" s="375"/>
      <c r="TCV46" s="375"/>
      <c r="TCW46" s="375"/>
      <c r="TCX46" s="375"/>
      <c r="TCY46" s="375"/>
      <c r="TCZ46" s="375"/>
      <c r="TDA46" s="375"/>
      <c r="TDB46" s="375"/>
      <c r="TDC46" s="375"/>
      <c r="TDD46" s="375"/>
      <c r="TDE46" s="375"/>
      <c r="TDF46" s="375"/>
      <c r="TDG46" s="375"/>
      <c r="TDH46" s="375"/>
      <c r="TDI46" s="375"/>
      <c r="TDJ46" s="375"/>
      <c r="TDK46" s="375"/>
      <c r="TDL46" s="375"/>
      <c r="TDM46" s="375"/>
      <c r="TDN46" s="375"/>
      <c r="TDO46" s="375"/>
      <c r="TDP46" s="375"/>
      <c r="TDQ46" s="375"/>
      <c r="TDR46" s="375"/>
      <c r="TDS46" s="375"/>
      <c r="TDT46" s="375"/>
      <c r="TDU46" s="375"/>
      <c r="TDV46" s="375"/>
      <c r="TDW46" s="375"/>
      <c r="TDX46" s="375"/>
      <c r="TDY46" s="375"/>
      <c r="TDZ46" s="375"/>
      <c r="TEA46" s="375"/>
      <c r="TEB46" s="375"/>
      <c r="TEC46" s="375"/>
      <c r="TED46" s="375"/>
      <c r="TEE46" s="375"/>
      <c r="TEF46" s="375"/>
      <c r="TEG46" s="375"/>
      <c r="TEH46" s="375"/>
      <c r="TEI46" s="375"/>
      <c r="TEJ46" s="375"/>
      <c r="TEK46" s="375"/>
      <c r="TEL46" s="375"/>
      <c r="TEM46" s="375"/>
      <c r="TEN46" s="375"/>
      <c r="TEO46" s="375"/>
      <c r="TEP46" s="375"/>
      <c r="TEQ46" s="375"/>
      <c r="TER46" s="375"/>
      <c r="TES46" s="375"/>
      <c r="TET46" s="375"/>
      <c r="TEU46" s="375"/>
      <c r="TEV46" s="375"/>
      <c r="TEW46" s="375"/>
      <c r="TEX46" s="375"/>
      <c r="TEY46" s="375"/>
      <c r="TEZ46" s="375"/>
      <c r="TFA46" s="375"/>
      <c r="TFB46" s="375"/>
      <c r="TFC46" s="375"/>
      <c r="TFD46" s="375"/>
      <c r="TFE46" s="375"/>
      <c r="TFF46" s="375"/>
      <c r="TFG46" s="375"/>
      <c r="TFH46" s="375"/>
      <c r="TFI46" s="375"/>
      <c r="TFJ46" s="375"/>
      <c r="TFK46" s="375"/>
      <c r="TFL46" s="375"/>
      <c r="TFM46" s="375"/>
      <c r="TFN46" s="375"/>
      <c r="TFO46" s="375"/>
      <c r="TFP46" s="375"/>
      <c r="TFQ46" s="375"/>
      <c r="TFR46" s="375"/>
      <c r="TFS46" s="375"/>
      <c r="TFT46" s="375"/>
      <c r="TFU46" s="375"/>
      <c r="TFV46" s="375"/>
      <c r="TFW46" s="375"/>
      <c r="TFX46" s="375"/>
      <c r="TFY46" s="375"/>
      <c r="TFZ46" s="375"/>
      <c r="TGA46" s="375"/>
      <c r="TGB46" s="375"/>
      <c r="TGC46" s="375"/>
      <c r="TGD46" s="375"/>
      <c r="TGE46" s="375"/>
      <c r="TGF46" s="375"/>
      <c r="TGG46" s="375"/>
      <c r="TGH46" s="375"/>
      <c r="TGI46" s="375"/>
      <c r="TGJ46" s="375"/>
      <c r="TGK46" s="375"/>
      <c r="TGL46" s="375"/>
      <c r="TGM46" s="375"/>
      <c r="TGN46" s="375"/>
      <c r="TGO46" s="375"/>
      <c r="TGP46" s="375"/>
      <c r="TGQ46" s="375"/>
      <c r="TGR46" s="375"/>
      <c r="TGS46" s="375"/>
      <c r="TGT46" s="375"/>
      <c r="TGU46" s="375"/>
      <c r="TGV46" s="375"/>
      <c r="TGW46" s="375"/>
      <c r="TGX46" s="375"/>
      <c r="TGY46" s="375"/>
      <c r="TGZ46" s="375"/>
      <c r="THA46" s="375"/>
      <c r="THB46" s="375"/>
      <c r="THC46" s="375"/>
      <c r="THD46" s="375"/>
      <c r="THE46" s="375"/>
      <c r="THF46" s="375"/>
      <c r="THG46" s="375"/>
      <c r="THH46" s="375"/>
      <c r="THI46" s="375"/>
      <c r="THJ46" s="375"/>
      <c r="THK46" s="375"/>
      <c r="THL46" s="375"/>
      <c r="THM46" s="375"/>
      <c r="THN46" s="375"/>
      <c r="THO46" s="375"/>
      <c r="THP46" s="375"/>
      <c r="THQ46" s="375"/>
      <c r="THR46" s="375"/>
      <c r="THS46" s="375"/>
      <c r="THT46" s="375"/>
      <c r="THU46" s="375"/>
      <c r="THV46" s="375"/>
      <c r="THW46" s="375"/>
      <c r="THX46" s="375"/>
      <c r="THY46" s="375"/>
      <c r="THZ46" s="375"/>
      <c r="TIA46" s="375"/>
      <c r="TIB46" s="375"/>
      <c r="TIC46" s="375"/>
      <c r="TID46" s="375"/>
      <c r="TIE46" s="375"/>
      <c r="TIF46" s="375"/>
      <c r="TIG46" s="375"/>
      <c r="TIH46" s="375"/>
      <c r="TII46" s="375"/>
      <c r="TIJ46" s="375"/>
      <c r="TIK46" s="375"/>
      <c r="TIL46" s="375"/>
      <c r="TIM46" s="375"/>
      <c r="TIN46" s="375"/>
      <c r="TIO46" s="375"/>
      <c r="TIP46" s="375"/>
      <c r="TIQ46" s="375"/>
      <c r="TIR46" s="375"/>
      <c r="TIS46" s="375"/>
      <c r="TIT46" s="375"/>
      <c r="TIU46" s="375"/>
      <c r="TIV46" s="375"/>
      <c r="TIW46" s="375"/>
      <c r="TIX46" s="375"/>
      <c r="TIY46" s="375"/>
      <c r="TIZ46" s="375"/>
      <c r="TJA46" s="375"/>
      <c r="TJB46" s="375"/>
      <c r="TJC46" s="375"/>
      <c r="TJD46" s="375"/>
      <c r="TJE46" s="375"/>
      <c r="TJF46" s="375"/>
      <c r="TJG46" s="375"/>
      <c r="TJH46" s="375"/>
      <c r="TJI46" s="375"/>
      <c r="TJJ46" s="375"/>
      <c r="TJK46" s="375"/>
      <c r="TJL46" s="375"/>
      <c r="TJM46" s="375"/>
      <c r="TJN46" s="375"/>
      <c r="TJO46" s="375"/>
      <c r="TJP46" s="375"/>
      <c r="TJQ46" s="375"/>
      <c r="TJR46" s="375"/>
      <c r="TJS46" s="375"/>
      <c r="TJT46" s="375"/>
      <c r="TJU46" s="375"/>
      <c r="TJV46" s="375"/>
      <c r="TJW46" s="375"/>
      <c r="TJX46" s="375"/>
      <c r="TJY46" s="375"/>
      <c r="TJZ46" s="375"/>
      <c r="TKA46" s="375"/>
      <c r="TKB46" s="375"/>
      <c r="TKC46" s="375"/>
      <c r="TKD46" s="375"/>
      <c r="TKE46" s="375"/>
      <c r="TKF46" s="375"/>
      <c r="TKG46" s="375"/>
      <c r="TKH46" s="375"/>
      <c r="TKI46" s="375"/>
      <c r="TKJ46" s="375"/>
      <c r="TKK46" s="375"/>
      <c r="TKL46" s="375"/>
      <c r="TKM46" s="375"/>
      <c r="TKN46" s="375"/>
      <c r="TKO46" s="375"/>
      <c r="TKP46" s="375"/>
      <c r="TKQ46" s="375"/>
      <c r="TKR46" s="375"/>
      <c r="TKS46" s="375"/>
      <c r="TKT46" s="375"/>
      <c r="TKU46" s="375"/>
      <c r="TKV46" s="375"/>
      <c r="TKW46" s="375"/>
      <c r="TKX46" s="375"/>
      <c r="TKY46" s="375"/>
      <c r="TKZ46" s="375"/>
      <c r="TLA46" s="375"/>
      <c r="TLB46" s="375"/>
      <c r="TLC46" s="375"/>
      <c r="TLD46" s="375"/>
      <c r="TLE46" s="375"/>
      <c r="TLF46" s="375"/>
      <c r="TLG46" s="375"/>
      <c r="TLH46" s="375"/>
      <c r="TLI46" s="375"/>
      <c r="TLJ46" s="375"/>
      <c r="TLK46" s="375"/>
      <c r="TLL46" s="375"/>
      <c r="TLM46" s="375"/>
      <c r="TLN46" s="375"/>
      <c r="TLO46" s="375"/>
      <c r="TLP46" s="375"/>
      <c r="TLQ46" s="375"/>
      <c r="TLR46" s="375"/>
      <c r="TLS46" s="375"/>
      <c r="TLT46" s="375"/>
      <c r="TLU46" s="375"/>
      <c r="TLV46" s="375"/>
      <c r="TLW46" s="375"/>
      <c r="TLX46" s="375"/>
      <c r="TLY46" s="375"/>
      <c r="TLZ46" s="375"/>
      <c r="TMA46" s="375"/>
      <c r="TMB46" s="375"/>
      <c r="TMC46" s="375"/>
      <c r="TMD46" s="375"/>
      <c r="TME46" s="375"/>
      <c r="TMF46" s="375"/>
      <c r="TMG46" s="375"/>
      <c r="TMH46" s="375"/>
      <c r="TMI46" s="375"/>
      <c r="TMJ46" s="375"/>
      <c r="TMK46" s="375"/>
      <c r="TML46" s="375"/>
      <c r="TMM46" s="375"/>
      <c r="TMN46" s="375"/>
      <c r="TMO46" s="375"/>
      <c r="TMP46" s="375"/>
      <c r="TMQ46" s="375"/>
      <c r="TMR46" s="375"/>
      <c r="TMS46" s="375"/>
      <c r="TMT46" s="375"/>
      <c r="TMU46" s="375"/>
      <c r="TMV46" s="375"/>
      <c r="TMW46" s="375"/>
      <c r="TMX46" s="375"/>
      <c r="TMY46" s="375"/>
      <c r="TMZ46" s="375"/>
      <c r="TNA46" s="375"/>
      <c r="TNB46" s="375"/>
      <c r="TNC46" s="375"/>
      <c r="TND46" s="375"/>
      <c r="TNE46" s="375"/>
      <c r="TNF46" s="375"/>
      <c r="TNG46" s="375"/>
      <c r="TNH46" s="375"/>
      <c r="TNI46" s="375"/>
      <c r="TNJ46" s="375"/>
      <c r="TNK46" s="375"/>
      <c r="TNL46" s="375"/>
      <c r="TNM46" s="375"/>
      <c r="TNN46" s="375"/>
      <c r="TNO46" s="375"/>
      <c r="TNP46" s="375"/>
      <c r="TNQ46" s="375"/>
      <c r="TNR46" s="375"/>
      <c r="TNS46" s="375"/>
      <c r="TNT46" s="375"/>
      <c r="TNU46" s="375"/>
      <c r="TNV46" s="375"/>
      <c r="TNW46" s="375"/>
      <c r="TNX46" s="375"/>
      <c r="TNY46" s="375"/>
      <c r="TNZ46" s="375"/>
      <c r="TOA46" s="375"/>
      <c r="TOB46" s="375"/>
      <c r="TOC46" s="375"/>
      <c r="TOD46" s="375"/>
      <c r="TOE46" s="375"/>
      <c r="TOF46" s="375"/>
      <c r="TOG46" s="375"/>
      <c r="TOH46" s="375"/>
      <c r="TOI46" s="375"/>
      <c r="TOJ46" s="375"/>
      <c r="TOK46" s="375"/>
      <c r="TOL46" s="375"/>
      <c r="TOM46" s="375"/>
      <c r="TON46" s="375"/>
      <c r="TOO46" s="375"/>
      <c r="TOP46" s="375"/>
      <c r="TOQ46" s="375"/>
      <c r="TOR46" s="375"/>
      <c r="TOS46" s="375"/>
      <c r="TOT46" s="375"/>
      <c r="TOU46" s="375"/>
      <c r="TOV46" s="375"/>
      <c r="TOW46" s="375"/>
      <c r="TOX46" s="375"/>
      <c r="TOY46" s="375"/>
      <c r="TOZ46" s="375"/>
      <c r="TPA46" s="375"/>
      <c r="TPB46" s="375"/>
      <c r="TPC46" s="375"/>
      <c r="TPD46" s="375"/>
      <c r="TPE46" s="375"/>
      <c r="TPF46" s="375"/>
      <c r="TPG46" s="375"/>
      <c r="TPH46" s="375"/>
      <c r="TPI46" s="375"/>
      <c r="TPJ46" s="375"/>
      <c r="TPK46" s="375"/>
      <c r="TPL46" s="375"/>
      <c r="TPM46" s="375"/>
      <c r="TPN46" s="375"/>
      <c r="TPO46" s="375"/>
      <c r="TPP46" s="375"/>
      <c r="TPQ46" s="375"/>
      <c r="TPR46" s="375"/>
      <c r="TPS46" s="375"/>
      <c r="TPT46" s="375"/>
      <c r="TPU46" s="375"/>
      <c r="TPV46" s="375"/>
      <c r="TPW46" s="375"/>
      <c r="TPX46" s="375"/>
      <c r="TPY46" s="375"/>
      <c r="TPZ46" s="375"/>
      <c r="TQA46" s="375"/>
      <c r="TQB46" s="375"/>
      <c r="TQC46" s="375"/>
      <c r="TQD46" s="375"/>
      <c r="TQE46" s="375"/>
      <c r="TQF46" s="375"/>
      <c r="TQG46" s="375"/>
      <c r="TQH46" s="375"/>
      <c r="TQI46" s="375"/>
      <c r="TQJ46" s="375"/>
      <c r="TQK46" s="375"/>
      <c r="TQL46" s="375"/>
      <c r="TQM46" s="375"/>
      <c r="TQN46" s="375"/>
      <c r="TQO46" s="375"/>
      <c r="TQP46" s="375"/>
      <c r="TQQ46" s="375"/>
      <c r="TQR46" s="375"/>
      <c r="TQS46" s="375"/>
      <c r="TQT46" s="375"/>
      <c r="TQU46" s="375"/>
      <c r="TQV46" s="375"/>
      <c r="TQW46" s="375"/>
      <c r="TQX46" s="375"/>
      <c r="TQY46" s="375"/>
      <c r="TQZ46" s="375"/>
      <c r="TRA46" s="375"/>
      <c r="TRB46" s="375"/>
      <c r="TRC46" s="375"/>
      <c r="TRD46" s="375"/>
      <c r="TRE46" s="375"/>
      <c r="TRF46" s="375"/>
      <c r="TRG46" s="375"/>
      <c r="TRH46" s="375"/>
      <c r="TRI46" s="375"/>
      <c r="TRJ46" s="375"/>
      <c r="TRK46" s="375"/>
      <c r="TRL46" s="375"/>
      <c r="TRM46" s="375"/>
      <c r="TRN46" s="375"/>
      <c r="TRO46" s="375"/>
      <c r="TRP46" s="375"/>
      <c r="TRQ46" s="375"/>
      <c r="TRR46" s="375"/>
      <c r="TRS46" s="375"/>
      <c r="TRT46" s="375"/>
      <c r="TRU46" s="375"/>
      <c r="TRV46" s="375"/>
      <c r="TRW46" s="375"/>
      <c r="TRX46" s="375"/>
      <c r="TRY46" s="375"/>
      <c r="TRZ46" s="375"/>
      <c r="TSA46" s="375"/>
      <c r="TSB46" s="375"/>
      <c r="TSC46" s="375"/>
      <c r="TSD46" s="375"/>
      <c r="TSE46" s="375"/>
      <c r="TSF46" s="375"/>
      <c r="TSG46" s="375"/>
      <c r="TSH46" s="375"/>
      <c r="TSI46" s="375"/>
      <c r="TSJ46" s="375"/>
      <c r="TSK46" s="375"/>
      <c r="TSL46" s="375"/>
      <c r="TSM46" s="375"/>
      <c r="TSN46" s="375"/>
      <c r="TSO46" s="375"/>
      <c r="TSP46" s="375"/>
      <c r="TSQ46" s="375"/>
      <c r="TSR46" s="375"/>
      <c r="TSS46" s="375"/>
      <c r="TST46" s="375"/>
      <c r="TSU46" s="375"/>
      <c r="TSV46" s="375"/>
      <c r="TSW46" s="375"/>
      <c r="TSX46" s="375"/>
      <c r="TSY46" s="375"/>
      <c r="TSZ46" s="375"/>
      <c r="TTA46" s="375"/>
      <c r="TTB46" s="375"/>
      <c r="TTC46" s="375"/>
      <c r="TTD46" s="375"/>
      <c r="TTE46" s="375"/>
      <c r="TTF46" s="375"/>
      <c r="TTG46" s="375"/>
      <c r="TTH46" s="375"/>
      <c r="TTI46" s="375"/>
      <c r="TTJ46" s="375"/>
      <c r="TTK46" s="375"/>
      <c r="TTL46" s="375"/>
      <c r="TTM46" s="375"/>
      <c r="TTN46" s="375"/>
      <c r="TTO46" s="375"/>
      <c r="TTP46" s="375"/>
      <c r="TTQ46" s="375"/>
      <c r="TTR46" s="375"/>
      <c r="TTS46" s="375"/>
      <c r="TTT46" s="375"/>
      <c r="TTU46" s="375"/>
      <c r="TTV46" s="375"/>
      <c r="TTW46" s="375"/>
      <c r="TTX46" s="375"/>
      <c r="TTY46" s="375"/>
      <c r="TTZ46" s="375"/>
      <c r="TUA46" s="375"/>
      <c r="TUB46" s="375"/>
      <c r="TUC46" s="375"/>
      <c r="TUD46" s="375"/>
      <c r="TUE46" s="375"/>
      <c r="TUF46" s="375"/>
      <c r="TUG46" s="375"/>
      <c r="TUH46" s="375"/>
      <c r="TUI46" s="375"/>
      <c r="TUJ46" s="375"/>
      <c r="TUK46" s="375"/>
      <c r="TUL46" s="375"/>
      <c r="TUM46" s="375"/>
      <c r="TUN46" s="375"/>
      <c r="TUO46" s="375"/>
      <c r="TUP46" s="375"/>
      <c r="TUQ46" s="375"/>
      <c r="TUR46" s="375"/>
      <c r="TUS46" s="375"/>
      <c r="TUT46" s="375"/>
      <c r="TUU46" s="375"/>
      <c r="TUV46" s="375"/>
      <c r="TUW46" s="375"/>
      <c r="TUX46" s="375"/>
      <c r="TUY46" s="375"/>
      <c r="TUZ46" s="375"/>
      <c r="TVA46" s="375"/>
      <c r="TVB46" s="375"/>
      <c r="TVC46" s="375"/>
      <c r="TVD46" s="375"/>
      <c r="TVE46" s="375"/>
      <c r="TVF46" s="375"/>
      <c r="TVG46" s="375"/>
      <c r="TVH46" s="375"/>
      <c r="TVI46" s="375"/>
      <c r="TVJ46" s="375"/>
      <c r="TVK46" s="375"/>
      <c r="TVL46" s="375"/>
      <c r="TVM46" s="375"/>
      <c r="TVN46" s="375"/>
      <c r="TVO46" s="375"/>
      <c r="TVP46" s="375"/>
      <c r="TVQ46" s="375"/>
      <c r="TVR46" s="375"/>
      <c r="TVS46" s="375"/>
      <c r="TVT46" s="375"/>
      <c r="TVU46" s="375"/>
      <c r="TVV46" s="375"/>
      <c r="TVW46" s="375"/>
      <c r="TVX46" s="375"/>
      <c r="TVY46" s="375"/>
      <c r="TVZ46" s="375"/>
      <c r="TWA46" s="375"/>
      <c r="TWB46" s="375"/>
      <c r="TWC46" s="375"/>
      <c r="TWD46" s="375"/>
      <c r="TWE46" s="375"/>
      <c r="TWF46" s="375"/>
      <c r="TWG46" s="375"/>
      <c r="TWH46" s="375"/>
      <c r="TWI46" s="375"/>
      <c r="TWJ46" s="375"/>
      <c r="TWK46" s="375"/>
      <c r="TWL46" s="375"/>
      <c r="TWM46" s="375"/>
      <c r="TWN46" s="375"/>
      <c r="TWO46" s="375"/>
      <c r="TWP46" s="375"/>
      <c r="TWQ46" s="375"/>
      <c r="TWR46" s="375"/>
      <c r="TWS46" s="375"/>
      <c r="TWT46" s="375"/>
      <c r="TWU46" s="375"/>
      <c r="TWV46" s="375"/>
      <c r="TWW46" s="375"/>
      <c r="TWX46" s="375"/>
      <c r="TWY46" s="375"/>
      <c r="TWZ46" s="375"/>
      <c r="TXA46" s="375"/>
      <c r="TXB46" s="375"/>
      <c r="TXC46" s="375"/>
      <c r="TXD46" s="375"/>
      <c r="TXE46" s="375"/>
      <c r="TXF46" s="375"/>
      <c r="TXG46" s="375"/>
      <c r="TXH46" s="375"/>
      <c r="TXI46" s="375"/>
      <c r="TXJ46" s="375"/>
      <c r="TXK46" s="375"/>
      <c r="TXL46" s="375"/>
      <c r="TXM46" s="375"/>
      <c r="TXN46" s="375"/>
      <c r="TXO46" s="375"/>
      <c r="TXP46" s="375"/>
      <c r="TXQ46" s="375"/>
      <c r="TXR46" s="375"/>
      <c r="TXS46" s="375"/>
      <c r="TXT46" s="375"/>
      <c r="TXU46" s="375"/>
      <c r="TXV46" s="375"/>
      <c r="TXW46" s="375"/>
      <c r="TXX46" s="375"/>
      <c r="TXY46" s="375"/>
      <c r="TXZ46" s="375"/>
      <c r="TYA46" s="375"/>
      <c r="TYB46" s="375"/>
      <c r="TYC46" s="375"/>
      <c r="TYD46" s="375"/>
      <c r="TYE46" s="375"/>
      <c r="TYF46" s="375"/>
      <c r="TYG46" s="375"/>
      <c r="TYH46" s="375"/>
      <c r="TYI46" s="375"/>
      <c r="TYJ46" s="375"/>
      <c r="TYK46" s="375"/>
      <c r="TYL46" s="375"/>
      <c r="TYM46" s="375"/>
      <c r="TYN46" s="375"/>
      <c r="TYO46" s="375"/>
      <c r="TYP46" s="375"/>
      <c r="TYQ46" s="375"/>
      <c r="TYR46" s="375"/>
      <c r="TYS46" s="375"/>
      <c r="TYT46" s="375"/>
      <c r="TYU46" s="375"/>
      <c r="TYV46" s="375"/>
      <c r="TYW46" s="375"/>
      <c r="TYX46" s="375"/>
      <c r="TYY46" s="375"/>
      <c r="TYZ46" s="375"/>
      <c r="TZA46" s="375"/>
      <c r="TZB46" s="375"/>
      <c r="TZC46" s="375"/>
      <c r="TZD46" s="375"/>
      <c r="TZE46" s="375"/>
      <c r="TZF46" s="375"/>
      <c r="TZG46" s="375"/>
      <c r="TZH46" s="375"/>
      <c r="TZI46" s="375"/>
      <c r="TZJ46" s="375"/>
      <c r="TZK46" s="375"/>
      <c r="TZL46" s="375"/>
      <c r="TZM46" s="375"/>
      <c r="TZN46" s="375"/>
      <c r="TZO46" s="375"/>
      <c r="TZP46" s="375"/>
      <c r="TZQ46" s="375"/>
      <c r="TZR46" s="375"/>
      <c r="TZS46" s="375"/>
      <c r="TZT46" s="375"/>
      <c r="TZU46" s="375"/>
      <c r="TZV46" s="375"/>
      <c r="TZW46" s="375"/>
      <c r="TZX46" s="375"/>
      <c r="TZY46" s="375"/>
      <c r="TZZ46" s="375"/>
      <c r="UAA46" s="375"/>
      <c r="UAB46" s="375"/>
      <c r="UAC46" s="375"/>
      <c r="UAD46" s="375"/>
      <c r="UAE46" s="375"/>
      <c r="UAF46" s="375"/>
      <c r="UAG46" s="375"/>
      <c r="UAH46" s="375"/>
      <c r="UAI46" s="375"/>
      <c r="UAJ46" s="375"/>
      <c r="UAK46" s="375"/>
      <c r="UAL46" s="375"/>
      <c r="UAM46" s="375"/>
      <c r="UAN46" s="375"/>
      <c r="UAO46" s="375"/>
      <c r="UAP46" s="375"/>
      <c r="UAQ46" s="375"/>
      <c r="UAR46" s="375"/>
      <c r="UAS46" s="375"/>
      <c r="UAT46" s="375"/>
      <c r="UAU46" s="375"/>
      <c r="UAV46" s="375"/>
      <c r="UAW46" s="375"/>
      <c r="UAX46" s="375"/>
      <c r="UAY46" s="375"/>
      <c r="UAZ46" s="375"/>
      <c r="UBA46" s="375"/>
      <c r="UBB46" s="375"/>
      <c r="UBC46" s="375"/>
      <c r="UBD46" s="375"/>
      <c r="UBE46" s="375"/>
      <c r="UBF46" s="375"/>
      <c r="UBG46" s="375"/>
      <c r="UBH46" s="375"/>
      <c r="UBI46" s="375"/>
      <c r="UBJ46" s="375"/>
      <c r="UBK46" s="375"/>
      <c r="UBL46" s="375"/>
      <c r="UBM46" s="375"/>
      <c r="UBN46" s="375"/>
      <c r="UBO46" s="375"/>
      <c r="UBP46" s="375"/>
      <c r="UBQ46" s="375"/>
      <c r="UBR46" s="375"/>
      <c r="UBS46" s="375"/>
      <c r="UBT46" s="375"/>
      <c r="UBU46" s="375"/>
      <c r="UBV46" s="375"/>
      <c r="UBW46" s="375"/>
      <c r="UBX46" s="375"/>
      <c r="UBY46" s="375"/>
      <c r="UBZ46" s="375"/>
      <c r="UCA46" s="375"/>
      <c r="UCB46" s="375"/>
      <c r="UCC46" s="375"/>
      <c r="UCD46" s="375"/>
      <c r="UCE46" s="375"/>
      <c r="UCF46" s="375"/>
      <c r="UCG46" s="375"/>
      <c r="UCH46" s="375"/>
      <c r="UCI46" s="375"/>
      <c r="UCJ46" s="375"/>
      <c r="UCK46" s="375"/>
      <c r="UCL46" s="375"/>
      <c r="UCM46" s="375"/>
      <c r="UCN46" s="375"/>
      <c r="UCO46" s="375"/>
      <c r="UCP46" s="375"/>
      <c r="UCQ46" s="375"/>
      <c r="UCR46" s="375"/>
      <c r="UCS46" s="375"/>
      <c r="UCT46" s="375"/>
      <c r="UCU46" s="375"/>
      <c r="UCV46" s="375"/>
      <c r="UCW46" s="375"/>
      <c r="UCX46" s="375"/>
      <c r="UCY46" s="375"/>
      <c r="UCZ46" s="375"/>
      <c r="UDA46" s="375"/>
      <c r="UDB46" s="375"/>
      <c r="UDC46" s="375"/>
      <c r="UDD46" s="375"/>
      <c r="UDE46" s="375"/>
      <c r="UDF46" s="375"/>
      <c r="UDG46" s="375"/>
      <c r="UDH46" s="375"/>
      <c r="UDI46" s="375"/>
      <c r="UDJ46" s="375"/>
      <c r="UDK46" s="375"/>
      <c r="UDL46" s="375"/>
      <c r="UDM46" s="375"/>
      <c r="UDN46" s="375"/>
      <c r="UDO46" s="375"/>
      <c r="UDP46" s="375"/>
      <c r="UDQ46" s="375"/>
      <c r="UDR46" s="375"/>
      <c r="UDS46" s="375"/>
      <c r="UDT46" s="375"/>
      <c r="UDU46" s="375"/>
      <c r="UDV46" s="375"/>
      <c r="UDW46" s="375"/>
      <c r="UDX46" s="375"/>
      <c r="UDY46" s="375"/>
      <c r="UDZ46" s="375"/>
      <c r="UEA46" s="375"/>
      <c r="UEB46" s="375"/>
      <c r="UEC46" s="375"/>
      <c r="UED46" s="375"/>
      <c r="UEE46" s="375"/>
      <c r="UEF46" s="375"/>
      <c r="UEG46" s="375"/>
      <c r="UEH46" s="375"/>
      <c r="UEI46" s="375"/>
      <c r="UEJ46" s="375"/>
      <c r="UEK46" s="375"/>
      <c r="UEL46" s="375"/>
      <c r="UEM46" s="375"/>
      <c r="UEN46" s="375"/>
      <c r="UEO46" s="375"/>
      <c r="UEP46" s="375"/>
      <c r="UEQ46" s="375"/>
      <c r="UER46" s="375"/>
      <c r="UES46" s="375"/>
      <c r="UET46" s="375"/>
      <c r="UEU46" s="375"/>
      <c r="UEV46" s="375"/>
      <c r="UEW46" s="375"/>
      <c r="UEX46" s="375"/>
      <c r="UEY46" s="375"/>
      <c r="UEZ46" s="375"/>
      <c r="UFA46" s="375"/>
      <c r="UFB46" s="375"/>
      <c r="UFC46" s="375"/>
      <c r="UFD46" s="375"/>
      <c r="UFE46" s="375"/>
      <c r="UFF46" s="375"/>
      <c r="UFG46" s="375"/>
      <c r="UFH46" s="375"/>
      <c r="UFI46" s="375"/>
      <c r="UFJ46" s="375"/>
      <c r="UFK46" s="375"/>
      <c r="UFL46" s="375"/>
      <c r="UFM46" s="375"/>
      <c r="UFN46" s="375"/>
      <c r="UFO46" s="375"/>
      <c r="UFP46" s="375"/>
      <c r="UFQ46" s="375"/>
      <c r="UFR46" s="375"/>
      <c r="UFS46" s="375"/>
      <c r="UFT46" s="375"/>
      <c r="UFU46" s="375"/>
      <c r="UFV46" s="375"/>
      <c r="UFW46" s="375"/>
      <c r="UFX46" s="375"/>
      <c r="UFY46" s="375"/>
      <c r="UFZ46" s="375"/>
      <c r="UGA46" s="375"/>
      <c r="UGB46" s="375"/>
      <c r="UGC46" s="375"/>
      <c r="UGD46" s="375"/>
      <c r="UGE46" s="375"/>
      <c r="UGF46" s="375"/>
      <c r="UGG46" s="375"/>
      <c r="UGH46" s="375"/>
      <c r="UGI46" s="375"/>
      <c r="UGJ46" s="375"/>
      <c r="UGK46" s="375"/>
      <c r="UGL46" s="375"/>
      <c r="UGM46" s="375"/>
      <c r="UGN46" s="375"/>
      <c r="UGO46" s="375"/>
      <c r="UGP46" s="375"/>
      <c r="UGQ46" s="375"/>
      <c r="UGR46" s="375"/>
      <c r="UGS46" s="375"/>
      <c r="UGT46" s="375"/>
      <c r="UGU46" s="375"/>
      <c r="UGV46" s="375"/>
      <c r="UGW46" s="375"/>
      <c r="UGX46" s="375"/>
      <c r="UGY46" s="375"/>
      <c r="UGZ46" s="375"/>
      <c r="UHA46" s="375"/>
      <c r="UHB46" s="375"/>
      <c r="UHC46" s="375"/>
      <c r="UHD46" s="375"/>
      <c r="UHE46" s="375"/>
      <c r="UHF46" s="375"/>
      <c r="UHG46" s="375"/>
      <c r="UHH46" s="375"/>
      <c r="UHI46" s="375"/>
      <c r="UHJ46" s="375"/>
      <c r="UHK46" s="375"/>
      <c r="UHL46" s="375"/>
      <c r="UHM46" s="375"/>
      <c r="UHN46" s="375"/>
      <c r="UHO46" s="375"/>
      <c r="UHP46" s="375"/>
      <c r="UHQ46" s="375"/>
      <c r="UHR46" s="375"/>
      <c r="UHS46" s="375"/>
      <c r="UHT46" s="375"/>
      <c r="UHU46" s="375"/>
      <c r="UHV46" s="375"/>
      <c r="UHW46" s="375"/>
      <c r="UHX46" s="375"/>
      <c r="UHY46" s="375"/>
      <c r="UHZ46" s="375"/>
      <c r="UIA46" s="375"/>
      <c r="UIB46" s="375"/>
      <c r="UIC46" s="375"/>
      <c r="UID46" s="375"/>
      <c r="UIE46" s="375"/>
      <c r="UIF46" s="375"/>
      <c r="UIG46" s="375"/>
      <c r="UIH46" s="375"/>
      <c r="UII46" s="375"/>
      <c r="UIJ46" s="375"/>
      <c r="UIK46" s="375"/>
      <c r="UIL46" s="375"/>
      <c r="UIM46" s="375"/>
      <c r="UIN46" s="375"/>
      <c r="UIO46" s="375"/>
      <c r="UIP46" s="375"/>
      <c r="UIQ46" s="375"/>
      <c r="UIR46" s="375"/>
      <c r="UIS46" s="375"/>
      <c r="UIT46" s="375"/>
      <c r="UIU46" s="375"/>
      <c r="UIV46" s="375"/>
      <c r="UIW46" s="375"/>
      <c r="UIX46" s="375"/>
      <c r="UIY46" s="375"/>
      <c r="UIZ46" s="375"/>
      <c r="UJA46" s="375"/>
      <c r="UJB46" s="375"/>
      <c r="UJC46" s="375"/>
      <c r="UJD46" s="375"/>
      <c r="UJE46" s="375"/>
      <c r="UJF46" s="375"/>
      <c r="UJG46" s="375"/>
      <c r="UJH46" s="375"/>
      <c r="UJI46" s="375"/>
      <c r="UJJ46" s="375"/>
      <c r="UJK46" s="375"/>
      <c r="UJL46" s="375"/>
      <c r="UJM46" s="375"/>
      <c r="UJN46" s="375"/>
      <c r="UJO46" s="375"/>
      <c r="UJP46" s="375"/>
      <c r="UJQ46" s="375"/>
      <c r="UJR46" s="375"/>
      <c r="UJS46" s="375"/>
      <c r="UJT46" s="375"/>
      <c r="UJU46" s="375"/>
      <c r="UJV46" s="375"/>
      <c r="UJW46" s="375"/>
      <c r="UJX46" s="375"/>
      <c r="UJY46" s="375"/>
      <c r="UJZ46" s="375"/>
      <c r="UKA46" s="375"/>
      <c r="UKB46" s="375"/>
      <c r="UKC46" s="375"/>
      <c r="UKD46" s="375"/>
      <c r="UKE46" s="375"/>
      <c r="UKF46" s="375"/>
      <c r="UKG46" s="375"/>
      <c r="UKH46" s="375"/>
      <c r="UKI46" s="375"/>
      <c r="UKJ46" s="375"/>
      <c r="UKK46" s="375"/>
      <c r="UKL46" s="375"/>
      <c r="UKM46" s="375"/>
      <c r="UKN46" s="375"/>
      <c r="UKO46" s="375"/>
      <c r="UKP46" s="375"/>
      <c r="UKQ46" s="375"/>
      <c r="UKR46" s="375"/>
      <c r="UKS46" s="375"/>
      <c r="UKT46" s="375"/>
      <c r="UKU46" s="375"/>
      <c r="UKV46" s="375"/>
      <c r="UKW46" s="375"/>
      <c r="UKX46" s="375"/>
      <c r="UKY46" s="375"/>
      <c r="UKZ46" s="375"/>
      <c r="ULA46" s="375"/>
      <c r="ULB46" s="375"/>
      <c r="ULC46" s="375"/>
      <c r="ULD46" s="375"/>
      <c r="ULE46" s="375"/>
      <c r="ULF46" s="375"/>
      <c r="ULG46" s="375"/>
      <c r="ULH46" s="375"/>
      <c r="ULI46" s="375"/>
      <c r="ULJ46" s="375"/>
      <c r="ULK46" s="375"/>
      <c r="ULL46" s="375"/>
      <c r="ULM46" s="375"/>
      <c r="ULN46" s="375"/>
      <c r="ULO46" s="375"/>
      <c r="ULP46" s="375"/>
      <c r="ULQ46" s="375"/>
      <c r="ULR46" s="375"/>
      <c r="ULS46" s="375"/>
      <c r="ULT46" s="375"/>
      <c r="ULU46" s="375"/>
      <c r="ULV46" s="375"/>
      <c r="ULW46" s="375"/>
      <c r="ULX46" s="375"/>
      <c r="ULY46" s="375"/>
      <c r="ULZ46" s="375"/>
      <c r="UMA46" s="375"/>
      <c r="UMB46" s="375"/>
      <c r="UMC46" s="375"/>
      <c r="UMD46" s="375"/>
      <c r="UME46" s="375"/>
      <c r="UMF46" s="375"/>
      <c r="UMG46" s="375"/>
      <c r="UMH46" s="375"/>
      <c r="UMI46" s="375"/>
      <c r="UMJ46" s="375"/>
      <c r="UMK46" s="375"/>
      <c r="UML46" s="375"/>
      <c r="UMM46" s="375"/>
      <c r="UMN46" s="375"/>
      <c r="UMO46" s="375"/>
      <c r="UMP46" s="375"/>
      <c r="UMQ46" s="375"/>
      <c r="UMR46" s="375"/>
      <c r="UMS46" s="375"/>
      <c r="UMT46" s="375"/>
      <c r="UMU46" s="375"/>
      <c r="UMV46" s="375"/>
      <c r="UMW46" s="375"/>
      <c r="UMX46" s="375"/>
      <c r="UMY46" s="375"/>
      <c r="UMZ46" s="375"/>
      <c r="UNA46" s="375"/>
      <c r="UNB46" s="375"/>
      <c r="UNC46" s="375"/>
      <c r="UND46" s="375"/>
      <c r="UNE46" s="375"/>
      <c r="UNF46" s="375"/>
      <c r="UNG46" s="375"/>
      <c r="UNH46" s="375"/>
      <c r="UNI46" s="375"/>
      <c r="UNJ46" s="375"/>
      <c r="UNK46" s="375"/>
      <c r="UNL46" s="375"/>
      <c r="UNM46" s="375"/>
      <c r="UNN46" s="375"/>
      <c r="UNO46" s="375"/>
      <c r="UNP46" s="375"/>
      <c r="UNQ46" s="375"/>
      <c r="UNR46" s="375"/>
      <c r="UNS46" s="375"/>
      <c r="UNT46" s="375"/>
      <c r="UNU46" s="375"/>
      <c r="UNV46" s="375"/>
      <c r="UNW46" s="375"/>
      <c r="UNX46" s="375"/>
      <c r="UNY46" s="375"/>
      <c r="UNZ46" s="375"/>
      <c r="UOA46" s="375"/>
      <c r="UOB46" s="375"/>
      <c r="UOC46" s="375"/>
      <c r="UOD46" s="375"/>
      <c r="UOE46" s="375"/>
      <c r="UOF46" s="375"/>
      <c r="UOG46" s="375"/>
      <c r="UOH46" s="375"/>
      <c r="UOI46" s="375"/>
      <c r="UOJ46" s="375"/>
      <c r="UOK46" s="375"/>
      <c r="UOL46" s="375"/>
      <c r="UOM46" s="375"/>
      <c r="UON46" s="375"/>
      <c r="UOO46" s="375"/>
      <c r="UOP46" s="375"/>
      <c r="UOQ46" s="375"/>
      <c r="UOR46" s="375"/>
      <c r="UOS46" s="375"/>
      <c r="UOT46" s="375"/>
      <c r="UOU46" s="375"/>
      <c r="UOV46" s="375"/>
      <c r="UOW46" s="375"/>
      <c r="UOX46" s="375"/>
      <c r="UOY46" s="375"/>
      <c r="UOZ46" s="375"/>
      <c r="UPA46" s="375"/>
      <c r="UPB46" s="375"/>
      <c r="UPC46" s="375"/>
      <c r="UPD46" s="375"/>
      <c r="UPE46" s="375"/>
      <c r="UPF46" s="375"/>
      <c r="UPG46" s="375"/>
      <c r="UPH46" s="375"/>
      <c r="UPI46" s="375"/>
      <c r="UPJ46" s="375"/>
      <c r="UPK46" s="375"/>
      <c r="UPL46" s="375"/>
      <c r="UPM46" s="375"/>
      <c r="UPN46" s="375"/>
      <c r="UPO46" s="375"/>
      <c r="UPP46" s="375"/>
      <c r="UPQ46" s="375"/>
      <c r="UPR46" s="375"/>
      <c r="UPS46" s="375"/>
      <c r="UPT46" s="375"/>
      <c r="UPU46" s="375"/>
      <c r="UPV46" s="375"/>
      <c r="UPW46" s="375"/>
      <c r="UPX46" s="375"/>
      <c r="UPY46" s="375"/>
      <c r="UPZ46" s="375"/>
      <c r="UQA46" s="375"/>
      <c r="UQB46" s="375"/>
      <c r="UQC46" s="375"/>
      <c r="UQD46" s="375"/>
      <c r="UQE46" s="375"/>
      <c r="UQF46" s="375"/>
      <c r="UQG46" s="375"/>
      <c r="UQH46" s="375"/>
      <c r="UQI46" s="375"/>
      <c r="UQJ46" s="375"/>
      <c r="UQK46" s="375"/>
      <c r="UQL46" s="375"/>
      <c r="UQM46" s="375"/>
      <c r="UQN46" s="375"/>
      <c r="UQO46" s="375"/>
      <c r="UQP46" s="375"/>
      <c r="UQQ46" s="375"/>
      <c r="UQR46" s="375"/>
      <c r="UQS46" s="375"/>
      <c r="UQT46" s="375"/>
      <c r="UQU46" s="375"/>
      <c r="UQV46" s="375"/>
      <c r="UQW46" s="375"/>
      <c r="UQX46" s="375"/>
      <c r="UQY46" s="375"/>
      <c r="UQZ46" s="375"/>
      <c r="URA46" s="375"/>
      <c r="URB46" s="375"/>
      <c r="URC46" s="375"/>
      <c r="URD46" s="375"/>
      <c r="URE46" s="375"/>
      <c r="URF46" s="375"/>
      <c r="URG46" s="375"/>
      <c r="URH46" s="375"/>
      <c r="URI46" s="375"/>
      <c r="URJ46" s="375"/>
      <c r="URK46" s="375"/>
      <c r="URL46" s="375"/>
      <c r="URM46" s="375"/>
      <c r="URN46" s="375"/>
      <c r="URO46" s="375"/>
      <c r="URP46" s="375"/>
      <c r="URQ46" s="375"/>
      <c r="URR46" s="375"/>
      <c r="URS46" s="375"/>
      <c r="URT46" s="375"/>
      <c r="URU46" s="375"/>
      <c r="URV46" s="375"/>
      <c r="URW46" s="375"/>
      <c r="URX46" s="375"/>
      <c r="URY46" s="375"/>
      <c r="URZ46" s="375"/>
      <c r="USA46" s="375"/>
      <c r="USB46" s="375"/>
      <c r="USC46" s="375"/>
      <c r="USD46" s="375"/>
      <c r="USE46" s="375"/>
      <c r="USF46" s="375"/>
      <c r="USG46" s="375"/>
      <c r="USH46" s="375"/>
      <c r="USI46" s="375"/>
      <c r="USJ46" s="375"/>
      <c r="USK46" s="375"/>
      <c r="USL46" s="375"/>
      <c r="USM46" s="375"/>
      <c r="USN46" s="375"/>
      <c r="USO46" s="375"/>
      <c r="USP46" s="375"/>
      <c r="USQ46" s="375"/>
      <c r="USR46" s="375"/>
      <c r="USS46" s="375"/>
      <c r="UST46" s="375"/>
      <c r="USU46" s="375"/>
      <c r="USV46" s="375"/>
      <c r="USW46" s="375"/>
      <c r="USX46" s="375"/>
      <c r="USY46" s="375"/>
      <c r="USZ46" s="375"/>
      <c r="UTA46" s="375"/>
      <c r="UTB46" s="375"/>
      <c r="UTC46" s="375"/>
      <c r="UTD46" s="375"/>
      <c r="UTE46" s="375"/>
      <c r="UTF46" s="375"/>
      <c r="UTG46" s="375"/>
      <c r="UTH46" s="375"/>
      <c r="UTI46" s="375"/>
      <c r="UTJ46" s="375"/>
      <c r="UTK46" s="375"/>
      <c r="UTL46" s="375"/>
      <c r="UTM46" s="375"/>
      <c r="UTN46" s="375"/>
      <c r="UTO46" s="375"/>
      <c r="UTP46" s="375"/>
      <c r="UTQ46" s="375"/>
      <c r="UTR46" s="375"/>
      <c r="UTS46" s="375"/>
      <c r="UTT46" s="375"/>
      <c r="UTU46" s="375"/>
      <c r="UTV46" s="375"/>
      <c r="UTW46" s="375"/>
      <c r="UTX46" s="375"/>
      <c r="UTY46" s="375"/>
      <c r="UTZ46" s="375"/>
      <c r="UUA46" s="375"/>
      <c r="UUB46" s="375"/>
      <c r="UUC46" s="375"/>
      <c r="UUD46" s="375"/>
      <c r="UUE46" s="375"/>
      <c r="UUF46" s="375"/>
      <c r="UUG46" s="375"/>
      <c r="UUH46" s="375"/>
      <c r="UUI46" s="375"/>
      <c r="UUJ46" s="375"/>
      <c r="UUK46" s="375"/>
      <c r="UUL46" s="375"/>
      <c r="UUM46" s="375"/>
      <c r="UUN46" s="375"/>
      <c r="UUO46" s="375"/>
      <c r="UUP46" s="375"/>
      <c r="UUQ46" s="375"/>
      <c r="UUR46" s="375"/>
      <c r="UUS46" s="375"/>
      <c r="UUT46" s="375"/>
      <c r="UUU46" s="375"/>
      <c r="UUV46" s="375"/>
      <c r="UUW46" s="375"/>
      <c r="UUX46" s="375"/>
      <c r="UUY46" s="375"/>
      <c r="UUZ46" s="375"/>
      <c r="UVA46" s="375"/>
      <c r="UVB46" s="375"/>
      <c r="UVC46" s="375"/>
      <c r="UVD46" s="375"/>
      <c r="UVE46" s="375"/>
      <c r="UVF46" s="375"/>
      <c r="UVG46" s="375"/>
      <c r="UVH46" s="375"/>
      <c r="UVI46" s="375"/>
      <c r="UVJ46" s="375"/>
      <c r="UVK46" s="375"/>
      <c r="UVL46" s="375"/>
      <c r="UVM46" s="375"/>
      <c r="UVN46" s="375"/>
      <c r="UVO46" s="375"/>
      <c r="UVP46" s="375"/>
      <c r="UVQ46" s="375"/>
      <c r="UVR46" s="375"/>
      <c r="UVS46" s="375"/>
      <c r="UVT46" s="375"/>
      <c r="UVU46" s="375"/>
      <c r="UVV46" s="375"/>
      <c r="UVW46" s="375"/>
      <c r="UVX46" s="375"/>
      <c r="UVY46" s="375"/>
      <c r="UVZ46" s="375"/>
      <c r="UWA46" s="375"/>
      <c r="UWB46" s="375"/>
      <c r="UWC46" s="375"/>
      <c r="UWD46" s="375"/>
      <c r="UWE46" s="375"/>
      <c r="UWF46" s="375"/>
      <c r="UWG46" s="375"/>
      <c r="UWH46" s="375"/>
      <c r="UWI46" s="375"/>
      <c r="UWJ46" s="375"/>
      <c r="UWK46" s="375"/>
      <c r="UWL46" s="375"/>
      <c r="UWM46" s="375"/>
      <c r="UWN46" s="375"/>
      <c r="UWO46" s="375"/>
      <c r="UWP46" s="375"/>
      <c r="UWQ46" s="375"/>
      <c r="UWR46" s="375"/>
      <c r="UWS46" s="375"/>
      <c r="UWT46" s="375"/>
      <c r="UWU46" s="375"/>
      <c r="UWV46" s="375"/>
      <c r="UWW46" s="375"/>
      <c r="UWX46" s="375"/>
      <c r="UWY46" s="375"/>
      <c r="UWZ46" s="375"/>
      <c r="UXA46" s="375"/>
      <c r="UXB46" s="375"/>
      <c r="UXC46" s="375"/>
      <c r="UXD46" s="375"/>
      <c r="UXE46" s="375"/>
      <c r="UXF46" s="375"/>
      <c r="UXG46" s="375"/>
      <c r="UXH46" s="375"/>
      <c r="UXI46" s="375"/>
      <c r="UXJ46" s="375"/>
      <c r="UXK46" s="375"/>
      <c r="UXL46" s="375"/>
      <c r="UXM46" s="375"/>
      <c r="UXN46" s="375"/>
      <c r="UXO46" s="375"/>
      <c r="UXP46" s="375"/>
      <c r="UXQ46" s="375"/>
      <c r="UXR46" s="375"/>
      <c r="UXS46" s="375"/>
      <c r="UXT46" s="375"/>
      <c r="UXU46" s="375"/>
      <c r="UXV46" s="375"/>
      <c r="UXW46" s="375"/>
      <c r="UXX46" s="375"/>
      <c r="UXY46" s="375"/>
      <c r="UXZ46" s="375"/>
      <c r="UYA46" s="375"/>
      <c r="UYB46" s="375"/>
      <c r="UYC46" s="375"/>
      <c r="UYD46" s="375"/>
      <c r="UYE46" s="375"/>
      <c r="UYF46" s="375"/>
      <c r="UYG46" s="375"/>
      <c r="UYH46" s="375"/>
      <c r="UYI46" s="375"/>
      <c r="UYJ46" s="375"/>
      <c r="UYK46" s="375"/>
      <c r="UYL46" s="375"/>
      <c r="UYM46" s="375"/>
      <c r="UYN46" s="375"/>
      <c r="UYO46" s="375"/>
      <c r="UYP46" s="375"/>
      <c r="UYQ46" s="375"/>
      <c r="UYR46" s="375"/>
      <c r="UYS46" s="375"/>
      <c r="UYT46" s="375"/>
      <c r="UYU46" s="375"/>
      <c r="UYV46" s="375"/>
      <c r="UYW46" s="375"/>
      <c r="UYX46" s="375"/>
      <c r="UYY46" s="375"/>
      <c r="UYZ46" s="375"/>
      <c r="UZA46" s="375"/>
      <c r="UZB46" s="375"/>
      <c r="UZC46" s="375"/>
      <c r="UZD46" s="375"/>
      <c r="UZE46" s="375"/>
      <c r="UZF46" s="375"/>
      <c r="UZG46" s="375"/>
      <c r="UZH46" s="375"/>
      <c r="UZI46" s="375"/>
      <c r="UZJ46" s="375"/>
      <c r="UZK46" s="375"/>
      <c r="UZL46" s="375"/>
      <c r="UZM46" s="375"/>
      <c r="UZN46" s="375"/>
      <c r="UZO46" s="375"/>
      <c r="UZP46" s="375"/>
      <c r="UZQ46" s="375"/>
      <c r="UZR46" s="375"/>
      <c r="UZS46" s="375"/>
      <c r="UZT46" s="375"/>
      <c r="UZU46" s="375"/>
      <c r="UZV46" s="375"/>
      <c r="UZW46" s="375"/>
      <c r="UZX46" s="375"/>
      <c r="UZY46" s="375"/>
      <c r="UZZ46" s="375"/>
      <c r="VAA46" s="375"/>
      <c r="VAB46" s="375"/>
      <c r="VAC46" s="375"/>
      <c r="VAD46" s="375"/>
      <c r="VAE46" s="375"/>
      <c r="VAF46" s="375"/>
      <c r="VAG46" s="375"/>
      <c r="VAH46" s="375"/>
      <c r="VAI46" s="375"/>
      <c r="VAJ46" s="375"/>
      <c r="VAK46" s="375"/>
      <c r="VAL46" s="375"/>
      <c r="VAM46" s="375"/>
      <c r="VAN46" s="375"/>
      <c r="VAO46" s="375"/>
      <c r="VAP46" s="375"/>
      <c r="VAQ46" s="375"/>
      <c r="VAR46" s="375"/>
      <c r="VAS46" s="375"/>
      <c r="VAT46" s="375"/>
      <c r="VAU46" s="375"/>
      <c r="VAV46" s="375"/>
      <c r="VAW46" s="375"/>
      <c r="VAX46" s="375"/>
      <c r="VAY46" s="375"/>
      <c r="VAZ46" s="375"/>
      <c r="VBA46" s="375"/>
      <c r="VBB46" s="375"/>
      <c r="VBC46" s="375"/>
      <c r="VBD46" s="375"/>
      <c r="VBE46" s="375"/>
      <c r="VBF46" s="375"/>
      <c r="VBG46" s="375"/>
      <c r="VBH46" s="375"/>
      <c r="VBI46" s="375"/>
      <c r="VBJ46" s="375"/>
      <c r="VBK46" s="375"/>
      <c r="VBL46" s="375"/>
      <c r="VBM46" s="375"/>
      <c r="VBN46" s="375"/>
      <c r="VBO46" s="375"/>
      <c r="VBP46" s="375"/>
      <c r="VBQ46" s="375"/>
      <c r="VBR46" s="375"/>
      <c r="VBS46" s="375"/>
      <c r="VBT46" s="375"/>
      <c r="VBU46" s="375"/>
      <c r="VBV46" s="375"/>
      <c r="VBW46" s="375"/>
      <c r="VBX46" s="375"/>
      <c r="VBY46" s="375"/>
      <c r="VBZ46" s="375"/>
      <c r="VCA46" s="375"/>
      <c r="VCB46" s="375"/>
      <c r="VCC46" s="375"/>
      <c r="VCD46" s="375"/>
      <c r="VCE46" s="375"/>
      <c r="VCF46" s="375"/>
      <c r="VCG46" s="375"/>
      <c r="VCH46" s="375"/>
      <c r="VCI46" s="375"/>
      <c r="VCJ46" s="375"/>
      <c r="VCK46" s="375"/>
      <c r="VCL46" s="375"/>
      <c r="VCM46" s="375"/>
      <c r="VCN46" s="375"/>
      <c r="VCO46" s="375"/>
      <c r="VCP46" s="375"/>
      <c r="VCQ46" s="375"/>
      <c r="VCR46" s="375"/>
      <c r="VCS46" s="375"/>
      <c r="VCT46" s="375"/>
      <c r="VCU46" s="375"/>
      <c r="VCV46" s="375"/>
      <c r="VCW46" s="375"/>
      <c r="VCX46" s="375"/>
      <c r="VCY46" s="375"/>
      <c r="VCZ46" s="375"/>
      <c r="VDA46" s="375"/>
      <c r="VDB46" s="375"/>
      <c r="VDC46" s="375"/>
      <c r="VDD46" s="375"/>
      <c r="VDE46" s="375"/>
      <c r="VDF46" s="375"/>
      <c r="VDG46" s="375"/>
      <c r="VDH46" s="375"/>
      <c r="VDI46" s="375"/>
      <c r="VDJ46" s="375"/>
      <c r="VDK46" s="375"/>
      <c r="VDL46" s="375"/>
      <c r="VDM46" s="375"/>
      <c r="VDN46" s="375"/>
      <c r="VDO46" s="375"/>
      <c r="VDP46" s="375"/>
      <c r="VDQ46" s="375"/>
      <c r="VDR46" s="375"/>
      <c r="VDS46" s="375"/>
      <c r="VDT46" s="375"/>
      <c r="VDU46" s="375"/>
      <c r="VDV46" s="375"/>
      <c r="VDW46" s="375"/>
      <c r="VDX46" s="375"/>
      <c r="VDY46" s="375"/>
      <c r="VDZ46" s="375"/>
      <c r="VEA46" s="375"/>
      <c r="VEB46" s="375"/>
      <c r="VEC46" s="375"/>
      <c r="VED46" s="375"/>
      <c r="VEE46" s="375"/>
      <c r="VEF46" s="375"/>
      <c r="VEG46" s="375"/>
      <c r="VEH46" s="375"/>
      <c r="VEI46" s="375"/>
      <c r="VEJ46" s="375"/>
      <c r="VEK46" s="375"/>
      <c r="VEL46" s="375"/>
      <c r="VEM46" s="375"/>
      <c r="VEN46" s="375"/>
      <c r="VEO46" s="375"/>
      <c r="VEP46" s="375"/>
      <c r="VEQ46" s="375"/>
      <c r="VER46" s="375"/>
      <c r="VES46" s="375"/>
      <c r="VET46" s="375"/>
      <c r="VEU46" s="375"/>
      <c r="VEV46" s="375"/>
      <c r="VEW46" s="375"/>
      <c r="VEX46" s="375"/>
      <c r="VEY46" s="375"/>
      <c r="VEZ46" s="375"/>
      <c r="VFA46" s="375"/>
      <c r="VFB46" s="375"/>
      <c r="VFC46" s="375"/>
      <c r="VFD46" s="375"/>
      <c r="VFE46" s="375"/>
      <c r="VFF46" s="375"/>
      <c r="VFG46" s="375"/>
      <c r="VFH46" s="375"/>
      <c r="VFI46" s="375"/>
      <c r="VFJ46" s="375"/>
      <c r="VFK46" s="375"/>
      <c r="VFL46" s="375"/>
      <c r="VFM46" s="375"/>
      <c r="VFN46" s="375"/>
      <c r="VFO46" s="375"/>
      <c r="VFP46" s="375"/>
      <c r="VFQ46" s="375"/>
      <c r="VFR46" s="375"/>
      <c r="VFS46" s="375"/>
      <c r="VFT46" s="375"/>
      <c r="VFU46" s="375"/>
      <c r="VFV46" s="375"/>
      <c r="VFW46" s="375"/>
      <c r="VFX46" s="375"/>
      <c r="VFY46" s="375"/>
      <c r="VFZ46" s="375"/>
      <c r="VGA46" s="375"/>
      <c r="VGB46" s="375"/>
      <c r="VGC46" s="375"/>
      <c r="VGD46" s="375"/>
      <c r="VGE46" s="375"/>
      <c r="VGF46" s="375"/>
      <c r="VGG46" s="375"/>
      <c r="VGH46" s="375"/>
      <c r="VGI46" s="375"/>
      <c r="VGJ46" s="375"/>
      <c r="VGK46" s="375"/>
      <c r="VGL46" s="375"/>
      <c r="VGM46" s="375"/>
      <c r="VGN46" s="375"/>
      <c r="VGO46" s="375"/>
      <c r="VGP46" s="375"/>
      <c r="VGQ46" s="375"/>
      <c r="VGR46" s="375"/>
      <c r="VGS46" s="375"/>
      <c r="VGT46" s="375"/>
      <c r="VGU46" s="375"/>
      <c r="VGV46" s="375"/>
      <c r="VGW46" s="375"/>
      <c r="VGX46" s="375"/>
      <c r="VGY46" s="375"/>
      <c r="VGZ46" s="375"/>
      <c r="VHA46" s="375"/>
      <c r="VHB46" s="375"/>
      <c r="VHC46" s="375"/>
      <c r="VHD46" s="375"/>
      <c r="VHE46" s="375"/>
      <c r="VHF46" s="375"/>
      <c r="VHG46" s="375"/>
      <c r="VHH46" s="375"/>
      <c r="VHI46" s="375"/>
      <c r="VHJ46" s="375"/>
      <c r="VHK46" s="375"/>
      <c r="VHL46" s="375"/>
      <c r="VHM46" s="375"/>
      <c r="VHN46" s="375"/>
      <c r="VHO46" s="375"/>
      <c r="VHP46" s="375"/>
      <c r="VHQ46" s="375"/>
      <c r="VHR46" s="375"/>
      <c r="VHS46" s="375"/>
      <c r="VHT46" s="375"/>
      <c r="VHU46" s="375"/>
      <c r="VHV46" s="375"/>
      <c r="VHW46" s="375"/>
      <c r="VHX46" s="375"/>
      <c r="VHY46" s="375"/>
      <c r="VHZ46" s="375"/>
      <c r="VIA46" s="375"/>
      <c r="VIB46" s="375"/>
      <c r="VIC46" s="375"/>
      <c r="VID46" s="375"/>
      <c r="VIE46" s="375"/>
      <c r="VIF46" s="375"/>
      <c r="VIG46" s="375"/>
      <c r="VIH46" s="375"/>
      <c r="VII46" s="375"/>
      <c r="VIJ46" s="375"/>
      <c r="VIK46" s="375"/>
      <c r="VIL46" s="375"/>
      <c r="VIM46" s="375"/>
      <c r="VIN46" s="375"/>
      <c r="VIO46" s="375"/>
      <c r="VIP46" s="375"/>
      <c r="VIQ46" s="375"/>
      <c r="VIR46" s="375"/>
      <c r="VIS46" s="375"/>
      <c r="VIT46" s="375"/>
      <c r="VIU46" s="375"/>
      <c r="VIV46" s="375"/>
      <c r="VIW46" s="375"/>
      <c r="VIX46" s="375"/>
      <c r="VIY46" s="375"/>
      <c r="VIZ46" s="375"/>
      <c r="VJA46" s="375"/>
      <c r="VJB46" s="375"/>
      <c r="VJC46" s="375"/>
      <c r="VJD46" s="375"/>
      <c r="VJE46" s="375"/>
      <c r="VJF46" s="375"/>
      <c r="VJG46" s="375"/>
      <c r="VJH46" s="375"/>
      <c r="VJI46" s="375"/>
      <c r="VJJ46" s="375"/>
      <c r="VJK46" s="375"/>
      <c r="VJL46" s="375"/>
      <c r="VJM46" s="375"/>
      <c r="VJN46" s="375"/>
      <c r="VJO46" s="375"/>
      <c r="VJP46" s="375"/>
      <c r="VJQ46" s="375"/>
      <c r="VJR46" s="375"/>
      <c r="VJS46" s="375"/>
      <c r="VJT46" s="375"/>
      <c r="VJU46" s="375"/>
      <c r="VJV46" s="375"/>
      <c r="VJW46" s="375"/>
      <c r="VJX46" s="375"/>
      <c r="VJY46" s="375"/>
      <c r="VJZ46" s="375"/>
      <c r="VKA46" s="375"/>
      <c r="VKB46" s="375"/>
      <c r="VKC46" s="375"/>
      <c r="VKD46" s="375"/>
      <c r="VKE46" s="375"/>
      <c r="VKF46" s="375"/>
      <c r="VKG46" s="375"/>
      <c r="VKH46" s="375"/>
      <c r="VKI46" s="375"/>
      <c r="VKJ46" s="375"/>
      <c r="VKK46" s="375"/>
      <c r="VKL46" s="375"/>
      <c r="VKM46" s="375"/>
      <c r="VKN46" s="375"/>
      <c r="VKO46" s="375"/>
      <c r="VKP46" s="375"/>
      <c r="VKQ46" s="375"/>
      <c r="VKR46" s="375"/>
      <c r="VKS46" s="375"/>
      <c r="VKT46" s="375"/>
      <c r="VKU46" s="375"/>
      <c r="VKV46" s="375"/>
      <c r="VKW46" s="375"/>
      <c r="VKX46" s="375"/>
      <c r="VKY46" s="375"/>
      <c r="VKZ46" s="375"/>
      <c r="VLA46" s="375"/>
      <c r="VLB46" s="375"/>
      <c r="VLC46" s="375"/>
      <c r="VLD46" s="375"/>
      <c r="VLE46" s="375"/>
      <c r="VLF46" s="375"/>
      <c r="VLG46" s="375"/>
      <c r="VLH46" s="375"/>
      <c r="VLI46" s="375"/>
      <c r="VLJ46" s="375"/>
      <c r="VLK46" s="375"/>
      <c r="VLL46" s="375"/>
      <c r="VLM46" s="375"/>
      <c r="VLN46" s="375"/>
      <c r="VLO46" s="375"/>
      <c r="VLP46" s="375"/>
      <c r="VLQ46" s="375"/>
      <c r="VLR46" s="375"/>
      <c r="VLS46" s="375"/>
      <c r="VLT46" s="375"/>
      <c r="VLU46" s="375"/>
      <c r="VLV46" s="375"/>
      <c r="VLW46" s="375"/>
      <c r="VLX46" s="375"/>
      <c r="VLY46" s="375"/>
      <c r="VLZ46" s="375"/>
      <c r="VMA46" s="375"/>
      <c r="VMB46" s="375"/>
      <c r="VMC46" s="375"/>
      <c r="VMD46" s="375"/>
      <c r="VME46" s="375"/>
      <c r="VMF46" s="375"/>
      <c r="VMG46" s="375"/>
      <c r="VMH46" s="375"/>
      <c r="VMI46" s="375"/>
      <c r="VMJ46" s="375"/>
      <c r="VMK46" s="375"/>
      <c r="VML46" s="375"/>
      <c r="VMM46" s="375"/>
      <c r="VMN46" s="375"/>
      <c r="VMO46" s="375"/>
      <c r="VMP46" s="375"/>
      <c r="VMQ46" s="375"/>
      <c r="VMR46" s="375"/>
      <c r="VMS46" s="375"/>
      <c r="VMT46" s="375"/>
      <c r="VMU46" s="375"/>
      <c r="VMV46" s="375"/>
      <c r="VMW46" s="375"/>
      <c r="VMX46" s="375"/>
      <c r="VMY46" s="375"/>
      <c r="VMZ46" s="375"/>
      <c r="VNA46" s="375"/>
      <c r="VNB46" s="375"/>
      <c r="VNC46" s="375"/>
      <c r="VND46" s="375"/>
      <c r="VNE46" s="375"/>
      <c r="VNF46" s="375"/>
      <c r="VNG46" s="375"/>
      <c r="VNH46" s="375"/>
      <c r="VNI46" s="375"/>
      <c r="VNJ46" s="375"/>
      <c r="VNK46" s="375"/>
      <c r="VNL46" s="375"/>
      <c r="VNM46" s="375"/>
      <c r="VNN46" s="375"/>
      <c r="VNO46" s="375"/>
      <c r="VNP46" s="375"/>
      <c r="VNQ46" s="375"/>
      <c r="VNR46" s="375"/>
      <c r="VNS46" s="375"/>
      <c r="VNT46" s="375"/>
      <c r="VNU46" s="375"/>
      <c r="VNV46" s="375"/>
      <c r="VNW46" s="375"/>
      <c r="VNX46" s="375"/>
      <c r="VNY46" s="375"/>
      <c r="VNZ46" s="375"/>
      <c r="VOA46" s="375"/>
      <c r="VOB46" s="375"/>
      <c r="VOC46" s="375"/>
      <c r="VOD46" s="375"/>
      <c r="VOE46" s="375"/>
      <c r="VOF46" s="375"/>
      <c r="VOG46" s="375"/>
      <c r="VOH46" s="375"/>
      <c r="VOI46" s="375"/>
      <c r="VOJ46" s="375"/>
      <c r="VOK46" s="375"/>
      <c r="VOL46" s="375"/>
      <c r="VOM46" s="375"/>
      <c r="VON46" s="375"/>
      <c r="VOO46" s="375"/>
      <c r="VOP46" s="375"/>
      <c r="VOQ46" s="375"/>
      <c r="VOR46" s="375"/>
      <c r="VOS46" s="375"/>
      <c r="VOT46" s="375"/>
      <c r="VOU46" s="375"/>
      <c r="VOV46" s="375"/>
      <c r="VOW46" s="375"/>
      <c r="VOX46" s="375"/>
      <c r="VOY46" s="375"/>
      <c r="VOZ46" s="375"/>
      <c r="VPA46" s="375"/>
      <c r="VPB46" s="375"/>
      <c r="VPC46" s="375"/>
      <c r="VPD46" s="375"/>
      <c r="VPE46" s="375"/>
      <c r="VPF46" s="375"/>
      <c r="VPG46" s="375"/>
      <c r="VPH46" s="375"/>
      <c r="VPI46" s="375"/>
      <c r="VPJ46" s="375"/>
      <c r="VPK46" s="375"/>
      <c r="VPL46" s="375"/>
      <c r="VPM46" s="375"/>
      <c r="VPN46" s="375"/>
      <c r="VPO46" s="375"/>
      <c r="VPP46" s="375"/>
      <c r="VPQ46" s="375"/>
      <c r="VPR46" s="375"/>
      <c r="VPS46" s="375"/>
      <c r="VPT46" s="375"/>
      <c r="VPU46" s="375"/>
      <c r="VPV46" s="375"/>
      <c r="VPW46" s="375"/>
      <c r="VPX46" s="375"/>
      <c r="VPY46" s="375"/>
      <c r="VPZ46" s="375"/>
      <c r="VQA46" s="375"/>
      <c r="VQB46" s="375"/>
      <c r="VQC46" s="375"/>
      <c r="VQD46" s="375"/>
      <c r="VQE46" s="375"/>
      <c r="VQF46" s="375"/>
      <c r="VQG46" s="375"/>
      <c r="VQH46" s="375"/>
      <c r="VQI46" s="375"/>
      <c r="VQJ46" s="375"/>
      <c r="VQK46" s="375"/>
      <c r="VQL46" s="375"/>
      <c r="VQM46" s="375"/>
      <c r="VQN46" s="375"/>
      <c r="VQO46" s="375"/>
      <c r="VQP46" s="375"/>
      <c r="VQQ46" s="375"/>
      <c r="VQR46" s="375"/>
      <c r="VQS46" s="375"/>
      <c r="VQT46" s="375"/>
      <c r="VQU46" s="375"/>
      <c r="VQV46" s="375"/>
      <c r="VQW46" s="375"/>
      <c r="VQX46" s="375"/>
      <c r="VQY46" s="375"/>
      <c r="VQZ46" s="375"/>
      <c r="VRA46" s="375"/>
      <c r="VRB46" s="375"/>
      <c r="VRC46" s="375"/>
      <c r="VRD46" s="375"/>
      <c r="VRE46" s="375"/>
      <c r="VRF46" s="375"/>
      <c r="VRG46" s="375"/>
      <c r="VRH46" s="375"/>
      <c r="VRI46" s="375"/>
      <c r="VRJ46" s="375"/>
      <c r="VRK46" s="375"/>
      <c r="VRL46" s="375"/>
      <c r="VRM46" s="375"/>
      <c r="VRN46" s="375"/>
      <c r="VRO46" s="375"/>
      <c r="VRP46" s="375"/>
      <c r="VRQ46" s="375"/>
      <c r="VRR46" s="375"/>
      <c r="VRS46" s="375"/>
      <c r="VRT46" s="375"/>
      <c r="VRU46" s="375"/>
      <c r="VRV46" s="375"/>
      <c r="VRW46" s="375"/>
      <c r="VRX46" s="375"/>
      <c r="VRY46" s="375"/>
      <c r="VRZ46" s="375"/>
      <c r="VSA46" s="375"/>
      <c r="VSB46" s="375"/>
      <c r="VSC46" s="375"/>
      <c r="VSD46" s="375"/>
      <c r="VSE46" s="375"/>
      <c r="VSF46" s="375"/>
      <c r="VSG46" s="375"/>
      <c r="VSH46" s="375"/>
      <c r="VSI46" s="375"/>
      <c r="VSJ46" s="375"/>
      <c r="VSK46" s="375"/>
      <c r="VSL46" s="375"/>
      <c r="VSM46" s="375"/>
      <c r="VSN46" s="375"/>
      <c r="VSO46" s="375"/>
      <c r="VSP46" s="375"/>
      <c r="VSQ46" s="375"/>
      <c r="VSR46" s="375"/>
      <c r="VSS46" s="375"/>
      <c r="VST46" s="375"/>
      <c r="VSU46" s="375"/>
      <c r="VSV46" s="375"/>
      <c r="VSW46" s="375"/>
      <c r="VSX46" s="375"/>
      <c r="VSY46" s="375"/>
      <c r="VSZ46" s="375"/>
      <c r="VTA46" s="375"/>
      <c r="VTB46" s="375"/>
      <c r="VTC46" s="375"/>
      <c r="VTD46" s="375"/>
      <c r="VTE46" s="375"/>
      <c r="VTF46" s="375"/>
      <c r="VTG46" s="375"/>
      <c r="VTH46" s="375"/>
      <c r="VTI46" s="375"/>
      <c r="VTJ46" s="375"/>
      <c r="VTK46" s="375"/>
      <c r="VTL46" s="375"/>
      <c r="VTM46" s="375"/>
      <c r="VTN46" s="375"/>
      <c r="VTO46" s="375"/>
      <c r="VTP46" s="375"/>
      <c r="VTQ46" s="375"/>
      <c r="VTR46" s="375"/>
      <c r="VTS46" s="375"/>
      <c r="VTT46" s="375"/>
      <c r="VTU46" s="375"/>
      <c r="VTV46" s="375"/>
      <c r="VTW46" s="375"/>
      <c r="VTX46" s="375"/>
      <c r="VTY46" s="375"/>
      <c r="VTZ46" s="375"/>
      <c r="VUA46" s="375"/>
      <c r="VUB46" s="375"/>
      <c r="VUC46" s="375"/>
      <c r="VUD46" s="375"/>
      <c r="VUE46" s="375"/>
      <c r="VUF46" s="375"/>
      <c r="VUG46" s="375"/>
      <c r="VUH46" s="375"/>
      <c r="VUI46" s="375"/>
      <c r="VUJ46" s="375"/>
      <c r="VUK46" s="375"/>
      <c r="VUL46" s="375"/>
      <c r="VUM46" s="375"/>
      <c r="VUN46" s="375"/>
      <c r="VUO46" s="375"/>
      <c r="VUP46" s="375"/>
      <c r="VUQ46" s="375"/>
      <c r="VUR46" s="375"/>
      <c r="VUS46" s="375"/>
      <c r="VUT46" s="375"/>
      <c r="VUU46" s="375"/>
      <c r="VUV46" s="375"/>
      <c r="VUW46" s="375"/>
      <c r="VUX46" s="375"/>
      <c r="VUY46" s="375"/>
      <c r="VUZ46" s="375"/>
      <c r="VVA46" s="375"/>
      <c r="VVB46" s="375"/>
      <c r="VVC46" s="375"/>
      <c r="VVD46" s="375"/>
      <c r="VVE46" s="375"/>
      <c r="VVF46" s="375"/>
      <c r="VVG46" s="375"/>
      <c r="VVH46" s="375"/>
      <c r="VVI46" s="375"/>
      <c r="VVJ46" s="375"/>
      <c r="VVK46" s="375"/>
      <c r="VVL46" s="375"/>
      <c r="VVM46" s="375"/>
      <c r="VVN46" s="375"/>
      <c r="VVO46" s="375"/>
      <c r="VVP46" s="375"/>
      <c r="VVQ46" s="375"/>
      <c r="VVR46" s="375"/>
      <c r="VVS46" s="375"/>
      <c r="VVT46" s="375"/>
      <c r="VVU46" s="375"/>
      <c r="VVV46" s="375"/>
      <c r="VVW46" s="375"/>
      <c r="VVX46" s="375"/>
      <c r="VVY46" s="375"/>
      <c r="VVZ46" s="375"/>
      <c r="VWA46" s="375"/>
      <c r="VWB46" s="375"/>
      <c r="VWC46" s="375"/>
      <c r="VWD46" s="375"/>
      <c r="VWE46" s="375"/>
      <c r="VWF46" s="375"/>
      <c r="VWG46" s="375"/>
      <c r="VWH46" s="375"/>
      <c r="VWI46" s="375"/>
      <c r="VWJ46" s="375"/>
      <c r="VWK46" s="375"/>
      <c r="VWL46" s="375"/>
      <c r="VWM46" s="375"/>
      <c r="VWN46" s="375"/>
      <c r="VWO46" s="375"/>
      <c r="VWP46" s="375"/>
      <c r="VWQ46" s="375"/>
      <c r="VWR46" s="375"/>
      <c r="VWS46" s="375"/>
      <c r="VWT46" s="375"/>
      <c r="VWU46" s="375"/>
      <c r="VWV46" s="375"/>
      <c r="VWW46" s="375"/>
      <c r="VWX46" s="375"/>
      <c r="VWY46" s="375"/>
      <c r="VWZ46" s="375"/>
      <c r="VXA46" s="375"/>
      <c r="VXB46" s="375"/>
      <c r="VXC46" s="375"/>
      <c r="VXD46" s="375"/>
      <c r="VXE46" s="375"/>
      <c r="VXF46" s="375"/>
      <c r="VXG46" s="375"/>
      <c r="VXH46" s="375"/>
      <c r="VXI46" s="375"/>
      <c r="VXJ46" s="375"/>
      <c r="VXK46" s="375"/>
      <c r="VXL46" s="375"/>
      <c r="VXM46" s="375"/>
      <c r="VXN46" s="375"/>
      <c r="VXO46" s="375"/>
      <c r="VXP46" s="375"/>
      <c r="VXQ46" s="375"/>
      <c r="VXR46" s="375"/>
      <c r="VXS46" s="375"/>
      <c r="VXT46" s="375"/>
      <c r="VXU46" s="375"/>
      <c r="VXV46" s="375"/>
      <c r="VXW46" s="375"/>
      <c r="VXX46" s="375"/>
      <c r="VXY46" s="375"/>
      <c r="VXZ46" s="375"/>
      <c r="VYA46" s="375"/>
      <c r="VYB46" s="375"/>
      <c r="VYC46" s="375"/>
      <c r="VYD46" s="375"/>
      <c r="VYE46" s="375"/>
      <c r="VYF46" s="375"/>
      <c r="VYG46" s="375"/>
      <c r="VYH46" s="375"/>
      <c r="VYI46" s="375"/>
      <c r="VYJ46" s="375"/>
      <c r="VYK46" s="375"/>
      <c r="VYL46" s="375"/>
      <c r="VYM46" s="375"/>
      <c r="VYN46" s="375"/>
      <c r="VYO46" s="375"/>
      <c r="VYP46" s="375"/>
      <c r="VYQ46" s="375"/>
      <c r="VYR46" s="375"/>
      <c r="VYS46" s="375"/>
      <c r="VYT46" s="375"/>
      <c r="VYU46" s="375"/>
      <c r="VYV46" s="375"/>
      <c r="VYW46" s="375"/>
      <c r="VYX46" s="375"/>
      <c r="VYY46" s="375"/>
      <c r="VYZ46" s="375"/>
      <c r="VZA46" s="375"/>
      <c r="VZB46" s="375"/>
      <c r="VZC46" s="375"/>
      <c r="VZD46" s="375"/>
      <c r="VZE46" s="375"/>
      <c r="VZF46" s="375"/>
      <c r="VZG46" s="375"/>
      <c r="VZH46" s="375"/>
      <c r="VZI46" s="375"/>
      <c r="VZJ46" s="375"/>
      <c r="VZK46" s="375"/>
      <c r="VZL46" s="375"/>
      <c r="VZM46" s="375"/>
      <c r="VZN46" s="375"/>
      <c r="VZO46" s="375"/>
      <c r="VZP46" s="375"/>
      <c r="VZQ46" s="375"/>
      <c r="VZR46" s="375"/>
      <c r="VZS46" s="375"/>
      <c r="VZT46" s="375"/>
      <c r="VZU46" s="375"/>
      <c r="VZV46" s="375"/>
      <c r="VZW46" s="375"/>
      <c r="VZX46" s="375"/>
      <c r="VZY46" s="375"/>
      <c r="VZZ46" s="375"/>
      <c r="WAA46" s="375"/>
      <c r="WAB46" s="375"/>
      <c r="WAC46" s="375"/>
      <c r="WAD46" s="375"/>
      <c r="WAE46" s="375"/>
      <c r="WAF46" s="375"/>
      <c r="WAG46" s="375"/>
      <c r="WAH46" s="375"/>
      <c r="WAI46" s="375"/>
      <c r="WAJ46" s="375"/>
      <c r="WAK46" s="375"/>
      <c r="WAL46" s="375"/>
      <c r="WAM46" s="375"/>
      <c r="WAN46" s="375"/>
      <c r="WAO46" s="375"/>
      <c r="WAP46" s="375"/>
      <c r="WAQ46" s="375"/>
      <c r="WAR46" s="375"/>
      <c r="WAS46" s="375"/>
      <c r="WAT46" s="375"/>
      <c r="WAU46" s="375"/>
      <c r="WAV46" s="375"/>
      <c r="WAW46" s="375"/>
      <c r="WAX46" s="375"/>
      <c r="WAY46" s="375"/>
      <c r="WAZ46" s="375"/>
      <c r="WBA46" s="375"/>
      <c r="WBB46" s="375"/>
      <c r="WBC46" s="375"/>
      <c r="WBD46" s="375"/>
      <c r="WBE46" s="375"/>
      <c r="WBF46" s="375"/>
      <c r="WBG46" s="375"/>
      <c r="WBH46" s="375"/>
      <c r="WBI46" s="375"/>
      <c r="WBJ46" s="375"/>
      <c r="WBK46" s="375"/>
      <c r="WBL46" s="375"/>
      <c r="WBM46" s="375"/>
      <c r="WBN46" s="375"/>
      <c r="WBO46" s="375"/>
      <c r="WBP46" s="375"/>
      <c r="WBQ46" s="375"/>
      <c r="WBR46" s="375"/>
      <c r="WBS46" s="375"/>
      <c r="WBT46" s="375"/>
      <c r="WBU46" s="375"/>
      <c r="WBV46" s="375"/>
      <c r="WBW46" s="375"/>
      <c r="WBX46" s="375"/>
      <c r="WBY46" s="375"/>
      <c r="WBZ46" s="375"/>
      <c r="WCA46" s="375"/>
      <c r="WCB46" s="375"/>
      <c r="WCC46" s="375"/>
      <c r="WCD46" s="375"/>
      <c r="WCE46" s="375"/>
      <c r="WCF46" s="375"/>
      <c r="WCG46" s="375"/>
      <c r="WCH46" s="375"/>
      <c r="WCI46" s="375"/>
      <c r="WCJ46" s="375"/>
      <c r="WCK46" s="375"/>
      <c r="WCL46" s="375"/>
      <c r="WCM46" s="375"/>
      <c r="WCN46" s="375"/>
      <c r="WCO46" s="375"/>
      <c r="WCP46" s="375"/>
      <c r="WCQ46" s="375"/>
      <c r="WCR46" s="375"/>
      <c r="WCS46" s="375"/>
      <c r="WCT46" s="375"/>
      <c r="WCU46" s="375"/>
      <c r="WCV46" s="375"/>
      <c r="WCW46" s="375"/>
      <c r="WCX46" s="375"/>
      <c r="WCY46" s="375"/>
      <c r="WCZ46" s="375"/>
      <c r="WDA46" s="375"/>
      <c r="WDB46" s="375"/>
      <c r="WDC46" s="375"/>
      <c r="WDD46" s="375"/>
      <c r="WDE46" s="375"/>
      <c r="WDF46" s="375"/>
      <c r="WDG46" s="375"/>
      <c r="WDH46" s="375"/>
      <c r="WDI46" s="375"/>
      <c r="WDJ46" s="375"/>
      <c r="WDK46" s="375"/>
      <c r="WDL46" s="375"/>
      <c r="WDM46" s="375"/>
      <c r="WDN46" s="375"/>
      <c r="WDO46" s="375"/>
      <c r="WDP46" s="375"/>
      <c r="WDQ46" s="375"/>
      <c r="WDR46" s="375"/>
      <c r="WDS46" s="375"/>
      <c r="WDT46" s="375"/>
      <c r="WDU46" s="375"/>
      <c r="WDV46" s="375"/>
      <c r="WDW46" s="375"/>
      <c r="WDX46" s="375"/>
      <c r="WDY46" s="375"/>
      <c r="WDZ46" s="375"/>
      <c r="WEA46" s="375"/>
      <c r="WEB46" s="375"/>
      <c r="WEC46" s="375"/>
      <c r="WED46" s="375"/>
      <c r="WEE46" s="375"/>
      <c r="WEF46" s="375"/>
      <c r="WEG46" s="375"/>
      <c r="WEH46" s="375"/>
      <c r="WEI46" s="375"/>
      <c r="WEJ46" s="375"/>
      <c r="WEK46" s="375"/>
      <c r="WEL46" s="375"/>
      <c r="WEM46" s="375"/>
      <c r="WEN46" s="375"/>
      <c r="WEO46" s="375"/>
      <c r="WEP46" s="375"/>
      <c r="WEQ46" s="375"/>
      <c r="WER46" s="375"/>
      <c r="WES46" s="375"/>
      <c r="WET46" s="375"/>
      <c r="WEU46" s="375"/>
      <c r="WEV46" s="375"/>
      <c r="WEW46" s="375"/>
      <c r="WEX46" s="375"/>
      <c r="WEY46" s="375"/>
      <c r="WEZ46" s="375"/>
      <c r="WFA46" s="375"/>
      <c r="WFB46" s="375"/>
      <c r="WFC46" s="375"/>
      <c r="WFD46" s="375"/>
      <c r="WFE46" s="375"/>
      <c r="WFF46" s="375"/>
      <c r="WFG46" s="375"/>
      <c r="WFH46" s="375"/>
      <c r="WFI46" s="375"/>
      <c r="WFJ46" s="375"/>
      <c r="WFK46" s="375"/>
      <c r="WFL46" s="375"/>
      <c r="WFM46" s="375"/>
      <c r="WFN46" s="375"/>
      <c r="WFO46" s="375"/>
      <c r="WFP46" s="375"/>
      <c r="WFQ46" s="375"/>
      <c r="WFR46" s="375"/>
      <c r="WFS46" s="375"/>
      <c r="WFT46" s="375"/>
      <c r="WFU46" s="375"/>
      <c r="WFV46" s="375"/>
      <c r="WFW46" s="375"/>
      <c r="WFX46" s="375"/>
      <c r="WFY46" s="375"/>
      <c r="WFZ46" s="375"/>
      <c r="WGA46" s="375"/>
      <c r="WGB46" s="375"/>
      <c r="WGC46" s="375"/>
      <c r="WGD46" s="375"/>
      <c r="WGE46" s="375"/>
      <c r="WGF46" s="375"/>
      <c r="WGG46" s="375"/>
      <c r="WGH46" s="375"/>
      <c r="WGI46" s="375"/>
      <c r="WGJ46" s="375"/>
      <c r="WGK46" s="375"/>
      <c r="WGL46" s="375"/>
      <c r="WGM46" s="375"/>
      <c r="WGN46" s="375"/>
      <c r="WGO46" s="375"/>
      <c r="WGP46" s="375"/>
      <c r="WGQ46" s="375"/>
      <c r="WGR46" s="375"/>
      <c r="WGS46" s="375"/>
      <c r="WGT46" s="375"/>
      <c r="WGU46" s="375"/>
      <c r="WGV46" s="375"/>
      <c r="WGW46" s="375"/>
      <c r="WGX46" s="375"/>
      <c r="WGY46" s="375"/>
      <c r="WGZ46" s="375"/>
      <c r="WHA46" s="375"/>
      <c r="WHB46" s="375"/>
      <c r="WHC46" s="375"/>
      <c r="WHD46" s="375"/>
      <c r="WHE46" s="375"/>
      <c r="WHF46" s="375"/>
      <c r="WHG46" s="375"/>
      <c r="WHH46" s="375"/>
      <c r="WHI46" s="375"/>
      <c r="WHJ46" s="375"/>
      <c r="WHK46" s="375"/>
      <c r="WHL46" s="375"/>
      <c r="WHM46" s="375"/>
      <c r="WHN46" s="375"/>
      <c r="WHO46" s="375"/>
      <c r="WHP46" s="375"/>
      <c r="WHQ46" s="375"/>
      <c r="WHR46" s="375"/>
      <c r="WHS46" s="375"/>
      <c r="WHT46" s="375"/>
      <c r="WHU46" s="375"/>
      <c r="WHV46" s="375"/>
      <c r="WHW46" s="375"/>
      <c r="WHX46" s="375"/>
      <c r="WHY46" s="375"/>
      <c r="WHZ46" s="375"/>
      <c r="WIA46" s="375"/>
      <c r="WIB46" s="375"/>
      <c r="WIC46" s="375"/>
      <c r="WID46" s="375"/>
      <c r="WIE46" s="375"/>
      <c r="WIF46" s="375"/>
      <c r="WIG46" s="375"/>
      <c r="WIH46" s="375"/>
      <c r="WII46" s="375"/>
      <c r="WIJ46" s="375"/>
      <c r="WIK46" s="375"/>
      <c r="WIL46" s="375"/>
      <c r="WIM46" s="375"/>
      <c r="WIN46" s="375"/>
      <c r="WIO46" s="375"/>
      <c r="WIP46" s="375"/>
      <c r="WIQ46" s="375"/>
      <c r="WIR46" s="375"/>
      <c r="WIS46" s="375"/>
      <c r="WIT46" s="375"/>
      <c r="WIU46" s="375"/>
      <c r="WIV46" s="375"/>
      <c r="WIW46" s="375"/>
      <c r="WIX46" s="375"/>
      <c r="WIY46" s="375"/>
      <c r="WIZ46" s="375"/>
      <c r="WJA46" s="375"/>
      <c r="WJB46" s="375"/>
      <c r="WJC46" s="375"/>
      <c r="WJD46" s="375"/>
      <c r="WJE46" s="375"/>
      <c r="WJF46" s="375"/>
      <c r="WJG46" s="375"/>
      <c r="WJH46" s="375"/>
      <c r="WJI46" s="375"/>
      <c r="WJJ46" s="375"/>
      <c r="WJK46" s="375"/>
      <c r="WJL46" s="375"/>
      <c r="WJM46" s="375"/>
      <c r="WJN46" s="375"/>
      <c r="WJO46" s="375"/>
      <c r="WJP46" s="375"/>
      <c r="WJQ46" s="375"/>
      <c r="WJR46" s="375"/>
      <c r="WJS46" s="375"/>
      <c r="WJT46" s="375"/>
      <c r="WJU46" s="375"/>
      <c r="WJV46" s="375"/>
      <c r="WJW46" s="375"/>
      <c r="WJX46" s="375"/>
      <c r="WJY46" s="375"/>
      <c r="WJZ46" s="375"/>
      <c r="WKA46" s="375"/>
      <c r="WKB46" s="375"/>
      <c r="WKC46" s="375"/>
      <c r="WKD46" s="375"/>
      <c r="WKE46" s="375"/>
      <c r="WKF46" s="375"/>
      <c r="WKG46" s="375"/>
      <c r="WKH46" s="375"/>
      <c r="WKI46" s="375"/>
      <c r="WKJ46" s="375"/>
      <c r="WKK46" s="375"/>
      <c r="WKL46" s="375"/>
      <c r="WKM46" s="375"/>
      <c r="WKN46" s="375"/>
      <c r="WKO46" s="375"/>
      <c r="WKP46" s="375"/>
      <c r="WKQ46" s="375"/>
      <c r="WKR46" s="375"/>
      <c r="WKS46" s="375"/>
      <c r="WKT46" s="375"/>
      <c r="WKU46" s="375"/>
      <c r="WKV46" s="375"/>
      <c r="WKW46" s="375"/>
      <c r="WKX46" s="375"/>
      <c r="WKY46" s="375"/>
      <c r="WKZ46" s="375"/>
      <c r="WLA46" s="375"/>
      <c r="WLB46" s="375"/>
      <c r="WLC46" s="375"/>
      <c r="WLD46" s="375"/>
      <c r="WLE46" s="375"/>
      <c r="WLF46" s="375"/>
      <c r="WLG46" s="375"/>
      <c r="WLH46" s="375"/>
      <c r="WLI46" s="375"/>
      <c r="WLJ46" s="375"/>
      <c r="WLK46" s="375"/>
      <c r="WLL46" s="375"/>
      <c r="WLM46" s="375"/>
      <c r="WLN46" s="375"/>
      <c r="WLO46" s="375"/>
      <c r="WLP46" s="375"/>
      <c r="WLQ46" s="375"/>
      <c r="WLR46" s="375"/>
      <c r="WLS46" s="375"/>
      <c r="WLT46" s="375"/>
      <c r="WLU46" s="375"/>
      <c r="WLV46" s="375"/>
      <c r="WLW46" s="375"/>
      <c r="WLX46" s="375"/>
      <c r="WLY46" s="375"/>
      <c r="WLZ46" s="375"/>
      <c r="WMA46" s="375"/>
      <c r="WMB46" s="375"/>
      <c r="WMC46" s="375"/>
      <c r="WMD46" s="375"/>
      <c r="WME46" s="375"/>
      <c r="WMF46" s="375"/>
      <c r="WMG46" s="375"/>
      <c r="WMH46" s="375"/>
      <c r="WMI46" s="375"/>
      <c r="WMJ46" s="375"/>
      <c r="WMK46" s="375"/>
      <c r="WML46" s="375"/>
      <c r="WMM46" s="375"/>
      <c r="WMN46" s="375"/>
      <c r="WMO46" s="375"/>
      <c r="WMP46" s="375"/>
      <c r="WMQ46" s="375"/>
      <c r="WMR46" s="375"/>
      <c r="WMS46" s="375"/>
      <c r="WMT46" s="375"/>
      <c r="WMU46" s="375"/>
      <c r="WMV46" s="375"/>
      <c r="WMW46" s="375"/>
      <c r="WMX46" s="375"/>
      <c r="WMY46" s="375"/>
      <c r="WMZ46" s="375"/>
      <c r="WNA46" s="375"/>
      <c r="WNB46" s="375"/>
      <c r="WNC46" s="375"/>
      <c r="WND46" s="375"/>
      <c r="WNE46" s="375"/>
      <c r="WNF46" s="375"/>
      <c r="WNG46" s="375"/>
      <c r="WNH46" s="375"/>
      <c r="WNI46" s="375"/>
      <c r="WNJ46" s="375"/>
      <c r="WNK46" s="375"/>
      <c r="WNL46" s="375"/>
      <c r="WNM46" s="375"/>
      <c r="WNN46" s="375"/>
      <c r="WNO46" s="375"/>
      <c r="WNP46" s="375"/>
      <c r="WNQ46" s="375"/>
      <c r="WNR46" s="375"/>
      <c r="WNS46" s="375"/>
      <c r="WNT46" s="375"/>
      <c r="WNU46" s="375"/>
      <c r="WNV46" s="375"/>
      <c r="WNW46" s="375"/>
      <c r="WNX46" s="375"/>
      <c r="WNY46" s="375"/>
      <c r="WNZ46" s="375"/>
      <c r="WOA46" s="375"/>
      <c r="WOB46" s="375"/>
      <c r="WOC46" s="375"/>
      <c r="WOD46" s="375"/>
      <c r="WOE46" s="375"/>
      <c r="WOF46" s="375"/>
      <c r="WOG46" s="375"/>
      <c r="WOH46" s="375"/>
      <c r="WOI46" s="375"/>
      <c r="WOJ46" s="375"/>
      <c r="WOK46" s="375"/>
      <c r="WOL46" s="375"/>
      <c r="WOM46" s="375"/>
      <c r="WON46" s="375"/>
      <c r="WOO46" s="375"/>
      <c r="WOP46" s="375"/>
      <c r="WOQ46" s="375"/>
      <c r="WOR46" s="375"/>
      <c r="WOS46" s="375"/>
      <c r="WOT46" s="375"/>
      <c r="WOU46" s="375"/>
      <c r="WOV46" s="375"/>
      <c r="WOW46" s="375"/>
      <c r="WOX46" s="375"/>
      <c r="WOY46" s="375"/>
      <c r="WOZ46" s="375"/>
      <c r="WPA46" s="375"/>
      <c r="WPB46" s="375"/>
      <c r="WPC46" s="375"/>
      <c r="WPD46" s="375"/>
      <c r="WPE46" s="375"/>
      <c r="WPF46" s="375"/>
      <c r="WPG46" s="375"/>
      <c r="WPH46" s="375"/>
      <c r="WPI46" s="375"/>
      <c r="WPJ46" s="375"/>
      <c r="WPK46" s="375"/>
      <c r="WPL46" s="375"/>
      <c r="WPM46" s="375"/>
      <c r="WPN46" s="375"/>
      <c r="WPO46" s="375"/>
      <c r="WPP46" s="375"/>
      <c r="WPQ46" s="375"/>
      <c r="WPR46" s="375"/>
      <c r="WPS46" s="375"/>
      <c r="WPT46" s="375"/>
      <c r="WPU46" s="375"/>
      <c r="WPV46" s="375"/>
      <c r="WPW46" s="375"/>
      <c r="WPX46" s="375"/>
      <c r="WPY46" s="375"/>
      <c r="WPZ46" s="375"/>
      <c r="WQA46" s="375"/>
      <c r="WQB46" s="375"/>
      <c r="WQC46" s="375"/>
      <c r="WQD46" s="375"/>
      <c r="WQE46" s="375"/>
      <c r="WQF46" s="375"/>
      <c r="WQG46" s="375"/>
      <c r="WQH46" s="375"/>
      <c r="WQI46" s="375"/>
      <c r="WQJ46" s="375"/>
      <c r="WQK46" s="375"/>
      <c r="WQL46" s="375"/>
      <c r="WQM46" s="375"/>
      <c r="WQN46" s="375"/>
      <c r="WQO46" s="375"/>
      <c r="WQP46" s="375"/>
      <c r="WQQ46" s="375"/>
      <c r="WQR46" s="375"/>
      <c r="WQS46" s="375"/>
      <c r="WQT46" s="375"/>
      <c r="WQU46" s="375"/>
      <c r="WQV46" s="375"/>
      <c r="WQW46" s="375"/>
      <c r="WQX46" s="375"/>
      <c r="WQY46" s="375"/>
      <c r="WQZ46" s="375"/>
      <c r="WRA46" s="375"/>
      <c r="WRB46" s="375"/>
      <c r="WRC46" s="375"/>
      <c r="WRD46" s="375"/>
      <c r="WRE46" s="375"/>
      <c r="WRF46" s="375"/>
      <c r="WRG46" s="375"/>
      <c r="WRH46" s="375"/>
      <c r="WRI46" s="375"/>
      <c r="WRJ46" s="375"/>
      <c r="WRK46" s="375"/>
      <c r="WRL46" s="375"/>
      <c r="WRM46" s="375"/>
      <c r="WRN46" s="375"/>
      <c r="WRO46" s="375"/>
      <c r="WRP46" s="375"/>
      <c r="WRQ46" s="375"/>
      <c r="WRR46" s="375"/>
      <c r="WRS46" s="375"/>
      <c r="WRT46" s="375"/>
      <c r="WRU46" s="375"/>
      <c r="WRV46" s="375"/>
      <c r="WRW46" s="375"/>
      <c r="WRX46" s="375"/>
      <c r="WRY46" s="375"/>
      <c r="WRZ46" s="375"/>
      <c r="WSA46" s="375"/>
      <c r="WSB46" s="375"/>
      <c r="WSC46" s="375"/>
      <c r="WSD46" s="375"/>
      <c r="WSE46" s="375"/>
      <c r="WSF46" s="375"/>
      <c r="WSG46" s="375"/>
      <c r="WSH46" s="375"/>
      <c r="WSI46" s="375"/>
      <c r="WSJ46" s="375"/>
      <c r="WSK46" s="375"/>
      <c r="WSL46" s="375"/>
      <c r="WSM46" s="375"/>
      <c r="WSN46" s="375"/>
      <c r="WSO46" s="375"/>
      <c r="WSP46" s="375"/>
      <c r="WSQ46" s="375"/>
      <c r="WSR46" s="375"/>
      <c r="WSS46" s="375"/>
      <c r="WST46" s="375"/>
      <c r="WSU46" s="375"/>
      <c r="WSV46" s="375"/>
      <c r="WSW46" s="375"/>
      <c r="WSX46" s="375"/>
      <c r="WSY46" s="375"/>
      <c r="WSZ46" s="375"/>
      <c r="WTA46" s="375"/>
      <c r="WTB46" s="375"/>
      <c r="WTC46" s="375"/>
      <c r="WTD46" s="375"/>
      <c r="WTE46" s="375"/>
      <c r="WTF46" s="375"/>
      <c r="WTG46" s="375"/>
      <c r="WTH46" s="375"/>
      <c r="WTI46" s="375"/>
      <c r="WTJ46" s="375"/>
      <c r="WTK46" s="375"/>
      <c r="WTL46" s="375"/>
      <c r="WTM46" s="375"/>
      <c r="WTN46" s="375"/>
      <c r="WTO46" s="375"/>
      <c r="WTP46" s="375"/>
      <c r="WTQ46" s="375"/>
      <c r="WTR46" s="375"/>
      <c r="WTS46" s="375"/>
      <c r="WTT46" s="375"/>
      <c r="WTU46" s="375"/>
      <c r="WTV46" s="375"/>
      <c r="WTW46" s="375"/>
      <c r="WTX46" s="375"/>
      <c r="WTY46" s="375"/>
      <c r="WTZ46" s="375"/>
      <c r="WUA46" s="375"/>
      <c r="WUB46" s="375"/>
      <c r="WUC46" s="375"/>
      <c r="WUD46" s="375"/>
      <c r="WUE46" s="375"/>
      <c r="WUF46" s="375"/>
      <c r="WUG46" s="375"/>
      <c r="WUH46" s="375"/>
      <c r="WUI46" s="375"/>
      <c r="WUJ46" s="375"/>
      <c r="WUK46" s="375"/>
      <c r="WUL46" s="375"/>
      <c r="WUM46" s="375"/>
      <c r="WUN46" s="375"/>
      <c r="WUO46" s="375"/>
      <c r="WUP46" s="375"/>
      <c r="WUQ46" s="375"/>
      <c r="WUR46" s="375"/>
      <c r="WUS46" s="375"/>
      <c r="WUT46" s="375"/>
      <c r="WUU46" s="375"/>
      <c r="WUV46" s="375"/>
      <c r="WUW46" s="375"/>
      <c r="WUX46" s="375"/>
      <c r="WUY46" s="375"/>
      <c r="WUZ46" s="375"/>
      <c r="WVA46" s="375"/>
      <c r="WVB46" s="375"/>
      <c r="WVC46" s="375"/>
      <c r="WVD46" s="375"/>
      <c r="WVE46" s="375"/>
      <c r="WVF46" s="375"/>
      <c r="WVG46" s="375"/>
      <c r="WVH46" s="375"/>
      <c r="WVI46" s="375"/>
      <c r="WVJ46" s="375"/>
      <c r="WVK46" s="375"/>
      <c r="WVL46" s="375"/>
      <c r="WVM46" s="375"/>
      <c r="WVN46" s="375"/>
      <c r="WVO46" s="375"/>
      <c r="WVP46" s="375"/>
      <c r="WVQ46" s="375"/>
      <c r="WVR46" s="375"/>
      <c r="WVS46" s="375"/>
      <c r="WVT46" s="375"/>
      <c r="WVU46" s="375"/>
      <c r="WVV46" s="375"/>
      <c r="WVW46" s="375"/>
      <c r="WVX46" s="375"/>
      <c r="WVY46" s="375"/>
      <c r="WVZ46" s="375"/>
      <c r="WWA46" s="375"/>
      <c r="WWB46" s="375"/>
      <c r="WWC46" s="375"/>
      <c r="WWD46" s="375"/>
      <c r="WWE46" s="375"/>
      <c r="WWF46" s="375"/>
      <c r="WWG46" s="375"/>
      <c r="WWH46" s="375"/>
      <c r="WWI46" s="375"/>
      <c r="WWJ46" s="375"/>
      <c r="WWK46" s="375"/>
      <c r="WWL46" s="375"/>
      <c r="WWM46" s="375"/>
      <c r="WWN46" s="375"/>
      <c r="WWO46" s="375"/>
      <c r="WWP46" s="375"/>
      <c r="WWQ46" s="375"/>
      <c r="WWR46" s="375"/>
      <c r="WWS46" s="375"/>
      <c r="WWT46" s="375"/>
      <c r="WWU46" s="375"/>
      <c r="WWV46" s="375"/>
      <c r="WWW46" s="375"/>
      <c r="WWX46" s="375"/>
      <c r="WWY46" s="375"/>
      <c r="WWZ46" s="375"/>
      <c r="WXA46" s="375"/>
      <c r="WXB46" s="375"/>
      <c r="WXC46" s="375"/>
      <c r="WXD46" s="375"/>
      <c r="WXE46" s="375"/>
      <c r="WXF46" s="375"/>
      <c r="WXG46" s="375"/>
      <c r="WXH46" s="375"/>
      <c r="WXI46" s="375"/>
      <c r="WXJ46" s="375"/>
      <c r="WXK46" s="375"/>
      <c r="WXL46" s="375"/>
      <c r="WXM46" s="375"/>
      <c r="WXN46" s="375"/>
      <c r="WXO46" s="375"/>
      <c r="WXP46" s="375"/>
      <c r="WXQ46" s="375"/>
      <c r="WXR46" s="375"/>
      <c r="WXS46" s="375"/>
      <c r="WXT46" s="375"/>
      <c r="WXU46" s="375"/>
      <c r="WXV46" s="375"/>
      <c r="WXW46" s="375"/>
      <c r="WXX46" s="375"/>
      <c r="WXY46" s="375"/>
      <c r="WXZ46" s="375"/>
      <c r="WYA46" s="375"/>
      <c r="WYB46" s="375"/>
      <c r="WYC46" s="375"/>
      <c r="WYD46" s="375"/>
      <c r="WYE46" s="375"/>
      <c r="WYF46" s="375"/>
      <c r="WYG46" s="375"/>
      <c r="WYH46" s="375"/>
      <c r="WYI46" s="375"/>
      <c r="WYJ46" s="375"/>
      <c r="WYK46" s="375"/>
      <c r="WYL46" s="375"/>
      <c r="WYM46" s="375"/>
      <c r="WYN46" s="375"/>
      <c r="WYO46" s="375"/>
      <c r="WYP46" s="375"/>
      <c r="WYQ46" s="375"/>
      <c r="WYR46" s="375"/>
      <c r="WYS46" s="375"/>
      <c r="WYT46" s="375"/>
      <c r="WYU46" s="375"/>
      <c r="WYV46" s="375"/>
      <c r="WYW46" s="375"/>
      <c r="WYX46" s="375"/>
      <c r="WYY46" s="375"/>
      <c r="WYZ46" s="375"/>
      <c r="WZA46" s="375"/>
      <c r="WZB46" s="375"/>
      <c r="WZC46" s="375"/>
      <c r="WZD46" s="375"/>
      <c r="WZE46" s="375"/>
      <c r="WZF46" s="375"/>
      <c r="WZG46" s="375"/>
      <c r="WZH46" s="375"/>
      <c r="WZI46" s="375"/>
      <c r="WZJ46" s="375"/>
      <c r="WZK46" s="375"/>
      <c r="WZL46" s="375"/>
      <c r="WZM46" s="375"/>
      <c r="WZN46" s="375"/>
      <c r="WZO46" s="375"/>
      <c r="WZP46" s="375"/>
      <c r="WZQ46" s="375"/>
      <c r="WZR46" s="375"/>
      <c r="WZS46" s="375"/>
      <c r="WZT46" s="375"/>
      <c r="WZU46" s="375"/>
      <c r="WZV46" s="375"/>
      <c r="WZW46" s="375"/>
      <c r="WZX46" s="375"/>
      <c r="WZY46" s="375"/>
      <c r="WZZ46" s="375"/>
      <c r="XAA46" s="375"/>
      <c r="XAB46" s="375"/>
      <c r="XAC46" s="375"/>
      <c r="XAD46" s="375"/>
      <c r="XAE46" s="375"/>
      <c r="XAF46" s="375"/>
      <c r="XAG46" s="375"/>
      <c r="XAH46" s="375"/>
      <c r="XAI46" s="375"/>
      <c r="XAJ46" s="375"/>
      <c r="XAK46" s="375"/>
      <c r="XAL46" s="375"/>
      <c r="XAM46" s="375"/>
      <c r="XAN46" s="375"/>
      <c r="XAO46" s="375"/>
      <c r="XAP46" s="375"/>
      <c r="XAQ46" s="375"/>
      <c r="XAR46" s="375"/>
      <c r="XAS46" s="375"/>
      <c r="XAT46" s="375"/>
      <c r="XAU46" s="375"/>
      <c r="XAV46" s="375"/>
      <c r="XAW46" s="375"/>
      <c r="XAX46" s="375"/>
      <c r="XAY46" s="375"/>
      <c r="XAZ46" s="375"/>
      <c r="XBA46" s="375"/>
      <c r="XBB46" s="375"/>
      <c r="XBC46" s="375"/>
      <c r="XBD46" s="375"/>
      <c r="XBE46" s="375"/>
      <c r="XBF46" s="375"/>
      <c r="XBG46" s="375"/>
      <c r="XBH46" s="375"/>
      <c r="XBI46" s="375"/>
      <c r="XBJ46" s="375"/>
      <c r="XBK46" s="375"/>
      <c r="XBL46" s="375"/>
      <c r="XBM46" s="375"/>
      <c r="XBN46" s="375"/>
      <c r="XBO46" s="375"/>
      <c r="XBP46" s="375"/>
      <c r="XBQ46" s="375"/>
      <c r="XBR46" s="375"/>
      <c r="XBS46" s="375"/>
      <c r="XBT46" s="375"/>
      <c r="XBU46" s="375"/>
      <c r="XBV46" s="375"/>
      <c r="XBW46" s="375"/>
      <c r="XBX46" s="375"/>
      <c r="XBY46" s="375"/>
      <c r="XBZ46" s="375"/>
      <c r="XCA46" s="375"/>
      <c r="XCB46" s="375"/>
      <c r="XCC46" s="375"/>
      <c r="XCD46" s="375"/>
      <c r="XCE46" s="375"/>
      <c r="XCF46" s="375"/>
      <c r="XCG46" s="375"/>
      <c r="XCH46" s="375"/>
      <c r="XCI46" s="375"/>
      <c r="XCJ46" s="375"/>
      <c r="XCK46" s="375"/>
      <c r="XCL46" s="375"/>
      <c r="XCM46" s="375"/>
      <c r="XCN46" s="375"/>
      <c r="XCO46" s="375"/>
      <c r="XCP46" s="375"/>
      <c r="XCQ46" s="375"/>
      <c r="XCR46" s="375"/>
      <c r="XCS46" s="375"/>
      <c r="XCT46" s="375"/>
      <c r="XCU46" s="375"/>
      <c r="XCV46" s="375"/>
      <c r="XCW46" s="375"/>
      <c r="XCX46" s="375"/>
      <c r="XCY46" s="375"/>
      <c r="XCZ46" s="375"/>
      <c r="XDA46" s="375"/>
      <c r="XDB46" s="375"/>
      <c r="XDC46" s="375"/>
      <c r="XDD46" s="375"/>
      <c r="XDE46" s="375"/>
      <c r="XDF46" s="375"/>
      <c r="XDG46" s="375"/>
      <c r="XDH46" s="375"/>
      <c r="XDI46" s="375"/>
      <c r="XDJ46" s="375"/>
      <c r="XDK46" s="375"/>
      <c r="XDL46" s="375"/>
      <c r="XDM46" s="375"/>
      <c r="XDN46" s="375"/>
      <c r="XDO46" s="375"/>
      <c r="XDP46" s="375"/>
      <c r="XDQ46" s="375"/>
      <c r="XDR46" s="375"/>
      <c r="XDS46" s="375"/>
      <c r="XDT46" s="375"/>
      <c r="XDU46" s="375"/>
      <c r="XDV46" s="375"/>
      <c r="XDW46" s="375"/>
      <c r="XDX46" s="375"/>
      <c r="XDY46" s="375"/>
      <c r="XDZ46" s="375"/>
      <c r="XEA46" s="375"/>
      <c r="XEB46" s="375"/>
      <c r="XEC46" s="375"/>
      <c r="XED46" s="375"/>
      <c r="XEE46" s="375"/>
      <c r="XEF46" s="375"/>
      <c r="XEG46" s="375"/>
      <c r="XEH46" s="375"/>
      <c r="XEI46" s="375"/>
      <c r="XEJ46" s="375"/>
      <c r="XEK46" s="375"/>
      <c r="XEL46" s="375"/>
      <c r="XEM46" s="375"/>
      <c r="XEN46" s="375"/>
      <c r="XEO46" s="375"/>
      <c r="XEP46" s="375"/>
      <c r="XEQ46" s="375"/>
      <c r="XER46" s="375"/>
      <c r="XES46" s="375"/>
      <c r="XET46" s="375"/>
      <c r="XEU46" s="375"/>
      <c r="XEV46" s="375"/>
      <c r="XEW46" s="375"/>
      <c r="XEX46" s="375"/>
      <c r="XEY46" s="375"/>
      <c r="XEZ46" s="375"/>
      <c r="XFA46" s="375"/>
      <c r="XFB46" s="375"/>
      <c r="XFC46" s="375"/>
      <c r="XFD46" s="375"/>
    </row>
    <row r="47" spans="1:16384" x14ac:dyDescent="0.25">
      <c r="B47" s="398" t="s">
        <v>503</v>
      </c>
    </row>
    <row r="48" spans="1:16384" x14ac:dyDescent="0.25">
      <c r="B48" s="375" t="s">
        <v>504</v>
      </c>
    </row>
    <row r="49" spans="2:32" x14ac:dyDescent="0.25">
      <c r="B49" s="375" t="s">
        <v>598</v>
      </c>
    </row>
    <row r="50" spans="2:32" x14ac:dyDescent="0.25">
      <c r="B50" s="2132" t="s">
        <v>1050</v>
      </c>
    </row>
    <row r="51" spans="2:32" x14ac:dyDescent="0.25">
      <c r="B51" s="897"/>
    </row>
    <row r="52" spans="2:32" x14ac:dyDescent="0.25">
      <c r="B52" s="897"/>
    </row>
    <row r="53" spans="2:32" x14ac:dyDescent="0.25">
      <c r="B53" s="897" t="s">
        <v>699</v>
      </c>
    </row>
    <row r="54" spans="2:32" x14ac:dyDescent="0.25">
      <c r="B54" s="897"/>
    </row>
    <row r="55" spans="2:32" x14ac:dyDescent="0.25">
      <c r="B55" s="2478" t="s">
        <v>279</v>
      </c>
      <c r="C55" s="2468" t="s">
        <v>483</v>
      </c>
      <c r="D55" s="2469"/>
      <c r="E55" s="2470"/>
      <c r="F55" s="2481" t="s">
        <v>484</v>
      </c>
      <c r="G55" s="2468" t="s">
        <v>1728</v>
      </c>
      <c r="H55" s="2469"/>
      <c r="I55" s="2469"/>
      <c r="J55" s="2469"/>
      <c r="K55" s="2470"/>
      <c r="L55" s="2477" t="s">
        <v>486</v>
      </c>
      <c r="M55" s="2477"/>
      <c r="N55" s="2477"/>
      <c r="O55" s="2477" t="s">
        <v>487</v>
      </c>
      <c r="P55" s="2477"/>
      <c r="Q55" s="2477"/>
      <c r="R55" s="2477" t="s">
        <v>597</v>
      </c>
      <c r="S55" s="2477"/>
      <c r="T55" s="2477"/>
      <c r="U55" s="2477" t="s">
        <v>595</v>
      </c>
      <c r="V55" s="2477"/>
      <c r="W55" s="2477"/>
      <c r="X55" s="2477" t="s">
        <v>596</v>
      </c>
      <c r="Y55" s="2477"/>
      <c r="Z55" s="2477"/>
      <c r="AA55" s="2476" t="s">
        <v>500</v>
      </c>
      <c r="AB55" s="2476"/>
      <c r="AC55" s="2476"/>
      <c r="AD55" s="2476" t="s">
        <v>501</v>
      </c>
      <c r="AE55" s="2476"/>
      <c r="AF55" s="2476"/>
    </row>
    <row r="56" spans="2:32" x14ac:dyDescent="0.25">
      <c r="B56" s="2479"/>
      <c r="C56" s="2474" t="s">
        <v>488</v>
      </c>
      <c r="D56" s="2474" t="s">
        <v>489</v>
      </c>
      <c r="E56" s="2474" t="s">
        <v>145</v>
      </c>
      <c r="F56" s="2482"/>
      <c r="G56" s="2468" t="s">
        <v>502</v>
      </c>
      <c r="H56" s="2469"/>
      <c r="I56" s="2470"/>
      <c r="J56" s="2474" t="s">
        <v>492</v>
      </c>
      <c r="K56" s="2474" t="s">
        <v>594</v>
      </c>
      <c r="L56" s="2474" t="s">
        <v>490</v>
      </c>
      <c r="M56" s="2474" t="s">
        <v>491</v>
      </c>
      <c r="N56" s="2474" t="s">
        <v>145</v>
      </c>
      <c r="O56" s="2474" t="s">
        <v>490</v>
      </c>
      <c r="P56" s="2474" t="s">
        <v>491</v>
      </c>
      <c r="Q56" s="2474" t="s">
        <v>145</v>
      </c>
      <c r="R56" s="2474" t="s">
        <v>490</v>
      </c>
      <c r="S56" s="2474" t="s">
        <v>491</v>
      </c>
      <c r="T56" s="2474" t="s">
        <v>145</v>
      </c>
      <c r="U56" s="2474" t="s">
        <v>490</v>
      </c>
      <c r="V56" s="2474" t="s">
        <v>491</v>
      </c>
      <c r="W56" s="2474" t="s">
        <v>145</v>
      </c>
      <c r="X56" s="2474" t="s">
        <v>490</v>
      </c>
      <c r="Y56" s="2474" t="s">
        <v>491</v>
      </c>
      <c r="Z56" s="2474" t="s">
        <v>145</v>
      </c>
      <c r="AA56" s="2472" t="s">
        <v>490</v>
      </c>
      <c r="AB56" s="2472" t="s">
        <v>491</v>
      </c>
      <c r="AC56" s="2472" t="s">
        <v>145</v>
      </c>
      <c r="AD56" s="2472" t="s">
        <v>490</v>
      </c>
      <c r="AE56" s="2472" t="s">
        <v>491</v>
      </c>
      <c r="AF56" s="2472" t="s">
        <v>145</v>
      </c>
    </row>
    <row r="57" spans="2:32" ht="28" x14ac:dyDescent="0.25">
      <c r="B57" s="2480"/>
      <c r="C57" s="2475"/>
      <c r="D57" s="2475"/>
      <c r="E57" s="2475"/>
      <c r="F57" s="2483"/>
      <c r="G57" s="898" t="s">
        <v>772</v>
      </c>
      <c r="H57" s="898" t="s">
        <v>517</v>
      </c>
      <c r="I57" s="898" t="s">
        <v>145</v>
      </c>
      <c r="J57" s="2475"/>
      <c r="K57" s="2475"/>
      <c r="L57" s="2475"/>
      <c r="M57" s="2475"/>
      <c r="N57" s="2475"/>
      <c r="O57" s="2475"/>
      <c r="P57" s="2475"/>
      <c r="Q57" s="2475"/>
      <c r="R57" s="2475"/>
      <c r="S57" s="2475"/>
      <c r="T57" s="2475"/>
      <c r="U57" s="2475"/>
      <c r="V57" s="2475"/>
      <c r="W57" s="2475"/>
      <c r="X57" s="2475"/>
      <c r="Y57" s="2475"/>
      <c r="Z57" s="2475"/>
      <c r="AA57" s="2473"/>
      <c r="AB57" s="2473"/>
      <c r="AC57" s="2473"/>
      <c r="AD57" s="2473"/>
      <c r="AE57" s="2473"/>
      <c r="AF57" s="2473"/>
    </row>
    <row r="58" spans="2:32" x14ac:dyDescent="0.25">
      <c r="B58" s="379" t="s">
        <v>293</v>
      </c>
      <c r="C58" s="390"/>
      <c r="D58" s="390"/>
      <c r="E58" s="390"/>
      <c r="F58" s="2215">
        <v>3926.9620599</v>
      </c>
      <c r="G58" s="353"/>
      <c r="H58" s="353"/>
      <c r="I58" s="353"/>
      <c r="J58" s="353"/>
      <c r="K58" s="353"/>
      <c r="L58" s="353"/>
      <c r="M58" s="353"/>
      <c r="N58" s="353"/>
      <c r="O58" s="353"/>
      <c r="P58" s="353"/>
      <c r="Q58" s="353"/>
      <c r="R58" s="353"/>
      <c r="S58" s="353"/>
      <c r="T58" s="353"/>
      <c r="U58" s="353"/>
      <c r="V58" s="353"/>
      <c r="W58" s="353"/>
      <c r="X58" s="353"/>
      <c r="Y58" s="353"/>
      <c r="Z58" s="353"/>
      <c r="AA58" s="459"/>
      <c r="AB58" s="459"/>
      <c r="AC58" s="459"/>
      <c r="AD58" s="459"/>
      <c r="AE58" s="459"/>
      <c r="AF58" s="459"/>
    </row>
    <row r="59" spans="2:32" s="398" customFormat="1" x14ac:dyDescent="0.25">
      <c r="B59" s="379"/>
      <c r="C59" s="390"/>
      <c r="D59" s="390"/>
      <c r="E59" s="390"/>
      <c r="F59" s="2216"/>
      <c r="G59" s="353"/>
      <c r="H59" s="353"/>
      <c r="I59" s="353"/>
      <c r="J59" s="353"/>
      <c r="K59" s="353"/>
      <c r="L59" s="353"/>
      <c r="M59" s="354"/>
      <c r="N59" s="354"/>
      <c r="O59" s="354"/>
      <c r="P59" s="354"/>
      <c r="Q59" s="354"/>
      <c r="R59" s="354"/>
      <c r="S59" s="354"/>
      <c r="T59" s="354"/>
      <c r="U59" s="354"/>
      <c r="V59" s="354"/>
      <c r="W59" s="353"/>
      <c r="X59" s="353"/>
      <c r="Y59" s="353"/>
      <c r="Z59" s="353"/>
      <c r="AA59" s="459"/>
      <c r="AB59" s="459"/>
      <c r="AC59" s="400"/>
      <c r="AD59" s="400"/>
      <c r="AE59" s="400"/>
      <c r="AF59" s="400"/>
    </row>
    <row r="60" spans="2:32" x14ac:dyDescent="0.25">
      <c r="B60" s="374" t="s">
        <v>953</v>
      </c>
      <c r="C60" s="395">
        <v>39</v>
      </c>
      <c r="D60" s="395">
        <v>0</v>
      </c>
      <c r="E60" s="395">
        <f>SUM(C60,D60)</f>
        <v>39</v>
      </c>
      <c r="F60" s="2216"/>
      <c r="G60" s="374">
        <v>143.86862699999998</v>
      </c>
      <c r="H60" s="374">
        <v>0</v>
      </c>
      <c r="I60" s="374">
        <f t="shared" ref="I60:I65" si="21">SUM(G60,H60)</f>
        <v>143.86862699999998</v>
      </c>
      <c r="J60" s="374">
        <v>0</v>
      </c>
      <c r="K60" s="374">
        <f t="shared" ref="K60:K65" si="22">SUM(I60,J60)</f>
        <v>143.86862699999998</v>
      </c>
      <c r="L60" s="374">
        <v>108.63279300000001</v>
      </c>
      <c r="M60" s="374">
        <v>0</v>
      </c>
      <c r="N60" s="374">
        <f t="shared" ref="N60:N66" si="23">SUM(L60,M60)</f>
        <v>108.63279300000001</v>
      </c>
      <c r="O60" s="374">
        <v>113.18243200000001</v>
      </c>
      <c r="P60" s="374">
        <v>0</v>
      </c>
      <c r="Q60" s="374">
        <f>SUM(O60,P60)</f>
        <v>113.18243200000001</v>
      </c>
      <c r="R60" s="374">
        <v>0</v>
      </c>
      <c r="S60" s="374">
        <v>0</v>
      </c>
      <c r="T60" s="374">
        <f>SUM(R60,S60)</f>
        <v>0</v>
      </c>
      <c r="U60" s="374">
        <v>14.858744</v>
      </c>
      <c r="V60" s="374">
        <v>0</v>
      </c>
      <c r="W60" s="374">
        <f>SUM(U60,V60)</f>
        <v>14.858744</v>
      </c>
      <c r="X60" s="374">
        <v>9.1803980000000003</v>
      </c>
      <c r="Y60" s="374">
        <v>0</v>
      </c>
      <c r="Z60" s="374">
        <f>SUM(X60,Y60)</f>
        <v>9.1803980000000003</v>
      </c>
      <c r="AA60" s="459"/>
      <c r="AB60" s="459"/>
      <c r="AC60" s="459"/>
      <c r="AD60" s="459">
        <f>O60/L60</f>
        <v>1.0418808987079988</v>
      </c>
      <c r="AE60" s="459"/>
      <c r="AF60" s="459">
        <f>Q60/N60</f>
        <v>1.0418808987079988</v>
      </c>
    </row>
    <row r="61" spans="2:32" x14ac:dyDescent="0.25">
      <c r="B61" s="374" t="s">
        <v>954</v>
      </c>
      <c r="C61" s="395">
        <v>95</v>
      </c>
      <c r="D61" s="395">
        <v>0</v>
      </c>
      <c r="E61" s="395">
        <f t="shared" ref="E61:E66" si="24">SUM(C61,D61)</f>
        <v>95</v>
      </c>
      <c r="F61" s="2216"/>
      <c r="G61" s="374">
        <v>158.07113000000001</v>
      </c>
      <c r="H61" s="374">
        <v>0</v>
      </c>
      <c r="I61" s="374">
        <f t="shared" si="21"/>
        <v>158.07113000000001</v>
      </c>
      <c r="J61" s="374">
        <v>0</v>
      </c>
      <c r="K61" s="374">
        <f t="shared" si="22"/>
        <v>158.07113000000001</v>
      </c>
      <c r="L61" s="374">
        <v>175.606301</v>
      </c>
      <c r="M61" s="374">
        <v>0</v>
      </c>
      <c r="N61" s="374">
        <f t="shared" si="23"/>
        <v>175.606301</v>
      </c>
      <c r="O61" s="374">
        <v>166.52385400000003</v>
      </c>
      <c r="P61" s="374">
        <v>0</v>
      </c>
      <c r="Q61" s="374">
        <f t="shared" ref="Q61:Q66" si="25">SUM(O61,P61)</f>
        <v>166.52385400000003</v>
      </c>
      <c r="R61" s="374">
        <v>0</v>
      </c>
      <c r="S61" s="374">
        <v>0</v>
      </c>
      <c r="T61" s="374">
        <f t="shared" ref="T61:T66" si="26">SUM(R61,S61)</f>
        <v>0</v>
      </c>
      <c r="U61" s="374">
        <v>25.467678999999997</v>
      </c>
      <c r="V61" s="374">
        <v>0</v>
      </c>
      <c r="W61" s="374">
        <f t="shared" ref="W61:W66" si="27">SUM(U61,V61)</f>
        <v>25.467678999999997</v>
      </c>
      <c r="X61" s="374">
        <v>34.733757000000004</v>
      </c>
      <c r="Y61" s="374">
        <v>0</v>
      </c>
      <c r="Z61" s="374">
        <f t="shared" ref="Z61:Z66" si="28">SUM(X61,Y61)</f>
        <v>34.733757000000004</v>
      </c>
      <c r="AA61" s="459"/>
      <c r="AB61" s="459"/>
      <c r="AC61" s="459"/>
      <c r="AD61" s="459">
        <f t="shared" ref="AD61:AD85" si="29">O61/L61</f>
        <v>0.94827949254508825</v>
      </c>
      <c r="AE61" s="459"/>
      <c r="AF61" s="459">
        <f t="shared" ref="AF61:AF83" si="30">Q61/N61</f>
        <v>0.94827949254508825</v>
      </c>
    </row>
    <row r="62" spans="2:32" x14ac:dyDescent="0.25">
      <c r="B62" s="374" t="s">
        <v>955</v>
      </c>
      <c r="C62" s="395">
        <v>12</v>
      </c>
      <c r="D62" s="395">
        <v>0</v>
      </c>
      <c r="E62" s="395">
        <f t="shared" si="24"/>
        <v>12</v>
      </c>
      <c r="F62" s="2216"/>
      <c r="G62" s="374">
        <v>28.488447000000008</v>
      </c>
      <c r="H62" s="374">
        <v>0</v>
      </c>
      <c r="I62" s="374">
        <f t="shared" si="21"/>
        <v>28.488447000000008</v>
      </c>
      <c r="J62" s="374">
        <v>0</v>
      </c>
      <c r="K62" s="374">
        <f t="shared" si="22"/>
        <v>28.488447000000008</v>
      </c>
      <c r="L62" s="374">
        <v>20.321770000000001</v>
      </c>
      <c r="M62" s="374">
        <v>0</v>
      </c>
      <c r="N62" s="374">
        <f t="shared" si="23"/>
        <v>20.321770000000001</v>
      </c>
      <c r="O62" s="374">
        <v>20.644435999999999</v>
      </c>
      <c r="P62" s="374">
        <v>0</v>
      </c>
      <c r="Q62" s="374">
        <f t="shared" si="25"/>
        <v>20.644435999999999</v>
      </c>
      <c r="R62" s="374">
        <v>0</v>
      </c>
      <c r="S62" s="374">
        <v>0</v>
      </c>
      <c r="T62" s="374">
        <f t="shared" si="26"/>
        <v>0</v>
      </c>
      <c r="U62" s="374">
        <v>1.6138049999999999</v>
      </c>
      <c r="V62" s="374">
        <v>0</v>
      </c>
      <c r="W62" s="374">
        <f t="shared" si="27"/>
        <v>1.6138049999999999</v>
      </c>
      <c r="X62" s="374">
        <v>1.5663290000000001</v>
      </c>
      <c r="Y62" s="374">
        <v>0</v>
      </c>
      <c r="Z62" s="374">
        <f t="shared" si="28"/>
        <v>1.5663290000000001</v>
      </c>
      <c r="AA62" s="459"/>
      <c r="AB62" s="459"/>
      <c r="AC62" s="459"/>
      <c r="AD62" s="459">
        <f t="shared" si="29"/>
        <v>1.0158778492227791</v>
      </c>
      <c r="AE62" s="459"/>
      <c r="AF62" s="459">
        <f t="shared" si="30"/>
        <v>1.0158778492227791</v>
      </c>
    </row>
    <row r="63" spans="2:32" x14ac:dyDescent="0.25">
      <c r="B63" s="374" t="s">
        <v>956</v>
      </c>
      <c r="C63" s="395">
        <v>3</v>
      </c>
      <c r="D63" s="395">
        <v>0</v>
      </c>
      <c r="E63" s="395">
        <f t="shared" si="24"/>
        <v>3</v>
      </c>
      <c r="F63" s="2216"/>
      <c r="G63" s="374">
        <v>1.6151620000000009</v>
      </c>
      <c r="H63" s="374">
        <v>0</v>
      </c>
      <c r="I63" s="374">
        <f t="shared" si="21"/>
        <v>1.6151620000000009</v>
      </c>
      <c r="J63" s="374">
        <v>0</v>
      </c>
      <c r="K63" s="374">
        <f t="shared" si="22"/>
        <v>1.6151620000000009</v>
      </c>
      <c r="L63" s="374">
        <v>1.698612</v>
      </c>
      <c r="M63" s="374">
        <v>0</v>
      </c>
      <c r="N63" s="374">
        <f t="shared" si="23"/>
        <v>1.698612</v>
      </c>
      <c r="O63" s="374">
        <v>1.5799300000000001</v>
      </c>
      <c r="P63" s="374">
        <v>0</v>
      </c>
      <c r="Q63" s="374">
        <f t="shared" si="25"/>
        <v>1.5799300000000001</v>
      </c>
      <c r="R63" s="374">
        <v>0</v>
      </c>
      <c r="S63" s="374">
        <v>0</v>
      </c>
      <c r="T63" s="374">
        <f t="shared" si="26"/>
        <v>0</v>
      </c>
      <c r="U63" s="374">
        <v>0</v>
      </c>
      <c r="V63" s="374">
        <v>0</v>
      </c>
      <c r="W63" s="374">
        <f t="shared" si="27"/>
        <v>0</v>
      </c>
      <c r="X63" s="374">
        <v>0.46033000000000002</v>
      </c>
      <c r="Y63" s="374">
        <v>0</v>
      </c>
      <c r="Z63" s="374">
        <f t="shared" si="28"/>
        <v>0.46033000000000002</v>
      </c>
      <c r="AA63" s="459"/>
      <c r="AB63" s="459"/>
      <c r="AC63" s="459"/>
      <c r="AD63" s="459">
        <f t="shared" si="29"/>
        <v>0.93013001203335433</v>
      </c>
      <c r="AE63" s="459"/>
      <c r="AF63" s="459">
        <f t="shared" si="30"/>
        <v>0.93013001203335433</v>
      </c>
    </row>
    <row r="64" spans="2:32" x14ac:dyDescent="0.25">
      <c r="B64" s="374" t="s">
        <v>957</v>
      </c>
      <c r="C64" s="395">
        <v>4</v>
      </c>
      <c r="D64" s="395">
        <v>0</v>
      </c>
      <c r="E64" s="395">
        <f t="shared" si="24"/>
        <v>4</v>
      </c>
      <c r="F64" s="2216"/>
      <c r="G64" s="374">
        <v>23.310719999999982</v>
      </c>
      <c r="H64" s="374">
        <v>0</v>
      </c>
      <c r="I64" s="374">
        <f t="shared" si="21"/>
        <v>23.310719999999982</v>
      </c>
      <c r="J64" s="374">
        <v>0</v>
      </c>
      <c r="K64" s="374">
        <f t="shared" si="22"/>
        <v>23.310719999999982</v>
      </c>
      <c r="L64" s="374">
        <v>15.941208</v>
      </c>
      <c r="M64" s="374">
        <v>0</v>
      </c>
      <c r="N64" s="374">
        <f t="shared" si="23"/>
        <v>15.941208</v>
      </c>
      <c r="O64" s="374">
        <v>15.982798000000001</v>
      </c>
      <c r="P64" s="374">
        <v>0</v>
      </c>
      <c r="Q64" s="374">
        <f t="shared" si="25"/>
        <v>15.982798000000001</v>
      </c>
      <c r="R64" s="374">
        <v>0</v>
      </c>
      <c r="S64" s="374">
        <v>0</v>
      </c>
      <c r="T64" s="374">
        <f t="shared" si="26"/>
        <v>0</v>
      </c>
      <c r="U64" s="374">
        <v>1.391313</v>
      </c>
      <c r="V64" s="374">
        <v>0</v>
      </c>
      <c r="W64" s="374">
        <f t="shared" si="27"/>
        <v>1.391313</v>
      </c>
      <c r="X64" s="374">
        <v>1.3497239999999999</v>
      </c>
      <c r="Y64" s="374">
        <v>0</v>
      </c>
      <c r="Z64" s="374">
        <f t="shared" si="28"/>
        <v>1.3497239999999999</v>
      </c>
      <c r="AA64" s="459"/>
      <c r="AB64" s="459"/>
      <c r="AC64" s="459"/>
      <c r="AD64" s="459">
        <f t="shared" si="29"/>
        <v>1.0026089616295077</v>
      </c>
      <c r="AE64" s="459"/>
      <c r="AF64" s="459">
        <f t="shared" si="30"/>
        <v>1.0026089616295077</v>
      </c>
    </row>
    <row r="65" spans="2:32" x14ac:dyDescent="0.25">
      <c r="B65" s="899" t="s">
        <v>958</v>
      </c>
      <c r="C65" s="395">
        <v>44</v>
      </c>
      <c r="D65" s="395">
        <v>0</v>
      </c>
      <c r="E65" s="395">
        <f t="shared" si="24"/>
        <v>44</v>
      </c>
      <c r="F65" s="2216"/>
      <c r="G65" s="374">
        <v>180.44102500000002</v>
      </c>
      <c r="H65" s="374">
        <v>0</v>
      </c>
      <c r="I65" s="374">
        <f t="shared" si="21"/>
        <v>180.44102500000002</v>
      </c>
      <c r="J65" s="374">
        <v>0</v>
      </c>
      <c r="K65" s="374">
        <f t="shared" si="22"/>
        <v>180.44102500000002</v>
      </c>
      <c r="L65" s="374">
        <v>150.30854499999998</v>
      </c>
      <c r="M65" s="374">
        <v>0</v>
      </c>
      <c r="N65" s="374">
        <f t="shared" si="23"/>
        <v>150.30854499999998</v>
      </c>
      <c r="O65" s="374">
        <v>150.37592800000002</v>
      </c>
      <c r="P65" s="374">
        <v>0</v>
      </c>
      <c r="Q65" s="374">
        <f t="shared" si="25"/>
        <v>150.37592800000002</v>
      </c>
      <c r="R65" s="374">
        <v>0</v>
      </c>
      <c r="S65" s="374">
        <v>0</v>
      </c>
      <c r="T65" s="374">
        <f t="shared" si="26"/>
        <v>0</v>
      </c>
      <c r="U65" s="374">
        <v>12.466982</v>
      </c>
      <c r="V65" s="374">
        <v>0</v>
      </c>
      <c r="W65" s="374">
        <f t="shared" si="27"/>
        <v>12.466982</v>
      </c>
      <c r="X65" s="374">
        <v>12.055802</v>
      </c>
      <c r="Y65" s="374">
        <v>0</v>
      </c>
      <c r="Z65" s="374">
        <f t="shared" si="28"/>
        <v>12.055802</v>
      </c>
      <c r="AA65" s="459"/>
      <c r="AB65" s="459"/>
      <c r="AC65" s="459"/>
      <c r="AD65" s="459">
        <f t="shared" si="29"/>
        <v>1.0004482978662326</v>
      </c>
      <c r="AE65" s="459"/>
      <c r="AF65" s="459">
        <f t="shared" si="30"/>
        <v>1.0004482978662326</v>
      </c>
    </row>
    <row r="66" spans="2:32" x14ac:dyDescent="0.25">
      <c r="B66" s="374" t="s">
        <v>959</v>
      </c>
      <c r="C66" s="395">
        <v>0</v>
      </c>
      <c r="D66" s="395">
        <v>0</v>
      </c>
      <c r="E66" s="395">
        <f t="shared" si="24"/>
        <v>0</v>
      </c>
      <c r="F66" s="2216"/>
      <c r="G66" s="374">
        <v>0</v>
      </c>
      <c r="H66" s="374">
        <v>0</v>
      </c>
      <c r="I66" s="374">
        <v>0</v>
      </c>
      <c r="J66" s="374">
        <v>0</v>
      </c>
      <c r="K66" s="374">
        <v>0</v>
      </c>
      <c r="L66" s="374">
        <v>0</v>
      </c>
      <c r="M66" s="374">
        <v>0</v>
      </c>
      <c r="N66" s="374">
        <f t="shared" si="23"/>
        <v>0</v>
      </c>
      <c r="O66" s="374">
        <v>0</v>
      </c>
      <c r="P66" s="374">
        <v>0</v>
      </c>
      <c r="Q66" s="374">
        <f t="shared" si="25"/>
        <v>0</v>
      </c>
      <c r="R66" s="374">
        <v>0</v>
      </c>
      <c r="S66" s="374">
        <v>0</v>
      </c>
      <c r="T66" s="374">
        <f t="shared" si="26"/>
        <v>0</v>
      </c>
      <c r="U66" s="374">
        <v>0</v>
      </c>
      <c r="V66" s="374">
        <v>0</v>
      </c>
      <c r="W66" s="374">
        <f t="shared" si="27"/>
        <v>0</v>
      </c>
      <c r="X66" s="374">
        <v>0</v>
      </c>
      <c r="Y66" s="374">
        <v>0</v>
      </c>
      <c r="Z66" s="374">
        <f t="shared" si="28"/>
        <v>0</v>
      </c>
      <c r="AA66" s="459"/>
      <c r="AB66" s="459"/>
      <c r="AC66" s="459"/>
      <c r="AD66" s="459">
        <v>0</v>
      </c>
      <c r="AE66" s="459"/>
      <c r="AF66" s="459">
        <v>0</v>
      </c>
    </row>
    <row r="67" spans="2:32" x14ac:dyDescent="0.25">
      <c r="B67" s="379"/>
      <c r="C67" s="395"/>
      <c r="D67" s="395"/>
      <c r="E67" s="395"/>
      <c r="F67" s="2216"/>
      <c r="G67" s="374"/>
      <c r="H67" s="374"/>
      <c r="I67" s="374"/>
      <c r="J67" s="374"/>
      <c r="K67" s="374"/>
      <c r="L67" s="374"/>
      <c r="M67" s="353"/>
      <c r="N67" s="353"/>
      <c r="O67" s="353"/>
      <c r="P67" s="353"/>
      <c r="Q67" s="353"/>
      <c r="R67" s="353"/>
      <c r="S67" s="353"/>
      <c r="T67" s="353"/>
      <c r="U67" s="353"/>
      <c r="V67" s="353"/>
      <c r="W67" s="353"/>
      <c r="X67" s="353"/>
      <c r="Y67" s="353"/>
      <c r="Z67" s="353"/>
      <c r="AA67" s="459"/>
      <c r="AB67" s="459"/>
      <c r="AC67" s="459"/>
      <c r="AD67" s="459"/>
      <c r="AE67" s="459"/>
      <c r="AF67" s="459"/>
    </row>
    <row r="68" spans="2:32" s="398" customFormat="1" x14ac:dyDescent="0.25">
      <c r="B68" s="379" t="s">
        <v>998</v>
      </c>
      <c r="C68" s="397">
        <f>SUM(C60:C66)</f>
        <v>197</v>
      </c>
      <c r="D68" s="397">
        <f>SUM(D60:D66)</f>
        <v>0</v>
      </c>
      <c r="E68" s="397">
        <f>SUM(E60:E66)</f>
        <v>197</v>
      </c>
      <c r="F68" s="2216"/>
      <c r="G68" s="379">
        <f>SUM(G60:G66)</f>
        <v>535.79511100000002</v>
      </c>
      <c r="H68" s="379">
        <f t="shared" ref="H68:Z68" si="31">SUM(H60:H66)</f>
        <v>0</v>
      </c>
      <c r="I68" s="379">
        <f t="shared" si="31"/>
        <v>535.79511100000002</v>
      </c>
      <c r="J68" s="379">
        <f t="shared" si="31"/>
        <v>0</v>
      </c>
      <c r="K68" s="379">
        <f t="shared" si="31"/>
        <v>535.79511100000002</v>
      </c>
      <c r="L68" s="379">
        <f t="shared" si="31"/>
        <v>472.50922900000006</v>
      </c>
      <c r="M68" s="379">
        <f t="shared" si="31"/>
        <v>0</v>
      </c>
      <c r="N68" s="379">
        <f t="shared" si="31"/>
        <v>472.50922900000006</v>
      </c>
      <c r="O68" s="379">
        <f t="shared" si="31"/>
        <v>468.28937800000006</v>
      </c>
      <c r="P68" s="379">
        <f t="shared" si="31"/>
        <v>0</v>
      </c>
      <c r="Q68" s="379">
        <f t="shared" si="31"/>
        <v>468.28937800000006</v>
      </c>
      <c r="R68" s="379">
        <f t="shared" si="31"/>
        <v>0</v>
      </c>
      <c r="S68" s="379">
        <f t="shared" si="31"/>
        <v>0</v>
      </c>
      <c r="T68" s="379">
        <f t="shared" si="31"/>
        <v>0</v>
      </c>
      <c r="U68" s="379">
        <f t="shared" si="31"/>
        <v>55.798522999999996</v>
      </c>
      <c r="V68" s="379">
        <f t="shared" si="31"/>
        <v>0</v>
      </c>
      <c r="W68" s="379">
        <f t="shared" si="31"/>
        <v>55.798522999999996</v>
      </c>
      <c r="X68" s="379">
        <f t="shared" si="31"/>
        <v>59.346340000000012</v>
      </c>
      <c r="Y68" s="379">
        <f t="shared" si="31"/>
        <v>0</v>
      </c>
      <c r="Z68" s="379">
        <f t="shared" si="31"/>
        <v>59.346340000000012</v>
      </c>
      <c r="AA68" s="400"/>
      <c r="AB68" s="400"/>
      <c r="AC68" s="400"/>
      <c r="AD68" s="400">
        <f t="shared" si="29"/>
        <v>0.99106927285011825</v>
      </c>
      <c r="AE68" s="400"/>
      <c r="AF68" s="400">
        <f t="shared" si="30"/>
        <v>0.99106927285011825</v>
      </c>
    </row>
    <row r="69" spans="2:32" x14ac:dyDescent="0.25">
      <c r="B69" s="374"/>
      <c r="C69" s="395"/>
      <c r="D69" s="395"/>
      <c r="E69" s="395"/>
      <c r="F69" s="2216"/>
      <c r="G69" s="374"/>
      <c r="H69" s="374"/>
      <c r="I69" s="374"/>
      <c r="J69" s="374"/>
      <c r="K69" s="374"/>
      <c r="L69" s="374"/>
      <c r="M69" s="353"/>
      <c r="N69" s="353"/>
      <c r="O69" s="353"/>
      <c r="P69" s="353"/>
      <c r="Q69" s="353"/>
      <c r="R69" s="353"/>
      <c r="S69" s="353"/>
      <c r="T69" s="353"/>
      <c r="U69" s="353"/>
      <c r="V69" s="353"/>
      <c r="W69" s="353"/>
      <c r="X69" s="353"/>
      <c r="Y69" s="353"/>
      <c r="Z69" s="353"/>
      <c r="AA69" s="459"/>
      <c r="AB69" s="459"/>
      <c r="AC69" s="459"/>
      <c r="AD69" s="459"/>
      <c r="AE69" s="459"/>
      <c r="AF69" s="459"/>
    </row>
    <row r="70" spans="2:32" s="398" customFormat="1" x14ac:dyDescent="0.25">
      <c r="B70" s="379" t="s">
        <v>294</v>
      </c>
      <c r="C70" s="395"/>
      <c r="D70" s="395"/>
      <c r="E70" s="395"/>
      <c r="F70" s="2216"/>
      <c r="G70" s="374"/>
      <c r="H70" s="374"/>
      <c r="I70" s="374"/>
      <c r="J70" s="374"/>
      <c r="K70" s="374"/>
      <c r="L70" s="374"/>
      <c r="M70" s="354"/>
      <c r="N70" s="354"/>
      <c r="O70" s="354"/>
      <c r="P70" s="354"/>
      <c r="Q70" s="354"/>
      <c r="R70" s="354"/>
      <c r="S70" s="354"/>
      <c r="T70" s="354"/>
      <c r="U70" s="354"/>
      <c r="V70" s="354"/>
      <c r="W70" s="353"/>
      <c r="X70" s="353"/>
      <c r="Y70" s="353"/>
      <c r="Z70" s="353"/>
      <c r="AA70" s="459"/>
      <c r="AB70" s="459"/>
      <c r="AC70" s="400"/>
      <c r="AD70" s="459"/>
      <c r="AE70" s="459"/>
      <c r="AF70" s="459"/>
    </row>
    <row r="71" spans="2:32" s="398" customFormat="1" x14ac:dyDescent="0.25">
      <c r="B71" s="374"/>
      <c r="C71" s="395"/>
      <c r="D71" s="395"/>
      <c r="E71" s="395"/>
      <c r="F71" s="2216"/>
      <c r="G71" s="374"/>
      <c r="H71" s="374"/>
      <c r="I71" s="374"/>
      <c r="J71" s="374"/>
      <c r="K71" s="374"/>
      <c r="L71" s="374"/>
      <c r="M71" s="354"/>
      <c r="N71" s="354"/>
      <c r="O71" s="354"/>
      <c r="P71" s="354"/>
      <c r="Q71" s="354"/>
      <c r="R71" s="354"/>
      <c r="S71" s="354"/>
      <c r="T71" s="354"/>
      <c r="U71" s="354"/>
      <c r="V71" s="354"/>
      <c r="W71" s="353"/>
      <c r="X71" s="353"/>
      <c r="Y71" s="353"/>
      <c r="Z71" s="353"/>
      <c r="AA71" s="459"/>
      <c r="AB71" s="459"/>
      <c r="AC71" s="400"/>
      <c r="AD71" s="459"/>
      <c r="AE71" s="459"/>
      <c r="AF71" s="459"/>
    </row>
    <row r="72" spans="2:32" s="398" customFormat="1" x14ac:dyDescent="0.25">
      <c r="B72" s="374" t="s">
        <v>960</v>
      </c>
      <c r="C72" s="395">
        <v>53</v>
      </c>
      <c r="D72" s="395">
        <v>0</v>
      </c>
      <c r="E72" s="395">
        <f>SUM(C72,D72)</f>
        <v>53</v>
      </c>
      <c r="F72" s="2216"/>
      <c r="G72" s="374">
        <v>2.0171999999999999E-2</v>
      </c>
      <c r="H72" s="374">
        <v>0</v>
      </c>
      <c r="I72" s="374">
        <f>SUM(G72,H72)</f>
        <v>2.0171999999999999E-2</v>
      </c>
      <c r="J72" s="374">
        <v>0</v>
      </c>
      <c r="K72" s="374">
        <f>SUM(I72,J72)</f>
        <v>2.0171999999999999E-2</v>
      </c>
      <c r="L72" s="374">
        <v>8.1169999999999992E-3</v>
      </c>
      <c r="M72" s="374">
        <v>0</v>
      </c>
      <c r="N72" s="374">
        <f>SUM(L72,M72)</f>
        <v>8.1169999999999992E-3</v>
      </c>
      <c r="O72" s="374">
        <v>9.136E-3</v>
      </c>
      <c r="P72" s="374">
        <v>0</v>
      </c>
      <c r="Q72" s="374">
        <f>SUM(O72,P72)</f>
        <v>9.136E-3</v>
      </c>
      <c r="R72" s="374">
        <v>0</v>
      </c>
      <c r="S72" s="374">
        <v>0</v>
      </c>
      <c r="T72" s="374">
        <f>SUM(R72,S72)</f>
        <v>0</v>
      </c>
      <c r="U72" s="374">
        <v>1.539E-3</v>
      </c>
      <c r="V72" s="374">
        <v>0</v>
      </c>
      <c r="W72" s="374">
        <f>SUM(U72,V72)</f>
        <v>1.539E-3</v>
      </c>
      <c r="X72" s="374">
        <v>1.81E-3</v>
      </c>
      <c r="Y72" s="374">
        <v>0</v>
      </c>
      <c r="Z72" s="374">
        <f>SUM(X72,Y72)</f>
        <v>1.81E-3</v>
      </c>
      <c r="AA72" s="459"/>
      <c r="AB72" s="459"/>
      <c r="AC72" s="400"/>
      <c r="AD72" s="459">
        <f t="shared" si="29"/>
        <v>1.1255389922385119</v>
      </c>
      <c r="AE72" s="459"/>
      <c r="AF72" s="459">
        <f t="shared" si="30"/>
        <v>1.1255389922385119</v>
      </c>
    </row>
    <row r="73" spans="2:32" s="398" customFormat="1" x14ac:dyDescent="0.25">
      <c r="B73" s="374" t="s">
        <v>961</v>
      </c>
      <c r="C73" s="395">
        <v>764271</v>
      </c>
      <c r="D73" s="395">
        <v>0</v>
      </c>
      <c r="E73" s="395">
        <f t="shared" ref="E73:E81" si="32">SUM(C73,D73)</f>
        <v>764271</v>
      </c>
      <c r="F73" s="2216"/>
      <c r="G73" s="374">
        <v>1403.438067</v>
      </c>
      <c r="H73" s="374">
        <v>487.04797613809922</v>
      </c>
      <c r="I73" s="374">
        <f>SUM(G73,H73)</f>
        <v>1890.4860431380994</v>
      </c>
      <c r="J73" s="374">
        <v>0</v>
      </c>
      <c r="K73" s="374">
        <f t="shared" ref="K73:K81" si="33">SUM(I73,J73)</f>
        <v>1890.4860431380994</v>
      </c>
      <c r="L73" s="374">
        <v>1558.3761140000001</v>
      </c>
      <c r="M73" s="374">
        <v>0</v>
      </c>
      <c r="N73" s="374">
        <f t="shared" ref="N73:N81" si="34">SUM(L73,M73)</f>
        <v>1558.3761140000001</v>
      </c>
      <c r="O73" s="374">
        <v>1438.5704580000001</v>
      </c>
      <c r="P73" s="374">
        <v>0</v>
      </c>
      <c r="Q73" s="374">
        <f t="shared" ref="Q73:Q81" si="35">SUM(O73,P73)</f>
        <v>1438.5704580000001</v>
      </c>
      <c r="R73" s="374">
        <v>0</v>
      </c>
      <c r="S73" s="374">
        <v>0</v>
      </c>
      <c r="T73" s="374">
        <f t="shared" ref="T73:T81" si="36">SUM(R73,S73)</f>
        <v>0</v>
      </c>
      <c r="U73" s="374">
        <v>29.152768999999996</v>
      </c>
      <c r="V73" s="374">
        <v>0</v>
      </c>
      <c r="W73" s="374">
        <f t="shared" ref="W73:W81" si="37">SUM(U73,V73)</f>
        <v>29.152768999999996</v>
      </c>
      <c r="X73" s="374">
        <v>71.97343699999999</v>
      </c>
      <c r="Y73" s="374">
        <v>0</v>
      </c>
      <c r="Z73" s="374">
        <f t="shared" ref="Z73:Z81" si="38">SUM(X73,Y73)</f>
        <v>71.97343699999999</v>
      </c>
      <c r="AA73" s="459"/>
      <c r="AB73" s="459"/>
      <c r="AC73" s="400"/>
      <c r="AD73" s="459">
        <f t="shared" si="29"/>
        <v>0.92312147566707381</v>
      </c>
      <c r="AE73" s="459"/>
      <c r="AF73" s="459">
        <f t="shared" si="30"/>
        <v>0.92312147566707381</v>
      </c>
    </row>
    <row r="74" spans="2:32" s="398" customFormat="1" x14ac:dyDescent="0.25">
      <c r="B74" s="374" t="s">
        <v>962</v>
      </c>
      <c r="C74" s="395">
        <v>253654</v>
      </c>
      <c r="D74" s="395">
        <v>0</v>
      </c>
      <c r="E74" s="395">
        <f t="shared" si="32"/>
        <v>253654</v>
      </c>
      <c r="F74" s="2216"/>
      <c r="G74" s="374">
        <v>415.39052700000008</v>
      </c>
      <c r="H74" s="374">
        <v>113.826657</v>
      </c>
      <c r="I74" s="374">
        <f t="shared" ref="I74:I81" si="39">SUM(G74,H74)</f>
        <v>529.21718400000009</v>
      </c>
      <c r="J74" s="374">
        <v>0</v>
      </c>
      <c r="K74" s="374">
        <f t="shared" si="33"/>
        <v>529.21718400000009</v>
      </c>
      <c r="L74" s="374">
        <v>588.21658400000001</v>
      </c>
      <c r="M74" s="374">
        <v>0</v>
      </c>
      <c r="N74" s="374">
        <f t="shared" si="34"/>
        <v>588.21658400000001</v>
      </c>
      <c r="O74" s="374">
        <v>532.73997900000006</v>
      </c>
      <c r="P74" s="374">
        <v>0</v>
      </c>
      <c r="Q74" s="374">
        <f t="shared" si="35"/>
        <v>532.73997900000006</v>
      </c>
      <c r="R74" s="374">
        <v>0</v>
      </c>
      <c r="S74" s="374">
        <v>0</v>
      </c>
      <c r="T74" s="374">
        <f t="shared" si="36"/>
        <v>0</v>
      </c>
      <c r="U74" s="374">
        <v>21.591372</v>
      </c>
      <c r="V74" s="374">
        <v>0</v>
      </c>
      <c r="W74" s="374">
        <f t="shared" si="37"/>
        <v>21.591372</v>
      </c>
      <c r="X74" s="374">
        <v>41.831524999999999</v>
      </c>
      <c r="Y74" s="374">
        <v>0</v>
      </c>
      <c r="Z74" s="374">
        <f t="shared" si="38"/>
        <v>41.831524999999999</v>
      </c>
      <c r="AA74" s="459"/>
      <c r="AB74" s="459"/>
      <c r="AC74" s="400"/>
      <c r="AD74" s="459">
        <f t="shared" si="29"/>
        <v>0.90568677166028366</v>
      </c>
      <c r="AE74" s="459"/>
      <c r="AF74" s="459">
        <f t="shared" si="30"/>
        <v>0.90568677166028366</v>
      </c>
    </row>
    <row r="75" spans="2:32" x14ac:dyDescent="0.25">
      <c r="B75" s="374" t="s">
        <v>963</v>
      </c>
      <c r="C75" s="395">
        <v>5955</v>
      </c>
      <c r="D75" s="395">
        <v>0</v>
      </c>
      <c r="E75" s="395">
        <f t="shared" si="32"/>
        <v>5955</v>
      </c>
      <c r="F75" s="2216"/>
      <c r="G75" s="374">
        <v>138.09164899999999</v>
      </c>
      <c r="H75" s="374">
        <v>-1.9389000000000003</v>
      </c>
      <c r="I75" s="374">
        <f t="shared" si="39"/>
        <v>136.152749</v>
      </c>
      <c r="J75" s="374">
        <v>0</v>
      </c>
      <c r="K75" s="374">
        <f t="shared" si="33"/>
        <v>136.152749</v>
      </c>
      <c r="L75" s="374">
        <v>152.319862</v>
      </c>
      <c r="M75" s="374">
        <v>0</v>
      </c>
      <c r="N75" s="374">
        <f t="shared" si="34"/>
        <v>152.319862</v>
      </c>
      <c r="O75" s="374">
        <v>147.60783700000002</v>
      </c>
      <c r="P75" s="374">
        <v>0</v>
      </c>
      <c r="Q75" s="374">
        <f t="shared" si="35"/>
        <v>147.60783700000002</v>
      </c>
      <c r="R75" s="374">
        <v>0</v>
      </c>
      <c r="S75" s="374">
        <v>0</v>
      </c>
      <c r="T75" s="374">
        <f t="shared" si="36"/>
        <v>0</v>
      </c>
      <c r="U75" s="374">
        <v>16.220355999999999</v>
      </c>
      <c r="V75" s="374">
        <v>0</v>
      </c>
      <c r="W75" s="374">
        <f t="shared" si="37"/>
        <v>16.220355999999999</v>
      </c>
      <c r="X75" s="374">
        <v>22.215000999999997</v>
      </c>
      <c r="Y75" s="374">
        <v>0</v>
      </c>
      <c r="Z75" s="374">
        <f t="shared" si="38"/>
        <v>22.215000999999997</v>
      </c>
      <c r="AA75" s="459"/>
      <c r="AB75" s="459"/>
      <c r="AC75" s="459"/>
      <c r="AD75" s="459">
        <f t="shared" si="29"/>
        <v>0.96906493389548909</v>
      </c>
      <c r="AE75" s="459"/>
      <c r="AF75" s="459">
        <f t="shared" si="30"/>
        <v>0.96906493389548909</v>
      </c>
    </row>
    <row r="76" spans="2:32" x14ac:dyDescent="0.25">
      <c r="B76" s="374" t="s">
        <v>964</v>
      </c>
      <c r="C76" s="395">
        <v>3087</v>
      </c>
      <c r="D76" s="395">
        <v>0</v>
      </c>
      <c r="E76" s="395">
        <f t="shared" si="32"/>
        <v>3087</v>
      </c>
      <c r="F76" s="2216"/>
      <c r="G76" s="374">
        <v>286.17446799999999</v>
      </c>
      <c r="H76" s="374">
        <v>-2.2848550000000003</v>
      </c>
      <c r="I76" s="374">
        <f t="shared" si="39"/>
        <v>283.889613</v>
      </c>
      <c r="J76" s="374">
        <v>0</v>
      </c>
      <c r="K76" s="374">
        <f t="shared" si="33"/>
        <v>283.889613</v>
      </c>
      <c r="L76" s="374">
        <v>291.22405300000003</v>
      </c>
      <c r="M76" s="374">
        <v>0</v>
      </c>
      <c r="N76" s="374">
        <f t="shared" si="34"/>
        <v>291.22405300000003</v>
      </c>
      <c r="O76" s="374">
        <v>281.06124999999997</v>
      </c>
      <c r="P76" s="374">
        <v>0</v>
      </c>
      <c r="Q76" s="374">
        <f t="shared" si="35"/>
        <v>281.06124999999997</v>
      </c>
      <c r="R76" s="374">
        <v>0</v>
      </c>
      <c r="S76" s="374">
        <v>0</v>
      </c>
      <c r="T76" s="374">
        <f t="shared" si="36"/>
        <v>0</v>
      </c>
      <c r="U76" s="374">
        <v>36.41722</v>
      </c>
      <c r="V76" s="374">
        <v>0</v>
      </c>
      <c r="W76" s="374">
        <f t="shared" si="37"/>
        <v>36.41722</v>
      </c>
      <c r="X76" s="374">
        <v>47.353400999999998</v>
      </c>
      <c r="Y76" s="374">
        <v>0</v>
      </c>
      <c r="Z76" s="374">
        <f t="shared" si="38"/>
        <v>47.353400999999998</v>
      </c>
      <c r="AA76" s="459"/>
      <c r="AB76" s="459"/>
      <c r="AC76" s="459"/>
      <c r="AD76" s="459">
        <f t="shared" si="29"/>
        <v>0.9651031468887632</v>
      </c>
      <c r="AE76" s="459"/>
      <c r="AF76" s="459">
        <f t="shared" si="30"/>
        <v>0.9651031468887632</v>
      </c>
    </row>
    <row r="77" spans="2:32" s="398" customFormat="1" x14ac:dyDescent="0.25">
      <c r="B77" s="374" t="s">
        <v>965</v>
      </c>
      <c r="C77" s="395">
        <v>7921</v>
      </c>
      <c r="D77" s="395">
        <v>0</v>
      </c>
      <c r="E77" s="395">
        <f t="shared" si="32"/>
        <v>7921</v>
      </c>
      <c r="F77" s="2216"/>
      <c r="G77" s="374">
        <v>66.580091999999993</v>
      </c>
      <c r="H77" s="374">
        <v>6.3094299999999999</v>
      </c>
      <c r="I77" s="374">
        <f t="shared" si="39"/>
        <v>72.889521999999999</v>
      </c>
      <c r="J77" s="374">
        <v>0</v>
      </c>
      <c r="K77" s="374">
        <f t="shared" si="33"/>
        <v>72.889521999999999</v>
      </c>
      <c r="L77" s="374">
        <v>46.303075</v>
      </c>
      <c r="M77" s="374">
        <v>0</v>
      </c>
      <c r="N77" s="374">
        <f t="shared" si="34"/>
        <v>46.303075</v>
      </c>
      <c r="O77" s="374">
        <v>48.411301000000002</v>
      </c>
      <c r="P77" s="374">
        <v>0</v>
      </c>
      <c r="Q77" s="374">
        <f t="shared" si="35"/>
        <v>48.411301000000002</v>
      </c>
      <c r="R77" s="374">
        <v>0</v>
      </c>
      <c r="S77" s="374">
        <v>0</v>
      </c>
      <c r="T77" s="374">
        <f t="shared" si="36"/>
        <v>0</v>
      </c>
      <c r="U77" s="374">
        <v>2.5337510000000001</v>
      </c>
      <c r="V77" s="374">
        <v>0</v>
      </c>
      <c r="W77" s="374">
        <f t="shared" si="37"/>
        <v>2.5337510000000001</v>
      </c>
      <c r="X77" s="374">
        <v>5.3192619999999993</v>
      </c>
      <c r="Y77" s="374">
        <v>0</v>
      </c>
      <c r="Z77" s="374">
        <f t="shared" si="38"/>
        <v>5.3192619999999993</v>
      </c>
      <c r="AA77" s="459"/>
      <c r="AB77" s="459"/>
      <c r="AC77" s="400"/>
      <c r="AD77" s="459">
        <f t="shared" si="29"/>
        <v>1.0455310149487913</v>
      </c>
      <c r="AE77" s="459"/>
      <c r="AF77" s="459">
        <f t="shared" si="30"/>
        <v>1.0455310149487913</v>
      </c>
    </row>
    <row r="78" spans="2:32" x14ac:dyDescent="0.25">
      <c r="B78" s="374" t="s">
        <v>966</v>
      </c>
      <c r="C78" s="395">
        <v>1102</v>
      </c>
      <c r="D78" s="395">
        <v>0</v>
      </c>
      <c r="E78" s="395">
        <f t="shared" si="32"/>
        <v>1102</v>
      </c>
      <c r="F78" s="2216"/>
      <c r="G78" s="374">
        <v>74.893726000000001</v>
      </c>
      <c r="H78" s="374">
        <v>-3.1162570000000001</v>
      </c>
      <c r="I78" s="374">
        <f t="shared" si="39"/>
        <v>71.777468999999996</v>
      </c>
      <c r="J78" s="374">
        <v>0</v>
      </c>
      <c r="K78" s="374">
        <f t="shared" si="33"/>
        <v>71.777468999999996</v>
      </c>
      <c r="L78" s="374">
        <v>58.907871999999998</v>
      </c>
      <c r="M78" s="374">
        <v>0</v>
      </c>
      <c r="N78" s="374">
        <f t="shared" si="34"/>
        <v>58.907871999999998</v>
      </c>
      <c r="O78" s="374">
        <v>59.165101</v>
      </c>
      <c r="P78" s="374">
        <v>0</v>
      </c>
      <c r="Q78" s="374">
        <f t="shared" si="35"/>
        <v>59.165101</v>
      </c>
      <c r="R78" s="374">
        <v>0</v>
      </c>
      <c r="S78" s="374">
        <v>0</v>
      </c>
      <c r="T78" s="374">
        <f t="shared" si="36"/>
        <v>0</v>
      </c>
      <c r="U78" s="374">
        <v>7.45486</v>
      </c>
      <c r="V78" s="374">
        <v>0</v>
      </c>
      <c r="W78" s="374">
        <f t="shared" si="37"/>
        <v>7.45486</v>
      </c>
      <c r="X78" s="374">
        <v>7.4938450000000003</v>
      </c>
      <c r="Y78" s="374">
        <v>0</v>
      </c>
      <c r="Z78" s="374">
        <f t="shared" si="38"/>
        <v>7.4938450000000003</v>
      </c>
      <c r="AA78" s="459"/>
      <c r="AB78" s="459"/>
      <c r="AC78" s="459"/>
      <c r="AD78" s="459">
        <f t="shared" si="29"/>
        <v>1.0043666320182132</v>
      </c>
      <c r="AE78" s="459"/>
      <c r="AF78" s="459">
        <f t="shared" si="30"/>
        <v>1.0043666320182132</v>
      </c>
    </row>
    <row r="79" spans="2:32" x14ac:dyDescent="0.25">
      <c r="B79" s="374" t="s">
        <v>967</v>
      </c>
      <c r="C79" s="395">
        <v>648</v>
      </c>
      <c r="D79" s="395">
        <v>0</v>
      </c>
      <c r="E79" s="395">
        <f t="shared" si="32"/>
        <v>648</v>
      </c>
      <c r="F79" s="2216"/>
      <c r="G79" s="374">
        <v>61.513664000000006</v>
      </c>
      <c r="H79" s="374">
        <v>-2.2657129999999999</v>
      </c>
      <c r="I79" s="374">
        <f t="shared" si="39"/>
        <v>59.247951000000008</v>
      </c>
      <c r="J79" s="374">
        <v>0</v>
      </c>
      <c r="K79" s="374">
        <f t="shared" si="33"/>
        <v>59.247951000000008</v>
      </c>
      <c r="L79" s="374">
        <v>36.673175000000001</v>
      </c>
      <c r="M79" s="374">
        <v>0</v>
      </c>
      <c r="N79" s="374">
        <f t="shared" si="34"/>
        <v>36.673175000000001</v>
      </c>
      <c r="O79" s="374">
        <v>36.177508000000003</v>
      </c>
      <c r="P79" s="374">
        <v>0</v>
      </c>
      <c r="Q79" s="374">
        <f t="shared" si="35"/>
        <v>36.177508000000003</v>
      </c>
      <c r="R79" s="374">
        <v>0</v>
      </c>
      <c r="S79" s="374">
        <v>0</v>
      </c>
      <c r="T79" s="374">
        <f t="shared" si="36"/>
        <v>0</v>
      </c>
      <c r="U79" s="374">
        <v>4.6189039999999997</v>
      </c>
      <c r="V79" s="374">
        <v>0</v>
      </c>
      <c r="W79" s="374">
        <f t="shared" si="37"/>
        <v>4.6189039999999997</v>
      </c>
      <c r="X79" s="374">
        <v>5.144164</v>
      </c>
      <c r="Y79" s="374">
        <v>0</v>
      </c>
      <c r="Z79" s="374">
        <f t="shared" si="38"/>
        <v>5.144164</v>
      </c>
      <c r="AA79" s="459"/>
      <c r="AB79" s="459"/>
      <c r="AC79" s="459"/>
      <c r="AD79" s="459">
        <f t="shared" si="29"/>
        <v>0.98648420814396365</v>
      </c>
      <c r="AE79" s="459"/>
      <c r="AF79" s="459">
        <f t="shared" si="30"/>
        <v>0.98648420814396365</v>
      </c>
    </row>
    <row r="80" spans="2:32" x14ac:dyDescent="0.25">
      <c r="B80" s="374" t="s">
        <v>968</v>
      </c>
      <c r="C80" s="395">
        <v>6974</v>
      </c>
      <c r="D80" s="395">
        <v>0</v>
      </c>
      <c r="E80" s="395">
        <f t="shared" si="32"/>
        <v>6974</v>
      </c>
      <c r="F80" s="2216"/>
      <c r="G80" s="374">
        <v>140.05786550000002</v>
      </c>
      <c r="H80" s="374">
        <v>6.4816760000000002</v>
      </c>
      <c r="I80" s="374">
        <f t="shared" si="39"/>
        <v>146.53954150000001</v>
      </c>
      <c r="J80" s="374">
        <v>0</v>
      </c>
      <c r="K80" s="374">
        <f t="shared" si="33"/>
        <v>146.53954150000001</v>
      </c>
      <c r="L80" s="374">
        <v>99.258884999999992</v>
      </c>
      <c r="M80" s="374">
        <v>0</v>
      </c>
      <c r="N80" s="374">
        <f t="shared" si="34"/>
        <v>99.258884999999992</v>
      </c>
      <c r="O80" s="374">
        <v>98.675835000000006</v>
      </c>
      <c r="P80" s="374">
        <v>0</v>
      </c>
      <c r="Q80" s="374">
        <f t="shared" si="35"/>
        <v>98.675835000000006</v>
      </c>
      <c r="R80" s="374">
        <v>0</v>
      </c>
      <c r="S80" s="374">
        <v>0</v>
      </c>
      <c r="T80" s="374">
        <f t="shared" si="36"/>
        <v>0</v>
      </c>
      <c r="U80" s="374">
        <v>18.304214000000002</v>
      </c>
      <c r="V80" s="374">
        <v>0</v>
      </c>
      <c r="W80" s="374">
        <f t="shared" si="37"/>
        <v>18.304214000000002</v>
      </c>
      <c r="X80" s="374">
        <v>21.040461999999998</v>
      </c>
      <c r="Y80" s="374">
        <v>0</v>
      </c>
      <c r="Z80" s="374">
        <f t="shared" si="38"/>
        <v>21.040461999999998</v>
      </c>
      <c r="AA80" s="459"/>
      <c r="AB80" s="459"/>
      <c r="AC80" s="459"/>
      <c r="AD80" s="459">
        <f t="shared" si="29"/>
        <v>0.99412596665779607</v>
      </c>
      <c r="AE80" s="459"/>
      <c r="AF80" s="459">
        <f t="shared" si="30"/>
        <v>0.99412596665779607</v>
      </c>
    </row>
    <row r="81" spans="2:32" x14ac:dyDescent="0.25">
      <c r="B81" s="374" t="s">
        <v>971</v>
      </c>
      <c r="C81" s="395">
        <v>9</v>
      </c>
      <c r="D81" s="395">
        <v>0</v>
      </c>
      <c r="E81" s="395">
        <f t="shared" si="32"/>
        <v>9</v>
      </c>
      <c r="F81" s="2216"/>
      <c r="G81" s="374">
        <v>2.7673449999999997</v>
      </c>
      <c r="H81" s="374">
        <v>-0.35023599999999999</v>
      </c>
      <c r="I81" s="374">
        <f t="shared" si="39"/>
        <v>2.417109</v>
      </c>
      <c r="J81" s="374">
        <v>0</v>
      </c>
      <c r="K81" s="374">
        <f t="shared" si="33"/>
        <v>2.417109</v>
      </c>
      <c r="L81" s="374">
        <v>2.1511830000000001</v>
      </c>
      <c r="M81" s="374">
        <v>0</v>
      </c>
      <c r="N81" s="374">
        <f t="shared" si="34"/>
        <v>2.1511830000000001</v>
      </c>
      <c r="O81" s="374">
        <v>1.313787</v>
      </c>
      <c r="P81" s="374">
        <v>0</v>
      </c>
      <c r="Q81" s="374">
        <f t="shared" si="35"/>
        <v>1.313787</v>
      </c>
      <c r="R81" s="374">
        <v>0</v>
      </c>
      <c r="S81" s="374">
        <v>0</v>
      </c>
      <c r="T81" s="374">
        <f t="shared" si="36"/>
        <v>0</v>
      </c>
      <c r="U81" s="374">
        <v>1.6324879999999999</v>
      </c>
      <c r="V81" s="374">
        <v>0</v>
      </c>
      <c r="W81" s="374">
        <f t="shared" si="37"/>
        <v>1.6324879999999999</v>
      </c>
      <c r="X81" s="374">
        <v>1.0041770000000001</v>
      </c>
      <c r="Y81" s="374">
        <v>0</v>
      </c>
      <c r="Z81" s="374">
        <f t="shared" si="38"/>
        <v>1.0041770000000001</v>
      </c>
      <c r="AA81" s="459"/>
      <c r="AB81" s="459"/>
      <c r="AC81" s="459"/>
      <c r="AD81" s="459">
        <f t="shared" si="29"/>
        <v>0.61072767867726729</v>
      </c>
      <c r="AE81" s="459"/>
      <c r="AF81" s="459">
        <f t="shared" si="30"/>
        <v>0.61072767867726729</v>
      </c>
    </row>
    <row r="82" spans="2:32" x14ac:dyDescent="0.25">
      <c r="B82" s="374"/>
      <c r="C82" s="395"/>
      <c r="D82" s="395"/>
      <c r="E82" s="395"/>
      <c r="F82" s="2216"/>
      <c r="G82" s="374"/>
      <c r="H82" s="374"/>
      <c r="I82" s="374"/>
      <c r="J82" s="374"/>
      <c r="K82" s="374"/>
      <c r="L82" s="374"/>
      <c r="M82" s="353"/>
      <c r="N82" s="353"/>
      <c r="O82" s="353"/>
      <c r="P82" s="353"/>
      <c r="Q82" s="353"/>
      <c r="R82" s="353"/>
      <c r="S82" s="353"/>
      <c r="T82" s="353"/>
      <c r="U82" s="353"/>
      <c r="V82" s="353"/>
      <c r="W82" s="353"/>
      <c r="X82" s="353"/>
      <c r="Y82" s="353"/>
      <c r="Z82" s="353"/>
      <c r="AA82" s="459"/>
      <c r="AB82" s="459"/>
      <c r="AC82" s="459"/>
      <c r="AD82" s="459"/>
      <c r="AE82" s="459"/>
      <c r="AF82" s="459"/>
    </row>
    <row r="83" spans="2:32" s="398" customFormat="1" x14ac:dyDescent="0.25">
      <c r="B83" s="379" t="s">
        <v>1015</v>
      </c>
      <c r="C83" s="397">
        <f>SUM(C72:C81)</f>
        <v>1043674</v>
      </c>
      <c r="D83" s="397">
        <f>SUM(D72:D81)</f>
        <v>0</v>
      </c>
      <c r="E83" s="397">
        <f>SUM(E72:E81)</f>
        <v>1043674</v>
      </c>
      <c r="F83" s="2216"/>
      <c r="G83" s="379">
        <f>SUM(G72:G81)</f>
        <v>2588.9275755000003</v>
      </c>
      <c r="H83" s="379">
        <f t="shared" ref="H83:Z83" si="40">SUM(H72:H81)</f>
        <v>603.70977813809918</v>
      </c>
      <c r="I83" s="379">
        <f t="shared" si="40"/>
        <v>3192.6373536380988</v>
      </c>
      <c r="J83" s="379">
        <f t="shared" si="40"/>
        <v>0</v>
      </c>
      <c r="K83" s="379">
        <f t="shared" si="40"/>
        <v>3192.6373536380988</v>
      </c>
      <c r="L83" s="379">
        <f t="shared" si="40"/>
        <v>2833.4389199999996</v>
      </c>
      <c r="M83" s="379">
        <f t="shared" si="40"/>
        <v>0</v>
      </c>
      <c r="N83" s="379">
        <f t="shared" si="40"/>
        <v>2833.4389199999996</v>
      </c>
      <c r="O83" s="379">
        <f t="shared" si="40"/>
        <v>2643.7321920000004</v>
      </c>
      <c r="P83" s="379">
        <f t="shared" si="40"/>
        <v>0</v>
      </c>
      <c r="Q83" s="379">
        <f t="shared" si="40"/>
        <v>2643.7321920000004</v>
      </c>
      <c r="R83" s="379">
        <f t="shared" si="40"/>
        <v>0</v>
      </c>
      <c r="S83" s="379">
        <f t="shared" si="40"/>
        <v>0</v>
      </c>
      <c r="T83" s="379">
        <f t="shared" si="40"/>
        <v>0</v>
      </c>
      <c r="U83" s="379">
        <f t="shared" si="40"/>
        <v>137.92747299999999</v>
      </c>
      <c r="V83" s="379">
        <f t="shared" si="40"/>
        <v>0</v>
      </c>
      <c r="W83" s="379">
        <f t="shared" si="40"/>
        <v>137.92747299999999</v>
      </c>
      <c r="X83" s="379">
        <f t="shared" si="40"/>
        <v>223.37708399999997</v>
      </c>
      <c r="Y83" s="379">
        <f t="shared" si="40"/>
        <v>0</v>
      </c>
      <c r="Z83" s="379">
        <f t="shared" si="40"/>
        <v>223.37708399999997</v>
      </c>
      <c r="AA83" s="400"/>
      <c r="AB83" s="400"/>
      <c r="AC83" s="400"/>
      <c r="AD83" s="400">
        <f t="shared" si="29"/>
        <v>0.93304717929123415</v>
      </c>
      <c r="AE83" s="400"/>
      <c r="AF83" s="400">
        <f t="shared" si="30"/>
        <v>0.93304717929123415</v>
      </c>
    </row>
    <row r="84" spans="2:32" x14ac:dyDescent="0.25">
      <c r="B84" s="374"/>
      <c r="C84" s="375"/>
      <c r="D84" s="395"/>
      <c r="E84" s="396"/>
      <c r="F84" s="2217"/>
      <c r="G84" s="374"/>
      <c r="H84" s="374"/>
      <c r="I84" s="374"/>
      <c r="J84" s="374"/>
      <c r="K84" s="374"/>
      <c r="L84" s="374"/>
      <c r="M84" s="353"/>
      <c r="N84" s="353"/>
      <c r="O84" s="353"/>
      <c r="P84" s="353"/>
      <c r="Q84" s="353"/>
      <c r="R84" s="353"/>
      <c r="S84" s="353"/>
      <c r="T84" s="353"/>
      <c r="U84" s="353"/>
      <c r="V84" s="353"/>
      <c r="W84" s="353"/>
      <c r="X84" s="353"/>
      <c r="Y84" s="353"/>
      <c r="Z84" s="353"/>
      <c r="AA84" s="459"/>
      <c r="AB84" s="459"/>
      <c r="AC84" s="459"/>
      <c r="AD84" s="459"/>
      <c r="AE84" s="459"/>
      <c r="AF84" s="459"/>
    </row>
    <row r="85" spans="2:32" s="398" customFormat="1" x14ac:dyDescent="0.25">
      <c r="B85" s="379" t="s">
        <v>1016</v>
      </c>
      <c r="C85" s="397">
        <f>SUM(C68,C83)</f>
        <v>1043871</v>
      </c>
      <c r="D85" s="397">
        <f t="shared" ref="D85:Z85" si="41">SUM(D68,D83)</f>
        <v>0</v>
      </c>
      <c r="E85" s="397">
        <f t="shared" si="41"/>
        <v>1043871</v>
      </c>
      <c r="F85" s="397">
        <f>F58</f>
        <v>3926.9620599</v>
      </c>
      <c r="G85" s="397">
        <f t="shared" si="41"/>
        <v>3124.7226865000002</v>
      </c>
      <c r="H85" s="397">
        <f t="shared" si="41"/>
        <v>603.70977813809918</v>
      </c>
      <c r="I85" s="397">
        <f t="shared" si="41"/>
        <v>3728.4324646380987</v>
      </c>
      <c r="J85" s="397">
        <f t="shared" si="41"/>
        <v>0</v>
      </c>
      <c r="K85" s="397">
        <f t="shared" si="41"/>
        <v>3728.4324646380987</v>
      </c>
      <c r="L85" s="397">
        <f t="shared" si="41"/>
        <v>3305.9481489999998</v>
      </c>
      <c r="M85" s="397">
        <f t="shared" si="41"/>
        <v>0</v>
      </c>
      <c r="N85" s="397">
        <f t="shared" si="41"/>
        <v>3305.9481489999998</v>
      </c>
      <c r="O85" s="397">
        <f t="shared" si="41"/>
        <v>3112.0215700000003</v>
      </c>
      <c r="P85" s="397">
        <f t="shared" si="41"/>
        <v>0</v>
      </c>
      <c r="Q85" s="397">
        <f t="shared" si="41"/>
        <v>3112.0215700000003</v>
      </c>
      <c r="R85" s="397">
        <f t="shared" si="41"/>
        <v>0</v>
      </c>
      <c r="S85" s="397">
        <f t="shared" si="41"/>
        <v>0</v>
      </c>
      <c r="T85" s="397">
        <f t="shared" si="41"/>
        <v>0</v>
      </c>
      <c r="U85" s="397">
        <f t="shared" si="41"/>
        <v>193.72599599999998</v>
      </c>
      <c r="V85" s="397">
        <f t="shared" si="41"/>
        <v>0</v>
      </c>
      <c r="W85" s="397">
        <f t="shared" si="41"/>
        <v>193.72599599999998</v>
      </c>
      <c r="X85" s="397">
        <f t="shared" si="41"/>
        <v>282.72342399999997</v>
      </c>
      <c r="Y85" s="397">
        <f t="shared" si="41"/>
        <v>0</v>
      </c>
      <c r="Z85" s="397">
        <f t="shared" si="41"/>
        <v>282.72342399999997</v>
      </c>
      <c r="AA85" s="400">
        <f>I85/F85</f>
        <v>0.94944448348783972</v>
      </c>
      <c r="AB85" s="400"/>
      <c r="AC85" s="400">
        <f>K85/F85</f>
        <v>0.94944448348783972</v>
      </c>
      <c r="AD85" s="400">
        <f t="shared" si="29"/>
        <v>0.9413401026695899</v>
      </c>
      <c r="AE85" s="400"/>
      <c r="AF85" s="400">
        <f>Q85/N85</f>
        <v>0.9413401026695899</v>
      </c>
    </row>
    <row r="86" spans="2:32" x14ac:dyDescent="0.25">
      <c r="B86" s="379" t="s">
        <v>493</v>
      </c>
      <c r="C86" s="395"/>
      <c r="D86" s="395"/>
      <c r="E86" s="395"/>
      <c r="F86" s="353"/>
      <c r="G86" s="374"/>
      <c r="H86" s="374"/>
      <c r="I86" s="374">
        <f>I83+15.92</f>
        <v>3208.5573536380989</v>
      </c>
      <c r="J86" s="374"/>
      <c r="K86" s="374"/>
      <c r="L86" s="374"/>
      <c r="M86" s="353"/>
      <c r="N86" s="353"/>
      <c r="O86" s="353"/>
      <c r="P86" s="353"/>
      <c r="Q86" s="353"/>
      <c r="R86" s="353"/>
      <c r="S86" s="353"/>
      <c r="T86" s="353"/>
      <c r="U86" s="353"/>
      <c r="V86" s="353"/>
      <c r="W86" s="353"/>
      <c r="X86" s="353"/>
      <c r="Y86" s="353"/>
      <c r="Z86" s="353"/>
      <c r="AA86" s="459"/>
      <c r="AB86" s="459"/>
      <c r="AC86" s="459"/>
      <c r="AD86" s="459"/>
      <c r="AE86" s="459"/>
      <c r="AF86" s="459"/>
    </row>
    <row r="87" spans="2:32" x14ac:dyDescent="0.25">
      <c r="B87" s="398" t="s">
        <v>503</v>
      </c>
    </row>
    <row r="88" spans="2:32" x14ac:dyDescent="0.25">
      <c r="B88" s="375" t="s">
        <v>504</v>
      </c>
    </row>
    <row r="89" spans="2:32" x14ac:dyDescent="0.25">
      <c r="B89" s="375" t="s">
        <v>598</v>
      </c>
    </row>
    <row r="90" spans="2:32" x14ac:dyDescent="0.25">
      <c r="B90" s="897" t="s">
        <v>1051</v>
      </c>
    </row>
    <row r="91" spans="2:32" x14ac:dyDescent="0.25">
      <c r="B91" s="900" t="s">
        <v>1052</v>
      </c>
    </row>
    <row r="92" spans="2:32" x14ac:dyDescent="0.25">
      <c r="B92" s="900"/>
    </row>
    <row r="93" spans="2:32" x14ac:dyDescent="0.25">
      <c r="B93" s="900"/>
    </row>
    <row r="94" spans="2:32" x14ac:dyDescent="0.25">
      <c r="B94" s="897" t="s">
        <v>700</v>
      </c>
    </row>
    <row r="95" spans="2:32" x14ac:dyDescent="0.25">
      <c r="B95" s="897"/>
    </row>
    <row r="96" spans="2:32" ht="14" customHeight="1" x14ac:dyDescent="0.25">
      <c r="B96" s="2478" t="s">
        <v>279</v>
      </c>
      <c r="C96" s="2468" t="s">
        <v>483</v>
      </c>
      <c r="D96" s="2469"/>
      <c r="E96" s="2470"/>
      <c r="F96" s="2481" t="s">
        <v>484</v>
      </c>
      <c r="G96" s="2468" t="s">
        <v>1728</v>
      </c>
      <c r="H96" s="2469"/>
      <c r="I96" s="2469"/>
      <c r="J96" s="2469"/>
      <c r="K96" s="2470"/>
      <c r="L96" s="2477" t="s">
        <v>486</v>
      </c>
      <c r="M96" s="2477"/>
      <c r="N96" s="2477"/>
      <c r="O96" s="2477" t="s">
        <v>487</v>
      </c>
      <c r="P96" s="2477"/>
      <c r="Q96" s="2477"/>
      <c r="R96" s="2477" t="s">
        <v>597</v>
      </c>
      <c r="S96" s="2477"/>
      <c r="T96" s="2477"/>
      <c r="U96" s="2477" t="s">
        <v>595</v>
      </c>
      <c r="V96" s="2477"/>
      <c r="W96" s="2477"/>
      <c r="X96" s="2477" t="s">
        <v>596</v>
      </c>
      <c r="Y96" s="2477"/>
      <c r="Z96" s="2477"/>
      <c r="AA96" s="2476" t="s">
        <v>500</v>
      </c>
      <c r="AB96" s="2476"/>
      <c r="AC96" s="2476"/>
      <c r="AD96" s="2476" t="s">
        <v>501</v>
      </c>
      <c r="AE96" s="2476"/>
      <c r="AF96" s="2476"/>
    </row>
    <row r="97" spans="2:32" x14ac:dyDescent="0.25">
      <c r="B97" s="2479"/>
      <c r="C97" s="2474" t="s">
        <v>488</v>
      </c>
      <c r="D97" s="2474" t="s">
        <v>489</v>
      </c>
      <c r="E97" s="2474" t="s">
        <v>145</v>
      </c>
      <c r="F97" s="2482"/>
      <c r="G97" s="2468" t="s">
        <v>502</v>
      </c>
      <c r="H97" s="2469"/>
      <c r="I97" s="2470"/>
      <c r="J97" s="2474" t="s">
        <v>492</v>
      </c>
      <c r="K97" s="2474" t="s">
        <v>594</v>
      </c>
      <c r="L97" s="2474" t="s">
        <v>490</v>
      </c>
      <c r="M97" s="2474" t="s">
        <v>491</v>
      </c>
      <c r="N97" s="2474" t="s">
        <v>145</v>
      </c>
      <c r="O97" s="2474" t="s">
        <v>490</v>
      </c>
      <c r="P97" s="2474" t="s">
        <v>491</v>
      </c>
      <c r="Q97" s="2474" t="s">
        <v>145</v>
      </c>
      <c r="R97" s="2474" t="s">
        <v>490</v>
      </c>
      <c r="S97" s="2474" t="s">
        <v>491</v>
      </c>
      <c r="T97" s="2474" t="s">
        <v>145</v>
      </c>
      <c r="U97" s="2474" t="s">
        <v>490</v>
      </c>
      <c r="V97" s="2474" t="s">
        <v>491</v>
      </c>
      <c r="W97" s="2474" t="s">
        <v>145</v>
      </c>
      <c r="X97" s="2474" t="s">
        <v>490</v>
      </c>
      <c r="Y97" s="2474" t="s">
        <v>491</v>
      </c>
      <c r="Z97" s="2474" t="s">
        <v>145</v>
      </c>
      <c r="AA97" s="2472" t="s">
        <v>490</v>
      </c>
      <c r="AB97" s="2472" t="s">
        <v>491</v>
      </c>
      <c r="AC97" s="2472" t="s">
        <v>145</v>
      </c>
      <c r="AD97" s="2472" t="s">
        <v>490</v>
      </c>
      <c r="AE97" s="2472" t="s">
        <v>491</v>
      </c>
      <c r="AF97" s="2472" t="s">
        <v>145</v>
      </c>
    </row>
    <row r="98" spans="2:32" ht="28" x14ac:dyDescent="0.25">
      <c r="B98" s="2480"/>
      <c r="C98" s="2475"/>
      <c r="D98" s="2475"/>
      <c r="E98" s="2475"/>
      <c r="F98" s="2483"/>
      <c r="G98" s="898" t="s">
        <v>772</v>
      </c>
      <c r="H98" s="898" t="s">
        <v>517</v>
      </c>
      <c r="I98" s="898" t="s">
        <v>145</v>
      </c>
      <c r="J98" s="2475"/>
      <c r="K98" s="2475"/>
      <c r="L98" s="2475"/>
      <c r="M98" s="2475"/>
      <c r="N98" s="2475"/>
      <c r="O98" s="2475"/>
      <c r="P98" s="2475"/>
      <c r="Q98" s="2475"/>
      <c r="R98" s="2475"/>
      <c r="S98" s="2475"/>
      <c r="T98" s="2475"/>
      <c r="U98" s="2475"/>
      <c r="V98" s="2475"/>
      <c r="W98" s="2475"/>
      <c r="X98" s="2475"/>
      <c r="Y98" s="2475"/>
      <c r="Z98" s="2475"/>
      <c r="AA98" s="2473"/>
      <c r="AB98" s="2473"/>
      <c r="AC98" s="2473"/>
      <c r="AD98" s="2473"/>
      <c r="AE98" s="2473"/>
      <c r="AF98" s="2473"/>
    </row>
    <row r="99" spans="2:32" x14ac:dyDescent="0.25">
      <c r="B99" s="379" t="s">
        <v>293</v>
      </c>
      <c r="C99" s="390"/>
      <c r="D99" s="390"/>
      <c r="E99" s="390"/>
      <c r="F99" s="2215">
        <v>4266.5859600000003</v>
      </c>
      <c r="G99" s="353"/>
      <c r="H99" s="353"/>
      <c r="I99" s="353"/>
      <c r="J99" s="353"/>
      <c r="K99" s="353"/>
      <c r="L99" s="353"/>
      <c r="M99" s="353"/>
      <c r="N99" s="353"/>
      <c r="O99" s="353"/>
      <c r="P99" s="353"/>
      <c r="Q99" s="353"/>
      <c r="R99" s="353"/>
      <c r="S99" s="353"/>
      <c r="T99" s="353"/>
      <c r="U99" s="353"/>
      <c r="V99" s="353"/>
      <c r="W99" s="353"/>
      <c r="X99" s="353"/>
      <c r="Y99" s="353"/>
      <c r="Z99" s="353"/>
      <c r="AA99" s="459"/>
      <c r="AB99" s="459"/>
      <c r="AC99" s="459"/>
      <c r="AD99" s="459"/>
      <c r="AE99" s="459"/>
      <c r="AF99" s="459"/>
    </row>
    <row r="100" spans="2:32" s="398" customFormat="1" x14ac:dyDescent="0.25">
      <c r="B100" s="379"/>
      <c r="C100" s="390"/>
      <c r="D100" s="390"/>
      <c r="E100" s="390"/>
      <c r="F100" s="2216"/>
      <c r="G100" s="353"/>
      <c r="H100" s="353"/>
      <c r="I100" s="353"/>
      <c r="J100" s="353"/>
      <c r="K100" s="353"/>
      <c r="L100" s="353"/>
      <c r="M100" s="354"/>
      <c r="N100" s="354"/>
      <c r="O100" s="354"/>
      <c r="P100" s="354"/>
      <c r="Q100" s="354"/>
      <c r="R100" s="354"/>
      <c r="S100" s="354"/>
      <c r="T100" s="354"/>
      <c r="U100" s="354"/>
      <c r="V100" s="354"/>
      <c r="W100" s="353"/>
      <c r="X100" s="353"/>
      <c r="Y100" s="353"/>
      <c r="Z100" s="353"/>
      <c r="AA100" s="459"/>
      <c r="AB100" s="459"/>
      <c r="AC100" s="400"/>
      <c r="AD100" s="400"/>
      <c r="AE100" s="400"/>
      <c r="AF100" s="400"/>
    </row>
    <row r="101" spans="2:32" x14ac:dyDescent="0.25">
      <c r="B101" s="374" t="s">
        <v>953</v>
      </c>
      <c r="C101" s="395">
        <v>38</v>
      </c>
      <c r="D101" s="395">
        <v>0</v>
      </c>
      <c r="E101" s="395">
        <f>SUM(C101,D101)</f>
        <v>38</v>
      </c>
      <c r="F101" s="2216"/>
      <c r="G101" s="374">
        <v>146.25275599999995</v>
      </c>
      <c r="H101" s="374">
        <v>0</v>
      </c>
      <c r="I101" s="374">
        <f>SUM(G101,H101)</f>
        <v>146.25275599999995</v>
      </c>
      <c r="J101" s="374">
        <v>0</v>
      </c>
      <c r="K101" s="374">
        <f>SUM(I101,J101)</f>
        <v>146.25275599999995</v>
      </c>
      <c r="L101" s="374">
        <v>109.683256</v>
      </c>
      <c r="M101" s="374">
        <v>0</v>
      </c>
      <c r="N101" s="374">
        <f>SUM(L101,M101)</f>
        <v>109.683256</v>
      </c>
      <c r="O101" s="374">
        <v>107.841551</v>
      </c>
      <c r="P101" s="374">
        <v>0</v>
      </c>
      <c r="Q101" s="374">
        <f>SUM(O101,P101)</f>
        <v>107.841551</v>
      </c>
      <c r="R101" s="374">
        <v>0</v>
      </c>
      <c r="S101" s="374">
        <v>0</v>
      </c>
      <c r="T101" s="374">
        <f>SUM(R101,S101)</f>
        <v>0</v>
      </c>
      <c r="U101" s="374">
        <v>9.1803980000000003</v>
      </c>
      <c r="V101" s="374">
        <v>0</v>
      </c>
      <c r="W101" s="374">
        <f>SUM(U101,V101)</f>
        <v>9.1803980000000003</v>
      </c>
      <c r="X101" s="374">
        <v>10.987487</v>
      </c>
      <c r="Y101" s="374">
        <v>0</v>
      </c>
      <c r="Z101" s="374">
        <f>SUM(X101,Y101)</f>
        <v>10.987487</v>
      </c>
      <c r="AA101" s="459"/>
      <c r="AB101" s="459"/>
      <c r="AC101" s="459"/>
      <c r="AD101" s="459">
        <f>O101/L101</f>
        <v>0.98320887738781204</v>
      </c>
      <c r="AE101" s="459"/>
      <c r="AF101" s="459">
        <f>Q101/N101</f>
        <v>0.98320887738781204</v>
      </c>
    </row>
    <row r="102" spans="2:32" x14ac:dyDescent="0.25">
      <c r="B102" s="374" t="s">
        <v>954</v>
      </c>
      <c r="C102" s="395">
        <v>95</v>
      </c>
      <c r="D102" s="395">
        <v>0</v>
      </c>
      <c r="E102" s="395">
        <f t="shared" ref="E102:E107" si="42">SUM(C102,D102)</f>
        <v>95</v>
      </c>
      <c r="F102" s="2216"/>
      <c r="G102" s="374">
        <v>189.38126699999998</v>
      </c>
      <c r="H102" s="374">
        <v>0</v>
      </c>
      <c r="I102" s="374">
        <f t="shared" ref="I102:I107" si="43">SUM(G102,H102)</f>
        <v>189.38126699999998</v>
      </c>
      <c r="J102" s="374">
        <v>0</v>
      </c>
      <c r="K102" s="374">
        <f t="shared" ref="K102:K107" si="44">SUM(I102,J102)</f>
        <v>189.38126699999998</v>
      </c>
      <c r="L102" s="374">
        <v>196.87409099999999</v>
      </c>
      <c r="M102" s="374">
        <v>0</v>
      </c>
      <c r="N102" s="374">
        <f t="shared" ref="N102:N107" si="45">SUM(L102,M102)</f>
        <v>196.87409099999999</v>
      </c>
      <c r="O102" s="374">
        <v>206.289467</v>
      </c>
      <c r="P102" s="374">
        <v>0</v>
      </c>
      <c r="Q102" s="374">
        <f t="shared" ref="Q102:Q107" si="46">SUM(O102,P102)</f>
        <v>206.289467</v>
      </c>
      <c r="R102" s="374">
        <v>0</v>
      </c>
      <c r="S102" s="374">
        <v>0</v>
      </c>
      <c r="T102" s="374">
        <f t="shared" ref="T102:T107" si="47">SUM(R102,S102)</f>
        <v>0</v>
      </c>
      <c r="U102" s="374">
        <v>34.733757000000004</v>
      </c>
      <c r="V102" s="374">
        <v>0</v>
      </c>
      <c r="W102" s="374">
        <f t="shared" ref="W102:W107" si="48">SUM(U102,V102)</f>
        <v>34.733757000000004</v>
      </c>
      <c r="X102" s="374">
        <v>24.719743999999999</v>
      </c>
      <c r="Y102" s="374">
        <v>0</v>
      </c>
      <c r="Z102" s="374">
        <f t="shared" ref="Z102:Z107" si="49">SUM(X102,Y102)</f>
        <v>24.719743999999999</v>
      </c>
      <c r="AA102" s="459"/>
      <c r="AB102" s="459"/>
      <c r="AC102" s="459"/>
      <c r="AD102" s="459">
        <f t="shared" ref="AD102:AD127" si="50">O102/L102</f>
        <v>1.0478243528753615</v>
      </c>
      <c r="AE102" s="459"/>
      <c r="AF102" s="459">
        <f t="shared" ref="AF102:AF127" si="51">Q102/N102</f>
        <v>1.0478243528753615</v>
      </c>
    </row>
    <row r="103" spans="2:32" x14ac:dyDescent="0.25">
      <c r="B103" s="374" t="s">
        <v>955</v>
      </c>
      <c r="C103" s="395">
        <v>12</v>
      </c>
      <c r="D103" s="395">
        <v>0</v>
      </c>
      <c r="E103" s="395">
        <f t="shared" si="42"/>
        <v>12</v>
      </c>
      <c r="F103" s="2216"/>
      <c r="G103" s="374">
        <v>25.873667000000001</v>
      </c>
      <c r="H103" s="374">
        <v>0</v>
      </c>
      <c r="I103" s="374">
        <f t="shared" si="43"/>
        <v>25.873667000000001</v>
      </c>
      <c r="J103" s="374">
        <v>0</v>
      </c>
      <c r="K103" s="374">
        <f t="shared" si="44"/>
        <v>25.873667000000001</v>
      </c>
      <c r="L103" s="374">
        <v>18.664197000000001</v>
      </c>
      <c r="M103" s="374">
        <v>0</v>
      </c>
      <c r="N103" s="374">
        <f t="shared" si="45"/>
        <v>18.664197000000001</v>
      </c>
      <c r="O103" s="374">
        <v>19.092929999999999</v>
      </c>
      <c r="P103" s="374">
        <v>0</v>
      </c>
      <c r="Q103" s="374">
        <f t="shared" si="46"/>
        <v>19.092929999999999</v>
      </c>
      <c r="R103" s="374">
        <v>0</v>
      </c>
      <c r="S103" s="374">
        <v>0</v>
      </c>
      <c r="T103" s="374">
        <f t="shared" si="47"/>
        <v>0</v>
      </c>
      <c r="U103" s="374">
        <v>1.5663290000000001</v>
      </c>
      <c r="V103" s="374">
        <v>0</v>
      </c>
      <c r="W103" s="374">
        <f t="shared" si="48"/>
        <v>1.5663290000000001</v>
      </c>
      <c r="X103" s="374">
        <v>1.119766</v>
      </c>
      <c r="Y103" s="374">
        <v>0</v>
      </c>
      <c r="Z103" s="374">
        <f t="shared" si="49"/>
        <v>1.119766</v>
      </c>
      <c r="AA103" s="459"/>
      <c r="AB103" s="459"/>
      <c r="AC103" s="459"/>
      <c r="AD103" s="459">
        <f t="shared" si="50"/>
        <v>1.0229708784149674</v>
      </c>
      <c r="AE103" s="459"/>
      <c r="AF103" s="459">
        <f t="shared" si="51"/>
        <v>1.0229708784149674</v>
      </c>
    </row>
    <row r="104" spans="2:32" x14ac:dyDescent="0.25">
      <c r="B104" s="374" t="s">
        <v>956</v>
      </c>
      <c r="C104" s="395">
        <v>3</v>
      </c>
      <c r="D104" s="395">
        <v>0</v>
      </c>
      <c r="E104" s="395">
        <f t="shared" si="42"/>
        <v>3</v>
      </c>
      <c r="F104" s="2216"/>
      <c r="G104" s="374">
        <v>2.0677479999999981</v>
      </c>
      <c r="H104" s="374">
        <v>0</v>
      </c>
      <c r="I104" s="374">
        <f t="shared" si="43"/>
        <v>2.0677479999999981</v>
      </c>
      <c r="J104" s="374">
        <v>0</v>
      </c>
      <c r="K104" s="374">
        <f t="shared" si="44"/>
        <v>2.0677479999999981</v>
      </c>
      <c r="L104" s="374">
        <v>2.1891219999999998</v>
      </c>
      <c r="M104" s="374">
        <v>0</v>
      </c>
      <c r="N104" s="374">
        <f t="shared" si="45"/>
        <v>2.1891219999999998</v>
      </c>
      <c r="O104" s="374">
        <v>2.298978</v>
      </c>
      <c r="P104" s="374">
        <v>0</v>
      </c>
      <c r="Q104" s="374">
        <f t="shared" si="46"/>
        <v>2.298978</v>
      </c>
      <c r="R104" s="374">
        <v>0</v>
      </c>
      <c r="S104" s="374">
        <v>0</v>
      </c>
      <c r="T104" s="374">
        <f t="shared" si="47"/>
        <v>0</v>
      </c>
      <c r="U104" s="374">
        <v>0.46033000000000002</v>
      </c>
      <c r="V104" s="374">
        <v>0</v>
      </c>
      <c r="W104" s="374">
        <f t="shared" si="48"/>
        <v>0.46033000000000002</v>
      </c>
      <c r="X104" s="374">
        <v>0.35047499999999998</v>
      </c>
      <c r="Y104" s="374">
        <v>0</v>
      </c>
      <c r="Z104" s="374">
        <f t="shared" si="49"/>
        <v>0.35047499999999998</v>
      </c>
      <c r="AA104" s="459"/>
      <c r="AB104" s="459"/>
      <c r="AC104" s="459"/>
      <c r="AD104" s="459">
        <f t="shared" si="50"/>
        <v>1.0501826759769444</v>
      </c>
      <c r="AE104" s="459"/>
      <c r="AF104" s="459">
        <f t="shared" si="51"/>
        <v>1.0501826759769444</v>
      </c>
    </row>
    <row r="105" spans="2:32" x14ac:dyDescent="0.25">
      <c r="B105" s="374" t="s">
        <v>957</v>
      </c>
      <c r="C105" s="395">
        <v>4</v>
      </c>
      <c r="D105" s="395">
        <v>0</v>
      </c>
      <c r="E105" s="395">
        <f t="shared" si="42"/>
        <v>4</v>
      </c>
      <c r="F105" s="2216"/>
      <c r="G105" s="374">
        <v>25.726739999999992</v>
      </c>
      <c r="H105" s="374">
        <v>0</v>
      </c>
      <c r="I105" s="374">
        <f t="shared" si="43"/>
        <v>25.726739999999992</v>
      </c>
      <c r="J105" s="374">
        <v>0</v>
      </c>
      <c r="K105" s="374">
        <f t="shared" si="44"/>
        <v>25.726739999999992</v>
      </c>
      <c r="L105" s="374">
        <v>18.436071999999999</v>
      </c>
      <c r="M105" s="374">
        <v>0</v>
      </c>
      <c r="N105" s="374">
        <f t="shared" si="45"/>
        <v>18.436071999999999</v>
      </c>
      <c r="O105" s="374">
        <v>18.280453000000001</v>
      </c>
      <c r="P105" s="374">
        <v>0</v>
      </c>
      <c r="Q105" s="374">
        <f t="shared" si="46"/>
        <v>18.280453000000001</v>
      </c>
      <c r="R105" s="374">
        <v>0</v>
      </c>
      <c r="S105" s="374">
        <v>0</v>
      </c>
      <c r="T105" s="374">
        <f t="shared" si="47"/>
        <v>0</v>
      </c>
      <c r="U105" s="374">
        <v>1.3497239999999999</v>
      </c>
      <c r="V105" s="374">
        <v>0</v>
      </c>
      <c r="W105" s="374">
        <f t="shared" si="48"/>
        <v>1.3497239999999999</v>
      </c>
      <c r="X105" s="374">
        <v>1.5053430000000001</v>
      </c>
      <c r="Y105" s="374">
        <v>0</v>
      </c>
      <c r="Z105" s="374">
        <f t="shared" si="49"/>
        <v>1.5053430000000001</v>
      </c>
      <c r="AA105" s="459"/>
      <c r="AB105" s="459"/>
      <c r="AC105" s="459"/>
      <c r="AD105" s="459">
        <f t="shared" si="50"/>
        <v>0.99155899369453548</v>
      </c>
      <c r="AE105" s="459"/>
      <c r="AF105" s="459">
        <f t="shared" si="51"/>
        <v>0.99155899369453548</v>
      </c>
    </row>
    <row r="106" spans="2:32" x14ac:dyDescent="0.25">
      <c r="B106" s="899" t="s">
        <v>958</v>
      </c>
      <c r="C106" s="395">
        <v>45</v>
      </c>
      <c r="D106" s="395">
        <v>0</v>
      </c>
      <c r="E106" s="395">
        <f t="shared" si="42"/>
        <v>45</v>
      </c>
      <c r="F106" s="2216"/>
      <c r="G106" s="374">
        <v>182.77565699999994</v>
      </c>
      <c r="H106" s="374">
        <v>0</v>
      </c>
      <c r="I106" s="374">
        <f t="shared" si="43"/>
        <v>182.77565699999994</v>
      </c>
      <c r="J106" s="374">
        <v>0</v>
      </c>
      <c r="K106" s="374">
        <f t="shared" si="44"/>
        <v>182.77565699999994</v>
      </c>
      <c r="L106" s="374">
        <v>150.260469</v>
      </c>
      <c r="M106" s="374">
        <v>0</v>
      </c>
      <c r="N106" s="374">
        <f t="shared" si="45"/>
        <v>150.260469</v>
      </c>
      <c r="O106" s="374">
        <v>152.73019400000001</v>
      </c>
      <c r="P106" s="374">
        <v>0</v>
      </c>
      <c r="Q106" s="374">
        <f t="shared" si="46"/>
        <v>152.73019400000001</v>
      </c>
      <c r="R106" s="374">
        <v>0</v>
      </c>
      <c r="S106" s="374">
        <v>0</v>
      </c>
      <c r="T106" s="374">
        <f t="shared" si="47"/>
        <v>0</v>
      </c>
      <c r="U106" s="374">
        <v>12.055802</v>
      </c>
      <c r="V106" s="374">
        <v>0</v>
      </c>
      <c r="W106" s="374">
        <f t="shared" si="48"/>
        <v>12.055802</v>
      </c>
      <c r="X106" s="374">
        <v>9.5860850000000006</v>
      </c>
      <c r="Y106" s="374">
        <v>0</v>
      </c>
      <c r="Z106" s="374">
        <f t="shared" si="49"/>
        <v>9.5860850000000006</v>
      </c>
      <c r="AA106" s="459"/>
      <c r="AB106" s="459"/>
      <c r="AC106" s="459"/>
      <c r="AD106" s="459">
        <f t="shared" si="50"/>
        <v>1.0164362923690862</v>
      </c>
      <c r="AE106" s="459"/>
      <c r="AF106" s="459">
        <f t="shared" si="51"/>
        <v>1.0164362923690862</v>
      </c>
    </row>
    <row r="107" spans="2:32" x14ac:dyDescent="0.25">
      <c r="B107" s="374" t="s">
        <v>959</v>
      </c>
      <c r="C107" s="395">
        <v>0</v>
      </c>
      <c r="D107" s="395">
        <v>0</v>
      </c>
      <c r="E107" s="395">
        <f t="shared" si="42"/>
        <v>0</v>
      </c>
      <c r="F107" s="2216"/>
      <c r="G107" s="374">
        <v>0</v>
      </c>
      <c r="H107" s="374">
        <v>0</v>
      </c>
      <c r="I107" s="374">
        <f t="shared" si="43"/>
        <v>0</v>
      </c>
      <c r="J107" s="374">
        <v>0</v>
      </c>
      <c r="K107" s="374">
        <f t="shared" si="44"/>
        <v>0</v>
      </c>
      <c r="L107" s="374">
        <v>0</v>
      </c>
      <c r="M107" s="374">
        <v>0</v>
      </c>
      <c r="N107" s="374">
        <f t="shared" si="45"/>
        <v>0</v>
      </c>
      <c r="O107" s="374">
        <v>0</v>
      </c>
      <c r="P107" s="374">
        <v>0</v>
      </c>
      <c r="Q107" s="374">
        <f t="shared" si="46"/>
        <v>0</v>
      </c>
      <c r="R107" s="374">
        <v>0</v>
      </c>
      <c r="S107" s="374">
        <v>0</v>
      </c>
      <c r="T107" s="374">
        <f t="shared" si="47"/>
        <v>0</v>
      </c>
      <c r="U107" s="374">
        <v>0</v>
      </c>
      <c r="V107" s="374">
        <v>0</v>
      </c>
      <c r="W107" s="374">
        <f t="shared" si="48"/>
        <v>0</v>
      </c>
      <c r="X107" s="374">
        <v>0</v>
      </c>
      <c r="Y107" s="374">
        <v>0</v>
      </c>
      <c r="Z107" s="374">
        <f t="shared" si="49"/>
        <v>0</v>
      </c>
      <c r="AA107" s="459"/>
      <c r="AB107" s="459"/>
      <c r="AC107" s="459"/>
      <c r="AD107" s="459">
        <v>0</v>
      </c>
      <c r="AE107" s="459"/>
      <c r="AF107" s="459">
        <v>0</v>
      </c>
    </row>
    <row r="108" spans="2:32" x14ac:dyDescent="0.25">
      <c r="B108" s="379"/>
      <c r="C108" s="395"/>
      <c r="D108" s="395"/>
      <c r="E108" s="395"/>
      <c r="F108" s="2216"/>
      <c r="G108" s="374"/>
      <c r="H108" s="374"/>
      <c r="I108" s="374"/>
      <c r="J108" s="374"/>
      <c r="K108" s="374"/>
      <c r="L108" s="374"/>
      <c r="M108" s="353"/>
      <c r="N108" s="353"/>
      <c r="O108" s="353"/>
      <c r="P108" s="353"/>
      <c r="Q108" s="353"/>
      <c r="R108" s="353"/>
      <c r="S108" s="353"/>
      <c r="T108" s="353"/>
      <c r="U108" s="353"/>
      <c r="V108" s="353"/>
      <c r="W108" s="353"/>
      <c r="X108" s="353"/>
      <c r="Y108" s="353"/>
      <c r="Z108" s="353"/>
      <c r="AA108" s="459"/>
      <c r="AB108" s="459"/>
      <c r="AC108" s="459"/>
      <c r="AD108" s="459"/>
      <c r="AE108" s="459"/>
      <c r="AF108" s="459"/>
    </row>
    <row r="109" spans="2:32" s="398" customFormat="1" x14ac:dyDescent="0.25">
      <c r="B109" s="379" t="s">
        <v>998</v>
      </c>
      <c r="C109" s="397">
        <f>SUM(C101:C107)</f>
        <v>197</v>
      </c>
      <c r="D109" s="397">
        <f>SUM(D101:D107)</f>
        <v>0</v>
      </c>
      <c r="E109" s="397">
        <f>SUM(E101:E107)</f>
        <v>197</v>
      </c>
      <c r="F109" s="2216"/>
      <c r="G109" s="397">
        <f>SUM(G101:G107)</f>
        <v>572.07783499999994</v>
      </c>
      <c r="H109" s="397">
        <f t="shared" ref="H109:Z109" si="52">SUM(H101:H107)</f>
        <v>0</v>
      </c>
      <c r="I109" s="397">
        <f t="shared" si="52"/>
        <v>572.07783499999994</v>
      </c>
      <c r="J109" s="397">
        <f t="shared" si="52"/>
        <v>0</v>
      </c>
      <c r="K109" s="397">
        <f t="shared" si="52"/>
        <v>572.07783499999994</v>
      </c>
      <c r="L109" s="397">
        <f t="shared" si="52"/>
        <v>496.10720700000002</v>
      </c>
      <c r="M109" s="397">
        <f t="shared" si="52"/>
        <v>0</v>
      </c>
      <c r="N109" s="397">
        <f t="shared" si="52"/>
        <v>496.10720700000002</v>
      </c>
      <c r="O109" s="397">
        <f t="shared" si="52"/>
        <v>506.53357300000005</v>
      </c>
      <c r="P109" s="397">
        <f t="shared" si="52"/>
        <v>0</v>
      </c>
      <c r="Q109" s="397">
        <f t="shared" si="52"/>
        <v>506.53357300000005</v>
      </c>
      <c r="R109" s="397">
        <f t="shared" si="52"/>
        <v>0</v>
      </c>
      <c r="S109" s="397">
        <f t="shared" si="52"/>
        <v>0</v>
      </c>
      <c r="T109" s="397">
        <f t="shared" si="52"/>
        <v>0</v>
      </c>
      <c r="U109" s="397">
        <f t="shared" si="52"/>
        <v>59.346340000000012</v>
      </c>
      <c r="V109" s="397">
        <f t="shared" si="52"/>
        <v>0</v>
      </c>
      <c r="W109" s="397">
        <f t="shared" si="52"/>
        <v>59.346340000000012</v>
      </c>
      <c r="X109" s="397">
        <f t="shared" si="52"/>
        <v>48.268900000000002</v>
      </c>
      <c r="Y109" s="397">
        <f t="shared" si="52"/>
        <v>0</v>
      </c>
      <c r="Z109" s="397">
        <f t="shared" si="52"/>
        <v>48.268900000000002</v>
      </c>
      <c r="AA109" s="903"/>
      <c r="AB109" s="903"/>
      <c r="AC109" s="400"/>
      <c r="AD109" s="400">
        <f t="shared" si="50"/>
        <v>1.0210163566521218</v>
      </c>
      <c r="AE109" s="400"/>
      <c r="AF109" s="400">
        <f t="shared" si="51"/>
        <v>1.0210163566521218</v>
      </c>
    </row>
    <row r="110" spans="2:32" x14ac:dyDescent="0.25">
      <c r="B110" s="374"/>
      <c r="C110" s="395"/>
      <c r="D110" s="395"/>
      <c r="E110" s="395"/>
      <c r="F110" s="2216"/>
      <c r="G110" s="374"/>
      <c r="H110" s="374"/>
      <c r="I110" s="374"/>
      <c r="J110" s="374"/>
      <c r="K110" s="374"/>
      <c r="L110" s="374"/>
      <c r="M110" s="353"/>
      <c r="N110" s="353"/>
      <c r="O110" s="353"/>
      <c r="P110" s="353"/>
      <c r="Q110" s="353"/>
      <c r="R110" s="353"/>
      <c r="S110" s="353"/>
      <c r="T110" s="353"/>
      <c r="U110" s="353"/>
      <c r="V110" s="353"/>
      <c r="W110" s="353"/>
      <c r="X110" s="353"/>
      <c r="Y110" s="353"/>
      <c r="Z110" s="353"/>
      <c r="AA110" s="459"/>
      <c r="AB110" s="459"/>
      <c r="AC110" s="459"/>
      <c r="AD110" s="459"/>
      <c r="AE110" s="459"/>
      <c r="AF110" s="459"/>
    </row>
    <row r="111" spans="2:32" s="398" customFormat="1" x14ac:dyDescent="0.25">
      <c r="B111" s="379" t="s">
        <v>294</v>
      </c>
      <c r="C111" s="395"/>
      <c r="D111" s="395"/>
      <c r="E111" s="395"/>
      <c r="F111" s="2216"/>
      <c r="G111" s="374"/>
      <c r="H111" s="374"/>
      <c r="I111" s="374"/>
      <c r="J111" s="374"/>
      <c r="K111" s="374"/>
      <c r="L111" s="374"/>
      <c r="M111" s="354"/>
      <c r="N111" s="354"/>
      <c r="O111" s="354"/>
      <c r="P111" s="354"/>
      <c r="Q111" s="354"/>
      <c r="R111" s="354"/>
      <c r="S111" s="354"/>
      <c r="T111" s="354"/>
      <c r="U111" s="354"/>
      <c r="V111" s="354"/>
      <c r="W111" s="353"/>
      <c r="X111" s="353"/>
      <c r="Y111" s="353"/>
      <c r="Z111" s="353"/>
      <c r="AA111" s="459"/>
      <c r="AB111" s="459"/>
      <c r="AC111" s="400"/>
      <c r="AD111" s="459"/>
      <c r="AE111" s="459"/>
      <c r="AF111" s="459"/>
    </row>
    <row r="112" spans="2:32" s="398" customFormat="1" x14ac:dyDescent="0.25">
      <c r="B112" s="374"/>
      <c r="C112" s="395"/>
      <c r="D112" s="395"/>
      <c r="E112" s="395"/>
      <c r="F112" s="2216"/>
      <c r="G112" s="374"/>
      <c r="H112" s="374"/>
      <c r="I112" s="374"/>
      <c r="J112" s="374"/>
      <c r="K112" s="374"/>
      <c r="L112" s="374"/>
      <c r="M112" s="354"/>
      <c r="N112" s="354"/>
      <c r="O112" s="354"/>
      <c r="P112" s="354"/>
      <c r="Q112" s="354"/>
      <c r="R112" s="354"/>
      <c r="S112" s="354"/>
      <c r="T112" s="354"/>
      <c r="U112" s="354"/>
      <c r="V112" s="354"/>
      <c r="W112" s="353"/>
      <c r="X112" s="353"/>
      <c r="Y112" s="353"/>
      <c r="Z112" s="353"/>
      <c r="AA112" s="459"/>
      <c r="AB112" s="459"/>
      <c r="AC112" s="400"/>
      <c r="AD112" s="459"/>
      <c r="AE112" s="459"/>
      <c r="AF112" s="459"/>
    </row>
    <row r="113" spans="2:32" s="398" customFormat="1" x14ac:dyDescent="0.25">
      <c r="B113" s="374" t="s">
        <v>960</v>
      </c>
      <c r="C113" s="395">
        <v>52</v>
      </c>
      <c r="D113" s="395">
        <v>0</v>
      </c>
      <c r="E113" s="395">
        <f>SUM(C113,D113)</f>
        <v>52</v>
      </c>
      <c r="F113" s="2216"/>
      <c r="G113" s="374">
        <v>8.3580000000000008E-3</v>
      </c>
      <c r="H113" s="374">
        <v>0</v>
      </c>
      <c r="I113" s="374">
        <f>SUM(G113,H113)</f>
        <v>8.3580000000000008E-3</v>
      </c>
      <c r="J113" s="374">
        <v>0</v>
      </c>
      <c r="K113" s="374">
        <f>SUM(I113,J113)</f>
        <v>8.3580000000000008E-3</v>
      </c>
      <c r="L113" s="374">
        <v>3.5569999999999998E-3</v>
      </c>
      <c r="M113" s="374">
        <v>0</v>
      </c>
      <c r="N113" s="374">
        <f>SUM(L113,M113)</f>
        <v>3.5569999999999998E-3</v>
      </c>
      <c r="O113" s="374">
        <v>3.2729999999999999E-3</v>
      </c>
      <c r="P113" s="374">
        <v>0</v>
      </c>
      <c r="Q113" s="374">
        <f>SUM(O113,P113)</f>
        <v>3.2729999999999999E-3</v>
      </c>
      <c r="R113" s="374">
        <v>0</v>
      </c>
      <c r="S113" s="374">
        <v>0</v>
      </c>
      <c r="T113" s="374">
        <f>SUM(R113,S113)</f>
        <v>0</v>
      </c>
      <c r="U113" s="374">
        <v>1.81E-3</v>
      </c>
      <c r="V113" s="374">
        <v>0</v>
      </c>
      <c r="W113" s="374">
        <f>SUM(U113,V113)</f>
        <v>1.81E-3</v>
      </c>
      <c r="X113" s="374">
        <v>9.3700000000000001E-4</v>
      </c>
      <c r="Y113" s="374">
        <v>0</v>
      </c>
      <c r="Z113" s="374">
        <f>SUM(X113,Y113)</f>
        <v>9.3700000000000001E-4</v>
      </c>
      <c r="AA113" s="459"/>
      <c r="AB113" s="459"/>
      <c r="AC113" s="400"/>
      <c r="AD113" s="459">
        <f t="shared" si="50"/>
        <v>0.92015743604160816</v>
      </c>
      <c r="AE113" s="459"/>
      <c r="AF113" s="459">
        <f t="shared" si="51"/>
        <v>0.92015743604160816</v>
      </c>
    </row>
    <row r="114" spans="2:32" s="398" customFormat="1" x14ac:dyDescent="0.25">
      <c r="B114" s="899" t="s">
        <v>961</v>
      </c>
      <c r="C114" s="395">
        <v>767460</v>
      </c>
      <c r="D114" s="395">
        <v>0</v>
      </c>
      <c r="E114" s="395">
        <f t="shared" ref="E114:E123" si="53">SUM(C114,D114)</f>
        <v>767460</v>
      </c>
      <c r="F114" s="2216"/>
      <c r="G114" s="374">
        <v>1959.7270170000004</v>
      </c>
      <c r="H114" s="374">
        <v>28</v>
      </c>
      <c r="I114" s="374">
        <f t="shared" ref="I114:I123" si="54">SUM(G114,H114)</f>
        <v>1987.7270170000004</v>
      </c>
      <c r="J114" s="374">
        <v>0</v>
      </c>
      <c r="K114" s="374">
        <f t="shared" ref="K114:K123" si="55">SUM(I114,J114)</f>
        <v>1987.7270170000004</v>
      </c>
      <c r="L114" s="374">
        <v>1585.391529</v>
      </c>
      <c r="M114" s="374">
        <v>0</v>
      </c>
      <c r="N114" s="374">
        <f t="shared" ref="N114:N123" si="56">SUM(L114,M114)</f>
        <v>1585.391529</v>
      </c>
      <c r="O114" s="374">
        <v>1610.7410129999998</v>
      </c>
      <c r="P114" s="374">
        <v>0</v>
      </c>
      <c r="Q114" s="374">
        <f t="shared" ref="Q114:Q123" si="57">SUM(O114,P114)</f>
        <v>1610.7410129999998</v>
      </c>
      <c r="R114" s="374">
        <v>0</v>
      </c>
      <c r="S114" s="374">
        <v>0</v>
      </c>
      <c r="T114" s="374">
        <f t="shared" ref="T114:T123" si="58">SUM(R114,S114)</f>
        <v>0</v>
      </c>
      <c r="U114" s="374">
        <v>71.97343699999999</v>
      </c>
      <c r="V114" s="374">
        <v>0</v>
      </c>
      <c r="W114" s="374">
        <f t="shared" ref="W114:W123" si="59">SUM(U114,V114)</f>
        <v>71.97343699999999</v>
      </c>
      <c r="X114" s="374">
        <v>55.172623999999999</v>
      </c>
      <c r="Y114" s="374">
        <v>0</v>
      </c>
      <c r="Z114" s="374">
        <f t="shared" ref="Z114:Z123" si="60">SUM(X114,Y114)</f>
        <v>55.172623999999999</v>
      </c>
      <c r="AA114" s="459"/>
      <c r="AB114" s="459"/>
      <c r="AC114" s="400"/>
      <c r="AD114" s="459">
        <f t="shared" si="50"/>
        <v>1.0159894155710478</v>
      </c>
      <c r="AE114" s="459"/>
      <c r="AF114" s="459">
        <f t="shared" si="51"/>
        <v>1.0159894155710478</v>
      </c>
    </row>
    <row r="115" spans="2:32" s="398" customFormat="1" x14ac:dyDescent="0.25">
      <c r="B115" s="374" t="s">
        <v>962</v>
      </c>
      <c r="C115" s="395">
        <v>252847</v>
      </c>
      <c r="D115" s="395">
        <v>0</v>
      </c>
      <c r="E115" s="395">
        <f t="shared" si="53"/>
        <v>252847</v>
      </c>
      <c r="F115" s="2216"/>
      <c r="G115" s="374">
        <v>663.08485700000006</v>
      </c>
      <c r="H115" s="374">
        <v>13</v>
      </c>
      <c r="I115" s="374">
        <f t="shared" si="54"/>
        <v>676.08485700000006</v>
      </c>
      <c r="J115" s="374">
        <v>0</v>
      </c>
      <c r="K115" s="374">
        <f t="shared" si="55"/>
        <v>676.08485700000006</v>
      </c>
      <c r="L115" s="374">
        <v>723.43895299999997</v>
      </c>
      <c r="M115" s="374">
        <v>0</v>
      </c>
      <c r="N115" s="374">
        <f t="shared" si="56"/>
        <v>723.43895299999997</v>
      </c>
      <c r="O115" s="374">
        <v>730.96369900000002</v>
      </c>
      <c r="P115" s="374">
        <v>0</v>
      </c>
      <c r="Q115" s="374">
        <f t="shared" si="57"/>
        <v>730.96369900000002</v>
      </c>
      <c r="R115" s="374">
        <v>0</v>
      </c>
      <c r="S115" s="374">
        <v>0</v>
      </c>
      <c r="T115" s="374">
        <f t="shared" si="58"/>
        <v>0</v>
      </c>
      <c r="U115" s="374">
        <v>41.831524999999999</v>
      </c>
      <c r="V115" s="374">
        <v>0</v>
      </c>
      <c r="W115" s="374">
        <f t="shared" si="59"/>
        <v>41.831524999999999</v>
      </c>
      <c r="X115" s="374">
        <v>32.383417999999999</v>
      </c>
      <c r="Y115" s="374">
        <v>0</v>
      </c>
      <c r="Z115" s="374">
        <f t="shared" si="60"/>
        <v>32.383417999999999</v>
      </c>
      <c r="AA115" s="459"/>
      <c r="AB115" s="459"/>
      <c r="AC115" s="400"/>
      <c r="AD115" s="459">
        <f t="shared" si="50"/>
        <v>1.0104013558694842</v>
      </c>
      <c r="AE115" s="459"/>
      <c r="AF115" s="459">
        <f t="shared" si="51"/>
        <v>1.0104013558694842</v>
      </c>
    </row>
    <row r="116" spans="2:32" x14ac:dyDescent="0.25">
      <c r="B116" s="374" t="s">
        <v>963</v>
      </c>
      <c r="C116" s="395">
        <v>5846</v>
      </c>
      <c r="D116" s="395">
        <v>0</v>
      </c>
      <c r="E116" s="395">
        <f t="shared" si="53"/>
        <v>5846</v>
      </c>
      <c r="F116" s="2216"/>
      <c r="G116" s="374">
        <v>144.39367000000001</v>
      </c>
      <c r="H116" s="374">
        <v>0</v>
      </c>
      <c r="I116" s="374">
        <f t="shared" si="54"/>
        <v>144.39367000000001</v>
      </c>
      <c r="J116" s="374">
        <v>0</v>
      </c>
      <c r="K116" s="374">
        <f t="shared" si="55"/>
        <v>144.39367000000001</v>
      </c>
      <c r="L116" s="374">
        <v>176.322014</v>
      </c>
      <c r="M116" s="374">
        <v>0</v>
      </c>
      <c r="N116" s="374">
        <f t="shared" si="56"/>
        <v>176.322014</v>
      </c>
      <c r="O116" s="374">
        <v>178.72760099999999</v>
      </c>
      <c r="P116" s="374">
        <v>0</v>
      </c>
      <c r="Q116" s="374">
        <f t="shared" si="57"/>
        <v>178.72760099999999</v>
      </c>
      <c r="R116" s="374">
        <v>0</v>
      </c>
      <c r="S116" s="374">
        <v>0</v>
      </c>
      <c r="T116" s="374">
        <f t="shared" si="58"/>
        <v>0</v>
      </c>
      <c r="U116" s="374">
        <v>22.215000999999997</v>
      </c>
      <c r="V116" s="374">
        <v>0</v>
      </c>
      <c r="W116" s="374">
        <f t="shared" si="59"/>
        <v>22.215000999999997</v>
      </c>
      <c r="X116" s="374">
        <v>17.533840999999999</v>
      </c>
      <c r="Y116" s="374">
        <v>0</v>
      </c>
      <c r="Z116" s="374">
        <f t="shared" si="60"/>
        <v>17.533840999999999</v>
      </c>
      <c r="AA116" s="459"/>
      <c r="AB116" s="459"/>
      <c r="AC116" s="459"/>
      <c r="AD116" s="459">
        <f t="shared" si="50"/>
        <v>1.0136431461133377</v>
      </c>
      <c r="AE116" s="459"/>
      <c r="AF116" s="459">
        <f t="shared" si="51"/>
        <v>1.0136431461133377</v>
      </c>
    </row>
    <row r="117" spans="2:32" x14ac:dyDescent="0.25">
      <c r="B117" s="374" t="s">
        <v>964</v>
      </c>
      <c r="C117" s="395">
        <v>3051</v>
      </c>
      <c r="D117" s="395">
        <v>0</v>
      </c>
      <c r="E117" s="395">
        <f t="shared" si="53"/>
        <v>3051</v>
      </c>
      <c r="F117" s="2216"/>
      <c r="G117" s="374">
        <v>290.95920999999998</v>
      </c>
      <c r="H117" s="374">
        <v>0</v>
      </c>
      <c r="I117" s="374">
        <f t="shared" si="54"/>
        <v>290.95920999999998</v>
      </c>
      <c r="J117" s="374">
        <v>0</v>
      </c>
      <c r="K117" s="374">
        <f t="shared" si="55"/>
        <v>290.95920999999998</v>
      </c>
      <c r="L117" s="374">
        <v>347.94605899999999</v>
      </c>
      <c r="M117" s="374">
        <v>0</v>
      </c>
      <c r="N117" s="374">
        <f t="shared" si="56"/>
        <v>347.94605899999999</v>
      </c>
      <c r="O117" s="374">
        <v>351.23805399999998</v>
      </c>
      <c r="P117" s="374">
        <v>0</v>
      </c>
      <c r="Q117" s="374">
        <f t="shared" si="57"/>
        <v>351.23805399999998</v>
      </c>
      <c r="R117" s="374">
        <v>0</v>
      </c>
      <c r="S117" s="374">
        <v>0</v>
      </c>
      <c r="T117" s="374">
        <f t="shared" si="58"/>
        <v>0</v>
      </c>
      <c r="U117" s="374">
        <v>47.353400999999998</v>
      </c>
      <c r="V117" s="374">
        <v>0</v>
      </c>
      <c r="W117" s="374">
        <f t="shared" si="59"/>
        <v>47.353400999999998</v>
      </c>
      <c r="X117" s="374">
        <v>37.52693</v>
      </c>
      <c r="Y117" s="374">
        <v>0</v>
      </c>
      <c r="Z117" s="374">
        <f t="shared" si="60"/>
        <v>37.52693</v>
      </c>
      <c r="AA117" s="459"/>
      <c r="AB117" s="459"/>
      <c r="AC117" s="459"/>
      <c r="AD117" s="459">
        <f t="shared" si="50"/>
        <v>1.0094612222637647</v>
      </c>
      <c r="AE117" s="459"/>
      <c r="AF117" s="459">
        <f t="shared" si="51"/>
        <v>1.0094612222637647</v>
      </c>
    </row>
    <row r="118" spans="2:32" s="398" customFormat="1" x14ac:dyDescent="0.25">
      <c r="B118" s="374" t="s">
        <v>965</v>
      </c>
      <c r="C118" s="395">
        <v>8109</v>
      </c>
      <c r="D118" s="395">
        <v>0</v>
      </c>
      <c r="E118" s="395">
        <f t="shared" si="53"/>
        <v>8109</v>
      </c>
      <c r="F118" s="2216"/>
      <c r="G118" s="374">
        <v>91.717031999999989</v>
      </c>
      <c r="H118" s="374">
        <v>2</v>
      </c>
      <c r="I118" s="374">
        <f t="shared" si="54"/>
        <v>93.717031999999989</v>
      </c>
      <c r="J118" s="374">
        <v>0</v>
      </c>
      <c r="K118" s="374">
        <f t="shared" si="55"/>
        <v>93.717031999999989</v>
      </c>
      <c r="L118" s="374">
        <v>64.202478999999997</v>
      </c>
      <c r="M118" s="374">
        <v>0</v>
      </c>
      <c r="N118" s="374">
        <f t="shared" si="56"/>
        <v>64.202478999999997</v>
      </c>
      <c r="O118" s="374">
        <v>64.409931</v>
      </c>
      <c r="P118" s="374">
        <v>0</v>
      </c>
      <c r="Q118" s="374">
        <f t="shared" si="57"/>
        <v>64.409931</v>
      </c>
      <c r="R118" s="374">
        <v>0</v>
      </c>
      <c r="S118" s="374">
        <v>0</v>
      </c>
      <c r="T118" s="374">
        <f t="shared" si="58"/>
        <v>0</v>
      </c>
      <c r="U118" s="374">
        <v>5.3192619999999993</v>
      </c>
      <c r="V118" s="374">
        <v>0</v>
      </c>
      <c r="W118" s="374">
        <f t="shared" si="59"/>
        <v>5.3192619999999993</v>
      </c>
      <c r="X118" s="374">
        <v>5.19719</v>
      </c>
      <c r="Y118" s="374">
        <v>0</v>
      </c>
      <c r="Z118" s="374">
        <f t="shared" si="60"/>
        <v>5.19719</v>
      </c>
      <c r="AA118" s="459"/>
      <c r="AB118" s="459"/>
      <c r="AC118" s="400"/>
      <c r="AD118" s="459">
        <f t="shared" si="50"/>
        <v>1.0032312147946811</v>
      </c>
      <c r="AE118" s="459"/>
      <c r="AF118" s="459">
        <f t="shared" si="51"/>
        <v>1.0032312147946811</v>
      </c>
    </row>
    <row r="119" spans="2:32" x14ac:dyDescent="0.25">
      <c r="B119" s="374" t="s">
        <v>966</v>
      </c>
      <c r="C119" s="395">
        <v>1042</v>
      </c>
      <c r="D119" s="395">
        <v>0</v>
      </c>
      <c r="E119" s="395">
        <f t="shared" si="53"/>
        <v>1042</v>
      </c>
      <c r="F119" s="2216"/>
      <c r="G119" s="374">
        <v>77.183488999999994</v>
      </c>
      <c r="H119" s="374">
        <v>0</v>
      </c>
      <c r="I119" s="374">
        <f t="shared" si="54"/>
        <v>77.183488999999994</v>
      </c>
      <c r="J119" s="374">
        <v>0</v>
      </c>
      <c r="K119" s="374">
        <f t="shared" si="55"/>
        <v>77.183488999999994</v>
      </c>
      <c r="L119" s="374">
        <v>70.167287000000002</v>
      </c>
      <c r="M119" s="374">
        <v>0</v>
      </c>
      <c r="N119" s="374">
        <f t="shared" si="56"/>
        <v>70.167287000000002</v>
      </c>
      <c r="O119" s="374">
        <v>69.470727999999994</v>
      </c>
      <c r="P119" s="374">
        <v>0</v>
      </c>
      <c r="Q119" s="374">
        <f t="shared" si="57"/>
        <v>69.470727999999994</v>
      </c>
      <c r="R119" s="374">
        <v>0</v>
      </c>
      <c r="S119" s="374">
        <v>0</v>
      </c>
      <c r="T119" s="374">
        <f t="shared" si="58"/>
        <v>0</v>
      </c>
      <c r="U119" s="374">
        <v>7.4938450000000003</v>
      </c>
      <c r="V119" s="374">
        <v>0</v>
      </c>
      <c r="W119" s="374">
        <f t="shared" si="59"/>
        <v>7.4938450000000003</v>
      </c>
      <c r="X119" s="374">
        <v>7.1837600000000004</v>
      </c>
      <c r="Y119" s="374">
        <v>0</v>
      </c>
      <c r="Z119" s="374">
        <f t="shared" si="60"/>
        <v>7.1837600000000004</v>
      </c>
      <c r="AA119" s="459"/>
      <c r="AB119" s="459"/>
      <c r="AC119" s="459"/>
      <c r="AD119" s="459">
        <f t="shared" si="50"/>
        <v>0.9900728811133882</v>
      </c>
      <c r="AE119" s="459"/>
      <c r="AF119" s="459">
        <f t="shared" si="51"/>
        <v>0.9900728811133882</v>
      </c>
    </row>
    <row r="120" spans="2:32" x14ac:dyDescent="0.25">
      <c r="B120" s="899" t="s">
        <v>967</v>
      </c>
      <c r="C120" s="395">
        <v>658</v>
      </c>
      <c r="D120" s="395">
        <v>0</v>
      </c>
      <c r="E120" s="395">
        <f t="shared" si="53"/>
        <v>658</v>
      </c>
      <c r="F120" s="2216"/>
      <c r="G120" s="374">
        <v>54.389055000000006</v>
      </c>
      <c r="H120" s="374">
        <v>0</v>
      </c>
      <c r="I120" s="374">
        <f t="shared" si="54"/>
        <v>54.389055000000006</v>
      </c>
      <c r="J120" s="374">
        <v>0</v>
      </c>
      <c r="K120" s="374">
        <f t="shared" si="55"/>
        <v>54.389055000000006</v>
      </c>
      <c r="L120" s="374">
        <v>39.129577999999995</v>
      </c>
      <c r="M120" s="374">
        <v>0</v>
      </c>
      <c r="N120" s="374">
        <f t="shared" si="56"/>
        <v>39.129577999999995</v>
      </c>
      <c r="O120" s="374">
        <v>38.464131000000002</v>
      </c>
      <c r="P120" s="374">
        <v>0</v>
      </c>
      <c r="Q120" s="374">
        <f t="shared" si="57"/>
        <v>38.464131000000002</v>
      </c>
      <c r="R120" s="374">
        <v>0</v>
      </c>
      <c r="S120" s="374">
        <v>0</v>
      </c>
      <c r="T120" s="374">
        <f t="shared" si="58"/>
        <v>0</v>
      </c>
      <c r="U120" s="374">
        <v>5.144164</v>
      </c>
      <c r="V120" s="374">
        <v>0</v>
      </c>
      <c r="W120" s="374">
        <f t="shared" si="59"/>
        <v>5.144164</v>
      </c>
      <c r="X120" s="374">
        <v>5.9803830000000007</v>
      </c>
      <c r="Y120" s="374">
        <v>0</v>
      </c>
      <c r="Z120" s="374">
        <f t="shared" si="60"/>
        <v>5.9803830000000007</v>
      </c>
      <c r="AA120" s="459"/>
      <c r="AB120" s="459"/>
      <c r="AC120" s="459"/>
      <c r="AD120" s="459">
        <f t="shared" si="50"/>
        <v>0.98299375986114668</v>
      </c>
      <c r="AE120" s="459"/>
      <c r="AF120" s="459">
        <f t="shared" si="51"/>
        <v>0.98299375986114668</v>
      </c>
    </row>
    <row r="121" spans="2:32" x14ac:dyDescent="0.25">
      <c r="B121" s="374" t="s">
        <v>968</v>
      </c>
      <c r="C121" s="395">
        <v>6936</v>
      </c>
      <c r="D121" s="395">
        <v>0</v>
      </c>
      <c r="E121" s="395">
        <f t="shared" si="53"/>
        <v>6936</v>
      </c>
      <c r="F121" s="2216"/>
      <c r="G121" s="374">
        <v>145.91715900000003</v>
      </c>
      <c r="H121" s="374">
        <v>0</v>
      </c>
      <c r="I121" s="374">
        <f t="shared" si="54"/>
        <v>145.91715900000003</v>
      </c>
      <c r="J121" s="374">
        <v>0</v>
      </c>
      <c r="K121" s="374">
        <f t="shared" si="55"/>
        <v>145.91715900000003</v>
      </c>
      <c r="L121" s="374">
        <v>109.11626200000001</v>
      </c>
      <c r="M121" s="374">
        <v>0</v>
      </c>
      <c r="N121" s="374">
        <f t="shared" si="56"/>
        <v>109.11626200000001</v>
      </c>
      <c r="O121" s="374">
        <v>109.295738</v>
      </c>
      <c r="P121" s="374">
        <v>0</v>
      </c>
      <c r="Q121" s="374">
        <f t="shared" si="57"/>
        <v>109.295738</v>
      </c>
      <c r="R121" s="374">
        <v>0</v>
      </c>
      <c r="S121" s="374">
        <v>0</v>
      </c>
      <c r="T121" s="374">
        <f t="shared" si="58"/>
        <v>0</v>
      </c>
      <c r="U121" s="374">
        <v>21.040461999999998</v>
      </c>
      <c r="V121" s="374">
        <v>0</v>
      </c>
      <c r="W121" s="374">
        <f t="shared" si="59"/>
        <v>21.040461999999998</v>
      </c>
      <c r="X121" s="374">
        <v>23.525074</v>
      </c>
      <c r="Y121" s="374">
        <v>0</v>
      </c>
      <c r="Z121" s="374">
        <f t="shared" si="60"/>
        <v>23.525074</v>
      </c>
      <c r="AA121" s="459"/>
      <c r="AB121" s="459"/>
      <c r="AC121" s="459"/>
      <c r="AD121" s="459">
        <f t="shared" si="50"/>
        <v>1.0016448144090566</v>
      </c>
      <c r="AE121" s="459"/>
      <c r="AF121" s="459">
        <f t="shared" si="51"/>
        <v>1.0016448144090566</v>
      </c>
    </row>
    <row r="122" spans="2:32" x14ac:dyDescent="0.25">
      <c r="B122" s="374" t="s">
        <v>970</v>
      </c>
      <c r="C122" s="395">
        <v>1</v>
      </c>
      <c r="D122" s="395">
        <v>0</v>
      </c>
      <c r="E122" s="395">
        <f t="shared" si="53"/>
        <v>1</v>
      </c>
      <c r="F122" s="2216"/>
      <c r="G122" s="374">
        <v>2.2003999999999999E-2</v>
      </c>
      <c r="H122" s="374">
        <v>0</v>
      </c>
      <c r="I122" s="374">
        <f t="shared" si="54"/>
        <v>2.2003999999999999E-2</v>
      </c>
      <c r="J122" s="374">
        <v>0</v>
      </c>
      <c r="K122" s="374">
        <f t="shared" si="55"/>
        <v>2.2003999999999999E-2</v>
      </c>
      <c r="L122" s="374">
        <v>2.2003999999999999E-2</v>
      </c>
      <c r="M122" s="374">
        <v>0</v>
      </c>
      <c r="N122" s="374">
        <f t="shared" si="56"/>
        <v>2.2003999999999999E-2</v>
      </c>
      <c r="O122" s="374">
        <v>1.6677999999999998E-2</v>
      </c>
      <c r="P122" s="374">
        <v>0</v>
      </c>
      <c r="Q122" s="374">
        <f t="shared" si="57"/>
        <v>1.6677999999999998E-2</v>
      </c>
      <c r="R122" s="374">
        <v>0</v>
      </c>
      <c r="S122" s="374">
        <v>0</v>
      </c>
      <c r="T122" s="374">
        <f t="shared" si="58"/>
        <v>0</v>
      </c>
      <c r="U122" s="374">
        <v>0</v>
      </c>
      <c r="V122" s="374">
        <v>0</v>
      </c>
      <c r="W122" s="374">
        <f t="shared" si="59"/>
        <v>0</v>
      </c>
      <c r="X122" s="374">
        <v>-1.0814000000000001E-2</v>
      </c>
      <c r="Y122" s="374">
        <v>0</v>
      </c>
      <c r="Z122" s="374">
        <f t="shared" si="60"/>
        <v>-1.0814000000000001E-2</v>
      </c>
      <c r="AA122" s="459"/>
      <c r="AB122" s="459"/>
      <c r="AC122" s="459"/>
      <c r="AD122" s="459">
        <f t="shared" si="50"/>
        <v>0.75795309943646605</v>
      </c>
      <c r="AE122" s="459"/>
      <c r="AF122" s="459">
        <f t="shared" si="51"/>
        <v>0.75795309943646605</v>
      </c>
    </row>
    <row r="123" spans="2:32" x14ac:dyDescent="0.25">
      <c r="B123" s="374" t="s">
        <v>971</v>
      </c>
      <c r="C123" s="395">
        <v>17</v>
      </c>
      <c r="D123" s="395">
        <v>0</v>
      </c>
      <c r="E123" s="395">
        <f t="shared" si="53"/>
        <v>17</v>
      </c>
      <c r="F123" s="2216"/>
      <c r="G123" s="374">
        <v>11.254760000000001</v>
      </c>
      <c r="H123" s="374">
        <v>0</v>
      </c>
      <c r="I123" s="374">
        <f t="shared" si="54"/>
        <v>11.254760000000001</v>
      </c>
      <c r="J123" s="374">
        <v>0</v>
      </c>
      <c r="K123" s="374">
        <f t="shared" si="55"/>
        <v>11.254760000000001</v>
      </c>
      <c r="L123" s="374">
        <v>8.0608540000000009</v>
      </c>
      <c r="M123" s="374">
        <v>0</v>
      </c>
      <c r="N123" s="374">
        <f t="shared" si="56"/>
        <v>8.0608540000000009</v>
      </c>
      <c r="O123" s="374">
        <v>5.2043239999999997</v>
      </c>
      <c r="P123" s="374">
        <v>0</v>
      </c>
      <c r="Q123" s="374">
        <f t="shared" si="57"/>
        <v>5.2043239999999997</v>
      </c>
      <c r="R123" s="374">
        <v>0</v>
      </c>
      <c r="S123" s="374">
        <v>0</v>
      </c>
      <c r="T123" s="374">
        <f t="shared" si="58"/>
        <v>0</v>
      </c>
      <c r="U123" s="374">
        <v>1.0041770000000001</v>
      </c>
      <c r="V123" s="374">
        <v>0</v>
      </c>
      <c r="W123" s="374">
        <f t="shared" si="59"/>
        <v>1.0041770000000001</v>
      </c>
      <c r="X123" s="374">
        <v>3.3138200000000002</v>
      </c>
      <c r="Y123" s="374">
        <v>0</v>
      </c>
      <c r="Z123" s="374">
        <f t="shared" si="60"/>
        <v>3.3138200000000002</v>
      </c>
      <c r="AA123" s="459"/>
      <c r="AB123" s="459"/>
      <c r="AC123" s="459"/>
      <c r="AD123" s="459">
        <f t="shared" si="50"/>
        <v>0.64562935887438222</v>
      </c>
      <c r="AE123" s="459"/>
      <c r="AF123" s="459">
        <f t="shared" si="51"/>
        <v>0.64562935887438222</v>
      </c>
    </row>
    <row r="124" spans="2:32" x14ac:dyDescent="0.25">
      <c r="B124" s="374"/>
      <c r="C124" s="395"/>
      <c r="D124" s="395"/>
      <c r="E124" s="395"/>
      <c r="F124" s="2216"/>
      <c r="G124" s="374"/>
      <c r="H124" s="374"/>
      <c r="I124" s="374"/>
      <c r="J124" s="374"/>
      <c r="K124" s="374"/>
      <c r="L124" s="374"/>
      <c r="M124" s="353"/>
      <c r="N124" s="353"/>
      <c r="O124" s="353"/>
      <c r="P124" s="353"/>
      <c r="Q124" s="353"/>
      <c r="R124" s="353"/>
      <c r="S124" s="353"/>
      <c r="T124" s="353"/>
      <c r="U124" s="353"/>
      <c r="V124" s="353"/>
      <c r="W124" s="353"/>
      <c r="X124" s="353"/>
      <c r="Y124" s="353"/>
      <c r="Z124" s="353"/>
      <c r="AA124" s="459"/>
      <c r="AB124" s="459"/>
      <c r="AC124" s="459"/>
      <c r="AD124" s="459"/>
      <c r="AE124" s="459"/>
      <c r="AF124" s="459"/>
    </row>
    <row r="125" spans="2:32" s="398" customFormat="1" x14ac:dyDescent="0.25">
      <c r="B125" s="379" t="s">
        <v>1015</v>
      </c>
      <c r="C125" s="397">
        <f>SUM(C113:C123)</f>
        <v>1046019</v>
      </c>
      <c r="D125" s="397">
        <f>SUM(D113:D123)</f>
        <v>0</v>
      </c>
      <c r="E125" s="397">
        <f>SUM(E113:E123)</f>
        <v>1046019</v>
      </c>
      <c r="F125" s="2216"/>
      <c r="G125" s="397">
        <f>SUM(G114:G123)</f>
        <v>3438.6482530000003</v>
      </c>
      <c r="H125" s="397">
        <f t="shared" ref="H125:Z125" si="61">SUM(H114:H123)</f>
        <v>43</v>
      </c>
      <c r="I125" s="397">
        <f t="shared" si="61"/>
        <v>3481.6482530000003</v>
      </c>
      <c r="J125" s="397">
        <f t="shared" si="61"/>
        <v>0</v>
      </c>
      <c r="K125" s="397">
        <f t="shared" si="61"/>
        <v>3481.6482530000003</v>
      </c>
      <c r="L125" s="397">
        <f t="shared" si="61"/>
        <v>3123.7970189999996</v>
      </c>
      <c r="M125" s="397">
        <f t="shared" si="61"/>
        <v>0</v>
      </c>
      <c r="N125" s="397">
        <f t="shared" si="61"/>
        <v>3123.7970189999996</v>
      </c>
      <c r="O125" s="397">
        <f t="shared" si="61"/>
        <v>3158.5318969999994</v>
      </c>
      <c r="P125" s="397">
        <f t="shared" si="61"/>
        <v>0</v>
      </c>
      <c r="Q125" s="397">
        <f t="shared" si="61"/>
        <v>3158.5318969999994</v>
      </c>
      <c r="R125" s="397">
        <f t="shared" si="61"/>
        <v>0</v>
      </c>
      <c r="S125" s="397">
        <f t="shared" si="61"/>
        <v>0</v>
      </c>
      <c r="T125" s="397">
        <f t="shared" si="61"/>
        <v>0</v>
      </c>
      <c r="U125" s="397">
        <f t="shared" si="61"/>
        <v>223.37527399999996</v>
      </c>
      <c r="V125" s="397">
        <f t="shared" si="61"/>
        <v>0</v>
      </c>
      <c r="W125" s="397">
        <f t="shared" si="61"/>
        <v>223.37527399999996</v>
      </c>
      <c r="X125" s="397">
        <f t="shared" si="61"/>
        <v>187.80622599999995</v>
      </c>
      <c r="Y125" s="397">
        <f t="shared" si="61"/>
        <v>0</v>
      </c>
      <c r="Z125" s="397">
        <f t="shared" si="61"/>
        <v>187.80622599999995</v>
      </c>
      <c r="AA125" s="400"/>
      <c r="AB125" s="400"/>
      <c r="AC125" s="400"/>
      <c r="AD125" s="400">
        <f t="shared" si="50"/>
        <v>1.0111194414325675</v>
      </c>
      <c r="AE125" s="400"/>
      <c r="AF125" s="400">
        <f t="shared" si="51"/>
        <v>1.0111194414325675</v>
      </c>
    </row>
    <row r="126" spans="2:32" x14ac:dyDescent="0.25">
      <c r="B126" s="374"/>
      <c r="C126" s="395"/>
      <c r="D126" s="395"/>
      <c r="E126" s="396"/>
      <c r="F126" s="2217"/>
      <c r="G126" s="376"/>
      <c r="H126" s="374"/>
      <c r="I126" s="374"/>
      <c r="J126" s="374"/>
      <c r="K126" s="374"/>
      <c r="L126" s="374"/>
      <c r="M126" s="353"/>
      <c r="N126" s="353"/>
      <c r="O126" s="353"/>
      <c r="P126" s="353"/>
      <c r="Q126" s="353"/>
      <c r="R126" s="353"/>
      <c r="S126" s="353"/>
      <c r="T126" s="353"/>
      <c r="U126" s="353"/>
      <c r="V126" s="353"/>
      <c r="W126" s="353"/>
      <c r="X126" s="353"/>
      <c r="Y126" s="353"/>
      <c r="Z126" s="353"/>
      <c r="AA126" s="459"/>
      <c r="AB126" s="459"/>
      <c r="AC126" s="459"/>
      <c r="AD126" s="459"/>
      <c r="AE126" s="459"/>
      <c r="AF126" s="459"/>
    </row>
    <row r="127" spans="2:32" s="398" customFormat="1" x14ac:dyDescent="0.25">
      <c r="B127" s="379" t="s">
        <v>1016</v>
      </c>
      <c r="C127" s="397">
        <f>SUM(C109,C125)</f>
        <v>1046216</v>
      </c>
      <c r="D127" s="397">
        <f t="shared" ref="D127:Z127" si="62">SUM(D109,D125)</f>
        <v>0</v>
      </c>
      <c r="E127" s="397">
        <f t="shared" si="62"/>
        <v>1046216</v>
      </c>
      <c r="F127" s="397">
        <f>F99</f>
        <v>4266.5859600000003</v>
      </c>
      <c r="G127" s="397">
        <f t="shared" si="62"/>
        <v>4010.7260880000003</v>
      </c>
      <c r="H127" s="397">
        <f t="shared" si="62"/>
        <v>43</v>
      </c>
      <c r="I127" s="397">
        <f t="shared" si="62"/>
        <v>4053.7260880000003</v>
      </c>
      <c r="J127" s="397">
        <f t="shared" si="62"/>
        <v>0</v>
      </c>
      <c r="K127" s="397">
        <f t="shared" si="62"/>
        <v>4053.7260880000003</v>
      </c>
      <c r="L127" s="397">
        <f t="shared" si="62"/>
        <v>3619.9042259999997</v>
      </c>
      <c r="M127" s="397">
        <f t="shared" si="62"/>
        <v>0</v>
      </c>
      <c r="N127" s="397">
        <f t="shared" si="62"/>
        <v>3619.9042259999997</v>
      </c>
      <c r="O127" s="397">
        <f t="shared" si="62"/>
        <v>3665.0654699999996</v>
      </c>
      <c r="P127" s="397">
        <f t="shared" si="62"/>
        <v>0</v>
      </c>
      <c r="Q127" s="397">
        <f t="shared" si="62"/>
        <v>3665.0654699999996</v>
      </c>
      <c r="R127" s="397">
        <f t="shared" si="62"/>
        <v>0</v>
      </c>
      <c r="S127" s="397">
        <f t="shared" si="62"/>
        <v>0</v>
      </c>
      <c r="T127" s="397">
        <f t="shared" si="62"/>
        <v>0</v>
      </c>
      <c r="U127" s="397">
        <f t="shared" si="62"/>
        <v>282.72161399999999</v>
      </c>
      <c r="V127" s="397">
        <f t="shared" si="62"/>
        <v>0</v>
      </c>
      <c r="W127" s="397">
        <f t="shared" si="62"/>
        <v>282.72161399999999</v>
      </c>
      <c r="X127" s="397">
        <f t="shared" si="62"/>
        <v>236.07512599999995</v>
      </c>
      <c r="Y127" s="397">
        <f t="shared" si="62"/>
        <v>0</v>
      </c>
      <c r="Z127" s="397">
        <f t="shared" si="62"/>
        <v>236.07512599999995</v>
      </c>
      <c r="AA127" s="400">
        <f>I127/F127</f>
        <v>0.95011002379991893</v>
      </c>
      <c r="AB127" s="400"/>
      <c r="AC127" s="400">
        <f>K127/F127</f>
        <v>0.95011002379991893</v>
      </c>
      <c r="AD127" s="400">
        <f t="shared" si="50"/>
        <v>1.0124758118393378</v>
      </c>
      <c r="AE127" s="400"/>
      <c r="AF127" s="400">
        <f t="shared" si="51"/>
        <v>1.0124758118393378</v>
      </c>
    </row>
    <row r="128" spans="2:32" x14ac:dyDescent="0.25">
      <c r="B128" s="379" t="s">
        <v>493</v>
      </c>
      <c r="C128" s="395"/>
      <c r="D128" s="395"/>
      <c r="E128" s="395"/>
      <c r="F128" s="353"/>
      <c r="G128" s="374"/>
      <c r="H128" s="374"/>
      <c r="I128" s="374"/>
      <c r="J128" s="374"/>
      <c r="K128" s="374"/>
      <c r="L128" s="374"/>
      <c r="M128" s="353"/>
      <c r="N128" s="353"/>
      <c r="O128" s="353"/>
      <c r="P128" s="353"/>
      <c r="Q128" s="353"/>
      <c r="R128" s="353"/>
      <c r="S128" s="353"/>
      <c r="T128" s="353"/>
      <c r="U128" s="353"/>
      <c r="V128" s="353"/>
      <c r="W128" s="353"/>
      <c r="X128" s="353"/>
      <c r="Y128" s="353"/>
      <c r="Z128" s="353"/>
      <c r="AA128" s="459"/>
      <c r="AB128" s="459"/>
      <c r="AC128" s="459"/>
      <c r="AD128" s="459"/>
      <c r="AE128" s="459"/>
      <c r="AF128" s="459"/>
    </row>
    <row r="129" spans="2:34" x14ac:dyDescent="0.25">
      <c r="B129" s="398" t="s">
        <v>503</v>
      </c>
    </row>
    <row r="130" spans="2:34" x14ac:dyDescent="0.25">
      <c r="B130" s="375" t="s">
        <v>504</v>
      </c>
    </row>
    <row r="131" spans="2:34" x14ac:dyDescent="0.25">
      <c r="B131" s="375" t="s">
        <v>598</v>
      </c>
    </row>
    <row r="132" spans="2:34" x14ac:dyDescent="0.25">
      <c r="B132" s="897" t="s">
        <v>1627</v>
      </c>
    </row>
    <row r="133" spans="2:34" x14ac:dyDescent="0.25">
      <c r="B133" s="900" t="s">
        <v>1052</v>
      </c>
    </row>
    <row r="134" spans="2:34" x14ac:dyDescent="0.25">
      <c r="B134" s="900"/>
    </row>
    <row r="135" spans="2:34" x14ac:dyDescent="0.25">
      <c r="B135" s="57" t="s">
        <v>1531</v>
      </c>
    </row>
    <row r="136" spans="2:34" x14ac:dyDescent="0.25">
      <c r="B136" s="900"/>
    </row>
    <row r="137" spans="2:34" ht="14" customHeight="1" x14ac:dyDescent="0.25">
      <c r="B137" s="2461" t="s">
        <v>279</v>
      </c>
      <c r="C137" s="2464" t="s">
        <v>483</v>
      </c>
      <c r="D137" s="2465"/>
      <c r="E137" s="2466"/>
      <c r="F137" s="2454" t="s">
        <v>484</v>
      </c>
      <c r="G137" s="2468" t="s">
        <v>1728</v>
      </c>
      <c r="H137" s="2469"/>
      <c r="I137" s="2469"/>
      <c r="J137" s="2469"/>
      <c r="K137" s="2470"/>
      <c r="L137" s="2471" t="s">
        <v>486</v>
      </c>
      <c r="M137" s="2471"/>
      <c r="N137" s="2471"/>
      <c r="O137" s="2471" t="s">
        <v>487</v>
      </c>
      <c r="P137" s="2471"/>
      <c r="Q137" s="2471"/>
      <c r="R137" s="2471" t="s">
        <v>597</v>
      </c>
      <c r="S137" s="2471"/>
      <c r="T137" s="2471"/>
      <c r="U137" s="2471" t="s">
        <v>595</v>
      </c>
      <c r="V137" s="2471"/>
      <c r="W137" s="2471"/>
      <c r="X137" s="2471" t="s">
        <v>596</v>
      </c>
      <c r="Y137" s="2471"/>
      <c r="Z137" s="2471"/>
      <c r="AA137" s="2454" t="s">
        <v>500</v>
      </c>
      <c r="AB137" s="2455"/>
      <c r="AC137" s="2456"/>
      <c r="AD137" s="2459" t="s">
        <v>501</v>
      </c>
      <c r="AE137" s="2460"/>
      <c r="AF137" s="2460"/>
      <c r="AG137" s="635"/>
      <c r="AH137" s="635"/>
    </row>
    <row r="138" spans="2:34" ht="14.5" customHeight="1" x14ac:dyDescent="0.25">
      <c r="B138" s="2462"/>
      <c r="C138" s="2457" t="s">
        <v>488</v>
      </c>
      <c r="D138" s="2457" t="s">
        <v>489</v>
      </c>
      <c r="E138" s="2457" t="s">
        <v>145</v>
      </c>
      <c r="F138" s="2467"/>
      <c r="G138" s="2464" t="s">
        <v>502</v>
      </c>
      <c r="H138" s="2465"/>
      <c r="I138" s="2466"/>
      <c r="J138" s="2457" t="s">
        <v>492</v>
      </c>
      <c r="K138" s="2457" t="s">
        <v>594</v>
      </c>
      <c r="L138" s="2457" t="s">
        <v>490</v>
      </c>
      <c r="M138" s="2457" t="s">
        <v>491</v>
      </c>
      <c r="N138" s="2457" t="s">
        <v>145</v>
      </c>
      <c r="O138" s="2457" t="s">
        <v>490</v>
      </c>
      <c r="P138" s="2457" t="s">
        <v>491</v>
      </c>
      <c r="Q138" s="2457" t="s">
        <v>145</v>
      </c>
      <c r="R138" s="2457" t="s">
        <v>490</v>
      </c>
      <c r="S138" s="2457" t="s">
        <v>491</v>
      </c>
      <c r="T138" s="2457" t="s">
        <v>145</v>
      </c>
      <c r="U138" s="2457" t="s">
        <v>490</v>
      </c>
      <c r="V138" s="2457" t="s">
        <v>491</v>
      </c>
      <c r="W138" s="2457" t="s">
        <v>145</v>
      </c>
      <c r="X138" s="2457" t="s">
        <v>490</v>
      </c>
      <c r="Y138" s="2457" t="s">
        <v>491</v>
      </c>
      <c r="Z138" s="2457" t="s">
        <v>145</v>
      </c>
      <c r="AA138" s="2457" t="s">
        <v>490</v>
      </c>
      <c r="AB138" s="2457" t="s">
        <v>491</v>
      </c>
      <c r="AC138" s="2457" t="s">
        <v>145</v>
      </c>
      <c r="AD138" s="2457" t="s">
        <v>490</v>
      </c>
      <c r="AE138" s="2457" t="s">
        <v>491</v>
      </c>
      <c r="AF138" s="2457" t="s">
        <v>145</v>
      </c>
      <c r="AG138" s="635"/>
      <c r="AH138" s="635"/>
    </row>
    <row r="139" spans="2:34" ht="28" x14ac:dyDescent="0.25">
      <c r="B139" s="2463"/>
      <c r="C139" s="2458"/>
      <c r="D139" s="2458"/>
      <c r="E139" s="2458"/>
      <c r="F139" s="2459"/>
      <c r="G139" s="1166" t="s">
        <v>772</v>
      </c>
      <c r="H139" s="1166" t="s">
        <v>517</v>
      </c>
      <c r="I139" s="1166" t="s">
        <v>145</v>
      </c>
      <c r="J139" s="2458"/>
      <c r="K139" s="2458"/>
      <c r="L139" s="2458"/>
      <c r="M139" s="2458"/>
      <c r="N139" s="2458"/>
      <c r="O139" s="2458"/>
      <c r="P139" s="2458"/>
      <c r="Q139" s="2458"/>
      <c r="R139" s="2458"/>
      <c r="S139" s="2458"/>
      <c r="T139" s="2458"/>
      <c r="U139" s="2458"/>
      <c r="V139" s="2458"/>
      <c r="W139" s="2458"/>
      <c r="X139" s="2458"/>
      <c r="Y139" s="2458"/>
      <c r="Z139" s="2458"/>
      <c r="AA139" s="2458"/>
      <c r="AB139" s="2458"/>
      <c r="AC139" s="2458"/>
      <c r="AD139" s="2458"/>
      <c r="AE139" s="2458"/>
      <c r="AF139" s="2458"/>
      <c r="AG139" s="635"/>
      <c r="AH139" s="635"/>
    </row>
    <row r="140" spans="2:34" x14ac:dyDescent="0.25">
      <c r="B140" s="177" t="s">
        <v>293</v>
      </c>
      <c r="C140" s="69"/>
      <c r="D140" s="69"/>
      <c r="E140" s="69"/>
      <c r="F140" s="2452">
        <v>2496.9324369999999</v>
      </c>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459"/>
      <c r="AF140" s="459"/>
      <c r="AG140" s="635"/>
      <c r="AH140" s="635"/>
    </row>
    <row r="141" spans="2:34" x14ac:dyDescent="0.25">
      <c r="B141" s="177"/>
      <c r="C141" s="69"/>
      <c r="D141" s="69"/>
      <c r="E141" s="69"/>
      <c r="F141" s="2453"/>
      <c r="G141" s="25"/>
      <c r="H141" s="25"/>
      <c r="I141" s="25"/>
      <c r="J141" s="25"/>
      <c r="K141" s="25"/>
      <c r="L141" s="25"/>
      <c r="M141" s="28"/>
      <c r="N141" s="28"/>
      <c r="O141" s="28"/>
      <c r="P141" s="28"/>
      <c r="Q141" s="28"/>
      <c r="R141" s="28"/>
      <c r="S141" s="28"/>
      <c r="T141" s="28"/>
      <c r="U141" s="28"/>
      <c r="V141" s="28"/>
      <c r="W141" s="25"/>
      <c r="X141" s="25"/>
      <c r="Y141" s="25"/>
      <c r="Z141" s="25"/>
      <c r="AA141" s="25"/>
      <c r="AB141" s="25"/>
      <c r="AC141" s="25"/>
      <c r="AD141" s="28"/>
      <c r="AE141" s="459"/>
      <c r="AF141" s="459"/>
      <c r="AG141" s="635"/>
      <c r="AH141" s="635"/>
    </row>
    <row r="142" spans="2:34" x14ac:dyDescent="0.25">
      <c r="B142" s="76" t="s">
        <v>953</v>
      </c>
      <c r="C142" s="374">
        <v>37</v>
      </c>
      <c r="D142" s="374">
        <v>0</v>
      </c>
      <c r="E142" s="374">
        <v>37</v>
      </c>
      <c r="F142" s="2453"/>
      <c r="G142" s="374">
        <v>85.198238999999987</v>
      </c>
      <c r="H142" s="374">
        <v>0</v>
      </c>
      <c r="I142" s="374">
        <v>85.198238999999987</v>
      </c>
      <c r="J142" s="374">
        <v>0</v>
      </c>
      <c r="K142" s="374">
        <v>85.198238999999987</v>
      </c>
      <c r="L142" s="374">
        <v>68.628302999999988</v>
      </c>
      <c r="M142" s="374">
        <v>0</v>
      </c>
      <c r="N142" s="374">
        <v>68.628302999999988</v>
      </c>
      <c r="O142" s="374">
        <v>64.339539000000002</v>
      </c>
      <c r="P142" s="374">
        <v>0</v>
      </c>
      <c r="Q142" s="374">
        <v>64.339539000000002</v>
      </c>
      <c r="R142" s="374">
        <v>0</v>
      </c>
      <c r="S142" s="374">
        <v>0</v>
      </c>
      <c r="T142" s="374">
        <v>0</v>
      </c>
      <c r="U142" s="374">
        <v>10.987487</v>
      </c>
      <c r="V142" s="374">
        <v>0</v>
      </c>
      <c r="W142" s="374">
        <v>10.987487</v>
      </c>
      <c r="X142" s="374">
        <v>16.142325</v>
      </c>
      <c r="Y142" s="374">
        <v>0</v>
      </c>
      <c r="Z142" s="374">
        <v>16.142325</v>
      </c>
      <c r="AA142" s="1169"/>
      <c r="AB142" s="1174"/>
      <c r="AC142" s="1174"/>
      <c r="AD142" s="1169">
        <f t="shared" ref="AD142:AD147" si="63">Q142/N142</f>
        <v>0.9375073575693692</v>
      </c>
      <c r="AE142" s="459"/>
      <c r="AF142" s="459">
        <f>AD142+AE142</f>
        <v>0.9375073575693692</v>
      </c>
      <c r="AG142" s="635"/>
      <c r="AH142" s="635"/>
    </row>
    <row r="143" spans="2:34" x14ac:dyDescent="0.25">
      <c r="B143" s="76" t="s">
        <v>954</v>
      </c>
      <c r="C143" s="374">
        <v>94</v>
      </c>
      <c r="D143" s="374">
        <v>0</v>
      </c>
      <c r="E143" s="374">
        <v>94</v>
      </c>
      <c r="F143" s="2453"/>
      <c r="G143" s="374">
        <v>114.75738000000001</v>
      </c>
      <c r="H143" s="374">
        <v>0</v>
      </c>
      <c r="I143" s="374">
        <v>114.75738000000001</v>
      </c>
      <c r="J143" s="374">
        <v>0</v>
      </c>
      <c r="K143" s="374">
        <v>114.75738000000001</v>
      </c>
      <c r="L143" s="374">
        <v>122.189098</v>
      </c>
      <c r="M143" s="374">
        <v>0</v>
      </c>
      <c r="N143" s="374">
        <v>122.189098</v>
      </c>
      <c r="O143" s="374">
        <v>112.01318300000001</v>
      </c>
      <c r="P143" s="374">
        <v>0</v>
      </c>
      <c r="Q143" s="374">
        <v>112.01318300000001</v>
      </c>
      <c r="R143" s="374">
        <v>0</v>
      </c>
      <c r="S143" s="374">
        <v>0</v>
      </c>
      <c r="T143" s="374">
        <v>0</v>
      </c>
      <c r="U143" s="374">
        <v>24.719743999999999</v>
      </c>
      <c r="V143" s="374">
        <v>0</v>
      </c>
      <c r="W143" s="374">
        <v>24.719743999999999</v>
      </c>
      <c r="X143" s="374">
        <v>33.507764999999999</v>
      </c>
      <c r="Y143" s="374">
        <v>0</v>
      </c>
      <c r="Z143" s="374">
        <v>33.507764999999999</v>
      </c>
      <c r="AA143" s="1169"/>
      <c r="AB143" s="1174"/>
      <c r="AC143" s="1174"/>
      <c r="AD143" s="1169">
        <f t="shared" si="63"/>
        <v>0.91671994337825469</v>
      </c>
      <c r="AE143" s="459"/>
      <c r="AF143" s="459">
        <f t="shared" ref="AF143:AF168" si="64">AD143+AE143</f>
        <v>0.91671994337825469</v>
      </c>
      <c r="AG143" s="635"/>
      <c r="AH143" s="635"/>
    </row>
    <row r="144" spans="2:34" x14ac:dyDescent="0.25">
      <c r="B144" s="76" t="s">
        <v>955</v>
      </c>
      <c r="C144" s="374">
        <v>12</v>
      </c>
      <c r="D144" s="374">
        <v>0</v>
      </c>
      <c r="E144" s="374">
        <v>12</v>
      </c>
      <c r="F144" s="2453"/>
      <c r="G144" s="374">
        <v>16.752576000000001</v>
      </c>
      <c r="H144" s="374">
        <v>0</v>
      </c>
      <c r="I144" s="374">
        <v>16.752576000000001</v>
      </c>
      <c r="J144" s="374">
        <v>0</v>
      </c>
      <c r="K144" s="374">
        <v>16.752576000000001</v>
      </c>
      <c r="L144" s="374">
        <v>12.748583999999999</v>
      </c>
      <c r="M144" s="374">
        <v>0</v>
      </c>
      <c r="N144" s="374">
        <v>12.748583999999999</v>
      </c>
      <c r="O144" s="374">
        <v>11.679790000000001</v>
      </c>
      <c r="P144" s="374">
        <v>0</v>
      </c>
      <c r="Q144" s="374">
        <v>11.679790000000001</v>
      </c>
      <c r="R144" s="374">
        <v>0</v>
      </c>
      <c r="S144" s="374">
        <v>0</v>
      </c>
      <c r="T144" s="374">
        <v>0</v>
      </c>
      <c r="U144" s="374">
        <v>1.119766</v>
      </c>
      <c r="V144" s="374">
        <v>0</v>
      </c>
      <c r="W144" s="374">
        <v>1.119766</v>
      </c>
      <c r="X144" s="374">
        <v>2.525331</v>
      </c>
      <c r="Y144" s="374">
        <v>0</v>
      </c>
      <c r="Z144" s="374">
        <v>2.525331</v>
      </c>
      <c r="AA144" s="1169"/>
      <c r="AB144" s="1174"/>
      <c r="AC144" s="1174"/>
      <c r="AD144" s="1169">
        <f t="shared" si="63"/>
        <v>0.91616370884797882</v>
      </c>
      <c r="AE144" s="459"/>
      <c r="AF144" s="459">
        <f t="shared" si="64"/>
        <v>0.91616370884797882</v>
      </c>
      <c r="AG144" s="635"/>
      <c r="AH144" s="635"/>
    </row>
    <row r="145" spans="2:34" x14ac:dyDescent="0.25">
      <c r="B145" s="76" t="s">
        <v>956</v>
      </c>
      <c r="C145" s="374">
        <v>3</v>
      </c>
      <c r="D145" s="374">
        <v>0</v>
      </c>
      <c r="E145" s="374">
        <v>3</v>
      </c>
      <c r="F145" s="2453"/>
      <c r="G145" s="374">
        <v>1.094824</v>
      </c>
      <c r="H145" s="374">
        <v>0</v>
      </c>
      <c r="I145" s="374">
        <v>1.094824</v>
      </c>
      <c r="J145" s="374">
        <v>0</v>
      </c>
      <c r="K145" s="374">
        <v>1.094824</v>
      </c>
      <c r="L145" s="374">
        <v>1.2202310000000001</v>
      </c>
      <c r="M145" s="374">
        <v>0</v>
      </c>
      <c r="N145" s="374">
        <v>1.2202310000000001</v>
      </c>
      <c r="O145" s="374">
        <v>1.1493169999999999</v>
      </c>
      <c r="P145" s="374">
        <v>0</v>
      </c>
      <c r="Q145" s="374">
        <v>1.1493169999999999</v>
      </c>
      <c r="R145" s="374">
        <v>0</v>
      </c>
      <c r="S145" s="374">
        <v>0</v>
      </c>
      <c r="T145" s="374">
        <v>0</v>
      </c>
      <c r="U145" s="374">
        <v>0.35047499999999998</v>
      </c>
      <c r="V145" s="374">
        <v>0</v>
      </c>
      <c r="W145" s="374">
        <v>0.35047499999999998</v>
      </c>
      <c r="X145" s="374">
        <v>0.42138900000000001</v>
      </c>
      <c r="Y145" s="374">
        <v>0</v>
      </c>
      <c r="Z145" s="374">
        <v>0.42138900000000001</v>
      </c>
      <c r="AA145" s="1169"/>
      <c r="AB145" s="1174"/>
      <c r="AC145" s="1174"/>
      <c r="AD145" s="1169">
        <f t="shared" si="63"/>
        <v>0.94188477427634587</v>
      </c>
      <c r="AE145" s="459"/>
      <c r="AF145" s="459">
        <f t="shared" si="64"/>
        <v>0.94188477427634587</v>
      </c>
      <c r="AG145" s="635"/>
      <c r="AH145" s="635"/>
    </row>
    <row r="146" spans="2:34" x14ac:dyDescent="0.25">
      <c r="B146" s="76" t="s">
        <v>957</v>
      </c>
      <c r="C146" s="374">
        <v>4</v>
      </c>
      <c r="D146" s="374">
        <v>0</v>
      </c>
      <c r="E146" s="374">
        <v>4</v>
      </c>
      <c r="F146" s="2453"/>
      <c r="G146" s="374">
        <v>14.87139</v>
      </c>
      <c r="H146" s="374">
        <v>0</v>
      </c>
      <c r="I146" s="374">
        <v>14.87139</v>
      </c>
      <c r="J146" s="374">
        <v>0</v>
      </c>
      <c r="K146" s="374">
        <v>14.87139</v>
      </c>
      <c r="L146" s="374">
        <v>10.405784000000001</v>
      </c>
      <c r="M146" s="374">
        <v>0</v>
      </c>
      <c r="N146" s="374">
        <v>10.405784000000001</v>
      </c>
      <c r="O146" s="374">
        <v>9.3598370000000006</v>
      </c>
      <c r="P146" s="374">
        <v>0</v>
      </c>
      <c r="Q146" s="374">
        <v>9.3598370000000006</v>
      </c>
      <c r="R146" s="374">
        <v>0</v>
      </c>
      <c r="S146" s="374">
        <v>0</v>
      </c>
      <c r="T146" s="374">
        <v>0</v>
      </c>
      <c r="U146" s="374">
        <v>1.5053430000000001</v>
      </c>
      <c r="V146" s="374">
        <v>0</v>
      </c>
      <c r="W146" s="374">
        <v>1.5053430000000001</v>
      </c>
      <c r="X146" s="374">
        <v>2.5512899999999998</v>
      </c>
      <c r="Y146" s="374">
        <v>0</v>
      </c>
      <c r="Z146" s="374">
        <v>2.5512899999999998</v>
      </c>
      <c r="AA146" s="1169"/>
      <c r="AB146" s="1174"/>
      <c r="AC146" s="1174"/>
      <c r="AD146" s="1169">
        <f t="shared" si="63"/>
        <v>0.89948407539499187</v>
      </c>
      <c r="AE146" s="459"/>
      <c r="AF146" s="459">
        <f t="shared" si="64"/>
        <v>0.89948407539499187</v>
      </c>
      <c r="AG146" s="635"/>
      <c r="AH146" s="635"/>
    </row>
    <row r="147" spans="2:34" x14ac:dyDescent="0.25">
      <c r="B147" s="1168" t="s">
        <v>958</v>
      </c>
      <c r="C147" s="374">
        <v>46</v>
      </c>
      <c r="D147" s="374">
        <v>0</v>
      </c>
      <c r="E147" s="374">
        <v>46</v>
      </c>
      <c r="F147" s="2453"/>
      <c r="G147" s="374">
        <v>99.498774000000012</v>
      </c>
      <c r="H147" s="374">
        <v>0</v>
      </c>
      <c r="I147" s="374">
        <v>99.498774000000012</v>
      </c>
      <c r="J147" s="374">
        <v>0</v>
      </c>
      <c r="K147" s="374">
        <v>99.498774000000012</v>
      </c>
      <c r="L147" s="374">
        <v>85.599762999999996</v>
      </c>
      <c r="M147" s="374">
        <v>0</v>
      </c>
      <c r="N147" s="374">
        <v>85.599762999999996</v>
      </c>
      <c r="O147" s="374">
        <v>78.440213999999997</v>
      </c>
      <c r="P147" s="374">
        <v>0</v>
      </c>
      <c r="Q147" s="374">
        <v>78.440213999999997</v>
      </c>
      <c r="R147" s="374">
        <v>0</v>
      </c>
      <c r="S147" s="374">
        <v>0</v>
      </c>
      <c r="T147" s="374">
        <v>0</v>
      </c>
      <c r="U147" s="374">
        <v>9.5860850000000006</v>
      </c>
      <c r="V147" s="374">
        <v>0</v>
      </c>
      <c r="W147" s="374">
        <v>9.5860850000000006</v>
      </c>
      <c r="X147" s="374">
        <v>16.925588999999999</v>
      </c>
      <c r="Y147" s="374">
        <v>0</v>
      </c>
      <c r="Z147" s="374">
        <v>16.925588999999999</v>
      </c>
      <c r="AA147" s="1169"/>
      <c r="AB147" s="1174"/>
      <c r="AC147" s="1174"/>
      <c r="AD147" s="1169">
        <f t="shared" si="63"/>
        <v>0.91636017730563113</v>
      </c>
      <c r="AE147" s="459"/>
      <c r="AF147" s="459">
        <f t="shared" si="64"/>
        <v>0.91636017730563113</v>
      </c>
      <c r="AG147" s="635"/>
      <c r="AH147" s="635"/>
    </row>
    <row r="148" spans="2:34" x14ac:dyDescent="0.25">
      <c r="B148" s="76" t="s">
        <v>959</v>
      </c>
      <c r="C148" s="374">
        <v>0</v>
      </c>
      <c r="D148" s="374">
        <v>0</v>
      </c>
      <c r="E148" s="374">
        <v>0</v>
      </c>
      <c r="F148" s="2453"/>
      <c r="G148" s="374">
        <v>0</v>
      </c>
      <c r="H148" s="374">
        <v>0</v>
      </c>
      <c r="I148" s="374">
        <v>0</v>
      </c>
      <c r="J148" s="374">
        <v>0</v>
      </c>
      <c r="K148" s="374">
        <v>0</v>
      </c>
      <c r="L148" s="374">
        <v>0</v>
      </c>
      <c r="M148" s="374">
        <v>0</v>
      </c>
      <c r="N148" s="374">
        <v>0</v>
      </c>
      <c r="O148" s="374">
        <v>0</v>
      </c>
      <c r="P148" s="374">
        <v>0</v>
      </c>
      <c r="Q148" s="374">
        <v>0</v>
      </c>
      <c r="R148" s="374">
        <v>0</v>
      </c>
      <c r="S148" s="374">
        <v>0</v>
      </c>
      <c r="T148" s="374">
        <v>0</v>
      </c>
      <c r="U148" s="374">
        <v>0</v>
      </c>
      <c r="V148" s="374">
        <v>0</v>
      </c>
      <c r="W148" s="374">
        <v>0</v>
      </c>
      <c r="X148" s="374">
        <v>0</v>
      </c>
      <c r="Y148" s="374">
        <v>0</v>
      </c>
      <c r="Z148" s="374">
        <v>0</v>
      </c>
      <c r="AA148" s="1169"/>
      <c r="AB148" s="1174"/>
      <c r="AC148" s="1174"/>
      <c r="AD148" s="1169"/>
      <c r="AE148" s="459"/>
      <c r="AF148" s="459"/>
      <c r="AG148" s="635"/>
      <c r="AH148" s="635"/>
    </row>
    <row r="149" spans="2:34" x14ac:dyDescent="0.25">
      <c r="B149" s="177"/>
      <c r="C149" s="374"/>
      <c r="D149" s="374"/>
      <c r="E149" s="374"/>
      <c r="F149" s="2453"/>
      <c r="G149" s="374"/>
      <c r="H149" s="374"/>
      <c r="I149" s="374"/>
      <c r="J149" s="374"/>
      <c r="K149" s="374"/>
      <c r="L149" s="374"/>
      <c r="M149" s="374"/>
      <c r="N149" s="374"/>
      <c r="O149" s="374"/>
      <c r="P149" s="374"/>
      <c r="Q149" s="374"/>
      <c r="R149" s="374"/>
      <c r="S149" s="374"/>
      <c r="T149" s="374"/>
      <c r="U149" s="374"/>
      <c r="V149" s="374"/>
      <c r="W149" s="374"/>
      <c r="X149" s="374"/>
      <c r="Y149" s="374"/>
      <c r="Z149" s="374"/>
      <c r="AA149" s="1169"/>
      <c r="AB149" s="1174"/>
      <c r="AC149" s="1174"/>
      <c r="AD149" s="1169"/>
      <c r="AE149" s="459"/>
      <c r="AF149" s="459"/>
      <c r="AG149" s="635"/>
      <c r="AH149" s="635"/>
    </row>
    <row r="150" spans="2:34" s="398" customFormat="1" x14ac:dyDescent="0.25">
      <c r="B150" s="177" t="s">
        <v>998</v>
      </c>
      <c r="C150" s="379">
        <f>SUM(C142:C148)</f>
        <v>196</v>
      </c>
      <c r="D150" s="379">
        <f t="shared" ref="D150:Z150" si="65">SUM(D142:D148)</f>
        <v>0</v>
      </c>
      <c r="E150" s="379">
        <f t="shared" si="65"/>
        <v>196</v>
      </c>
      <c r="F150" s="2453"/>
      <c r="G150" s="379">
        <f t="shared" si="65"/>
        <v>332.17318299999999</v>
      </c>
      <c r="H150" s="379">
        <f t="shared" si="65"/>
        <v>0</v>
      </c>
      <c r="I150" s="379">
        <f t="shared" si="65"/>
        <v>332.17318299999999</v>
      </c>
      <c r="J150" s="379">
        <f t="shared" si="65"/>
        <v>0</v>
      </c>
      <c r="K150" s="379">
        <f t="shared" si="65"/>
        <v>332.17318299999999</v>
      </c>
      <c r="L150" s="379">
        <f t="shared" si="65"/>
        <v>300.791763</v>
      </c>
      <c r="M150" s="379">
        <f t="shared" si="65"/>
        <v>0</v>
      </c>
      <c r="N150" s="379">
        <f t="shared" si="65"/>
        <v>300.791763</v>
      </c>
      <c r="O150" s="379">
        <f t="shared" si="65"/>
        <v>276.98188000000005</v>
      </c>
      <c r="P150" s="379">
        <f t="shared" si="65"/>
        <v>0</v>
      </c>
      <c r="Q150" s="379">
        <f t="shared" si="65"/>
        <v>276.98188000000005</v>
      </c>
      <c r="R150" s="379">
        <f t="shared" si="65"/>
        <v>0</v>
      </c>
      <c r="S150" s="379">
        <f t="shared" si="65"/>
        <v>0</v>
      </c>
      <c r="T150" s="379">
        <f t="shared" si="65"/>
        <v>0</v>
      </c>
      <c r="U150" s="379">
        <f t="shared" si="65"/>
        <v>48.268900000000002</v>
      </c>
      <c r="V150" s="379">
        <f t="shared" si="65"/>
        <v>0</v>
      </c>
      <c r="W150" s="379">
        <f t="shared" si="65"/>
        <v>48.268900000000002</v>
      </c>
      <c r="X150" s="379">
        <f t="shared" si="65"/>
        <v>72.073689000000002</v>
      </c>
      <c r="Y150" s="379">
        <f t="shared" si="65"/>
        <v>0</v>
      </c>
      <c r="Z150" s="379">
        <f t="shared" si="65"/>
        <v>72.073689000000002</v>
      </c>
      <c r="AA150" s="1169"/>
      <c r="AB150" s="1174"/>
      <c r="AC150" s="1174"/>
      <c r="AD150" s="1173">
        <f>Q150/N150</f>
        <v>0.92084263623934426</v>
      </c>
      <c r="AE150" s="400"/>
      <c r="AF150" s="400">
        <f t="shared" si="64"/>
        <v>0.92084263623934426</v>
      </c>
      <c r="AG150" s="477"/>
      <c r="AH150" s="477"/>
    </row>
    <row r="151" spans="2:34" x14ac:dyDescent="0.25">
      <c r="B151" s="76"/>
      <c r="C151" s="374"/>
      <c r="D151" s="374"/>
      <c r="E151" s="374"/>
      <c r="F151" s="2453"/>
      <c r="G151" s="374"/>
      <c r="H151" s="374"/>
      <c r="I151" s="374"/>
      <c r="J151" s="374"/>
      <c r="K151" s="374"/>
      <c r="L151" s="374"/>
      <c r="M151" s="374"/>
      <c r="N151" s="374"/>
      <c r="O151" s="374"/>
      <c r="P151" s="374"/>
      <c r="Q151" s="374"/>
      <c r="R151" s="374"/>
      <c r="S151" s="374"/>
      <c r="T151" s="374"/>
      <c r="U151" s="374"/>
      <c r="V151" s="374"/>
      <c r="W151" s="374"/>
      <c r="X151" s="374"/>
      <c r="Y151" s="374"/>
      <c r="Z151" s="374"/>
      <c r="AA151" s="1169"/>
      <c r="AB151" s="1174"/>
      <c r="AC151" s="1174"/>
      <c r="AD151" s="1169"/>
      <c r="AE151" s="459"/>
      <c r="AF151" s="459"/>
      <c r="AG151" s="635"/>
      <c r="AH151" s="635"/>
    </row>
    <row r="152" spans="2:34" x14ac:dyDescent="0.25">
      <c r="B152" s="177" t="s">
        <v>294</v>
      </c>
      <c r="C152" s="374"/>
      <c r="D152" s="374"/>
      <c r="E152" s="374"/>
      <c r="F152" s="2453"/>
      <c r="G152" s="374"/>
      <c r="H152" s="374"/>
      <c r="I152" s="374"/>
      <c r="J152" s="374"/>
      <c r="K152" s="374"/>
      <c r="L152" s="374"/>
      <c r="M152" s="374"/>
      <c r="N152" s="374"/>
      <c r="O152" s="374"/>
      <c r="P152" s="374"/>
      <c r="Q152" s="374"/>
      <c r="R152" s="374"/>
      <c r="S152" s="374"/>
      <c r="T152" s="374"/>
      <c r="U152" s="374"/>
      <c r="V152" s="374"/>
      <c r="W152" s="374"/>
      <c r="X152" s="374"/>
      <c r="Y152" s="374"/>
      <c r="Z152" s="374"/>
      <c r="AA152" s="1169"/>
      <c r="AB152" s="1174"/>
      <c r="AC152" s="1174"/>
      <c r="AD152" s="1169"/>
      <c r="AE152" s="459"/>
      <c r="AF152" s="459"/>
      <c r="AG152" s="635"/>
      <c r="AH152" s="635"/>
    </row>
    <row r="153" spans="2:34" x14ac:dyDescent="0.25">
      <c r="B153" s="76"/>
      <c r="C153" s="374"/>
      <c r="D153" s="374"/>
      <c r="E153" s="374"/>
      <c r="F153" s="2453"/>
      <c r="G153" s="374"/>
      <c r="H153" s="374"/>
      <c r="I153" s="374"/>
      <c r="J153" s="374"/>
      <c r="K153" s="374"/>
      <c r="L153" s="374"/>
      <c r="M153" s="374"/>
      <c r="N153" s="374"/>
      <c r="O153" s="374"/>
      <c r="P153" s="374"/>
      <c r="Q153" s="374"/>
      <c r="R153" s="374"/>
      <c r="S153" s="374"/>
      <c r="T153" s="374"/>
      <c r="U153" s="374"/>
      <c r="V153" s="374"/>
      <c r="W153" s="374"/>
      <c r="X153" s="374"/>
      <c r="Y153" s="374"/>
      <c r="Z153" s="374"/>
      <c r="AA153" s="1169"/>
      <c r="AB153" s="1174"/>
      <c r="AC153" s="1174"/>
      <c r="AD153" s="1169"/>
      <c r="AE153" s="459"/>
      <c r="AF153" s="459"/>
      <c r="AG153" s="635"/>
      <c r="AH153" s="635"/>
    </row>
    <row r="154" spans="2:34" x14ac:dyDescent="0.25">
      <c r="B154" s="76" t="s">
        <v>960</v>
      </c>
      <c r="C154" s="374">
        <v>59</v>
      </c>
      <c r="D154" s="374">
        <v>0</v>
      </c>
      <c r="E154" s="374">
        <v>59</v>
      </c>
      <c r="F154" s="2453"/>
      <c r="G154" s="374">
        <v>9.1259999999999987E-3</v>
      </c>
      <c r="H154" s="374">
        <v>0</v>
      </c>
      <c r="I154" s="374">
        <v>9.1259999999999987E-3</v>
      </c>
      <c r="J154" s="374">
        <v>0</v>
      </c>
      <c r="K154" s="374">
        <v>9.1259999999999987E-3</v>
      </c>
      <c r="L154" s="374">
        <v>3.349E-3</v>
      </c>
      <c r="M154" s="374">
        <v>0</v>
      </c>
      <c r="N154" s="374">
        <v>3.349E-3</v>
      </c>
      <c r="O154" s="374">
        <v>3.2060000000000001E-3</v>
      </c>
      <c r="P154" s="374">
        <v>0</v>
      </c>
      <c r="Q154" s="374">
        <v>3.2060000000000001E-3</v>
      </c>
      <c r="R154" s="374">
        <v>0</v>
      </c>
      <c r="S154" s="374">
        <v>0</v>
      </c>
      <c r="T154" s="374">
        <v>0</v>
      </c>
      <c r="U154" s="374">
        <v>9.3700000000000001E-4</v>
      </c>
      <c r="V154" s="374">
        <v>0</v>
      </c>
      <c r="W154" s="374">
        <v>9.3700000000000001E-4</v>
      </c>
      <c r="X154" s="374">
        <v>1.5460000000000001E-3</v>
      </c>
      <c r="Y154" s="374">
        <v>0</v>
      </c>
      <c r="Z154" s="374">
        <v>1.5460000000000001E-3</v>
      </c>
      <c r="AA154" s="1169"/>
      <c r="AB154" s="1174"/>
      <c r="AC154" s="1174"/>
      <c r="AD154" s="1169">
        <f t="shared" ref="AD154:AD164" si="66">Q154/N154</f>
        <v>0.95730068677217084</v>
      </c>
      <c r="AE154" s="459"/>
      <c r="AF154" s="459">
        <f t="shared" si="64"/>
        <v>0.95730068677217084</v>
      </c>
      <c r="AG154" s="635"/>
      <c r="AH154" s="635"/>
    </row>
    <row r="155" spans="2:34" x14ac:dyDescent="0.25">
      <c r="B155" s="1168" t="s">
        <v>961</v>
      </c>
      <c r="C155" s="374">
        <v>769553</v>
      </c>
      <c r="D155" s="374">
        <v>0</v>
      </c>
      <c r="E155" s="374">
        <v>769553</v>
      </c>
      <c r="F155" s="2453"/>
      <c r="G155" s="374">
        <v>1099.2711879999999</v>
      </c>
      <c r="H155" s="374">
        <v>21</v>
      </c>
      <c r="I155" s="374">
        <v>1120.2711879999999</v>
      </c>
      <c r="J155" s="374">
        <v>0</v>
      </c>
      <c r="K155" s="374">
        <v>1120.2711879999999</v>
      </c>
      <c r="L155" s="374">
        <v>939.61124099999995</v>
      </c>
      <c r="M155" s="374">
        <v>0</v>
      </c>
      <c r="N155" s="374">
        <v>939.61124099999995</v>
      </c>
      <c r="O155" s="374">
        <v>883.18348999999989</v>
      </c>
      <c r="P155" s="374">
        <v>0</v>
      </c>
      <c r="Q155" s="374">
        <v>883.18348999999989</v>
      </c>
      <c r="R155" s="374">
        <v>0</v>
      </c>
      <c r="S155" s="374">
        <v>0</v>
      </c>
      <c r="T155" s="374">
        <v>0</v>
      </c>
      <c r="U155" s="374">
        <v>55.172623999999999</v>
      </c>
      <c r="V155" s="374">
        <v>0</v>
      </c>
      <c r="W155" s="374">
        <v>55.172623999999999</v>
      </c>
      <c r="X155" s="374">
        <v>60.537956000000001</v>
      </c>
      <c r="Y155" s="374">
        <v>0</v>
      </c>
      <c r="Z155" s="374">
        <v>60.537956000000001</v>
      </c>
      <c r="AA155" s="1169"/>
      <c r="AB155" s="1174"/>
      <c r="AC155" s="1174"/>
      <c r="AD155" s="1169">
        <f t="shared" si="66"/>
        <v>0.93994564077378884</v>
      </c>
      <c r="AE155" s="459"/>
      <c r="AF155" s="459">
        <f t="shared" si="64"/>
        <v>0.93994564077378884</v>
      </c>
      <c r="AG155" s="635"/>
      <c r="AH155" s="635"/>
    </row>
    <row r="156" spans="2:34" x14ac:dyDescent="0.25">
      <c r="B156" s="76" t="s">
        <v>962</v>
      </c>
      <c r="C156" s="374">
        <v>252537</v>
      </c>
      <c r="D156" s="374">
        <v>0</v>
      </c>
      <c r="E156" s="374">
        <v>252537</v>
      </c>
      <c r="F156" s="2453"/>
      <c r="G156" s="374">
        <v>421.41689499999995</v>
      </c>
      <c r="H156" s="374">
        <v>9</v>
      </c>
      <c r="I156" s="374">
        <v>430.41689499999995</v>
      </c>
      <c r="J156" s="374">
        <v>0</v>
      </c>
      <c r="K156" s="374">
        <v>430.41689499999995</v>
      </c>
      <c r="L156" s="374">
        <v>449.979691</v>
      </c>
      <c r="M156" s="374">
        <v>0</v>
      </c>
      <c r="N156" s="374">
        <v>449.979691</v>
      </c>
      <c r="O156" s="374">
        <v>430.81453499999998</v>
      </c>
      <c r="P156" s="374">
        <v>0</v>
      </c>
      <c r="Q156" s="374">
        <v>430.81453499999998</v>
      </c>
      <c r="R156" s="374">
        <v>0</v>
      </c>
      <c r="S156" s="374">
        <v>0</v>
      </c>
      <c r="T156" s="374">
        <v>0</v>
      </c>
      <c r="U156" s="374">
        <v>32.383417999999999</v>
      </c>
      <c r="V156" s="374">
        <v>0</v>
      </c>
      <c r="W156" s="374">
        <v>32.383417999999999</v>
      </c>
      <c r="X156" s="374">
        <v>32.479104</v>
      </c>
      <c r="Y156" s="374">
        <v>0</v>
      </c>
      <c r="Z156" s="374">
        <v>32.479104</v>
      </c>
      <c r="AA156" s="1169"/>
      <c r="AB156" s="1174"/>
      <c r="AC156" s="1174"/>
      <c r="AD156" s="1169">
        <f t="shared" si="66"/>
        <v>0.95740884225817202</v>
      </c>
      <c r="AE156" s="459"/>
      <c r="AF156" s="459">
        <f t="shared" si="64"/>
        <v>0.95740884225817202</v>
      </c>
      <c r="AG156" s="635"/>
      <c r="AH156" s="635"/>
    </row>
    <row r="157" spans="2:34" x14ac:dyDescent="0.25">
      <c r="B157" s="76" t="s">
        <v>963</v>
      </c>
      <c r="C157" s="374">
        <v>5794</v>
      </c>
      <c r="D157" s="374">
        <v>0</v>
      </c>
      <c r="E157" s="374">
        <v>5794</v>
      </c>
      <c r="F157" s="2453"/>
      <c r="G157" s="374">
        <v>90.975233000000003</v>
      </c>
      <c r="H157" s="374">
        <v>0</v>
      </c>
      <c r="I157" s="374">
        <v>90.975233000000003</v>
      </c>
      <c r="J157" s="374">
        <v>0</v>
      </c>
      <c r="K157" s="374">
        <v>90.975233000000003</v>
      </c>
      <c r="L157" s="374">
        <v>107.431555</v>
      </c>
      <c r="M157" s="374">
        <v>0</v>
      </c>
      <c r="N157" s="374">
        <v>107.431555</v>
      </c>
      <c r="O157" s="374">
        <v>99.952644000000006</v>
      </c>
      <c r="P157" s="374">
        <v>0</v>
      </c>
      <c r="Q157" s="374">
        <v>99.952644000000006</v>
      </c>
      <c r="R157" s="374">
        <v>0</v>
      </c>
      <c r="S157" s="374">
        <v>0</v>
      </c>
      <c r="T157" s="374">
        <v>0</v>
      </c>
      <c r="U157" s="374">
        <v>17.533840999999999</v>
      </c>
      <c r="V157" s="374">
        <v>0</v>
      </c>
      <c r="W157" s="374">
        <v>17.533840999999999</v>
      </c>
      <c r="X157" s="374">
        <v>21.227892000000001</v>
      </c>
      <c r="Y157" s="374">
        <v>0</v>
      </c>
      <c r="Z157" s="374">
        <v>21.227892000000001</v>
      </c>
      <c r="AA157" s="1169"/>
      <c r="AB157" s="1174"/>
      <c r="AC157" s="1174"/>
      <c r="AD157" s="1169">
        <f t="shared" si="66"/>
        <v>0.93038441079997403</v>
      </c>
      <c r="AE157" s="459"/>
      <c r="AF157" s="459">
        <f t="shared" si="64"/>
        <v>0.93038441079997403</v>
      </c>
      <c r="AG157" s="635"/>
      <c r="AH157" s="635"/>
    </row>
    <row r="158" spans="2:34" x14ac:dyDescent="0.25">
      <c r="B158" s="76" t="s">
        <v>964</v>
      </c>
      <c r="C158" s="374">
        <v>3063</v>
      </c>
      <c r="D158" s="374">
        <v>0</v>
      </c>
      <c r="E158" s="374">
        <v>3063</v>
      </c>
      <c r="F158" s="2453"/>
      <c r="G158" s="374">
        <v>191.79499099999998</v>
      </c>
      <c r="H158" s="374">
        <v>0</v>
      </c>
      <c r="I158" s="374">
        <v>191.79499099999998</v>
      </c>
      <c r="J158" s="374">
        <v>0</v>
      </c>
      <c r="K158" s="374">
        <v>191.79499099999998</v>
      </c>
      <c r="L158" s="374">
        <v>221.86508699999999</v>
      </c>
      <c r="M158" s="374">
        <v>0</v>
      </c>
      <c r="N158" s="374">
        <v>221.86508699999999</v>
      </c>
      <c r="O158" s="374">
        <v>206.537588</v>
      </c>
      <c r="P158" s="374">
        <v>0</v>
      </c>
      <c r="Q158" s="374">
        <v>206.537588</v>
      </c>
      <c r="R158" s="374">
        <v>0</v>
      </c>
      <c r="S158" s="374">
        <v>0</v>
      </c>
      <c r="T158" s="374">
        <v>0</v>
      </c>
      <c r="U158" s="374">
        <v>37.52693</v>
      </c>
      <c r="V158" s="374">
        <v>0</v>
      </c>
      <c r="W158" s="374">
        <v>37.52693</v>
      </c>
      <c r="X158" s="374">
        <v>50.835165000000003</v>
      </c>
      <c r="Y158" s="374">
        <v>0</v>
      </c>
      <c r="Z158" s="374">
        <v>50.835165000000003</v>
      </c>
      <c r="AA158" s="1169"/>
      <c r="AB158" s="1174"/>
      <c r="AC158" s="1174"/>
      <c r="AD158" s="1169">
        <f t="shared" si="66"/>
        <v>0.9309152277753372</v>
      </c>
      <c r="AE158" s="459"/>
      <c r="AF158" s="459">
        <f t="shared" si="64"/>
        <v>0.9309152277753372</v>
      </c>
      <c r="AG158" s="635"/>
      <c r="AH158" s="635"/>
    </row>
    <row r="159" spans="2:34" x14ac:dyDescent="0.25">
      <c r="B159" s="76" t="s">
        <v>965</v>
      </c>
      <c r="C159" s="374">
        <v>8104</v>
      </c>
      <c r="D159" s="374">
        <v>0</v>
      </c>
      <c r="E159" s="374">
        <v>8104</v>
      </c>
      <c r="F159" s="2453"/>
      <c r="G159" s="374">
        <v>49.22251399999999</v>
      </c>
      <c r="H159" s="374">
        <v>2</v>
      </c>
      <c r="I159" s="374">
        <v>51.22251399999999</v>
      </c>
      <c r="J159" s="374">
        <v>0</v>
      </c>
      <c r="K159" s="374">
        <v>51.22251399999999</v>
      </c>
      <c r="L159" s="374">
        <v>36.669425000000004</v>
      </c>
      <c r="M159" s="374">
        <v>0</v>
      </c>
      <c r="N159" s="374">
        <v>36.669425000000004</v>
      </c>
      <c r="O159" s="374">
        <v>35.096823999999998</v>
      </c>
      <c r="P159" s="374">
        <v>0</v>
      </c>
      <c r="Q159" s="374">
        <v>35.096823999999998</v>
      </c>
      <c r="R159" s="374">
        <v>0</v>
      </c>
      <c r="S159" s="374">
        <v>0</v>
      </c>
      <c r="T159" s="374">
        <v>0</v>
      </c>
      <c r="U159" s="374">
        <v>5.19719</v>
      </c>
      <c r="V159" s="374">
        <v>0</v>
      </c>
      <c r="W159" s="374">
        <v>5.19719</v>
      </c>
      <c r="X159" s="374">
        <v>6.5376789999999998</v>
      </c>
      <c r="Y159" s="374">
        <v>0</v>
      </c>
      <c r="Z159" s="374">
        <v>6.5376789999999998</v>
      </c>
      <c r="AA159" s="1169"/>
      <c r="AB159" s="1174"/>
      <c r="AC159" s="1174"/>
      <c r="AD159" s="1169">
        <f t="shared" si="66"/>
        <v>0.9571141080068748</v>
      </c>
      <c r="AE159" s="459"/>
      <c r="AF159" s="459">
        <f t="shared" si="64"/>
        <v>0.9571141080068748</v>
      </c>
      <c r="AG159" s="635"/>
      <c r="AH159" s="635"/>
    </row>
    <row r="160" spans="2:34" x14ac:dyDescent="0.25">
      <c r="B160" s="76" t="s">
        <v>966</v>
      </c>
      <c r="C160" s="374">
        <v>997</v>
      </c>
      <c r="D160" s="374">
        <v>0</v>
      </c>
      <c r="E160" s="374">
        <v>997</v>
      </c>
      <c r="F160" s="2453"/>
      <c r="G160" s="374">
        <v>41.071796000000006</v>
      </c>
      <c r="H160" s="374">
        <v>0</v>
      </c>
      <c r="I160" s="374">
        <v>41.071796000000006</v>
      </c>
      <c r="J160" s="374">
        <v>0</v>
      </c>
      <c r="K160" s="374">
        <v>41.071796000000006</v>
      </c>
      <c r="L160" s="374">
        <v>37.615668999999997</v>
      </c>
      <c r="M160" s="374">
        <v>0</v>
      </c>
      <c r="N160" s="374">
        <v>37.615668999999997</v>
      </c>
      <c r="O160" s="374">
        <v>35.573219000000002</v>
      </c>
      <c r="P160" s="374">
        <v>0</v>
      </c>
      <c r="Q160" s="374">
        <v>35.573219000000002</v>
      </c>
      <c r="R160" s="374">
        <v>0</v>
      </c>
      <c r="S160" s="374">
        <v>0</v>
      </c>
      <c r="T160" s="374">
        <v>0</v>
      </c>
      <c r="U160" s="374">
        <v>7.1837600000000004</v>
      </c>
      <c r="V160" s="374">
        <v>0</v>
      </c>
      <c r="W160" s="374">
        <v>7.1837600000000004</v>
      </c>
      <c r="X160" s="374">
        <v>8.8746200000000002</v>
      </c>
      <c r="Y160" s="374">
        <v>0</v>
      </c>
      <c r="Z160" s="374">
        <v>8.8746200000000002</v>
      </c>
      <c r="AA160" s="1169"/>
      <c r="AB160" s="1174"/>
      <c r="AC160" s="1174"/>
      <c r="AD160" s="1169">
        <f t="shared" si="66"/>
        <v>0.94570214875083047</v>
      </c>
      <c r="AE160" s="459"/>
      <c r="AF160" s="459">
        <f t="shared" si="64"/>
        <v>0.94570214875083047</v>
      </c>
      <c r="AG160" s="635"/>
      <c r="AH160" s="635"/>
    </row>
    <row r="161" spans="2:34" x14ac:dyDescent="0.25">
      <c r="B161" s="1168" t="s">
        <v>967</v>
      </c>
      <c r="C161" s="374">
        <v>665</v>
      </c>
      <c r="D161" s="374">
        <v>0</v>
      </c>
      <c r="E161" s="374">
        <v>665</v>
      </c>
      <c r="F161" s="2453"/>
      <c r="G161" s="374">
        <v>32.684533000000002</v>
      </c>
      <c r="H161" s="374">
        <v>0</v>
      </c>
      <c r="I161" s="374">
        <v>32.684533000000002</v>
      </c>
      <c r="J161" s="374">
        <v>0</v>
      </c>
      <c r="K161" s="374">
        <v>32.684533000000002</v>
      </c>
      <c r="L161" s="374">
        <v>24.009945999999999</v>
      </c>
      <c r="M161" s="374">
        <v>0</v>
      </c>
      <c r="N161" s="374">
        <v>24.009945999999999</v>
      </c>
      <c r="O161" s="374">
        <v>21.865945999999997</v>
      </c>
      <c r="P161" s="374">
        <v>0</v>
      </c>
      <c r="Q161" s="374">
        <v>21.865945999999997</v>
      </c>
      <c r="R161" s="374">
        <v>0</v>
      </c>
      <c r="S161" s="374">
        <v>0</v>
      </c>
      <c r="T161" s="374">
        <v>0</v>
      </c>
      <c r="U161" s="374">
        <v>5.9803830000000007</v>
      </c>
      <c r="V161" s="374">
        <v>0</v>
      </c>
      <c r="W161" s="374">
        <v>5.9803830000000007</v>
      </c>
      <c r="X161" s="374">
        <v>8.1429849999999995</v>
      </c>
      <c r="Y161" s="374">
        <v>0</v>
      </c>
      <c r="Z161" s="374">
        <v>8.1429849999999995</v>
      </c>
      <c r="AA161" s="1169"/>
      <c r="AB161" s="1174"/>
      <c r="AC161" s="1174"/>
      <c r="AD161" s="1169">
        <f t="shared" si="66"/>
        <v>0.91070367255303275</v>
      </c>
      <c r="AE161" s="459"/>
      <c r="AF161" s="459">
        <f t="shared" si="64"/>
        <v>0.91070367255303275</v>
      </c>
      <c r="AG161" s="635"/>
      <c r="AH161" s="635"/>
    </row>
    <row r="162" spans="2:34" x14ac:dyDescent="0.25">
      <c r="B162" s="76" t="s">
        <v>968</v>
      </c>
      <c r="C162" s="374">
        <v>6943</v>
      </c>
      <c r="D162" s="374">
        <v>0</v>
      </c>
      <c r="E162" s="374">
        <v>6943</v>
      </c>
      <c r="F162" s="2453"/>
      <c r="G162" s="374">
        <v>87.801930999999996</v>
      </c>
      <c r="H162" s="374">
        <v>1</v>
      </c>
      <c r="I162" s="374">
        <v>88.801930999999996</v>
      </c>
      <c r="J162" s="374">
        <v>0</v>
      </c>
      <c r="K162" s="374">
        <v>88.801930999999996</v>
      </c>
      <c r="L162" s="374">
        <v>70.464749999999995</v>
      </c>
      <c r="M162" s="374">
        <v>0</v>
      </c>
      <c r="N162" s="374">
        <v>70.464749999999995</v>
      </c>
      <c r="O162" s="374">
        <v>64.908477000000005</v>
      </c>
      <c r="P162" s="374">
        <v>0</v>
      </c>
      <c r="Q162" s="374">
        <v>64.908477000000005</v>
      </c>
      <c r="R162" s="374">
        <v>0</v>
      </c>
      <c r="S162" s="374">
        <v>0</v>
      </c>
      <c r="T162" s="374">
        <v>0</v>
      </c>
      <c r="U162" s="374">
        <v>23.525074</v>
      </c>
      <c r="V162" s="374">
        <v>0</v>
      </c>
      <c r="W162" s="374">
        <v>23.525074</v>
      </c>
      <c r="X162" s="374">
        <v>29.378202999999999</v>
      </c>
      <c r="Y162" s="374">
        <v>0</v>
      </c>
      <c r="Z162" s="374">
        <v>29.378202999999999</v>
      </c>
      <c r="AA162" s="1169"/>
      <c r="AB162" s="1174"/>
      <c r="AC162" s="1174"/>
      <c r="AD162" s="1169">
        <f t="shared" si="66"/>
        <v>0.9211481911168351</v>
      </c>
      <c r="AE162" s="459"/>
      <c r="AF162" s="459">
        <f t="shared" si="64"/>
        <v>0.9211481911168351</v>
      </c>
      <c r="AG162" s="635"/>
      <c r="AH162" s="635"/>
    </row>
    <row r="163" spans="2:34" x14ac:dyDescent="0.25">
      <c r="B163" s="76" t="s">
        <v>970</v>
      </c>
      <c r="C163" s="374">
        <v>1</v>
      </c>
      <c r="D163" s="374">
        <v>0</v>
      </c>
      <c r="E163" s="374">
        <v>1</v>
      </c>
      <c r="F163" s="2453"/>
      <c r="G163" s="374">
        <v>2.9487000000000006E-2</v>
      </c>
      <c r="H163" s="374">
        <v>0</v>
      </c>
      <c r="I163" s="374">
        <v>2.9487000000000006E-2</v>
      </c>
      <c r="J163" s="374">
        <v>0</v>
      </c>
      <c r="K163" s="374">
        <v>2.9487000000000006E-2</v>
      </c>
      <c r="L163" s="374">
        <v>1.9223000000000001E-2</v>
      </c>
      <c r="M163" s="374">
        <v>0</v>
      </c>
      <c r="N163" s="374">
        <v>1.9223000000000001E-2</v>
      </c>
      <c r="O163" s="374">
        <v>5.7010000000000003E-3</v>
      </c>
      <c r="P163" s="374">
        <v>0</v>
      </c>
      <c r="Q163" s="374">
        <v>5.7010000000000003E-3</v>
      </c>
      <c r="R163" s="374">
        <v>0</v>
      </c>
      <c r="S163" s="374">
        <v>0</v>
      </c>
      <c r="T163" s="374">
        <v>0</v>
      </c>
      <c r="U163" s="374">
        <v>-1.0814000000000001E-2</v>
      </c>
      <c r="V163" s="374">
        <v>0</v>
      </c>
      <c r="W163" s="374">
        <v>-1.0814000000000001E-2</v>
      </c>
      <c r="X163" s="374">
        <v>2.7079999999999999E-3</v>
      </c>
      <c r="Y163" s="374">
        <v>0</v>
      </c>
      <c r="Z163" s="374">
        <v>2.7079999999999999E-3</v>
      </c>
      <c r="AA163" s="1169"/>
      <c r="AB163" s="1174"/>
      <c r="AC163" s="1174"/>
      <c r="AD163" s="1169">
        <f t="shared" si="66"/>
        <v>0.29657181501326535</v>
      </c>
      <c r="AE163" s="459"/>
      <c r="AF163" s="459">
        <f t="shared" si="64"/>
        <v>0.29657181501326535</v>
      </c>
      <c r="AG163" s="635"/>
      <c r="AH163" s="635"/>
    </row>
    <row r="164" spans="2:34" x14ac:dyDescent="0.25">
      <c r="B164" s="76" t="s">
        <v>971</v>
      </c>
      <c r="C164" s="374">
        <v>22</v>
      </c>
      <c r="D164" s="374">
        <v>0</v>
      </c>
      <c r="E164" s="374">
        <v>22</v>
      </c>
      <c r="F164" s="2453"/>
      <c r="G164" s="374">
        <v>9.0800940000000008</v>
      </c>
      <c r="H164" s="374">
        <v>0</v>
      </c>
      <c r="I164" s="374">
        <v>9.0800940000000008</v>
      </c>
      <c r="J164" s="374">
        <v>0</v>
      </c>
      <c r="K164" s="374">
        <v>9.0800940000000008</v>
      </c>
      <c r="L164" s="374">
        <v>6.4958260000000001</v>
      </c>
      <c r="M164" s="374">
        <v>0</v>
      </c>
      <c r="N164" s="374">
        <v>6.4958260000000001</v>
      </c>
      <c r="O164" s="374">
        <v>8.6238729999999997</v>
      </c>
      <c r="P164" s="374">
        <v>0</v>
      </c>
      <c r="Q164" s="374">
        <v>8.6238729999999997</v>
      </c>
      <c r="R164" s="374">
        <v>0</v>
      </c>
      <c r="S164" s="374">
        <v>0</v>
      </c>
      <c r="T164" s="374">
        <v>0</v>
      </c>
      <c r="U164" s="374">
        <v>3.3138200000000002</v>
      </c>
      <c r="V164" s="374">
        <v>0</v>
      </c>
      <c r="W164" s="374">
        <v>3.3138200000000002</v>
      </c>
      <c r="X164" s="374">
        <v>1.18577</v>
      </c>
      <c r="Y164" s="374">
        <v>0</v>
      </c>
      <c r="Z164" s="374">
        <v>1.18577</v>
      </c>
      <c r="AA164" s="1169"/>
      <c r="AB164" s="1174"/>
      <c r="AC164" s="1174"/>
      <c r="AD164" s="1169">
        <f t="shared" si="66"/>
        <v>1.3276022171776152</v>
      </c>
      <c r="AE164" s="459"/>
      <c r="AF164" s="459">
        <f t="shared" si="64"/>
        <v>1.3276022171776152</v>
      </c>
      <c r="AG164" s="635"/>
      <c r="AH164" s="635"/>
    </row>
    <row r="165" spans="2:34" x14ac:dyDescent="0.25">
      <c r="B165" s="76"/>
      <c r="C165" s="374"/>
      <c r="D165" s="374"/>
      <c r="E165" s="374"/>
      <c r="F165" s="2453"/>
      <c r="G165" s="374">
        <v>0</v>
      </c>
      <c r="H165" s="374">
        <v>0</v>
      </c>
      <c r="I165" s="374">
        <v>0</v>
      </c>
      <c r="J165" s="374">
        <v>0</v>
      </c>
      <c r="K165" s="374">
        <v>0</v>
      </c>
      <c r="L165" s="374">
        <v>0</v>
      </c>
      <c r="M165" s="374">
        <v>0</v>
      </c>
      <c r="N165" s="374">
        <v>0</v>
      </c>
      <c r="O165" s="374">
        <v>0</v>
      </c>
      <c r="P165" s="374">
        <v>0</v>
      </c>
      <c r="Q165" s="374">
        <v>0</v>
      </c>
      <c r="R165" s="374">
        <v>0</v>
      </c>
      <c r="S165" s="374">
        <v>0</v>
      </c>
      <c r="T165" s="374">
        <v>0</v>
      </c>
      <c r="U165" s="374">
        <v>0</v>
      </c>
      <c r="V165" s="374">
        <v>0</v>
      </c>
      <c r="W165" s="374">
        <v>0</v>
      </c>
      <c r="X165" s="374">
        <v>0</v>
      </c>
      <c r="Y165" s="374">
        <v>0</v>
      </c>
      <c r="Z165" s="374">
        <v>0</v>
      </c>
      <c r="AA165" s="1169"/>
      <c r="AB165" s="1174"/>
      <c r="AC165" s="1174"/>
      <c r="AD165" s="1169"/>
      <c r="AE165" s="459"/>
      <c r="AF165" s="459"/>
      <c r="AG165" s="635"/>
      <c r="AH165" s="635"/>
    </row>
    <row r="166" spans="2:34" s="398" customFormat="1" x14ac:dyDescent="0.25">
      <c r="B166" s="177" t="s">
        <v>1015</v>
      </c>
      <c r="C166" s="379">
        <f>SUM(C154:C164)</f>
        <v>1047738</v>
      </c>
      <c r="D166" s="379">
        <f>SUM(D154:D164)</f>
        <v>0</v>
      </c>
      <c r="E166" s="379">
        <f>SUM(E154:E164)</f>
        <v>1047738</v>
      </c>
      <c r="F166" s="2453"/>
      <c r="G166" s="379">
        <f t="shared" ref="G166:Z166" si="67">SUM(G154:G164)</f>
        <v>2023.357788</v>
      </c>
      <c r="H166" s="379">
        <f t="shared" si="67"/>
        <v>33</v>
      </c>
      <c r="I166" s="379">
        <f t="shared" si="67"/>
        <v>2056.3577880000003</v>
      </c>
      <c r="J166" s="379">
        <f t="shared" si="67"/>
        <v>0</v>
      </c>
      <c r="K166" s="379">
        <f t="shared" si="67"/>
        <v>2056.3577880000003</v>
      </c>
      <c r="L166" s="379">
        <f t="shared" si="67"/>
        <v>1894.1657619999999</v>
      </c>
      <c r="M166" s="379">
        <f t="shared" si="67"/>
        <v>0</v>
      </c>
      <c r="N166" s="379">
        <f t="shared" si="67"/>
        <v>1894.1657619999999</v>
      </c>
      <c r="O166" s="379">
        <f t="shared" si="67"/>
        <v>1786.5655029999996</v>
      </c>
      <c r="P166" s="379">
        <f t="shared" si="67"/>
        <v>0</v>
      </c>
      <c r="Q166" s="379">
        <f t="shared" si="67"/>
        <v>1786.5655029999996</v>
      </c>
      <c r="R166" s="379">
        <f t="shared" si="67"/>
        <v>0</v>
      </c>
      <c r="S166" s="379">
        <f t="shared" si="67"/>
        <v>0</v>
      </c>
      <c r="T166" s="379">
        <f t="shared" si="67"/>
        <v>0</v>
      </c>
      <c r="U166" s="379">
        <f t="shared" si="67"/>
        <v>187.80716299999997</v>
      </c>
      <c r="V166" s="379">
        <f t="shared" si="67"/>
        <v>0</v>
      </c>
      <c r="W166" s="379">
        <f t="shared" si="67"/>
        <v>187.80716299999997</v>
      </c>
      <c r="X166" s="379">
        <f t="shared" si="67"/>
        <v>219.20362800000001</v>
      </c>
      <c r="Y166" s="379">
        <f t="shared" si="67"/>
        <v>0</v>
      </c>
      <c r="Z166" s="379">
        <f t="shared" si="67"/>
        <v>219.20362800000001</v>
      </c>
      <c r="AA166" s="1169"/>
      <c r="AB166" s="1174"/>
      <c r="AC166" s="1174"/>
      <c r="AD166" s="1173">
        <f>Q166/N166</f>
        <v>0.94319385285140622</v>
      </c>
      <c r="AE166" s="400"/>
      <c r="AF166" s="400">
        <f t="shared" si="64"/>
        <v>0.94319385285140622</v>
      </c>
      <c r="AG166" s="477"/>
      <c r="AH166" s="477"/>
    </row>
    <row r="167" spans="2:34" x14ac:dyDescent="0.25">
      <c r="B167" s="76"/>
      <c r="C167" s="374"/>
      <c r="D167" s="374"/>
      <c r="E167" s="374"/>
      <c r="F167" s="2453"/>
      <c r="G167" s="374"/>
      <c r="H167" s="374"/>
      <c r="I167" s="374"/>
      <c r="J167" s="374"/>
      <c r="K167" s="374"/>
      <c r="L167" s="374"/>
      <c r="M167" s="374"/>
      <c r="N167" s="374"/>
      <c r="O167" s="374"/>
      <c r="P167" s="374"/>
      <c r="Q167" s="374"/>
      <c r="R167" s="374"/>
      <c r="S167" s="374"/>
      <c r="T167" s="374"/>
      <c r="U167" s="374"/>
      <c r="V167" s="374"/>
      <c r="W167" s="374"/>
      <c r="X167" s="374"/>
      <c r="Y167" s="374"/>
      <c r="Z167" s="374"/>
      <c r="AA167" s="1169"/>
      <c r="AB167" s="1174"/>
      <c r="AC167" s="1174"/>
      <c r="AD167" s="1169"/>
      <c r="AE167" s="459"/>
      <c r="AF167" s="459"/>
      <c r="AG167" s="635"/>
      <c r="AH167" s="635"/>
    </row>
    <row r="168" spans="2:34" s="398" customFormat="1" x14ac:dyDescent="0.25">
      <c r="B168" s="177" t="s">
        <v>1016</v>
      </c>
      <c r="C168" s="379">
        <f>SUM(C150+C166)</f>
        <v>1047934</v>
      </c>
      <c r="D168" s="379">
        <v>0</v>
      </c>
      <c r="E168" s="379">
        <f>SUM(E150+E166)</f>
        <v>1047934</v>
      </c>
      <c r="F168" s="1172">
        <f>+F140</f>
        <v>2496.9324369999999</v>
      </c>
      <c r="G168" s="379">
        <f>SUM(G150+G166)</f>
        <v>2355.5309710000001</v>
      </c>
      <c r="H168" s="379">
        <f t="shared" ref="H168:Z168" si="68">SUM(H150+H166)</f>
        <v>33</v>
      </c>
      <c r="I168" s="379">
        <f t="shared" si="68"/>
        <v>2388.5309710000001</v>
      </c>
      <c r="J168" s="379">
        <f t="shared" si="68"/>
        <v>0</v>
      </c>
      <c r="K168" s="379">
        <f t="shared" si="68"/>
        <v>2388.5309710000001</v>
      </c>
      <c r="L168" s="379">
        <f t="shared" si="68"/>
        <v>2194.9575249999998</v>
      </c>
      <c r="M168" s="379">
        <f t="shared" si="68"/>
        <v>0</v>
      </c>
      <c r="N168" s="379">
        <f t="shared" si="68"/>
        <v>2194.9575249999998</v>
      </c>
      <c r="O168" s="379">
        <f t="shared" si="68"/>
        <v>2063.5473829999996</v>
      </c>
      <c r="P168" s="379">
        <f t="shared" si="68"/>
        <v>0</v>
      </c>
      <c r="Q168" s="379">
        <f t="shared" si="68"/>
        <v>2063.5473829999996</v>
      </c>
      <c r="R168" s="379">
        <f t="shared" si="68"/>
        <v>0</v>
      </c>
      <c r="S168" s="379">
        <f t="shared" si="68"/>
        <v>0</v>
      </c>
      <c r="T168" s="379">
        <f t="shared" si="68"/>
        <v>0</v>
      </c>
      <c r="U168" s="379">
        <f t="shared" si="68"/>
        <v>236.07606299999998</v>
      </c>
      <c r="V168" s="379">
        <f t="shared" si="68"/>
        <v>0</v>
      </c>
      <c r="W168" s="379">
        <f t="shared" si="68"/>
        <v>236.07606299999998</v>
      </c>
      <c r="X168" s="379">
        <f t="shared" si="68"/>
        <v>291.27731700000004</v>
      </c>
      <c r="Y168" s="379">
        <f t="shared" si="68"/>
        <v>0</v>
      </c>
      <c r="Z168" s="379">
        <f t="shared" si="68"/>
        <v>291.27731700000004</v>
      </c>
      <c r="AA168" s="400">
        <f>(I168+7.39)/F168</f>
        <v>0.95954577524678142</v>
      </c>
      <c r="AB168" s="1173"/>
      <c r="AC168" s="1173">
        <f>AA168+AB168</f>
        <v>0.95954577524678142</v>
      </c>
      <c r="AD168" s="1173">
        <f>Q168/N168</f>
        <v>0.94013089524363336</v>
      </c>
      <c r="AE168" s="400"/>
      <c r="AF168" s="400">
        <f t="shared" si="64"/>
        <v>0.94013089524363336</v>
      </c>
      <c r="AG168" s="477"/>
      <c r="AH168" s="477"/>
    </row>
    <row r="169" spans="2:34" x14ac:dyDescent="0.25">
      <c r="B169" s="177" t="s">
        <v>493</v>
      </c>
      <c r="C169" s="161"/>
      <c r="D169" s="161"/>
      <c r="E169" s="161"/>
      <c r="F169" s="763"/>
      <c r="G169" s="1167"/>
      <c r="H169" s="1167"/>
      <c r="I169" s="1167"/>
      <c r="J169" s="1167"/>
      <c r="K169" s="1167"/>
      <c r="L169" s="1167"/>
      <c r="M169" s="1167"/>
      <c r="N169" s="1167"/>
      <c r="O169" s="1167"/>
      <c r="P169" s="1167"/>
      <c r="Q169" s="1167"/>
      <c r="R169" s="1167"/>
      <c r="S169" s="1167"/>
      <c r="T169" s="1167"/>
      <c r="U169" s="1167"/>
      <c r="V169" s="1167"/>
      <c r="W169" s="1167"/>
      <c r="X169" s="1167"/>
      <c r="Y169" s="1167"/>
      <c r="Z169" s="1167"/>
      <c r="AA169" s="1167"/>
      <c r="AB169" s="1167"/>
      <c r="AC169" s="1167"/>
      <c r="AD169" s="1167"/>
      <c r="AE169" s="459"/>
      <c r="AF169" s="459"/>
      <c r="AG169" s="635"/>
      <c r="AH169" s="635"/>
    </row>
    <row r="170" spans="2:34" x14ac:dyDescent="0.25">
      <c r="B170" s="22" t="s">
        <v>503</v>
      </c>
      <c r="C170" s="68"/>
      <c r="D170" s="68"/>
      <c r="E170" s="68"/>
      <c r="F170" s="68"/>
      <c r="G170" s="15"/>
      <c r="H170" s="15"/>
      <c r="I170" s="15"/>
      <c r="J170" s="15"/>
      <c r="K170" s="409"/>
      <c r="L170" s="15"/>
      <c r="M170" s="15"/>
      <c r="N170" s="15"/>
      <c r="O170" s="15"/>
      <c r="P170" s="15"/>
      <c r="Q170" s="15"/>
      <c r="R170" s="15"/>
      <c r="S170" s="15"/>
      <c r="T170" s="15"/>
      <c r="U170" s="15"/>
      <c r="V170" s="15"/>
      <c r="W170" s="15"/>
      <c r="X170" s="15"/>
      <c r="Y170" s="15"/>
      <c r="Z170" s="15"/>
      <c r="AA170" s="15"/>
      <c r="AB170" s="15"/>
    </row>
    <row r="171" spans="2:34" x14ac:dyDescent="0.25">
      <c r="B171" s="15" t="s">
        <v>504</v>
      </c>
      <c r="C171" s="68"/>
      <c r="D171" s="68"/>
      <c r="E171" s="68"/>
      <c r="F171" s="68"/>
      <c r="G171" s="15"/>
      <c r="H171" s="15"/>
      <c r="I171" s="15"/>
      <c r="J171" s="15"/>
      <c r="K171" s="15"/>
      <c r="L171" s="15"/>
      <c r="M171" s="15"/>
      <c r="N171" s="15"/>
      <c r="O171" s="15"/>
      <c r="P171" s="15"/>
      <c r="Q171" s="15"/>
      <c r="R171" s="15"/>
      <c r="S171" s="15"/>
      <c r="T171" s="15"/>
      <c r="U171" s="15"/>
      <c r="V171" s="15"/>
      <c r="W171" s="15"/>
      <c r="X171" s="15"/>
      <c r="Y171" s="15"/>
      <c r="Z171" s="15"/>
      <c r="AA171" s="1170"/>
      <c r="AB171" s="15"/>
    </row>
    <row r="172" spans="2:34" x14ac:dyDescent="0.25">
      <c r="B172" s="15" t="s">
        <v>598</v>
      </c>
      <c r="C172" s="68"/>
      <c r="D172" s="68"/>
      <c r="E172" s="68"/>
      <c r="F172" s="68"/>
      <c r="G172" s="15"/>
      <c r="H172" s="15"/>
      <c r="I172" s="15"/>
      <c r="J172" s="15"/>
      <c r="K172" s="15"/>
      <c r="L172" s="15"/>
      <c r="M172" s="15"/>
      <c r="N172" s="15"/>
      <c r="O172" s="15"/>
      <c r="P172" s="15"/>
      <c r="Q172" s="15"/>
      <c r="R172" s="15"/>
      <c r="S172" s="15"/>
      <c r="T172" s="15"/>
      <c r="U172" s="15"/>
      <c r="V172" s="15"/>
      <c r="W172" s="15"/>
      <c r="X172" s="15"/>
      <c r="Y172" s="15"/>
      <c r="Z172" s="15"/>
      <c r="AA172" s="1171"/>
      <c r="AB172" s="15"/>
    </row>
  </sheetData>
  <mergeCells count="156">
    <mergeCell ref="F11:F44"/>
    <mergeCell ref="B8:B10"/>
    <mergeCell ref="C8:E8"/>
    <mergeCell ref="F8:F10"/>
    <mergeCell ref="G8:K8"/>
    <mergeCell ref="L8:N8"/>
    <mergeCell ref="AD8:AF8"/>
    <mergeCell ref="C9:C10"/>
    <mergeCell ref="D9:D10"/>
    <mergeCell ref="E9:E10"/>
    <mergeCell ref="G9:I9"/>
    <mergeCell ref="J9:J10"/>
    <mergeCell ref="K9:K10"/>
    <mergeCell ref="L9:L10"/>
    <mergeCell ref="AF9:AF10"/>
    <mergeCell ref="Z9:Z10"/>
    <mergeCell ref="AA9:AA10"/>
    <mergeCell ref="AB9:AB10"/>
    <mergeCell ref="AC9:AC10"/>
    <mergeCell ref="AD9:AD10"/>
    <mergeCell ref="U9:U10"/>
    <mergeCell ref="V9:V10"/>
    <mergeCell ref="W9:W10"/>
    <mergeCell ref="X9:X10"/>
    <mergeCell ref="Y9:Y10"/>
    <mergeCell ref="O9:O10"/>
    <mergeCell ref="S9:S10"/>
    <mergeCell ref="T9:T10"/>
    <mergeCell ref="M9:M10"/>
    <mergeCell ref="AD56:AD57"/>
    <mergeCell ref="N9:N10"/>
    <mergeCell ref="O8:Q8"/>
    <mergeCell ref="R8:T8"/>
    <mergeCell ref="U8:W8"/>
    <mergeCell ref="P9:P10"/>
    <mergeCell ref="Q9:Q10"/>
    <mergeCell ref="R9:R10"/>
    <mergeCell ref="X8:Z8"/>
    <mergeCell ref="AA8:AC8"/>
    <mergeCell ref="AC56:AC57"/>
    <mergeCell ref="AA55:AC55"/>
    <mergeCell ref="AD55:AF55"/>
    <mergeCell ref="R55:T55"/>
    <mergeCell ref="U55:W55"/>
    <mergeCell ref="AE56:AE57"/>
    <mergeCell ref="AF56:AF57"/>
    <mergeCell ref="AA56:AA57"/>
    <mergeCell ref="AE9:AE10"/>
    <mergeCell ref="O55:Q55"/>
    <mergeCell ref="X55:Z55"/>
    <mergeCell ref="X56:X57"/>
    <mergeCell ref="Y56:Y57"/>
    <mergeCell ref="Z56:Z57"/>
    <mergeCell ref="C55:E55"/>
    <mergeCell ref="G55:K55"/>
    <mergeCell ref="L55:N55"/>
    <mergeCell ref="B55:B57"/>
    <mergeCell ref="C56:C57"/>
    <mergeCell ref="D56:D57"/>
    <mergeCell ref="E56:E57"/>
    <mergeCell ref="F55:F57"/>
    <mergeCell ref="J56:J57"/>
    <mergeCell ref="K56:K57"/>
    <mergeCell ref="G56:I56"/>
    <mergeCell ref="L56:L57"/>
    <mergeCell ref="M56:M57"/>
    <mergeCell ref="N56:N57"/>
    <mergeCell ref="O56:O57"/>
    <mergeCell ref="P56:P57"/>
    <mergeCell ref="T56:T57"/>
    <mergeCell ref="U56:U57"/>
    <mergeCell ref="V56:V57"/>
    <mergeCell ref="W56:W57"/>
    <mergeCell ref="B96:B98"/>
    <mergeCell ref="C96:E96"/>
    <mergeCell ref="F96:F98"/>
    <mergeCell ref="G96:K96"/>
    <mergeCell ref="L96:N96"/>
    <mergeCell ref="Q56:Q57"/>
    <mergeCell ref="R56:R57"/>
    <mergeCell ref="S56:S57"/>
    <mergeCell ref="F58:F84"/>
    <mergeCell ref="F99:F126"/>
    <mergeCell ref="AB56:AB57"/>
    <mergeCell ref="AD96:AF96"/>
    <mergeCell ref="C97:C98"/>
    <mergeCell ref="D97:D98"/>
    <mergeCell ref="E97:E98"/>
    <mergeCell ref="G97:I97"/>
    <mergeCell ref="J97:J98"/>
    <mergeCell ref="K97:K98"/>
    <mergeCell ref="L97:L98"/>
    <mergeCell ref="M97:M98"/>
    <mergeCell ref="N97:N98"/>
    <mergeCell ref="O97:O98"/>
    <mergeCell ref="P97:P98"/>
    <mergeCell ref="Q97:Q98"/>
    <mergeCell ref="R97:R98"/>
    <mergeCell ref="S97:S98"/>
    <mergeCell ref="T97:T98"/>
    <mergeCell ref="O96:Q96"/>
    <mergeCell ref="R96:T96"/>
    <mergeCell ref="U96:W96"/>
    <mergeCell ref="X96:Z96"/>
    <mergeCell ref="AA96:AC96"/>
    <mergeCell ref="AE97:AE98"/>
    <mergeCell ref="AF97:AF98"/>
    <mergeCell ref="Z97:Z98"/>
    <mergeCell ref="AA97:AA98"/>
    <mergeCell ref="AB97:AB98"/>
    <mergeCell ref="AC97:AC98"/>
    <mergeCell ref="AD97:AD98"/>
    <mergeCell ref="U97:U98"/>
    <mergeCell ref="V97:V98"/>
    <mergeCell ref="W97:W98"/>
    <mergeCell ref="X97:X98"/>
    <mergeCell ref="Y97:Y98"/>
    <mergeCell ref="B137:B139"/>
    <mergeCell ref="C137:E137"/>
    <mergeCell ref="F137:F139"/>
    <mergeCell ref="G137:K137"/>
    <mergeCell ref="L137:N137"/>
    <mergeCell ref="O137:Q137"/>
    <mergeCell ref="R137:T137"/>
    <mergeCell ref="U137:W137"/>
    <mergeCell ref="X137:Z137"/>
    <mergeCell ref="C138:C139"/>
    <mergeCell ref="D138:D139"/>
    <mergeCell ref="E138:E139"/>
    <mergeCell ref="G138:I138"/>
    <mergeCell ref="J138:J139"/>
    <mergeCell ref="K138:K139"/>
    <mergeCell ref="L138:L139"/>
    <mergeCell ref="M138:M139"/>
    <mergeCell ref="N138:N139"/>
    <mergeCell ref="F140:F167"/>
    <mergeCell ref="AA137:AC137"/>
    <mergeCell ref="AA138:AA139"/>
    <mergeCell ref="AB138:AB139"/>
    <mergeCell ref="AC138:AC139"/>
    <mergeCell ref="AD138:AD139"/>
    <mergeCell ref="AE138:AE139"/>
    <mergeCell ref="AF138:AF139"/>
    <mergeCell ref="AD137:AF137"/>
    <mergeCell ref="O138:O139"/>
    <mergeCell ref="P138:P139"/>
    <mergeCell ref="Q138:Q139"/>
    <mergeCell ref="R138:R139"/>
    <mergeCell ref="S138:S139"/>
    <mergeCell ref="T138:T139"/>
    <mergeCell ref="U138:U139"/>
    <mergeCell ref="V138:V139"/>
    <mergeCell ref="W138:W139"/>
    <mergeCell ref="X138:X139"/>
    <mergeCell ref="Y138:Y139"/>
    <mergeCell ref="Z138:Z139"/>
  </mergeCells>
  <pageMargins left="1.1023622047244095" right="0.27559055118110237" top="1.2204724409448819" bottom="0.98425196850393704" header="0.51181102362204722" footer="0.51181102362204722"/>
  <pageSetup paperSize="9" scale="24" orientation="landscape" r:id="rId1"/>
  <headerFooter alignWithMargins="0"/>
  <rowBreaks count="2" manualBreakCount="2">
    <brk id="51" max="16383" man="1"/>
    <brk id="9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6"/>
  <sheetViews>
    <sheetView showGridLines="0" view="pageBreakPreview" zoomScale="69" zoomScaleNormal="75" workbookViewId="0">
      <selection activeCell="E12" sqref="E12"/>
    </sheetView>
  </sheetViews>
  <sheetFormatPr defaultColWidth="9.1796875" defaultRowHeight="14" x14ac:dyDescent="0.3"/>
  <cols>
    <col min="1" max="1" width="4.1796875" style="119" customWidth="1"/>
    <col min="2" max="2" width="8.26953125" style="119" customWidth="1"/>
    <col min="3" max="3" width="29.26953125" style="119" customWidth="1"/>
    <col min="4" max="11" width="18.7265625" style="119" customWidth="1"/>
    <col min="12" max="252" width="9.1796875" style="119"/>
    <col min="253" max="253" width="4.1796875" style="119" customWidth="1"/>
    <col min="254" max="254" width="6.26953125" style="119" customWidth="1"/>
    <col min="255" max="255" width="29.26953125" style="119" customWidth="1"/>
    <col min="256" max="256" width="21.1796875" style="119" bestFit="1" customWidth="1"/>
    <col min="257" max="267" width="18.7265625" style="119" customWidth="1"/>
    <col min="268" max="508" width="9.1796875" style="119"/>
    <col min="509" max="509" width="4.1796875" style="119" customWidth="1"/>
    <col min="510" max="510" width="6.26953125" style="119" customWidth="1"/>
    <col min="511" max="511" width="29.26953125" style="119" customWidth="1"/>
    <col min="512" max="512" width="21.1796875" style="119" bestFit="1" customWidth="1"/>
    <col min="513" max="523" width="18.7265625" style="119" customWidth="1"/>
    <col min="524" max="764" width="9.1796875" style="119"/>
    <col min="765" max="765" width="4.1796875" style="119" customWidth="1"/>
    <col min="766" max="766" width="6.26953125" style="119" customWidth="1"/>
    <col min="767" max="767" width="29.26953125" style="119" customWidth="1"/>
    <col min="768" max="768" width="21.1796875" style="119" bestFit="1" customWidth="1"/>
    <col min="769" max="779" width="18.7265625" style="119" customWidth="1"/>
    <col min="780" max="1020" width="9.1796875" style="119"/>
    <col min="1021" max="1021" width="4.1796875" style="119" customWidth="1"/>
    <col min="1022" max="1022" width="6.26953125" style="119" customWidth="1"/>
    <col min="1023" max="1023" width="29.26953125" style="119" customWidth="1"/>
    <col min="1024" max="1024" width="21.1796875" style="119" bestFit="1" customWidth="1"/>
    <col min="1025" max="1035" width="18.7265625" style="119" customWidth="1"/>
    <col min="1036" max="1276" width="9.1796875" style="119"/>
    <col min="1277" max="1277" width="4.1796875" style="119" customWidth="1"/>
    <col min="1278" max="1278" width="6.26953125" style="119" customWidth="1"/>
    <col min="1279" max="1279" width="29.26953125" style="119" customWidth="1"/>
    <col min="1280" max="1280" width="21.1796875" style="119" bestFit="1" customWidth="1"/>
    <col min="1281" max="1291" width="18.7265625" style="119" customWidth="1"/>
    <col min="1292" max="1532" width="9.1796875" style="119"/>
    <col min="1533" max="1533" width="4.1796875" style="119" customWidth="1"/>
    <col min="1534" max="1534" width="6.26953125" style="119" customWidth="1"/>
    <col min="1535" max="1535" width="29.26953125" style="119" customWidth="1"/>
    <col min="1536" max="1536" width="21.1796875" style="119" bestFit="1" customWidth="1"/>
    <col min="1537" max="1547" width="18.7265625" style="119" customWidth="1"/>
    <col min="1548" max="1788" width="9.1796875" style="119"/>
    <col min="1789" max="1789" width="4.1796875" style="119" customWidth="1"/>
    <col min="1790" max="1790" width="6.26953125" style="119" customWidth="1"/>
    <col min="1791" max="1791" width="29.26953125" style="119" customWidth="1"/>
    <col min="1792" max="1792" width="21.1796875" style="119" bestFit="1" customWidth="1"/>
    <col min="1793" max="1803" width="18.7265625" style="119" customWidth="1"/>
    <col min="1804" max="2044" width="9.1796875" style="119"/>
    <col min="2045" max="2045" width="4.1796875" style="119" customWidth="1"/>
    <col min="2046" max="2046" width="6.26953125" style="119" customWidth="1"/>
    <col min="2047" max="2047" width="29.26953125" style="119" customWidth="1"/>
    <col min="2048" max="2048" width="21.1796875" style="119" bestFit="1" customWidth="1"/>
    <col min="2049" max="2059" width="18.7265625" style="119" customWidth="1"/>
    <col min="2060" max="2300" width="9.1796875" style="119"/>
    <col min="2301" max="2301" width="4.1796875" style="119" customWidth="1"/>
    <col min="2302" max="2302" width="6.26953125" style="119" customWidth="1"/>
    <col min="2303" max="2303" width="29.26953125" style="119" customWidth="1"/>
    <col min="2304" max="2304" width="21.1796875" style="119" bestFit="1" customWidth="1"/>
    <col min="2305" max="2315" width="18.7265625" style="119" customWidth="1"/>
    <col min="2316" max="2556" width="9.1796875" style="119"/>
    <col min="2557" max="2557" width="4.1796875" style="119" customWidth="1"/>
    <col min="2558" max="2558" width="6.26953125" style="119" customWidth="1"/>
    <col min="2559" max="2559" width="29.26953125" style="119" customWidth="1"/>
    <col min="2560" max="2560" width="21.1796875" style="119" bestFit="1" customWidth="1"/>
    <col min="2561" max="2571" width="18.7265625" style="119" customWidth="1"/>
    <col min="2572" max="2812" width="9.1796875" style="119"/>
    <col min="2813" max="2813" width="4.1796875" style="119" customWidth="1"/>
    <col min="2814" max="2814" width="6.26953125" style="119" customWidth="1"/>
    <col min="2815" max="2815" width="29.26953125" style="119" customWidth="1"/>
    <col min="2816" max="2816" width="21.1796875" style="119" bestFit="1" customWidth="1"/>
    <col min="2817" max="2827" width="18.7265625" style="119" customWidth="1"/>
    <col min="2828" max="3068" width="9.1796875" style="119"/>
    <col min="3069" max="3069" width="4.1796875" style="119" customWidth="1"/>
    <col min="3070" max="3070" width="6.26953125" style="119" customWidth="1"/>
    <col min="3071" max="3071" width="29.26953125" style="119" customWidth="1"/>
    <col min="3072" max="3072" width="21.1796875" style="119" bestFit="1" customWidth="1"/>
    <col min="3073" max="3083" width="18.7265625" style="119" customWidth="1"/>
    <col min="3084" max="3324" width="9.1796875" style="119"/>
    <col min="3325" max="3325" width="4.1796875" style="119" customWidth="1"/>
    <col min="3326" max="3326" width="6.26953125" style="119" customWidth="1"/>
    <col min="3327" max="3327" width="29.26953125" style="119" customWidth="1"/>
    <col min="3328" max="3328" width="21.1796875" style="119" bestFit="1" customWidth="1"/>
    <col min="3329" max="3339" width="18.7265625" style="119" customWidth="1"/>
    <col min="3340" max="3580" width="9.1796875" style="119"/>
    <col min="3581" max="3581" width="4.1796875" style="119" customWidth="1"/>
    <col min="3582" max="3582" width="6.26953125" style="119" customWidth="1"/>
    <col min="3583" max="3583" width="29.26953125" style="119" customWidth="1"/>
    <col min="3584" max="3584" width="21.1796875" style="119" bestFit="1" customWidth="1"/>
    <col min="3585" max="3595" width="18.7265625" style="119" customWidth="1"/>
    <col min="3596" max="3836" width="9.1796875" style="119"/>
    <col min="3837" max="3837" width="4.1796875" style="119" customWidth="1"/>
    <col min="3838" max="3838" width="6.26953125" style="119" customWidth="1"/>
    <col min="3839" max="3839" width="29.26953125" style="119" customWidth="1"/>
    <col min="3840" max="3840" width="21.1796875" style="119" bestFit="1" customWidth="1"/>
    <col min="3841" max="3851" width="18.7265625" style="119" customWidth="1"/>
    <col min="3852" max="4092" width="9.1796875" style="119"/>
    <col min="4093" max="4093" width="4.1796875" style="119" customWidth="1"/>
    <col min="4094" max="4094" width="6.26953125" style="119" customWidth="1"/>
    <col min="4095" max="4095" width="29.26953125" style="119" customWidth="1"/>
    <col min="4096" max="4096" width="21.1796875" style="119" bestFit="1" customWidth="1"/>
    <col min="4097" max="4107" width="18.7265625" style="119" customWidth="1"/>
    <col min="4108" max="4348" width="9.1796875" style="119"/>
    <col min="4349" max="4349" width="4.1796875" style="119" customWidth="1"/>
    <col min="4350" max="4350" width="6.26953125" style="119" customWidth="1"/>
    <col min="4351" max="4351" width="29.26953125" style="119" customWidth="1"/>
    <col min="4352" max="4352" width="21.1796875" style="119" bestFit="1" customWidth="1"/>
    <col min="4353" max="4363" width="18.7265625" style="119" customWidth="1"/>
    <col min="4364" max="4604" width="9.1796875" style="119"/>
    <col min="4605" max="4605" width="4.1796875" style="119" customWidth="1"/>
    <col min="4606" max="4606" width="6.26953125" style="119" customWidth="1"/>
    <col min="4607" max="4607" width="29.26953125" style="119" customWidth="1"/>
    <col min="4608" max="4608" width="21.1796875" style="119" bestFit="1" customWidth="1"/>
    <col min="4609" max="4619" width="18.7265625" style="119" customWidth="1"/>
    <col min="4620" max="4860" width="9.1796875" style="119"/>
    <col min="4861" max="4861" width="4.1796875" style="119" customWidth="1"/>
    <col min="4862" max="4862" width="6.26953125" style="119" customWidth="1"/>
    <col min="4863" max="4863" width="29.26953125" style="119" customWidth="1"/>
    <col min="4864" max="4864" width="21.1796875" style="119" bestFit="1" customWidth="1"/>
    <col min="4865" max="4875" width="18.7265625" style="119" customWidth="1"/>
    <col min="4876" max="5116" width="9.1796875" style="119"/>
    <col min="5117" max="5117" width="4.1796875" style="119" customWidth="1"/>
    <col min="5118" max="5118" width="6.26953125" style="119" customWidth="1"/>
    <col min="5119" max="5119" width="29.26953125" style="119" customWidth="1"/>
    <col min="5120" max="5120" width="21.1796875" style="119" bestFit="1" customWidth="1"/>
    <col min="5121" max="5131" width="18.7265625" style="119" customWidth="1"/>
    <col min="5132" max="5372" width="9.1796875" style="119"/>
    <col min="5373" max="5373" width="4.1796875" style="119" customWidth="1"/>
    <col min="5374" max="5374" width="6.26953125" style="119" customWidth="1"/>
    <col min="5375" max="5375" width="29.26953125" style="119" customWidth="1"/>
    <col min="5376" max="5376" width="21.1796875" style="119" bestFit="1" customWidth="1"/>
    <col min="5377" max="5387" width="18.7265625" style="119" customWidth="1"/>
    <col min="5388" max="5628" width="9.1796875" style="119"/>
    <col min="5629" max="5629" width="4.1796875" style="119" customWidth="1"/>
    <col min="5630" max="5630" width="6.26953125" style="119" customWidth="1"/>
    <col min="5631" max="5631" width="29.26953125" style="119" customWidth="1"/>
    <col min="5632" max="5632" width="21.1796875" style="119" bestFit="1" customWidth="1"/>
    <col min="5633" max="5643" width="18.7265625" style="119" customWidth="1"/>
    <col min="5644" max="5884" width="9.1796875" style="119"/>
    <col min="5885" max="5885" width="4.1796875" style="119" customWidth="1"/>
    <col min="5886" max="5886" width="6.26953125" style="119" customWidth="1"/>
    <col min="5887" max="5887" width="29.26953125" style="119" customWidth="1"/>
    <col min="5888" max="5888" width="21.1796875" style="119" bestFit="1" customWidth="1"/>
    <col min="5889" max="5899" width="18.7265625" style="119" customWidth="1"/>
    <col min="5900" max="6140" width="9.1796875" style="119"/>
    <col min="6141" max="6141" width="4.1796875" style="119" customWidth="1"/>
    <col min="6142" max="6142" width="6.26953125" style="119" customWidth="1"/>
    <col min="6143" max="6143" width="29.26953125" style="119" customWidth="1"/>
    <col min="6144" max="6144" width="21.1796875" style="119" bestFit="1" customWidth="1"/>
    <col min="6145" max="6155" width="18.7265625" style="119" customWidth="1"/>
    <col min="6156" max="6396" width="9.1796875" style="119"/>
    <col min="6397" max="6397" width="4.1796875" style="119" customWidth="1"/>
    <col min="6398" max="6398" width="6.26953125" style="119" customWidth="1"/>
    <col min="6399" max="6399" width="29.26953125" style="119" customWidth="1"/>
    <col min="6400" max="6400" width="21.1796875" style="119" bestFit="1" customWidth="1"/>
    <col min="6401" max="6411" width="18.7265625" style="119" customWidth="1"/>
    <col min="6412" max="6652" width="9.1796875" style="119"/>
    <col min="6653" max="6653" width="4.1796875" style="119" customWidth="1"/>
    <col min="6654" max="6654" width="6.26953125" style="119" customWidth="1"/>
    <col min="6655" max="6655" width="29.26953125" style="119" customWidth="1"/>
    <col min="6656" max="6656" width="21.1796875" style="119" bestFit="1" customWidth="1"/>
    <col min="6657" max="6667" width="18.7265625" style="119" customWidth="1"/>
    <col min="6668" max="6908" width="9.1796875" style="119"/>
    <col min="6909" max="6909" width="4.1796875" style="119" customWidth="1"/>
    <col min="6910" max="6910" width="6.26953125" style="119" customWidth="1"/>
    <col min="6911" max="6911" width="29.26953125" style="119" customWidth="1"/>
    <col min="6912" max="6912" width="21.1796875" style="119" bestFit="1" customWidth="1"/>
    <col min="6913" max="6923" width="18.7265625" style="119" customWidth="1"/>
    <col min="6924" max="7164" width="9.1796875" style="119"/>
    <col min="7165" max="7165" width="4.1796875" style="119" customWidth="1"/>
    <col min="7166" max="7166" width="6.26953125" style="119" customWidth="1"/>
    <col min="7167" max="7167" width="29.26953125" style="119" customWidth="1"/>
    <col min="7168" max="7168" width="21.1796875" style="119" bestFit="1" customWidth="1"/>
    <col min="7169" max="7179" width="18.7265625" style="119" customWidth="1"/>
    <col min="7180" max="7420" width="9.1796875" style="119"/>
    <col min="7421" max="7421" width="4.1796875" style="119" customWidth="1"/>
    <col min="7422" max="7422" width="6.26953125" style="119" customWidth="1"/>
    <col min="7423" max="7423" width="29.26953125" style="119" customWidth="1"/>
    <col min="7424" max="7424" width="21.1796875" style="119" bestFit="1" customWidth="1"/>
    <col min="7425" max="7435" width="18.7265625" style="119" customWidth="1"/>
    <col min="7436" max="7676" width="9.1796875" style="119"/>
    <col min="7677" max="7677" width="4.1796875" style="119" customWidth="1"/>
    <col min="7678" max="7678" width="6.26953125" style="119" customWidth="1"/>
    <col min="7679" max="7679" width="29.26953125" style="119" customWidth="1"/>
    <col min="7680" max="7680" width="21.1796875" style="119" bestFit="1" customWidth="1"/>
    <col min="7681" max="7691" width="18.7265625" style="119" customWidth="1"/>
    <col min="7692" max="7932" width="9.1796875" style="119"/>
    <col min="7933" max="7933" width="4.1796875" style="119" customWidth="1"/>
    <col min="7934" max="7934" width="6.26953125" style="119" customWidth="1"/>
    <col min="7935" max="7935" width="29.26953125" style="119" customWidth="1"/>
    <col min="7936" max="7936" width="21.1796875" style="119" bestFit="1" customWidth="1"/>
    <col min="7937" max="7947" width="18.7265625" style="119" customWidth="1"/>
    <col min="7948" max="8188" width="9.1796875" style="119"/>
    <col min="8189" max="8189" width="4.1796875" style="119" customWidth="1"/>
    <col min="8190" max="8190" width="6.26953125" style="119" customWidth="1"/>
    <col min="8191" max="8191" width="29.26953125" style="119" customWidth="1"/>
    <col min="8192" max="8192" width="21.1796875" style="119" bestFit="1" customWidth="1"/>
    <col min="8193" max="8203" width="18.7265625" style="119" customWidth="1"/>
    <col min="8204" max="8444" width="9.1796875" style="119"/>
    <col min="8445" max="8445" width="4.1796875" style="119" customWidth="1"/>
    <col min="8446" max="8446" width="6.26953125" style="119" customWidth="1"/>
    <col min="8447" max="8447" width="29.26953125" style="119" customWidth="1"/>
    <col min="8448" max="8448" width="21.1796875" style="119" bestFit="1" customWidth="1"/>
    <col min="8449" max="8459" width="18.7265625" style="119" customWidth="1"/>
    <col min="8460" max="8700" width="9.1796875" style="119"/>
    <col min="8701" max="8701" width="4.1796875" style="119" customWidth="1"/>
    <col min="8702" max="8702" width="6.26953125" style="119" customWidth="1"/>
    <col min="8703" max="8703" width="29.26953125" style="119" customWidth="1"/>
    <col min="8704" max="8704" width="21.1796875" style="119" bestFit="1" customWidth="1"/>
    <col min="8705" max="8715" width="18.7265625" style="119" customWidth="1"/>
    <col min="8716" max="8956" width="9.1796875" style="119"/>
    <col min="8957" max="8957" width="4.1796875" style="119" customWidth="1"/>
    <col min="8958" max="8958" width="6.26953125" style="119" customWidth="1"/>
    <col min="8959" max="8959" width="29.26953125" style="119" customWidth="1"/>
    <col min="8960" max="8960" width="21.1796875" style="119" bestFit="1" customWidth="1"/>
    <col min="8961" max="8971" width="18.7265625" style="119" customWidth="1"/>
    <col min="8972" max="9212" width="9.1796875" style="119"/>
    <col min="9213" max="9213" width="4.1796875" style="119" customWidth="1"/>
    <col min="9214" max="9214" width="6.26953125" style="119" customWidth="1"/>
    <col min="9215" max="9215" width="29.26953125" style="119" customWidth="1"/>
    <col min="9216" max="9216" width="21.1796875" style="119" bestFit="1" customWidth="1"/>
    <col min="9217" max="9227" width="18.7265625" style="119" customWidth="1"/>
    <col min="9228" max="9468" width="9.1796875" style="119"/>
    <col min="9469" max="9469" width="4.1796875" style="119" customWidth="1"/>
    <col min="9470" max="9470" width="6.26953125" style="119" customWidth="1"/>
    <col min="9471" max="9471" width="29.26953125" style="119" customWidth="1"/>
    <col min="9472" max="9472" width="21.1796875" style="119" bestFit="1" customWidth="1"/>
    <col min="9473" max="9483" width="18.7265625" style="119" customWidth="1"/>
    <col min="9484" max="9724" width="9.1796875" style="119"/>
    <col min="9725" max="9725" width="4.1796875" style="119" customWidth="1"/>
    <col min="9726" max="9726" width="6.26953125" style="119" customWidth="1"/>
    <col min="9727" max="9727" width="29.26953125" style="119" customWidth="1"/>
    <col min="9728" max="9728" width="21.1796875" style="119" bestFit="1" customWidth="1"/>
    <col min="9729" max="9739" width="18.7265625" style="119" customWidth="1"/>
    <col min="9740" max="9980" width="9.1796875" style="119"/>
    <col min="9981" max="9981" width="4.1796875" style="119" customWidth="1"/>
    <col min="9982" max="9982" width="6.26953125" style="119" customWidth="1"/>
    <col min="9983" max="9983" width="29.26953125" style="119" customWidth="1"/>
    <col min="9984" max="9984" width="21.1796875" style="119" bestFit="1" customWidth="1"/>
    <col min="9985" max="9995" width="18.7265625" style="119" customWidth="1"/>
    <col min="9996" max="10236" width="9.1796875" style="119"/>
    <col min="10237" max="10237" width="4.1796875" style="119" customWidth="1"/>
    <col min="10238" max="10238" width="6.26953125" style="119" customWidth="1"/>
    <col min="10239" max="10239" width="29.26953125" style="119" customWidth="1"/>
    <col min="10240" max="10240" width="21.1796875" style="119" bestFit="1" customWidth="1"/>
    <col min="10241" max="10251" width="18.7265625" style="119" customWidth="1"/>
    <col min="10252" max="10492" width="9.1796875" style="119"/>
    <col min="10493" max="10493" width="4.1796875" style="119" customWidth="1"/>
    <col min="10494" max="10494" width="6.26953125" style="119" customWidth="1"/>
    <col min="10495" max="10495" width="29.26953125" style="119" customWidth="1"/>
    <col min="10496" max="10496" width="21.1796875" style="119" bestFit="1" customWidth="1"/>
    <col min="10497" max="10507" width="18.7265625" style="119" customWidth="1"/>
    <col min="10508" max="10748" width="9.1796875" style="119"/>
    <col min="10749" max="10749" width="4.1796875" style="119" customWidth="1"/>
    <col min="10750" max="10750" width="6.26953125" style="119" customWidth="1"/>
    <col min="10751" max="10751" width="29.26953125" style="119" customWidth="1"/>
    <col min="10752" max="10752" width="21.1796875" style="119" bestFit="1" customWidth="1"/>
    <col min="10753" max="10763" width="18.7265625" style="119" customWidth="1"/>
    <col min="10764" max="11004" width="9.1796875" style="119"/>
    <col min="11005" max="11005" width="4.1796875" style="119" customWidth="1"/>
    <col min="11006" max="11006" width="6.26953125" style="119" customWidth="1"/>
    <col min="11007" max="11007" width="29.26953125" style="119" customWidth="1"/>
    <col min="11008" max="11008" width="21.1796875" style="119" bestFit="1" customWidth="1"/>
    <col min="11009" max="11019" width="18.7265625" style="119" customWidth="1"/>
    <col min="11020" max="11260" width="9.1796875" style="119"/>
    <col min="11261" max="11261" width="4.1796875" style="119" customWidth="1"/>
    <col min="11262" max="11262" width="6.26953125" style="119" customWidth="1"/>
    <col min="11263" max="11263" width="29.26953125" style="119" customWidth="1"/>
    <col min="11264" max="11264" width="21.1796875" style="119" bestFit="1" customWidth="1"/>
    <col min="11265" max="11275" width="18.7265625" style="119" customWidth="1"/>
    <col min="11276" max="11516" width="9.1796875" style="119"/>
    <col min="11517" max="11517" width="4.1796875" style="119" customWidth="1"/>
    <col min="11518" max="11518" width="6.26953125" style="119" customWidth="1"/>
    <col min="11519" max="11519" width="29.26953125" style="119" customWidth="1"/>
    <col min="11520" max="11520" width="21.1796875" style="119" bestFit="1" customWidth="1"/>
    <col min="11521" max="11531" width="18.7265625" style="119" customWidth="1"/>
    <col min="11532" max="11772" width="9.1796875" style="119"/>
    <col min="11773" max="11773" width="4.1796875" style="119" customWidth="1"/>
    <col min="11774" max="11774" width="6.26953125" style="119" customWidth="1"/>
    <col min="11775" max="11775" width="29.26953125" style="119" customWidth="1"/>
    <col min="11776" max="11776" width="21.1796875" style="119" bestFit="1" customWidth="1"/>
    <col min="11777" max="11787" width="18.7265625" style="119" customWidth="1"/>
    <col min="11788" max="12028" width="9.1796875" style="119"/>
    <col min="12029" max="12029" width="4.1796875" style="119" customWidth="1"/>
    <col min="12030" max="12030" width="6.26953125" style="119" customWidth="1"/>
    <col min="12031" max="12031" width="29.26953125" style="119" customWidth="1"/>
    <col min="12032" max="12032" width="21.1796875" style="119" bestFit="1" customWidth="1"/>
    <col min="12033" max="12043" width="18.7265625" style="119" customWidth="1"/>
    <col min="12044" max="12284" width="9.1796875" style="119"/>
    <col min="12285" max="12285" width="4.1796875" style="119" customWidth="1"/>
    <col min="12286" max="12286" width="6.26953125" style="119" customWidth="1"/>
    <col min="12287" max="12287" width="29.26953125" style="119" customWidth="1"/>
    <col min="12288" max="12288" width="21.1796875" style="119" bestFit="1" customWidth="1"/>
    <col min="12289" max="12299" width="18.7265625" style="119" customWidth="1"/>
    <col min="12300" max="12540" width="9.1796875" style="119"/>
    <col min="12541" max="12541" width="4.1796875" style="119" customWidth="1"/>
    <col min="12542" max="12542" width="6.26953125" style="119" customWidth="1"/>
    <col min="12543" max="12543" width="29.26953125" style="119" customWidth="1"/>
    <col min="12544" max="12544" width="21.1796875" style="119" bestFit="1" customWidth="1"/>
    <col min="12545" max="12555" width="18.7265625" style="119" customWidth="1"/>
    <col min="12556" max="12796" width="9.1796875" style="119"/>
    <col min="12797" max="12797" width="4.1796875" style="119" customWidth="1"/>
    <col min="12798" max="12798" width="6.26953125" style="119" customWidth="1"/>
    <col min="12799" max="12799" width="29.26953125" style="119" customWidth="1"/>
    <col min="12800" max="12800" width="21.1796875" style="119" bestFit="1" customWidth="1"/>
    <col min="12801" max="12811" width="18.7265625" style="119" customWidth="1"/>
    <col min="12812" max="13052" width="9.1796875" style="119"/>
    <col min="13053" max="13053" width="4.1796875" style="119" customWidth="1"/>
    <col min="13054" max="13054" width="6.26953125" style="119" customWidth="1"/>
    <col min="13055" max="13055" width="29.26953125" style="119" customWidth="1"/>
    <col min="13056" max="13056" width="21.1796875" style="119" bestFit="1" customWidth="1"/>
    <col min="13057" max="13067" width="18.7265625" style="119" customWidth="1"/>
    <col min="13068" max="13308" width="9.1796875" style="119"/>
    <col min="13309" max="13309" width="4.1796875" style="119" customWidth="1"/>
    <col min="13310" max="13310" width="6.26953125" style="119" customWidth="1"/>
    <col min="13311" max="13311" width="29.26953125" style="119" customWidth="1"/>
    <col min="13312" max="13312" width="21.1796875" style="119" bestFit="1" customWidth="1"/>
    <col min="13313" max="13323" width="18.7265625" style="119" customWidth="1"/>
    <col min="13324" max="13564" width="9.1796875" style="119"/>
    <col min="13565" max="13565" width="4.1796875" style="119" customWidth="1"/>
    <col min="13566" max="13566" width="6.26953125" style="119" customWidth="1"/>
    <col min="13567" max="13567" width="29.26953125" style="119" customWidth="1"/>
    <col min="13568" max="13568" width="21.1796875" style="119" bestFit="1" customWidth="1"/>
    <col min="13569" max="13579" width="18.7265625" style="119" customWidth="1"/>
    <col min="13580" max="13820" width="9.1796875" style="119"/>
    <col min="13821" max="13821" width="4.1796875" style="119" customWidth="1"/>
    <col min="13822" max="13822" width="6.26953125" style="119" customWidth="1"/>
    <col min="13823" max="13823" width="29.26953125" style="119" customWidth="1"/>
    <col min="13824" max="13824" width="21.1796875" style="119" bestFit="1" customWidth="1"/>
    <col min="13825" max="13835" width="18.7265625" style="119" customWidth="1"/>
    <col min="13836" max="14076" width="9.1796875" style="119"/>
    <col min="14077" max="14077" width="4.1796875" style="119" customWidth="1"/>
    <col min="14078" max="14078" width="6.26953125" style="119" customWidth="1"/>
    <col min="14079" max="14079" width="29.26953125" style="119" customWidth="1"/>
    <col min="14080" max="14080" width="21.1796875" style="119" bestFit="1" customWidth="1"/>
    <col min="14081" max="14091" width="18.7265625" style="119" customWidth="1"/>
    <col min="14092" max="14332" width="9.1796875" style="119"/>
    <col min="14333" max="14333" width="4.1796875" style="119" customWidth="1"/>
    <col min="14334" max="14334" width="6.26953125" style="119" customWidth="1"/>
    <col min="14335" max="14335" width="29.26953125" style="119" customWidth="1"/>
    <col min="14336" max="14336" width="21.1796875" style="119" bestFit="1" customWidth="1"/>
    <col min="14337" max="14347" width="18.7265625" style="119" customWidth="1"/>
    <col min="14348" max="14588" width="9.1796875" style="119"/>
    <col min="14589" max="14589" width="4.1796875" style="119" customWidth="1"/>
    <col min="14590" max="14590" width="6.26953125" style="119" customWidth="1"/>
    <col min="14591" max="14591" width="29.26953125" style="119" customWidth="1"/>
    <col min="14592" max="14592" width="21.1796875" style="119" bestFit="1" customWidth="1"/>
    <col min="14593" max="14603" width="18.7265625" style="119" customWidth="1"/>
    <col min="14604" max="14844" width="9.1796875" style="119"/>
    <col min="14845" max="14845" width="4.1796875" style="119" customWidth="1"/>
    <col min="14846" max="14846" width="6.26953125" style="119" customWidth="1"/>
    <col min="14847" max="14847" width="29.26953125" style="119" customWidth="1"/>
    <col min="14848" max="14848" width="21.1796875" style="119" bestFit="1" customWidth="1"/>
    <col min="14849" max="14859" width="18.7265625" style="119" customWidth="1"/>
    <col min="14860" max="15100" width="9.1796875" style="119"/>
    <col min="15101" max="15101" width="4.1796875" style="119" customWidth="1"/>
    <col min="15102" max="15102" width="6.26953125" style="119" customWidth="1"/>
    <col min="15103" max="15103" width="29.26953125" style="119" customWidth="1"/>
    <col min="15104" max="15104" width="21.1796875" style="119" bestFit="1" customWidth="1"/>
    <col min="15105" max="15115" width="18.7265625" style="119" customWidth="1"/>
    <col min="15116" max="15356" width="9.1796875" style="119"/>
    <col min="15357" max="15357" width="4.1796875" style="119" customWidth="1"/>
    <col min="15358" max="15358" width="6.26953125" style="119" customWidth="1"/>
    <col min="15359" max="15359" width="29.26953125" style="119" customWidth="1"/>
    <col min="15360" max="15360" width="21.1796875" style="119" bestFit="1" customWidth="1"/>
    <col min="15361" max="15371" width="18.7265625" style="119" customWidth="1"/>
    <col min="15372" max="15612" width="9.1796875" style="119"/>
    <col min="15613" max="15613" width="4.1796875" style="119" customWidth="1"/>
    <col min="15614" max="15614" width="6.26953125" style="119" customWidth="1"/>
    <col min="15615" max="15615" width="29.26953125" style="119" customWidth="1"/>
    <col min="15616" max="15616" width="21.1796875" style="119" bestFit="1" customWidth="1"/>
    <col min="15617" max="15627" width="18.7265625" style="119" customWidth="1"/>
    <col min="15628" max="15868" width="9.1796875" style="119"/>
    <col min="15869" max="15869" width="4.1796875" style="119" customWidth="1"/>
    <col min="15870" max="15870" width="6.26953125" style="119" customWidth="1"/>
    <col min="15871" max="15871" width="29.26953125" style="119" customWidth="1"/>
    <col min="15872" max="15872" width="21.1796875" style="119" bestFit="1" customWidth="1"/>
    <col min="15873" max="15883" width="18.7265625" style="119" customWidth="1"/>
    <col min="15884" max="16124" width="9.1796875" style="119"/>
    <col min="16125" max="16125" width="4.1796875" style="119" customWidth="1"/>
    <col min="16126" max="16126" width="6.26953125" style="119" customWidth="1"/>
    <col min="16127" max="16127" width="29.26953125" style="119" customWidth="1"/>
    <col min="16128" max="16128" width="21.1796875" style="119" bestFit="1" customWidth="1"/>
    <col min="16129" max="16139" width="18.7265625" style="119" customWidth="1"/>
    <col min="16140" max="16384" width="9.1796875" style="119"/>
  </cols>
  <sheetData>
    <row r="1" spans="2:10" x14ac:dyDescent="0.3">
      <c r="B1" s="41"/>
    </row>
    <row r="2" spans="2:10" x14ac:dyDescent="0.3">
      <c r="B2" s="118"/>
      <c r="D2" s="19"/>
      <c r="F2" s="49" t="s">
        <v>1027</v>
      </c>
      <c r="G2" s="19"/>
      <c r="H2" s="19"/>
      <c r="I2" s="19"/>
      <c r="J2" s="19"/>
    </row>
    <row r="3" spans="2:10" x14ac:dyDescent="0.3">
      <c r="D3" s="19"/>
      <c r="F3" s="49" t="s">
        <v>826</v>
      </c>
      <c r="G3" s="19"/>
      <c r="H3" s="19"/>
      <c r="I3" s="19"/>
      <c r="J3" s="19"/>
    </row>
    <row r="4" spans="2:10" x14ac:dyDescent="0.3">
      <c r="B4" s="118"/>
      <c r="D4" s="19"/>
      <c r="F4" s="49" t="s">
        <v>507</v>
      </c>
      <c r="G4" s="19"/>
      <c r="H4" s="19"/>
      <c r="I4" s="19"/>
      <c r="J4" s="19"/>
    </row>
    <row r="5" spans="2:10" x14ac:dyDescent="0.3">
      <c r="B5" s="118"/>
      <c r="D5" s="19"/>
      <c r="F5" s="49"/>
      <c r="G5" s="19"/>
      <c r="H5" s="19"/>
      <c r="I5" s="19"/>
      <c r="J5" s="19"/>
    </row>
    <row r="6" spans="2:10" x14ac:dyDescent="0.3">
      <c r="B6" s="118"/>
      <c r="D6" s="19"/>
      <c r="F6" s="49"/>
      <c r="G6" s="19"/>
      <c r="H6" s="19"/>
      <c r="I6" s="19"/>
      <c r="J6" s="19"/>
    </row>
    <row r="7" spans="2:10" x14ac:dyDescent="0.3">
      <c r="B7" s="8" t="s">
        <v>506</v>
      </c>
      <c r="D7" s="19"/>
      <c r="F7" s="49"/>
      <c r="G7" s="19"/>
      <c r="H7" s="19"/>
      <c r="I7" s="19"/>
      <c r="J7" s="19"/>
    </row>
    <row r="8" spans="2:10" x14ac:dyDescent="0.3">
      <c r="I8" s="8" t="s">
        <v>335</v>
      </c>
    </row>
    <row r="9" spans="2:10" s="35" customFormat="1" ht="17.25" customHeight="1" x14ac:dyDescent="0.3">
      <c r="B9" s="2271" t="s">
        <v>187</v>
      </c>
      <c r="C9" s="2271" t="s">
        <v>50</v>
      </c>
      <c r="D9" s="269"/>
      <c r="E9" s="205"/>
      <c r="F9" s="317"/>
      <c r="G9" s="205"/>
      <c r="H9" s="2266" t="s">
        <v>71</v>
      </c>
      <c r="I9" s="2267"/>
      <c r="J9" s="2268" t="s">
        <v>39</v>
      </c>
    </row>
    <row r="10" spans="2:10" s="36" customFormat="1" x14ac:dyDescent="0.25">
      <c r="B10" s="2484"/>
      <c r="C10" s="2484"/>
      <c r="D10" s="274" t="s">
        <v>179</v>
      </c>
      <c r="E10" s="205" t="s">
        <v>186</v>
      </c>
      <c r="F10" s="317" t="s">
        <v>426</v>
      </c>
      <c r="G10" s="205" t="s">
        <v>427</v>
      </c>
      <c r="H10" s="265" t="s">
        <v>428</v>
      </c>
      <c r="I10" s="265" t="s">
        <v>429</v>
      </c>
      <c r="J10" s="2268"/>
    </row>
    <row r="11" spans="2:10" s="8" customFormat="1" x14ac:dyDescent="0.3">
      <c r="B11" s="2484"/>
      <c r="C11" s="2484"/>
      <c r="D11" s="274" t="s">
        <v>12</v>
      </c>
      <c r="E11" s="205" t="s">
        <v>12</v>
      </c>
      <c r="F11" s="317" t="s">
        <v>12</v>
      </c>
      <c r="G11" s="205" t="s">
        <v>22</v>
      </c>
      <c r="H11" s="205" t="s">
        <v>886</v>
      </c>
      <c r="I11" s="317" t="s">
        <v>886</v>
      </c>
      <c r="J11" s="2484"/>
    </row>
    <row r="12" spans="2:10" s="164" customFormat="1" x14ac:dyDescent="0.25">
      <c r="B12" s="169"/>
      <c r="C12" s="231" t="s">
        <v>1047</v>
      </c>
      <c r="D12" s="729">
        <f>'F16'!AC45</f>
        <v>0.95047138682450916</v>
      </c>
      <c r="E12" s="729">
        <f>'F16'!AC85</f>
        <v>0.94944448348783972</v>
      </c>
      <c r="F12" s="729">
        <f>'F16'!AC127</f>
        <v>0.95011002379991893</v>
      </c>
      <c r="G12" s="555">
        <f>1-F1.4!N51</f>
        <v>0.95469999999999999</v>
      </c>
      <c r="H12" s="744">
        <f>1-F1.4!Q51</f>
        <v>0.95569999999999999</v>
      </c>
      <c r="I12" s="744">
        <f>1-F1.4!S51</f>
        <v>0.95669999999999999</v>
      </c>
      <c r="J12" s="54"/>
    </row>
    <row r="13" spans="2:10" s="164" customFormat="1" x14ac:dyDescent="0.25">
      <c r="B13" s="169"/>
      <c r="C13" s="231" t="s">
        <v>145</v>
      </c>
      <c r="D13" s="730">
        <f t="shared" ref="D13:I13" si="0">SUM(D12:D12)</f>
        <v>0.95047138682450916</v>
      </c>
      <c r="E13" s="730">
        <f t="shared" si="0"/>
        <v>0.94944448348783972</v>
      </c>
      <c r="F13" s="730">
        <f t="shared" si="0"/>
        <v>0.95011002379991893</v>
      </c>
      <c r="G13" s="730">
        <f t="shared" si="0"/>
        <v>0.95469999999999999</v>
      </c>
      <c r="H13" s="730">
        <f t="shared" si="0"/>
        <v>0.95569999999999999</v>
      </c>
      <c r="I13" s="730">
        <f t="shared" si="0"/>
        <v>0.95669999999999999</v>
      </c>
      <c r="J13" s="54"/>
    </row>
    <row r="14" spans="2:10" x14ac:dyDescent="0.3">
      <c r="B14" s="118"/>
      <c r="D14" s="1608"/>
      <c r="E14" s="1607"/>
      <c r="F14" s="1609"/>
      <c r="G14" s="1608"/>
      <c r="H14" s="1608"/>
      <c r="I14" s="1608"/>
      <c r="J14" s="19"/>
    </row>
    <row r="15" spans="2:10" x14ac:dyDescent="0.3">
      <c r="B15" s="118"/>
      <c r="D15" s="1608"/>
      <c r="E15" s="1608"/>
      <c r="F15" s="1608"/>
      <c r="G15" s="1608"/>
      <c r="H15" s="1608"/>
      <c r="I15" s="1608"/>
      <c r="J15" s="19"/>
    </row>
    <row r="16" spans="2:10" x14ac:dyDescent="0.3">
      <c r="B16" s="8" t="s">
        <v>505</v>
      </c>
      <c r="C16" s="42"/>
    </row>
    <row r="17" spans="2:11" x14ac:dyDescent="0.3">
      <c r="I17" s="8" t="s">
        <v>335</v>
      </c>
    </row>
    <row r="18" spans="2:11" s="35" customFormat="1" ht="17.25" customHeight="1" x14ac:dyDescent="0.3">
      <c r="B18" s="2271" t="s">
        <v>187</v>
      </c>
      <c r="C18" s="2271" t="s">
        <v>50</v>
      </c>
      <c r="D18" s="311"/>
      <c r="E18" s="317"/>
      <c r="F18" s="317"/>
      <c r="G18" s="317"/>
      <c r="H18" s="2266" t="s">
        <v>71</v>
      </c>
      <c r="I18" s="2267"/>
      <c r="J18" s="2268" t="s">
        <v>39</v>
      </c>
    </row>
    <row r="19" spans="2:11" s="36" customFormat="1" x14ac:dyDescent="0.25">
      <c r="B19" s="2484"/>
      <c r="C19" s="2484"/>
      <c r="D19" s="317" t="s">
        <v>179</v>
      </c>
      <c r="E19" s="317" t="s">
        <v>186</v>
      </c>
      <c r="F19" s="317" t="s">
        <v>426</v>
      </c>
      <c r="G19" s="317" t="s">
        <v>427</v>
      </c>
      <c r="H19" s="308" t="s">
        <v>428</v>
      </c>
      <c r="I19" s="308" t="s">
        <v>429</v>
      </c>
      <c r="J19" s="2268"/>
    </row>
    <row r="20" spans="2:11" s="8" customFormat="1" x14ac:dyDescent="0.3">
      <c r="B20" s="2484"/>
      <c r="C20" s="2484"/>
      <c r="D20" s="317" t="s">
        <v>12</v>
      </c>
      <c r="E20" s="317" t="s">
        <v>12</v>
      </c>
      <c r="F20" s="317" t="s">
        <v>12</v>
      </c>
      <c r="G20" s="317" t="s">
        <v>22</v>
      </c>
      <c r="H20" s="317" t="s">
        <v>886</v>
      </c>
      <c r="I20" s="317" t="s">
        <v>886</v>
      </c>
      <c r="J20" s="2484"/>
      <c r="K20" s="36"/>
    </row>
    <row r="21" spans="2:11" s="164" customFormat="1" x14ac:dyDescent="0.25">
      <c r="B21" s="169"/>
      <c r="C21" s="169"/>
      <c r="D21" s="170"/>
      <c r="E21" s="170"/>
      <c r="F21" s="170"/>
      <c r="G21" s="170"/>
      <c r="H21" s="170"/>
      <c r="I21" s="54"/>
      <c r="J21" s="54"/>
    </row>
    <row r="22" spans="2:11" s="8" customFormat="1" x14ac:dyDescent="0.3">
      <c r="B22" s="63"/>
      <c r="C22" s="101" t="s">
        <v>1047</v>
      </c>
      <c r="D22" s="459">
        <f>'F16'!AF45</f>
        <v>0.9799419835193971</v>
      </c>
      <c r="E22" s="459">
        <f>'F16'!AF85</f>
        <v>0.9413401026695899</v>
      </c>
      <c r="F22" s="459">
        <f>'F16'!AF127</f>
        <v>1.0124758118393378</v>
      </c>
      <c r="G22" s="745">
        <f>IF(F22&gt;100%,100%,F22)</f>
        <v>1</v>
      </c>
      <c r="H22" s="745">
        <f>IF(G22&gt;100%,100%,G22)</f>
        <v>1</v>
      </c>
      <c r="I22" s="745">
        <f>IF(H22&gt;100%,100%,H22)</f>
        <v>1</v>
      </c>
      <c r="J22" s="38"/>
    </row>
    <row r="23" spans="2:11" s="1" customFormat="1" ht="17.25" customHeight="1" x14ac:dyDescent="0.3">
      <c r="B23" s="157"/>
      <c r="C23" s="171" t="s">
        <v>145</v>
      </c>
      <c r="D23" s="730">
        <f t="shared" ref="D23:I23" si="1">SUM(D22:D22)</f>
        <v>0.9799419835193971</v>
      </c>
      <c r="E23" s="730">
        <f t="shared" si="1"/>
        <v>0.9413401026695899</v>
      </c>
      <c r="F23" s="730">
        <f t="shared" si="1"/>
        <v>1.0124758118393378</v>
      </c>
      <c r="G23" s="730">
        <f t="shared" si="1"/>
        <v>1</v>
      </c>
      <c r="H23" s="730">
        <f t="shared" si="1"/>
        <v>1</v>
      </c>
      <c r="I23" s="730">
        <f t="shared" si="1"/>
        <v>1</v>
      </c>
      <c r="J23" s="11"/>
    </row>
    <row r="24" spans="2:11" s="1" customFormat="1" x14ac:dyDescent="0.3">
      <c r="B24" s="130"/>
      <c r="C24" s="36"/>
    </row>
    <row r="25" spans="2:11" s="1" customFormat="1" ht="16" x14ac:dyDescent="0.3">
      <c r="B25" s="165"/>
      <c r="C25" s="39"/>
      <c r="D25" s="119"/>
      <c r="E25" s="119"/>
    </row>
    <row r="26" spans="2:11" s="1" customFormat="1" ht="16" x14ac:dyDescent="0.3">
      <c r="B26" s="166"/>
      <c r="C26" s="167"/>
      <c r="D26" s="119"/>
      <c r="E26" s="119"/>
    </row>
  </sheetData>
  <mergeCells count="8">
    <mergeCell ref="B18:B20"/>
    <mergeCell ref="C18:C20"/>
    <mergeCell ref="B9:B11"/>
    <mergeCell ref="C9:C11"/>
    <mergeCell ref="J9:J11"/>
    <mergeCell ref="H9:I9"/>
    <mergeCell ref="H18:I18"/>
    <mergeCell ref="J18:J20"/>
  </mergeCells>
  <pageMargins left="1.0236220472440944" right="0.23622047244094491" top="0.98425196850393704" bottom="0.98425196850393704" header="0.23622047244094491" footer="0.23622047244094491"/>
  <pageSetup paperSize="9" scale="77" orientation="landscape" r:id="rId1"/>
  <headerFooter alignWithMargins="0">
    <oddHeader>&amp;F</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328"/>
  <sheetViews>
    <sheetView showGridLines="0" view="pageBreakPreview" zoomScale="80" zoomScaleNormal="80" zoomScaleSheetLayoutView="73" workbookViewId="0">
      <selection activeCell="C326" sqref="C326"/>
    </sheetView>
  </sheetViews>
  <sheetFormatPr defaultColWidth="9.1796875" defaultRowHeight="14" x14ac:dyDescent="0.3"/>
  <cols>
    <col min="1" max="1" width="3.1796875" style="119" customWidth="1"/>
    <col min="2" max="2" width="46.90625" style="60" customWidth="1"/>
    <col min="3" max="3" width="19.7265625" style="119" customWidth="1"/>
    <col min="4" max="4" width="13.54296875" style="119" customWidth="1"/>
    <col min="5" max="5" width="21.1796875" style="119" bestFit="1" customWidth="1"/>
    <col min="6" max="7" width="21.1796875" style="119" customWidth="1"/>
    <col min="8" max="10" width="18.7265625" style="119" customWidth="1"/>
    <col min="11" max="11" width="35.81640625" style="119" customWidth="1"/>
    <col min="12" max="12" width="18.7265625" style="119" customWidth="1"/>
    <col min="13" max="13" width="34.54296875" style="119" customWidth="1"/>
    <col min="14" max="14" width="18.7265625" style="119" customWidth="1"/>
    <col min="15" max="15" width="17.54296875" style="119" customWidth="1"/>
    <col min="16" max="16" width="14.7265625" style="119" customWidth="1"/>
    <col min="17" max="17" width="15.54296875" style="119" customWidth="1"/>
    <col min="18" max="18" width="15.26953125" style="119" customWidth="1"/>
    <col min="19" max="16384" width="9.1796875" style="119"/>
  </cols>
  <sheetData>
    <row r="3" spans="2:22" x14ac:dyDescent="0.3">
      <c r="C3" s="154"/>
      <c r="D3" s="154"/>
      <c r="E3" s="802" t="s">
        <v>1027</v>
      </c>
      <c r="F3" s="802"/>
      <c r="G3" s="802"/>
      <c r="H3" s="154"/>
      <c r="I3" s="154"/>
      <c r="J3" s="154"/>
      <c r="K3" s="154"/>
      <c r="L3" s="154"/>
      <c r="M3" s="154"/>
      <c r="N3" s="154"/>
    </row>
    <row r="4" spans="2:22" x14ac:dyDescent="0.3">
      <c r="C4" s="154"/>
      <c r="D4" s="154"/>
      <c r="E4" s="801" t="s">
        <v>848</v>
      </c>
      <c r="F4" s="801"/>
      <c r="G4" s="801"/>
      <c r="H4" s="154"/>
      <c r="I4" s="154"/>
      <c r="J4" s="154"/>
      <c r="K4" s="154"/>
      <c r="L4" s="154"/>
      <c r="M4" s="154"/>
      <c r="N4" s="154"/>
    </row>
    <row r="5" spans="2:22" x14ac:dyDescent="0.3">
      <c r="C5" s="154"/>
      <c r="D5" s="154"/>
      <c r="E5" s="801" t="s">
        <v>510</v>
      </c>
      <c r="F5" s="801"/>
      <c r="G5" s="801"/>
      <c r="H5" s="154"/>
      <c r="I5" s="154"/>
      <c r="J5" s="154"/>
      <c r="K5" s="154"/>
      <c r="L5" s="154"/>
      <c r="M5" s="154"/>
      <c r="N5" s="154"/>
    </row>
    <row r="6" spans="2:22" x14ac:dyDescent="0.3">
      <c r="B6" s="105"/>
      <c r="C6" s="9"/>
      <c r="D6" s="19"/>
      <c r="E6" s="19"/>
      <c r="F6" s="19"/>
      <c r="G6" s="19"/>
      <c r="H6" s="19"/>
      <c r="I6" s="19"/>
    </row>
    <row r="7" spans="2:22" s="15" customFormat="1" x14ac:dyDescent="0.25">
      <c r="B7" s="57" t="s">
        <v>378</v>
      </c>
      <c r="C7" s="68"/>
      <c r="D7" s="68"/>
      <c r="E7" s="68"/>
      <c r="F7" s="68"/>
      <c r="G7" s="68"/>
      <c r="H7" s="68"/>
    </row>
    <row r="8" spans="2:22" s="15" customFormat="1" x14ac:dyDescent="0.25">
      <c r="B8" s="57"/>
      <c r="C8" s="68"/>
      <c r="D8" s="68"/>
      <c r="E8" s="68"/>
      <c r="F8" s="68"/>
      <c r="G8" s="68"/>
      <c r="H8" s="68"/>
    </row>
    <row r="9" spans="2:22" s="15" customFormat="1" x14ac:dyDescent="0.25">
      <c r="B9" s="57" t="s">
        <v>773</v>
      </c>
      <c r="C9" s="68"/>
      <c r="D9" s="68"/>
      <c r="E9" s="68"/>
      <c r="F9" s="68"/>
      <c r="G9" s="68"/>
      <c r="H9" s="68"/>
    </row>
    <row r="10" spans="2:22" s="15" customFormat="1" x14ac:dyDescent="0.25">
      <c r="B10" s="57"/>
      <c r="C10" s="68"/>
      <c r="D10" s="68"/>
      <c r="E10" s="68"/>
      <c r="F10" s="68"/>
      <c r="G10" s="68"/>
      <c r="H10" s="68"/>
    </row>
    <row r="11" spans="2:22" s="15" customFormat="1" ht="14" customHeight="1" x14ac:dyDescent="0.25">
      <c r="B11" s="2461" t="s">
        <v>50</v>
      </c>
      <c r="C11" s="2464" t="s">
        <v>468</v>
      </c>
      <c r="D11" s="2465"/>
      <c r="E11" s="2466"/>
      <c r="F11" s="2464" t="s">
        <v>469</v>
      </c>
      <c r="G11" s="2465"/>
      <c r="H11" s="2466"/>
      <c r="I11" s="2471" t="s">
        <v>470</v>
      </c>
      <c r="J11" s="2471" t="s">
        <v>471</v>
      </c>
      <c r="K11" s="43"/>
      <c r="L11" s="43"/>
      <c r="M11" s="43"/>
      <c r="N11" s="43"/>
      <c r="O11" s="43"/>
      <c r="P11" s="43"/>
      <c r="Q11" s="43"/>
      <c r="R11" s="43"/>
      <c r="S11" s="43"/>
      <c r="T11" s="43"/>
      <c r="U11" s="43"/>
      <c r="V11" s="43"/>
    </row>
    <row r="12" spans="2:22" s="15" customFormat="1" ht="28" x14ac:dyDescent="0.25">
      <c r="B12" s="2463"/>
      <c r="C12" s="1787" t="s">
        <v>472</v>
      </c>
      <c r="D12" s="1806" t="s">
        <v>473</v>
      </c>
      <c r="E12" s="1787" t="s">
        <v>474</v>
      </c>
      <c r="F12" s="1787" t="s">
        <v>472</v>
      </c>
      <c r="G12" s="1806" t="s">
        <v>473</v>
      </c>
      <c r="H12" s="1788" t="s">
        <v>475</v>
      </c>
      <c r="I12" s="2471"/>
      <c r="J12" s="2471"/>
      <c r="K12" s="43"/>
      <c r="L12" s="43"/>
      <c r="M12" s="43"/>
      <c r="N12" s="43"/>
      <c r="O12" s="43"/>
      <c r="P12" s="43"/>
      <c r="Q12" s="43"/>
      <c r="R12" s="43"/>
      <c r="S12" s="43"/>
      <c r="T12" s="43"/>
      <c r="U12" s="43"/>
      <c r="V12" s="43"/>
    </row>
    <row r="13" spans="2:22" s="22" customFormat="1" x14ac:dyDescent="0.25">
      <c r="B13" s="76"/>
      <c r="C13" s="69"/>
      <c r="D13" s="1807"/>
      <c r="E13" s="69"/>
      <c r="F13" s="69"/>
      <c r="G13" s="1807"/>
      <c r="H13" s="69"/>
      <c r="I13" s="25"/>
      <c r="J13" s="25"/>
      <c r="K13" s="43"/>
      <c r="L13" s="43"/>
      <c r="M13" s="43"/>
      <c r="N13" s="43"/>
      <c r="O13" s="43"/>
      <c r="P13" s="43"/>
      <c r="Q13" s="43"/>
      <c r="R13" s="43"/>
      <c r="S13" s="43"/>
      <c r="T13" s="43"/>
      <c r="U13" s="43"/>
      <c r="V13" s="43"/>
    </row>
    <row r="14" spans="2:22" s="22" customFormat="1" x14ac:dyDescent="0.25">
      <c r="B14" s="76"/>
      <c r="C14" s="161"/>
      <c r="D14" s="1808"/>
      <c r="E14" s="161"/>
      <c r="F14" s="161"/>
      <c r="G14" s="1808"/>
      <c r="H14" s="161"/>
      <c r="I14" s="76"/>
      <c r="J14" s="76"/>
      <c r="K14" s="43"/>
      <c r="L14" s="43"/>
      <c r="M14" s="43"/>
      <c r="N14" s="43"/>
      <c r="O14" s="43"/>
      <c r="P14" s="43"/>
      <c r="Q14" s="43"/>
      <c r="R14" s="43"/>
      <c r="S14" s="43"/>
      <c r="T14" s="43"/>
      <c r="U14" s="43"/>
      <c r="V14" s="43"/>
    </row>
    <row r="15" spans="2:22" s="22" customFormat="1" x14ac:dyDescent="0.25">
      <c r="B15" s="76" t="s">
        <v>922</v>
      </c>
      <c r="C15" s="1809">
        <v>43600</v>
      </c>
      <c r="D15" s="1808">
        <v>139.47</v>
      </c>
      <c r="E15" s="1809">
        <f>C15+29</f>
        <v>43629</v>
      </c>
      <c r="F15" s="1809">
        <v>43651</v>
      </c>
      <c r="G15" s="1808">
        <v>29.9</v>
      </c>
      <c r="H15" s="161"/>
      <c r="I15" s="76">
        <f>F15-E15</f>
        <v>22</v>
      </c>
      <c r="J15" s="76"/>
      <c r="K15" s="43"/>
      <c r="L15" s="43"/>
      <c r="M15" s="43"/>
      <c r="N15" s="43"/>
      <c r="O15" s="43"/>
      <c r="P15" s="43"/>
      <c r="Q15" s="43"/>
      <c r="R15" s="43"/>
      <c r="S15" s="43"/>
      <c r="T15" s="43"/>
      <c r="U15" s="43"/>
      <c r="V15" s="43"/>
    </row>
    <row r="16" spans="2:22" s="22" customFormat="1" x14ac:dyDescent="0.25">
      <c r="B16" s="76" t="s">
        <v>922</v>
      </c>
      <c r="C16" s="161"/>
      <c r="D16" s="1808"/>
      <c r="E16" s="161"/>
      <c r="F16" s="1809">
        <v>43686</v>
      </c>
      <c r="G16" s="1808">
        <v>40</v>
      </c>
      <c r="H16" s="161"/>
      <c r="I16" s="76">
        <f>F16-E15</f>
        <v>57</v>
      </c>
      <c r="J16" s="76"/>
      <c r="K16" s="43"/>
      <c r="L16" s="43"/>
      <c r="M16" s="43"/>
      <c r="N16" s="43"/>
      <c r="O16" s="43"/>
      <c r="P16" s="43"/>
      <c r="Q16" s="43"/>
      <c r="R16" s="43"/>
      <c r="S16" s="43"/>
      <c r="T16" s="43"/>
      <c r="U16" s="43"/>
      <c r="V16" s="43"/>
    </row>
    <row r="17" spans="2:22" s="22" customFormat="1" x14ac:dyDescent="0.25">
      <c r="B17" s="76" t="s">
        <v>1848</v>
      </c>
      <c r="C17" s="161"/>
      <c r="D17" s="1808"/>
      <c r="E17" s="161"/>
      <c r="F17" s="1809">
        <v>43686</v>
      </c>
      <c r="G17" s="1808">
        <v>40</v>
      </c>
      <c r="H17" s="161"/>
      <c r="I17" s="76">
        <f>F17-E15</f>
        <v>57</v>
      </c>
      <c r="J17" s="76"/>
      <c r="K17" s="43"/>
      <c r="L17" s="43"/>
      <c r="M17" s="43"/>
      <c r="N17" s="43"/>
      <c r="O17" s="43"/>
      <c r="P17" s="43"/>
      <c r="Q17" s="43"/>
      <c r="R17" s="43"/>
      <c r="S17" s="43"/>
      <c r="T17" s="43"/>
      <c r="U17" s="43"/>
      <c r="V17" s="43"/>
    </row>
    <row r="18" spans="2:22" s="22" customFormat="1" x14ac:dyDescent="0.25">
      <c r="B18" s="76" t="s">
        <v>922</v>
      </c>
      <c r="C18" s="161"/>
      <c r="D18" s="1808"/>
      <c r="E18" s="161"/>
      <c r="F18" s="1809">
        <v>43686</v>
      </c>
      <c r="G18" s="1808">
        <v>29.57</v>
      </c>
      <c r="H18" s="161"/>
      <c r="I18" s="76">
        <f>F18-E15</f>
        <v>57</v>
      </c>
      <c r="J18" s="76"/>
      <c r="K18" s="43"/>
      <c r="L18" s="43"/>
      <c r="M18" s="43"/>
      <c r="N18" s="43"/>
      <c r="O18" s="43"/>
      <c r="P18" s="43"/>
      <c r="Q18" s="43"/>
      <c r="R18" s="43"/>
      <c r="S18" s="43"/>
      <c r="T18" s="43"/>
      <c r="U18" s="43"/>
      <c r="V18" s="43"/>
    </row>
    <row r="19" spans="2:22" s="22" customFormat="1" x14ac:dyDescent="0.25">
      <c r="B19" s="76"/>
      <c r="C19" s="161"/>
      <c r="D19" s="1808"/>
      <c r="E19" s="161"/>
      <c r="F19" s="161"/>
      <c r="G19" s="1808"/>
      <c r="H19" s="161"/>
      <c r="I19" s="76"/>
      <c r="J19" s="76"/>
      <c r="K19" s="43"/>
      <c r="L19" s="43"/>
      <c r="M19" s="43"/>
      <c r="N19" s="43"/>
      <c r="O19" s="43"/>
      <c r="P19" s="43"/>
      <c r="Q19" s="43"/>
      <c r="R19" s="43"/>
      <c r="S19" s="43"/>
      <c r="T19" s="43"/>
      <c r="U19" s="43"/>
      <c r="V19" s="43"/>
    </row>
    <row r="20" spans="2:22" s="22" customFormat="1" x14ac:dyDescent="0.25">
      <c r="B20" s="76" t="s">
        <v>922</v>
      </c>
      <c r="C20" s="1809">
        <v>43633</v>
      </c>
      <c r="D20" s="1808">
        <v>143.55000000000001</v>
      </c>
      <c r="E20" s="1809">
        <f>C20+29</f>
        <v>43662</v>
      </c>
      <c r="F20" s="1809">
        <v>43704</v>
      </c>
      <c r="G20" s="1808">
        <v>50</v>
      </c>
      <c r="H20" s="161"/>
      <c r="I20" s="76">
        <f>F20-E20</f>
        <v>42</v>
      </c>
      <c r="J20" s="76"/>
      <c r="K20" s="43"/>
      <c r="L20" s="43"/>
      <c r="M20" s="43"/>
      <c r="N20" s="43"/>
      <c r="O20" s="43"/>
      <c r="P20" s="43"/>
      <c r="Q20" s="43"/>
      <c r="R20" s="43"/>
      <c r="S20" s="43"/>
      <c r="T20" s="43"/>
      <c r="U20" s="43"/>
      <c r="V20" s="43"/>
    </row>
    <row r="21" spans="2:22" s="22" customFormat="1" x14ac:dyDescent="0.25">
      <c r="B21" s="76" t="s">
        <v>922</v>
      </c>
      <c r="C21" s="161"/>
      <c r="D21" s="1808"/>
      <c r="E21" s="161"/>
      <c r="F21" s="1809">
        <v>43704</v>
      </c>
      <c r="G21" s="1808">
        <v>50</v>
      </c>
      <c r="H21" s="161"/>
      <c r="I21" s="76">
        <f>F21-E20</f>
        <v>42</v>
      </c>
      <c r="J21" s="76"/>
      <c r="K21" s="43"/>
      <c r="L21" s="43"/>
      <c r="M21" s="43"/>
      <c r="N21" s="43"/>
      <c r="O21" s="43"/>
      <c r="P21" s="43"/>
      <c r="Q21" s="43"/>
      <c r="R21" s="43"/>
      <c r="S21" s="43"/>
      <c r="T21" s="43"/>
      <c r="U21" s="43"/>
      <c r="V21" s="43"/>
    </row>
    <row r="22" spans="2:22" s="22" customFormat="1" x14ac:dyDescent="0.25">
      <c r="B22" s="76" t="s">
        <v>922</v>
      </c>
      <c r="C22" s="161"/>
      <c r="D22" s="1808"/>
      <c r="E22" s="161"/>
      <c r="F22" s="1809">
        <v>43711</v>
      </c>
      <c r="G22" s="1808">
        <v>43.55</v>
      </c>
      <c r="H22" s="161"/>
      <c r="I22" s="76">
        <f>F22-E20</f>
        <v>49</v>
      </c>
      <c r="J22" s="76"/>
      <c r="K22" s="43"/>
      <c r="L22" s="43"/>
      <c r="M22" s="43"/>
      <c r="N22" s="43"/>
      <c r="O22" s="43"/>
      <c r="P22" s="43"/>
      <c r="Q22" s="43"/>
      <c r="R22" s="43"/>
      <c r="S22" s="43"/>
      <c r="T22" s="43"/>
      <c r="U22" s="43"/>
      <c r="V22" s="43"/>
    </row>
    <row r="23" spans="2:22" s="22" customFormat="1" x14ac:dyDescent="0.25">
      <c r="B23" s="76"/>
      <c r="C23" s="161"/>
      <c r="D23" s="1808"/>
      <c r="E23" s="161"/>
      <c r="F23" s="161"/>
      <c r="G23" s="1808"/>
      <c r="H23" s="161"/>
      <c r="I23" s="76"/>
      <c r="J23" s="76"/>
      <c r="K23" s="43"/>
      <c r="L23" s="43"/>
      <c r="M23" s="43"/>
      <c r="N23" s="43"/>
      <c r="O23" s="43"/>
      <c r="P23" s="43"/>
      <c r="Q23" s="43"/>
      <c r="R23" s="43"/>
      <c r="S23" s="43"/>
      <c r="T23" s="43"/>
      <c r="U23" s="43"/>
      <c r="V23" s="43"/>
    </row>
    <row r="24" spans="2:22" s="22" customFormat="1" x14ac:dyDescent="0.25">
      <c r="B24" s="76" t="s">
        <v>922</v>
      </c>
      <c r="C24" s="1809">
        <v>43668</v>
      </c>
      <c r="D24" s="1808">
        <v>136.58000000000001</v>
      </c>
      <c r="E24" s="1809">
        <f>C24+29</f>
        <v>43697</v>
      </c>
      <c r="F24" s="1809">
        <v>43728</v>
      </c>
      <c r="G24" s="1808">
        <v>50</v>
      </c>
      <c r="H24" s="161"/>
      <c r="I24" s="76">
        <f>F24-E24</f>
        <v>31</v>
      </c>
      <c r="J24" s="76"/>
      <c r="K24" s="43"/>
      <c r="L24" s="43"/>
      <c r="M24" s="43"/>
      <c r="N24" s="43"/>
      <c r="O24" s="43"/>
      <c r="P24" s="43"/>
      <c r="Q24" s="43"/>
      <c r="R24" s="43"/>
      <c r="S24" s="43"/>
      <c r="T24" s="43"/>
      <c r="U24" s="43"/>
      <c r="V24" s="43"/>
    </row>
    <row r="25" spans="2:22" s="22" customFormat="1" x14ac:dyDescent="0.25">
      <c r="B25" s="76" t="s">
        <v>922</v>
      </c>
      <c r="C25" s="161"/>
      <c r="D25" s="1808"/>
      <c r="E25" s="161"/>
      <c r="F25" s="1809">
        <v>43728</v>
      </c>
      <c r="G25" s="1808">
        <v>50</v>
      </c>
      <c r="H25" s="161"/>
      <c r="I25" s="76">
        <f>F25-E24</f>
        <v>31</v>
      </c>
      <c r="J25" s="76"/>
      <c r="K25" s="43"/>
      <c r="L25" s="43"/>
      <c r="M25" s="43"/>
      <c r="N25" s="43"/>
      <c r="O25" s="43"/>
      <c r="P25" s="43"/>
      <c r="Q25" s="43"/>
      <c r="R25" s="43"/>
      <c r="S25" s="43"/>
      <c r="T25" s="43"/>
      <c r="U25" s="43"/>
      <c r="V25" s="43"/>
    </row>
    <row r="26" spans="2:22" s="22" customFormat="1" x14ac:dyDescent="0.25">
      <c r="B26" s="76" t="s">
        <v>922</v>
      </c>
      <c r="C26" s="161"/>
      <c r="D26" s="1808"/>
      <c r="E26" s="161"/>
      <c r="F26" s="1809">
        <v>43728</v>
      </c>
      <c r="G26" s="1808">
        <v>36.58</v>
      </c>
      <c r="H26" s="161"/>
      <c r="I26" s="76">
        <f>F26-E24</f>
        <v>31</v>
      </c>
      <c r="J26" s="76"/>
      <c r="K26" s="43"/>
      <c r="L26" s="43"/>
      <c r="M26" s="43"/>
      <c r="N26" s="43"/>
      <c r="O26" s="43"/>
      <c r="P26" s="43"/>
      <c r="Q26" s="43"/>
      <c r="R26" s="43"/>
      <c r="S26" s="43"/>
      <c r="T26" s="43"/>
      <c r="U26" s="43"/>
      <c r="V26" s="43"/>
    </row>
    <row r="27" spans="2:22" s="22" customFormat="1" x14ac:dyDescent="0.25">
      <c r="B27" s="76"/>
      <c r="C27" s="161"/>
      <c r="D27" s="1808"/>
      <c r="E27" s="161"/>
      <c r="F27" s="161"/>
      <c r="G27" s="1808"/>
      <c r="H27" s="161"/>
      <c r="I27" s="76"/>
      <c r="J27" s="76"/>
      <c r="K27" s="43"/>
      <c r="L27" s="43"/>
      <c r="M27" s="43"/>
      <c r="N27" s="43"/>
      <c r="O27" s="43"/>
      <c r="P27" s="43"/>
      <c r="Q27" s="43"/>
      <c r="R27" s="43"/>
      <c r="S27" s="43"/>
      <c r="T27" s="43"/>
      <c r="U27" s="43"/>
      <c r="V27" s="43"/>
    </row>
    <row r="28" spans="2:22" s="22" customFormat="1" x14ac:dyDescent="0.25">
      <c r="B28" s="76" t="s">
        <v>922</v>
      </c>
      <c r="C28" s="1809">
        <v>43690</v>
      </c>
      <c r="D28" s="1808">
        <v>138.30000000000001</v>
      </c>
      <c r="E28" s="1809">
        <f>C28+29</f>
        <v>43719</v>
      </c>
      <c r="F28" s="1809">
        <v>43735</v>
      </c>
      <c r="G28" s="1808">
        <v>50</v>
      </c>
      <c r="H28" s="161"/>
      <c r="I28" s="76">
        <f>F28-E28</f>
        <v>16</v>
      </c>
      <c r="J28" s="76"/>
      <c r="K28" s="43"/>
      <c r="L28" s="43"/>
      <c r="M28" s="43"/>
      <c r="N28" s="43"/>
      <c r="O28" s="43"/>
      <c r="P28" s="43"/>
      <c r="Q28" s="43"/>
      <c r="R28" s="43"/>
      <c r="S28" s="43"/>
      <c r="T28" s="43"/>
      <c r="U28" s="43"/>
      <c r="V28" s="43"/>
    </row>
    <row r="29" spans="2:22" s="22" customFormat="1" x14ac:dyDescent="0.25">
      <c r="B29" s="76" t="s">
        <v>1848</v>
      </c>
      <c r="C29" s="161"/>
      <c r="D29" s="1808"/>
      <c r="E29" s="161"/>
      <c r="F29" s="1809">
        <v>43735</v>
      </c>
      <c r="G29" s="1808">
        <v>50</v>
      </c>
      <c r="H29" s="161"/>
      <c r="I29" s="76">
        <f>F29-E28</f>
        <v>16</v>
      </c>
      <c r="J29" s="76"/>
      <c r="K29" s="43"/>
      <c r="L29" s="43"/>
      <c r="M29" s="43"/>
      <c r="N29" s="43"/>
      <c r="O29" s="43"/>
      <c r="P29" s="43"/>
      <c r="Q29" s="43"/>
      <c r="R29" s="43"/>
      <c r="S29" s="43"/>
      <c r="T29" s="43"/>
      <c r="U29" s="43"/>
      <c r="V29" s="43"/>
    </row>
    <row r="30" spans="2:22" s="22" customFormat="1" x14ac:dyDescent="0.25">
      <c r="B30" s="76" t="s">
        <v>922</v>
      </c>
      <c r="C30" s="161"/>
      <c r="D30" s="1808"/>
      <c r="E30" s="161"/>
      <c r="F30" s="1809">
        <v>43735</v>
      </c>
      <c r="G30" s="1808">
        <v>38.299999999999997</v>
      </c>
      <c r="H30" s="161"/>
      <c r="I30" s="76">
        <f>F30-E28</f>
        <v>16</v>
      </c>
      <c r="J30" s="76"/>
      <c r="K30" s="43"/>
      <c r="L30" s="43"/>
      <c r="M30" s="43"/>
      <c r="N30" s="43"/>
      <c r="O30" s="43"/>
      <c r="P30" s="43"/>
      <c r="Q30" s="43"/>
      <c r="R30" s="43"/>
      <c r="S30" s="43"/>
      <c r="T30" s="43"/>
      <c r="U30" s="43"/>
      <c r="V30" s="43"/>
    </row>
    <row r="31" spans="2:22" s="22" customFormat="1" x14ac:dyDescent="0.25">
      <c r="B31" s="76"/>
      <c r="C31" s="161"/>
      <c r="D31" s="1808"/>
      <c r="E31" s="161"/>
      <c r="F31" s="161"/>
      <c r="G31" s="1808"/>
      <c r="H31" s="161"/>
      <c r="I31" s="76"/>
      <c r="J31" s="76"/>
      <c r="K31" s="43"/>
      <c r="L31" s="43"/>
      <c r="M31" s="43"/>
      <c r="N31" s="43"/>
      <c r="O31" s="43"/>
      <c r="P31" s="43"/>
      <c r="Q31" s="43"/>
      <c r="R31" s="43"/>
      <c r="S31" s="43"/>
      <c r="T31" s="43"/>
      <c r="U31" s="43"/>
      <c r="V31" s="43"/>
    </row>
    <row r="32" spans="2:22" s="22" customFormat="1" x14ac:dyDescent="0.25">
      <c r="B32" s="76" t="s">
        <v>922</v>
      </c>
      <c r="C32" s="1809">
        <v>43725</v>
      </c>
      <c r="D32" s="1808">
        <v>128.94</v>
      </c>
      <c r="E32" s="1809">
        <f>C32+29</f>
        <v>43754</v>
      </c>
      <c r="F32" s="1809">
        <v>43755</v>
      </c>
      <c r="G32" s="1808">
        <v>50</v>
      </c>
      <c r="H32" s="161"/>
      <c r="I32" s="76">
        <f>F32-E32</f>
        <v>1</v>
      </c>
      <c r="J32" s="76"/>
      <c r="K32" s="43"/>
      <c r="L32" s="43"/>
      <c r="M32" s="43"/>
      <c r="N32" s="43"/>
      <c r="O32" s="43"/>
      <c r="P32" s="43"/>
      <c r="Q32" s="43"/>
      <c r="R32" s="43"/>
      <c r="S32" s="43"/>
      <c r="T32" s="43"/>
      <c r="U32" s="43"/>
      <c r="V32" s="43"/>
    </row>
    <row r="33" spans="2:22" s="22" customFormat="1" x14ac:dyDescent="0.25">
      <c r="B33" s="76" t="s">
        <v>922</v>
      </c>
      <c r="C33" s="161"/>
      <c r="D33" s="1808"/>
      <c r="E33" s="161"/>
      <c r="F33" s="1809">
        <v>43763</v>
      </c>
      <c r="G33" s="1808">
        <v>50</v>
      </c>
      <c r="H33" s="161"/>
      <c r="I33" s="76">
        <f>F33-E32</f>
        <v>9</v>
      </c>
      <c r="J33" s="76"/>
      <c r="K33" s="43"/>
      <c r="L33" s="43"/>
      <c r="M33" s="43"/>
      <c r="N33" s="43"/>
      <c r="O33" s="43"/>
      <c r="P33" s="43"/>
      <c r="Q33" s="43"/>
      <c r="R33" s="43"/>
      <c r="S33" s="43"/>
      <c r="T33" s="43"/>
      <c r="U33" s="43"/>
      <c r="V33" s="43"/>
    </row>
    <row r="34" spans="2:22" s="22" customFormat="1" x14ac:dyDescent="0.25">
      <c r="B34" s="76" t="s">
        <v>922</v>
      </c>
      <c r="C34" s="161"/>
      <c r="D34" s="1808"/>
      <c r="E34" s="161"/>
      <c r="F34" s="1809">
        <v>43773</v>
      </c>
      <c r="G34" s="1808">
        <v>28.94</v>
      </c>
      <c r="H34" s="161"/>
      <c r="I34" s="76">
        <f>F34-E32</f>
        <v>19</v>
      </c>
      <c r="J34" s="76"/>
      <c r="K34" s="43"/>
      <c r="L34" s="43"/>
      <c r="M34" s="43"/>
      <c r="N34" s="43"/>
      <c r="O34" s="43"/>
      <c r="P34" s="43"/>
      <c r="Q34" s="43"/>
      <c r="R34" s="43"/>
      <c r="S34" s="43"/>
      <c r="T34" s="43"/>
      <c r="U34" s="43"/>
      <c r="V34" s="43"/>
    </row>
    <row r="35" spans="2:22" s="22" customFormat="1" x14ac:dyDescent="0.25">
      <c r="B35" s="76" t="s">
        <v>922</v>
      </c>
      <c r="C35" s="161"/>
      <c r="D35" s="1808"/>
      <c r="E35" s="161"/>
      <c r="F35" s="161"/>
      <c r="G35" s="1808"/>
      <c r="H35" s="161"/>
      <c r="I35" s="76"/>
      <c r="J35" s="76"/>
      <c r="K35" s="43"/>
      <c r="L35" s="43"/>
      <c r="M35" s="43"/>
      <c r="N35" s="43"/>
      <c r="O35" s="43"/>
      <c r="P35" s="43"/>
      <c r="Q35" s="43"/>
      <c r="R35" s="43"/>
      <c r="S35" s="43"/>
      <c r="T35" s="43"/>
      <c r="U35" s="43"/>
      <c r="V35" s="43"/>
    </row>
    <row r="36" spans="2:22" s="22" customFormat="1" x14ac:dyDescent="0.25">
      <c r="B36" s="76" t="s">
        <v>922</v>
      </c>
      <c r="C36" s="161"/>
      <c r="D36" s="1808"/>
      <c r="E36" s="161"/>
      <c r="F36" s="161"/>
      <c r="G36" s="1808"/>
      <c r="H36" s="161"/>
      <c r="I36" s="76"/>
      <c r="J36" s="76"/>
      <c r="K36" s="43"/>
      <c r="L36" s="43"/>
      <c r="M36" s="43"/>
      <c r="N36" s="43"/>
      <c r="O36" s="43"/>
      <c r="P36" s="43"/>
      <c r="Q36" s="43"/>
      <c r="R36" s="43"/>
      <c r="S36" s="43"/>
      <c r="T36" s="43"/>
      <c r="U36" s="43"/>
      <c r="V36" s="43"/>
    </row>
    <row r="37" spans="2:22" s="22" customFormat="1" x14ac:dyDescent="0.25">
      <c r="B37" s="76"/>
      <c r="C37" s="161"/>
      <c r="D37" s="1808"/>
      <c r="E37" s="161"/>
      <c r="F37" s="161"/>
      <c r="G37" s="1808"/>
      <c r="H37" s="161"/>
      <c r="I37" s="76"/>
      <c r="J37" s="76"/>
      <c r="K37" s="43"/>
      <c r="L37" s="43"/>
      <c r="M37" s="43"/>
      <c r="N37" s="43"/>
      <c r="O37" s="43"/>
      <c r="P37" s="43"/>
      <c r="Q37" s="43"/>
      <c r="R37" s="43"/>
      <c r="S37" s="43"/>
      <c r="T37" s="43"/>
      <c r="U37" s="43"/>
      <c r="V37" s="43"/>
    </row>
    <row r="38" spans="2:22" s="22" customFormat="1" x14ac:dyDescent="0.25">
      <c r="B38" s="76" t="s">
        <v>922</v>
      </c>
      <c r="C38" s="1809">
        <v>43760</v>
      </c>
      <c r="D38" s="1808">
        <v>120.06</v>
      </c>
      <c r="E38" s="1809">
        <f>C38+29</f>
        <v>43789</v>
      </c>
      <c r="F38" s="1809">
        <v>43773</v>
      </c>
      <c r="G38" s="1808">
        <v>20.059999999999999</v>
      </c>
      <c r="H38" s="161"/>
      <c r="I38" s="76">
        <f>F38-E38</f>
        <v>-16</v>
      </c>
      <c r="J38" s="76"/>
      <c r="K38" s="43"/>
      <c r="L38" s="43"/>
      <c r="M38" s="43"/>
      <c r="N38" s="43"/>
      <c r="O38" s="43"/>
      <c r="P38" s="43"/>
      <c r="Q38" s="43"/>
      <c r="R38" s="43"/>
      <c r="S38" s="43"/>
      <c r="T38" s="43"/>
      <c r="U38" s="43"/>
      <c r="V38" s="43"/>
    </row>
    <row r="39" spans="2:22" s="22" customFormat="1" x14ac:dyDescent="0.25">
      <c r="B39" s="76" t="s">
        <v>922</v>
      </c>
      <c r="C39" s="161"/>
      <c r="D39" s="1808"/>
      <c r="E39" s="161"/>
      <c r="F39" s="1809">
        <v>43789</v>
      </c>
      <c r="G39" s="1808">
        <v>25</v>
      </c>
      <c r="H39" s="161"/>
      <c r="I39" s="76">
        <f>F39-E38</f>
        <v>0</v>
      </c>
      <c r="J39" s="76"/>
      <c r="K39" s="43"/>
      <c r="L39" s="43"/>
      <c r="M39" s="43"/>
      <c r="N39" s="43"/>
      <c r="O39" s="43"/>
      <c r="P39" s="43"/>
      <c r="Q39" s="43"/>
      <c r="R39" s="43"/>
      <c r="S39" s="43"/>
      <c r="T39" s="43"/>
      <c r="U39" s="43"/>
      <c r="V39" s="43"/>
    </row>
    <row r="40" spans="2:22" s="22" customFormat="1" x14ac:dyDescent="0.25">
      <c r="B40" s="76" t="s">
        <v>922</v>
      </c>
      <c r="C40" s="161"/>
      <c r="D40" s="1808"/>
      <c r="E40" s="161"/>
      <c r="F40" s="1809">
        <v>43789</v>
      </c>
      <c r="G40" s="1808">
        <v>25</v>
      </c>
      <c r="H40" s="161"/>
      <c r="I40" s="76">
        <f>F40-E38</f>
        <v>0</v>
      </c>
      <c r="J40" s="76"/>
      <c r="K40" s="43"/>
      <c r="L40" s="43"/>
      <c r="M40" s="43"/>
      <c r="N40" s="43"/>
      <c r="O40" s="43"/>
      <c r="P40" s="43"/>
      <c r="Q40" s="43"/>
      <c r="R40" s="43"/>
      <c r="S40" s="43"/>
      <c r="T40" s="43"/>
      <c r="U40" s="43"/>
      <c r="V40" s="43"/>
    </row>
    <row r="41" spans="2:22" s="22" customFormat="1" x14ac:dyDescent="0.25">
      <c r="B41" s="76" t="s">
        <v>922</v>
      </c>
      <c r="C41" s="161"/>
      <c r="D41" s="1808"/>
      <c r="E41" s="161"/>
      <c r="F41" s="1809">
        <v>43797</v>
      </c>
      <c r="G41" s="1808">
        <v>25</v>
      </c>
      <c r="H41" s="161"/>
      <c r="I41" s="76">
        <f>F41-E38</f>
        <v>8</v>
      </c>
      <c r="J41" s="76"/>
      <c r="K41" s="43"/>
      <c r="L41" s="43"/>
      <c r="M41" s="43"/>
      <c r="N41" s="43"/>
      <c r="O41" s="43"/>
      <c r="P41" s="43"/>
      <c r="Q41" s="43"/>
      <c r="R41" s="43"/>
      <c r="S41" s="43"/>
      <c r="T41" s="43"/>
      <c r="U41" s="43"/>
      <c r="V41" s="43"/>
    </row>
    <row r="42" spans="2:22" s="22" customFormat="1" x14ac:dyDescent="0.25">
      <c r="B42" s="76" t="s">
        <v>922</v>
      </c>
      <c r="C42" s="161"/>
      <c r="D42" s="1808"/>
      <c r="E42" s="161"/>
      <c r="F42" s="1809">
        <v>43799</v>
      </c>
      <c r="G42" s="1808">
        <v>25</v>
      </c>
      <c r="H42" s="161"/>
      <c r="I42" s="76">
        <f>F42-E38</f>
        <v>10</v>
      </c>
      <c r="J42" s="76"/>
      <c r="K42" s="43"/>
      <c r="L42" s="43"/>
      <c r="M42" s="43"/>
      <c r="N42" s="43"/>
      <c r="O42" s="43"/>
      <c r="P42" s="43"/>
      <c r="Q42" s="43"/>
      <c r="R42" s="43"/>
      <c r="S42" s="43"/>
      <c r="T42" s="43"/>
      <c r="U42" s="43"/>
      <c r="V42" s="43"/>
    </row>
    <row r="43" spans="2:22" s="22" customFormat="1" x14ac:dyDescent="0.25">
      <c r="B43" s="76" t="s">
        <v>922</v>
      </c>
      <c r="C43" s="161"/>
      <c r="D43" s="1808"/>
      <c r="E43" s="161"/>
      <c r="F43" s="161"/>
      <c r="G43" s="1808"/>
      <c r="H43" s="161"/>
      <c r="I43" s="76"/>
      <c r="J43" s="76"/>
      <c r="K43" s="43"/>
      <c r="L43" s="43"/>
      <c r="M43" s="43"/>
      <c r="N43" s="43"/>
      <c r="O43" s="43"/>
      <c r="P43" s="43"/>
      <c r="Q43" s="43"/>
      <c r="R43" s="43"/>
      <c r="S43" s="43"/>
      <c r="T43" s="43"/>
      <c r="U43" s="43"/>
      <c r="V43" s="43"/>
    </row>
    <row r="44" spans="2:22" s="22" customFormat="1" x14ac:dyDescent="0.25">
      <c r="B44" s="76" t="s">
        <v>922</v>
      </c>
      <c r="C44" s="161"/>
      <c r="D44" s="1808"/>
      <c r="E44" s="161"/>
      <c r="F44" s="161"/>
      <c r="G44" s="1808"/>
      <c r="H44" s="161"/>
      <c r="I44" s="76"/>
      <c r="J44" s="76"/>
      <c r="K44" s="43"/>
      <c r="L44" s="43"/>
      <c r="M44" s="43"/>
      <c r="N44" s="43"/>
      <c r="O44" s="43"/>
      <c r="P44" s="43"/>
      <c r="Q44" s="43"/>
      <c r="R44" s="43"/>
      <c r="S44" s="43"/>
      <c r="T44" s="43"/>
      <c r="U44" s="43"/>
      <c r="V44" s="43"/>
    </row>
    <row r="45" spans="2:22" s="22" customFormat="1" x14ac:dyDescent="0.25">
      <c r="B45" s="76"/>
      <c r="C45" s="161"/>
      <c r="D45" s="1808"/>
      <c r="E45" s="161"/>
      <c r="F45" s="161"/>
      <c r="G45" s="1808"/>
      <c r="H45" s="161"/>
      <c r="I45" s="76"/>
      <c r="J45" s="76"/>
      <c r="K45" s="43"/>
      <c r="L45" s="43"/>
      <c r="M45" s="43"/>
      <c r="N45" s="43"/>
      <c r="O45" s="43"/>
      <c r="P45" s="43"/>
      <c r="Q45" s="43"/>
      <c r="R45" s="43"/>
      <c r="S45" s="43"/>
      <c r="T45" s="43"/>
      <c r="U45" s="43"/>
      <c r="V45" s="43"/>
    </row>
    <row r="46" spans="2:22" s="22" customFormat="1" x14ac:dyDescent="0.25">
      <c r="B46" s="76" t="s">
        <v>922</v>
      </c>
      <c r="C46" s="1809">
        <v>43783</v>
      </c>
      <c r="D46" s="1808">
        <v>122.26</v>
      </c>
      <c r="E46" s="1809">
        <f>C46+29</f>
        <v>43812</v>
      </c>
      <c r="F46" s="1809">
        <v>43822</v>
      </c>
      <c r="G46" s="1808">
        <v>25</v>
      </c>
      <c r="H46" s="161"/>
      <c r="I46" s="76">
        <f>F46-E46</f>
        <v>10</v>
      </c>
      <c r="J46" s="76"/>
      <c r="K46" s="43"/>
      <c r="L46" s="43"/>
      <c r="M46" s="43"/>
      <c r="N46" s="43"/>
      <c r="O46" s="43"/>
      <c r="P46" s="43"/>
      <c r="Q46" s="43"/>
      <c r="R46" s="43"/>
      <c r="S46" s="43"/>
      <c r="T46" s="43"/>
      <c r="U46" s="43"/>
      <c r="V46" s="43"/>
    </row>
    <row r="47" spans="2:22" s="22" customFormat="1" x14ac:dyDescent="0.25">
      <c r="B47" s="76" t="s">
        <v>922</v>
      </c>
      <c r="C47" s="161"/>
      <c r="D47" s="1808"/>
      <c r="E47" s="161"/>
      <c r="F47" s="1809">
        <v>43829</v>
      </c>
      <c r="G47" s="1808">
        <v>25</v>
      </c>
      <c r="H47" s="161"/>
      <c r="I47" s="76">
        <f>F47-E46</f>
        <v>17</v>
      </c>
      <c r="J47" s="76"/>
      <c r="K47" s="43"/>
      <c r="L47" s="43"/>
      <c r="M47" s="43"/>
      <c r="N47" s="43"/>
      <c r="O47" s="43"/>
      <c r="P47" s="43"/>
      <c r="Q47" s="43"/>
      <c r="R47" s="43"/>
      <c r="S47" s="43"/>
      <c r="T47" s="43"/>
      <c r="U47" s="43"/>
      <c r="V47" s="43"/>
    </row>
    <row r="48" spans="2:22" s="22" customFormat="1" x14ac:dyDescent="0.25">
      <c r="B48" s="76" t="s">
        <v>922</v>
      </c>
      <c r="C48" s="161"/>
      <c r="D48" s="1808"/>
      <c r="E48" s="161"/>
      <c r="F48" s="1809">
        <v>43830</v>
      </c>
      <c r="G48" s="1808">
        <v>25</v>
      </c>
      <c r="H48" s="161"/>
      <c r="I48" s="76">
        <f>F48-E46</f>
        <v>18</v>
      </c>
      <c r="J48" s="76"/>
      <c r="K48" s="43"/>
      <c r="L48" s="43"/>
      <c r="M48" s="43"/>
      <c r="N48" s="43"/>
      <c r="O48" s="43"/>
      <c r="P48" s="43"/>
      <c r="Q48" s="43"/>
      <c r="R48" s="43"/>
      <c r="S48" s="43"/>
      <c r="T48" s="43"/>
      <c r="U48" s="43"/>
      <c r="V48" s="43"/>
    </row>
    <row r="49" spans="2:23" s="15" customFormat="1" x14ac:dyDescent="0.25">
      <c r="B49" s="76" t="s">
        <v>922</v>
      </c>
      <c r="C49" s="161"/>
      <c r="D49" s="1808"/>
      <c r="E49" s="161"/>
      <c r="F49" s="1809">
        <v>43830</v>
      </c>
      <c r="G49" s="1808">
        <v>25</v>
      </c>
      <c r="H49" s="161"/>
      <c r="I49" s="76">
        <f>F49-E46</f>
        <v>18</v>
      </c>
      <c r="J49" s="76"/>
      <c r="K49" s="76"/>
      <c r="L49" s="43"/>
      <c r="M49" s="43"/>
      <c r="N49" s="43"/>
      <c r="O49" s="43"/>
      <c r="P49" s="43"/>
      <c r="Q49" s="43"/>
      <c r="R49" s="43"/>
      <c r="S49" s="43"/>
      <c r="T49" s="43"/>
      <c r="U49" s="43"/>
      <c r="V49" s="43"/>
      <c r="W49" s="43"/>
    </row>
    <row r="50" spans="2:23" s="15" customFormat="1" x14ac:dyDescent="0.25">
      <c r="B50" s="76" t="s">
        <v>922</v>
      </c>
      <c r="C50" s="161"/>
      <c r="D50" s="1808"/>
      <c r="E50" s="161"/>
      <c r="F50" s="1809">
        <v>43816</v>
      </c>
      <c r="G50" s="1808">
        <v>22.26</v>
      </c>
      <c r="H50" s="161"/>
      <c r="I50" s="76">
        <f>F50-E46</f>
        <v>4</v>
      </c>
      <c r="J50" s="76"/>
      <c r="K50" s="76"/>
      <c r="L50" s="43"/>
      <c r="M50" s="43"/>
      <c r="N50" s="43"/>
      <c r="O50" s="43"/>
      <c r="P50" s="43"/>
      <c r="Q50" s="43"/>
      <c r="R50" s="43"/>
      <c r="S50" s="43"/>
      <c r="T50" s="43"/>
      <c r="U50" s="43"/>
      <c r="V50" s="43"/>
      <c r="W50" s="43"/>
    </row>
    <row r="51" spans="2:23" s="15" customFormat="1" x14ac:dyDescent="0.25">
      <c r="B51" s="76"/>
      <c r="C51" s="161"/>
      <c r="D51" s="1808"/>
      <c r="E51" s="161"/>
      <c r="F51" s="161"/>
      <c r="G51" s="1808"/>
      <c r="H51" s="161"/>
      <c r="I51" s="76"/>
      <c r="J51" s="76"/>
      <c r="K51" s="76"/>
      <c r="L51" s="43"/>
      <c r="M51" s="43"/>
      <c r="N51" s="43"/>
      <c r="O51" s="43"/>
      <c r="P51" s="43"/>
      <c r="Q51" s="43"/>
      <c r="R51" s="43"/>
      <c r="S51" s="43"/>
      <c r="T51" s="43"/>
      <c r="U51" s="43"/>
      <c r="V51" s="43"/>
      <c r="W51" s="43"/>
    </row>
    <row r="52" spans="2:23" s="15" customFormat="1" x14ac:dyDescent="0.25">
      <c r="B52" s="76" t="s">
        <v>922</v>
      </c>
      <c r="C52" s="1809">
        <v>43812</v>
      </c>
      <c r="D52" s="1808">
        <v>126.52</v>
      </c>
      <c r="E52" s="1809">
        <f>C52+29</f>
        <v>43841</v>
      </c>
      <c r="F52" s="1809">
        <v>43845</v>
      </c>
      <c r="G52" s="1808">
        <v>50</v>
      </c>
      <c r="H52" s="161"/>
      <c r="I52" s="76">
        <f>F52-E52</f>
        <v>4</v>
      </c>
      <c r="J52" s="76"/>
      <c r="K52" s="76"/>
      <c r="L52" s="43"/>
      <c r="M52" s="43"/>
      <c r="N52" s="43"/>
      <c r="O52" s="43"/>
      <c r="P52" s="43"/>
      <c r="Q52" s="43"/>
      <c r="R52" s="43"/>
      <c r="S52" s="43"/>
      <c r="T52" s="43"/>
      <c r="U52" s="43"/>
      <c r="V52" s="43"/>
      <c r="W52" s="43"/>
    </row>
    <row r="53" spans="2:23" s="15" customFormat="1" x14ac:dyDescent="0.25">
      <c r="B53" s="76" t="s">
        <v>922</v>
      </c>
      <c r="C53" s="1809"/>
      <c r="D53" s="1808"/>
      <c r="E53" s="161"/>
      <c r="F53" s="1809">
        <v>43850</v>
      </c>
      <c r="G53" s="1808">
        <v>20</v>
      </c>
      <c r="H53" s="161"/>
      <c r="I53" s="76">
        <f>F53-E52</f>
        <v>9</v>
      </c>
      <c r="J53" s="76"/>
      <c r="K53" s="76"/>
      <c r="L53" s="43"/>
      <c r="M53" s="43"/>
      <c r="N53" s="43"/>
      <c r="O53" s="43"/>
      <c r="P53" s="43"/>
      <c r="Q53" s="43"/>
      <c r="R53" s="43"/>
      <c r="S53" s="43"/>
      <c r="T53" s="43"/>
      <c r="U53" s="43"/>
      <c r="V53" s="43"/>
      <c r="W53" s="43"/>
    </row>
    <row r="54" spans="2:23" s="15" customFormat="1" x14ac:dyDescent="0.25">
      <c r="B54" s="76" t="s">
        <v>922</v>
      </c>
      <c r="C54" s="1809"/>
      <c r="D54" s="1808"/>
      <c r="E54" s="161"/>
      <c r="F54" s="1809">
        <v>43859</v>
      </c>
      <c r="G54" s="1808">
        <v>20</v>
      </c>
      <c r="H54" s="161"/>
      <c r="I54" s="76">
        <f>F54-E52</f>
        <v>18</v>
      </c>
      <c r="J54" s="76"/>
      <c r="K54" s="76"/>
      <c r="L54" s="43"/>
      <c r="M54" s="43"/>
      <c r="N54" s="43"/>
      <c r="O54" s="43"/>
      <c r="P54" s="43"/>
      <c r="Q54" s="43"/>
      <c r="R54" s="43"/>
      <c r="S54" s="43"/>
      <c r="T54" s="43"/>
      <c r="U54" s="43"/>
      <c r="V54" s="43"/>
      <c r="W54" s="43"/>
    </row>
    <row r="55" spans="2:23" s="15" customFormat="1" x14ac:dyDescent="0.25">
      <c r="B55" s="76" t="s">
        <v>922</v>
      </c>
      <c r="C55" s="1809"/>
      <c r="D55" s="1808"/>
      <c r="E55" s="161"/>
      <c r="F55" s="1809">
        <v>43850</v>
      </c>
      <c r="G55" s="1808">
        <v>5</v>
      </c>
      <c r="H55" s="161"/>
      <c r="I55" s="76">
        <f>F55-E52</f>
        <v>9</v>
      </c>
      <c r="J55" s="76"/>
      <c r="K55" s="76"/>
      <c r="L55" s="43"/>
      <c r="M55" s="43"/>
      <c r="N55" s="43"/>
      <c r="O55" s="43"/>
      <c r="P55" s="43"/>
      <c r="Q55" s="43"/>
      <c r="R55" s="43"/>
      <c r="S55" s="43"/>
      <c r="T55" s="43"/>
      <c r="U55" s="43"/>
      <c r="V55" s="43"/>
      <c r="W55" s="43"/>
    </row>
    <row r="56" spans="2:23" s="15" customFormat="1" x14ac:dyDescent="0.25">
      <c r="B56" s="76" t="s">
        <v>922</v>
      </c>
      <c r="C56" s="1809"/>
      <c r="D56" s="1808"/>
      <c r="E56" s="161"/>
      <c r="F56" s="1809">
        <v>43859</v>
      </c>
      <c r="G56" s="1808">
        <v>5</v>
      </c>
      <c r="H56" s="161"/>
      <c r="I56" s="76">
        <f>F56-E52</f>
        <v>18</v>
      </c>
      <c r="J56" s="76"/>
      <c r="K56" s="76"/>
      <c r="L56" s="43"/>
      <c r="M56" s="43"/>
      <c r="N56" s="43"/>
      <c r="O56" s="43"/>
      <c r="P56" s="43"/>
      <c r="Q56" s="43"/>
      <c r="R56" s="43"/>
      <c r="S56" s="43"/>
      <c r="T56" s="43"/>
      <c r="U56" s="43"/>
      <c r="V56" s="43"/>
      <c r="W56" s="43"/>
    </row>
    <row r="57" spans="2:23" s="15" customFormat="1" x14ac:dyDescent="0.25">
      <c r="B57" s="76" t="s">
        <v>922</v>
      </c>
      <c r="C57" s="1809"/>
      <c r="D57" s="1808"/>
      <c r="E57" s="161"/>
      <c r="F57" s="1809">
        <v>43861</v>
      </c>
      <c r="G57" s="1808">
        <v>5</v>
      </c>
      <c r="H57" s="161"/>
      <c r="I57" s="76">
        <f>F57-E52</f>
        <v>20</v>
      </c>
      <c r="J57" s="76"/>
      <c r="K57" s="76"/>
      <c r="L57" s="43"/>
      <c r="M57" s="43"/>
      <c r="N57" s="43"/>
      <c r="O57" s="43"/>
      <c r="P57" s="43"/>
      <c r="Q57" s="43"/>
      <c r="R57" s="43"/>
      <c r="S57" s="43"/>
      <c r="T57" s="43"/>
      <c r="U57" s="43"/>
      <c r="V57" s="43"/>
      <c r="W57" s="43"/>
    </row>
    <row r="58" spans="2:23" s="15" customFormat="1" x14ac:dyDescent="0.25">
      <c r="B58" s="76"/>
      <c r="C58" s="1809"/>
      <c r="D58" s="1808"/>
      <c r="E58" s="161"/>
      <c r="F58" s="161"/>
      <c r="G58" s="1808">
        <v>5</v>
      </c>
      <c r="H58" s="161"/>
      <c r="I58" s="76"/>
      <c r="J58" s="76"/>
      <c r="K58" s="76"/>
      <c r="L58" s="43"/>
      <c r="M58" s="43"/>
      <c r="N58" s="43"/>
      <c r="O58" s="43"/>
      <c r="P58" s="43"/>
      <c r="Q58" s="43"/>
      <c r="R58" s="43"/>
      <c r="S58" s="43"/>
      <c r="T58" s="43"/>
      <c r="U58" s="43"/>
      <c r="V58" s="43"/>
      <c r="W58" s="43"/>
    </row>
    <row r="59" spans="2:23" s="15" customFormat="1" x14ac:dyDescent="0.25">
      <c r="B59" s="76"/>
      <c r="C59" s="1809"/>
      <c r="D59" s="1808"/>
      <c r="E59" s="161"/>
      <c r="F59" s="161"/>
      <c r="G59" s="1808">
        <v>16.52</v>
      </c>
      <c r="H59" s="161"/>
      <c r="I59" s="76"/>
      <c r="J59" s="76"/>
      <c r="K59" s="76"/>
      <c r="L59" s="43"/>
      <c r="M59" s="43"/>
      <c r="N59" s="43"/>
      <c r="O59" s="43"/>
      <c r="P59" s="43"/>
      <c r="Q59" s="43"/>
      <c r="R59" s="43"/>
      <c r="S59" s="43"/>
      <c r="T59" s="43"/>
      <c r="U59" s="43"/>
      <c r="V59" s="43"/>
      <c r="W59" s="43"/>
    </row>
    <row r="60" spans="2:23" s="15" customFormat="1" x14ac:dyDescent="0.25">
      <c r="B60" s="76"/>
      <c r="C60" s="161"/>
      <c r="D60" s="1808"/>
      <c r="E60" s="161"/>
      <c r="F60" s="161"/>
      <c r="G60" s="1808"/>
      <c r="H60" s="161"/>
      <c r="I60" s="76"/>
      <c r="J60" s="76"/>
      <c r="K60" s="76"/>
      <c r="L60" s="43"/>
      <c r="M60" s="43"/>
      <c r="N60" s="43"/>
      <c r="O60" s="43"/>
      <c r="P60" s="43"/>
      <c r="Q60" s="43"/>
      <c r="R60" s="43"/>
      <c r="S60" s="43"/>
      <c r="T60" s="43"/>
      <c r="U60" s="43"/>
      <c r="V60" s="43"/>
      <c r="W60" s="43"/>
    </row>
    <row r="61" spans="2:23" s="15" customFormat="1" x14ac:dyDescent="0.25">
      <c r="B61" s="76" t="s">
        <v>922</v>
      </c>
      <c r="C61" s="1809">
        <v>43850</v>
      </c>
      <c r="D61" s="1808">
        <v>106.3</v>
      </c>
      <c r="E61" s="1809">
        <f>C61+29</f>
        <v>43879</v>
      </c>
      <c r="F61" s="1809">
        <v>43868</v>
      </c>
      <c r="G61" s="1808">
        <v>25</v>
      </c>
      <c r="H61" s="161"/>
      <c r="I61" s="76">
        <f>F61-E61</f>
        <v>-11</v>
      </c>
      <c r="J61" s="76"/>
      <c r="K61" s="43"/>
      <c r="L61" s="43"/>
      <c r="M61" s="43"/>
      <c r="N61" s="43"/>
      <c r="O61" s="43"/>
      <c r="P61" s="43"/>
      <c r="Q61" s="43"/>
      <c r="R61" s="43"/>
      <c r="S61" s="43"/>
      <c r="T61" s="43"/>
      <c r="U61" s="43"/>
      <c r="V61" s="43"/>
    </row>
    <row r="62" spans="2:23" s="15" customFormat="1" x14ac:dyDescent="0.25">
      <c r="B62" s="76" t="s">
        <v>922</v>
      </c>
      <c r="C62" s="161"/>
      <c r="D62" s="1808"/>
      <c r="E62" s="161"/>
      <c r="F62" s="1809">
        <v>43878</v>
      </c>
      <c r="G62" s="1808">
        <v>25</v>
      </c>
      <c r="H62" s="161"/>
      <c r="I62" s="76">
        <f>F62-E61</f>
        <v>-1</v>
      </c>
      <c r="J62" s="76"/>
      <c r="K62" s="43"/>
      <c r="L62" s="43"/>
      <c r="M62" s="43"/>
      <c r="N62" s="43"/>
      <c r="O62" s="43"/>
      <c r="P62" s="43"/>
      <c r="Q62" s="43"/>
      <c r="R62" s="43"/>
      <c r="S62" s="43"/>
      <c r="T62" s="43"/>
      <c r="U62" s="43"/>
      <c r="V62" s="43"/>
    </row>
    <row r="63" spans="2:23" s="15" customFormat="1" x14ac:dyDescent="0.25">
      <c r="B63" s="76" t="s">
        <v>922</v>
      </c>
      <c r="C63" s="161"/>
      <c r="D63" s="1808"/>
      <c r="E63" s="161"/>
      <c r="F63" s="1809">
        <v>43888</v>
      </c>
      <c r="G63" s="1808">
        <v>25</v>
      </c>
      <c r="H63" s="161"/>
      <c r="I63" s="76">
        <f>F63-E61</f>
        <v>9</v>
      </c>
      <c r="J63" s="76"/>
      <c r="K63" s="43"/>
      <c r="L63" s="43"/>
      <c r="M63" s="43"/>
      <c r="N63" s="43"/>
      <c r="O63" s="43"/>
      <c r="P63" s="43"/>
      <c r="Q63" s="43"/>
      <c r="R63" s="43"/>
      <c r="S63" s="43"/>
      <c r="T63" s="43"/>
      <c r="U63" s="43"/>
      <c r="V63" s="43"/>
    </row>
    <row r="64" spans="2:23" s="15" customFormat="1" x14ac:dyDescent="0.25">
      <c r="B64" s="76" t="s">
        <v>922</v>
      </c>
      <c r="C64" s="161"/>
      <c r="D64" s="1808"/>
      <c r="E64" s="161"/>
      <c r="F64" s="1809">
        <v>43909</v>
      </c>
      <c r="G64" s="1808">
        <v>31.3</v>
      </c>
      <c r="H64" s="161"/>
      <c r="I64" s="76">
        <f>F64-E61</f>
        <v>30</v>
      </c>
      <c r="J64" s="76"/>
      <c r="K64" s="43"/>
      <c r="L64" s="43"/>
      <c r="M64" s="43"/>
      <c r="N64" s="43"/>
      <c r="O64" s="43"/>
      <c r="P64" s="43"/>
      <c r="Q64" s="43"/>
      <c r="R64" s="43"/>
      <c r="S64" s="43"/>
      <c r="T64" s="43"/>
      <c r="U64" s="43"/>
      <c r="V64" s="43"/>
    </row>
    <row r="65" spans="2:22" s="15" customFormat="1" x14ac:dyDescent="0.25">
      <c r="B65" s="76"/>
      <c r="C65" s="161"/>
      <c r="D65" s="1808"/>
      <c r="E65" s="161"/>
      <c r="F65" s="1809"/>
      <c r="G65" s="1808"/>
      <c r="H65" s="161"/>
      <c r="I65" s="76"/>
      <c r="J65" s="76"/>
      <c r="K65" s="43"/>
      <c r="L65" s="43"/>
      <c r="M65" s="43"/>
      <c r="N65" s="43"/>
      <c r="O65" s="43"/>
      <c r="P65" s="43"/>
      <c r="Q65" s="43"/>
      <c r="R65" s="43"/>
      <c r="S65" s="43"/>
      <c r="T65" s="43"/>
      <c r="U65" s="43"/>
      <c r="V65" s="43"/>
    </row>
    <row r="66" spans="2:22" s="15" customFormat="1" x14ac:dyDescent="0.25">
      <c r="B66" s="76"/>
      <c r="C66" s="161"/>
      <c r="D66" s="1808"/>
      <c r="E66" s="161"/>
      <c r="F66" s="161"/>
      <c r="G66" s="1808"/>
      <c r="H66" s="161"/>
      <c r="I66" s="76"/>
      <c r="J66" s="76"/>
      <c r="K66" s="43"/>
      <c r="L66" s="43"/>
      <c r="M66" s="43"/>
      <c r="N66" s="43"/>
      <c r="O66" s="43"/>
      <c r="P66" s="43"/>
      <c r="Q66" s="43"/>
      <c r="R66" s="43"/>
      <c r="S66" s="43"/>
      <c r="T66" s="43"/>
      <c r="U66" s="43"/>
      <c r="V66" s="43"/>
    </row>
    <row r="67" spans="2:22" s="15" customFormat="1" x14ac:dyDescent="0.25">
      <c r="B67" s="76" t="s">
        <v>922</v>
      </c>
      <c r="C67" s="1809">
        <v>43874</v>
      </c>
      <c r="D67" s="1808">
        <v>125.05</v>
      </c>
      <c r="E67" s="1809">
        <f>C67+29</f>
        <v>43903</v>
      </c>
      <c r="F67" s="1809">
        <v>43913</v>
      </c>
      <c r="G67" s="1808">
        <v>30</v>
      </c>
      <c r="H67" s="161"/>
      <c r="I67" s="76">
        <f>F67-E67</f>
        <v>10</v>
      </c>
      <c r="J67" s="76"/>
      <c r="K67" s="43"/>
      <c r="L67" s="43"/>
      <c r="M67" s="43"/>
      <c r="N67" s="43"/>
      <c r="O67" s="43"/>
      <c r="P67" s="43"/>
      <c r="Q67" s="43"/>
      <c r="R67" s="43"/>
      <c r="S67" s="43"/>
      <c r="T67" s="43"/>
      <c r="U67" s="43"/>
      <c r="V67" s="43"/>
    </row>
    <row r="68" spans="2:22" s="15" customFormat="1" x14ac:dyDescent="0.25">
      <c r="B68" s="76" t="s">
        <v>922</v>
      </c>
      <c r="C68" s="161"/>
      <c r="D68" s="1808"/>
      <c r="E68" s="161"/>
      <c r="F68" s="1809">
        <v>43921</v>
      </c>
      <c r="G68" s="1808">
        <v>30</v>
      </c>
      <c r="H68" s="161"/>
      <c r="I68" s="76">
        <f>F68-E67</f>
        <v>18</v>
      </c>
      <c r="J68" s="76"/>
      <c r="K68" s="43"/>
      <c r="L68" s="43"/>
      <c r="M68" s="43"/>
      <c r="N68" s="43"/>
      <c r="O68" s="43"/>
      <c r="P68" s="43"/>
      <c r="Q68" s="43"/>
      <c r="R68" s="43"/>
      <c r="S68" s="43"/>
      <c r="T68" s="43"/>
      <c r="U68" s="43"/>
      <c r="V68" s="43"/>
    </row>
    <row r="69" spans="2:22" s="15" customFormat="1" x14ac:dyDescent="0.25">
      <c r="B69" s="76" t="s">
        <v>922</v>
      </c>
      <c r="C69" s="161"/>
      <c r="D69" s="1808"/>
      <c r="E69" s="161"/>
      <c r="F69" s="1809">
        <v>43936</v>
      </c>
      <c r="G69" s="1808">
        <v>20</v>
      </c>
      <c r="H69" s="161"/>
      <c r="I69" s="76">
        <f>F69-E67</f>
        <v>33</v>
      </c>
      <c r="J69" s="76"/>
      <c r="K69" s="43"/>
      <c r="L69" s="43"/>
      <c r="M69" s="43"/>
      <c r="N69" s="43"/>
      <c r="O69" s="43"/>
      <c r="P69" s="43"/>
      <c r="Q69" s="43"/>
      <c r="R69" s="43"/>
      <c r="S69" s="43"/>
      <c r="T69" s="43"/>
      <c r="U69" s="43"/>
      <c r="V69" s="43"/>
    </row>
    <row r="70" spans="2:22" s="15" customFormat="1" x14ac:dyDescent="0.25">
      <c r="B70" s="76" t="s">
        <v>922</v>
      </c>
      <c r="C70" s="161"/>
      <c r="D70" s="1808"/>
      <c r="E70" s="161"/>
      <c r="F70" s="1809">
        <v>43948</v>
      </c>
      <c r="G70" s="1808">
        <v>20</v>
      </c>
      <c r="H70" s="161"/>
      <c r="I70" s="76">
        <f>F70-E67</f>
        <v>45</v>
      </c>
      <c r="J70" s="76"/>
      <c r="K70" s="43"/>
      <c r="L70" s="43"/>
      <c r="M70" s="43"/>
      <c r="N70" s="43"/>
      <c r="O70" s="43"/>
      <c r="P70" s="43"/>
      <c r="Q70" s="43"/>
      <c r="R70" s="43"/>
      <c r="S70" s="43"/>
      <c r="T70" s="43"/>
      <c r="U70" s="43"/>
      <c r="V70" s="43"/>
    </row>
    <row r="71" spans="2:22" s="15" customFormat="1" x14ac:dyDescent="0.25">
      <c r="B71" s="76" t="s">
        <v>922</v>
      </c>
      <c r="C71" s="161"/>
      <c r="D71" s="1808"/>
      <c r="E71" s="161"/>
      <c r="F71" s="1809">
        <v>43962</v>
      </c>
      <c r="G71" s="1808">
        <v>25.05</v>
      </c>
      <c r="H71" s="161"/>
      <c r="I71" s="76">
        <f>F71-E67</f>
        <v>59</v>
      </c>
      <c r="J71" s="76"/>
      <c r="K71" s="43"/>
      <c r="L71" s="43"/>
      <c r="M71" s="43"/>
      <c r="N71" s="43"/>
      <c r="O71" s="43"/>
      <c r="P71" s="43"/>
      <c r="Q71" s="43"/>
      <c r="R71" s="43"/>
      <c r="S71" s="43"/>
      <c r="T71" s="43"/>
      <c r="U71" s="43"/>
      <c r="V71" s="43"/>
    </row>
    <row r="72" spans="2:22" s="15" customFormat="1" x14ac:dyDescent="0.25">
      <c r="B72" s="76"/>
      <c r="C72" s="161"/>
      <c r="D72" s="1808"/>
      <c r="E72" s="161"/>
      <c r="F72" s="161"/>
      <c r="G72" s="1808"/>
      <c r="H72" s="161"/>
      <c r="I72" s="76"/>
      <c r="J72" s="76"/>
      <c r="K72" s="43"/>
      <c r="L72" s="43"/>
      <c r="M72" s="43"/>
      <c r="N72" s="43"/>
      <c r="O72" s="43"/>
      <c r="P72" s="43"/>
      <c r="Q72" s="43"/>
      <c r="R72" s="43"/>
      <c r="S72" s="43"/>
      <c r="T72" s="43"/>
      <c r="U72" s="43"/>
      <c r="V72" s="43"/>
    </row>
    <row r="73" spans="2:22" s="15" customFormat="1" x14ac:dyDescent="0.25">
      <c r="B73" s="76" t="s">
        <v>922</v>
      </c>
      <c r="C73" s="1809">
        <v>43903</v>
      </c>
      <c r="D73" s="1808">
        <v>112.12</v>
      </c>
      <c r="E73" s="1809">
        <f>C73+29</f>
        <v>43932</v>
      </c>
      <c r="F73" s="1809">
        <v>43962</v>
      </c>
      <c r="G73" s="1808">
        <v>24.95</v>
      </c>
      <c r="H73" s="161"/>
      <c r="I73" s="76">
        <f>F73-E73</f>
        <v>30</v>
      </c>
      <c r="J73" s="76"/>
      <c r="K73" s="43"/>
      <c r="L73" s="43"/>
      <c r="M73" s="43"/>
      <c r="N73" s="43"/>
      <c r="O73" s="43"/>
      <c r="P73" s="43"/>
      <c r="Q73" s="43"/>
      <c r="R73" s="43"/>
      <c r="S73" s="43"/>
      <c r="T73" s="43"/>
      <c r="U73" s="43"/>
      <c r="V73" s="43"/>
    </row>
    <row r="74" spans="2:22" s="15" customFormat="1" x14ac:dyDescent="0.25">
      <c r="B74" s="76" t="s">
        <v>922</v>
      </c>
      <c r="C74" s="161"/>
      <c r="D74" s="1808"/>
      <c r="E74" s="161"/>
      <c r="F74" s="1809">
        <v>43977</v>
      </c>
      <c r="G74" s="1808">
        <v>25</v>
      </c>
      <c r="H74" s="161"/>
      <c r="I74" s="76">
        <f>F74-E73</f>
        <v>45</v>
      </c>
      <c r="J74" s="76"/>
      <c r="K74" s="43"/>
      <c r="L74" s="43"/>
      <c r="M74" s="43"/>
      <c r="N74" s="43"/>
      <c r="O74" s="43"/>
      <c r="P74" s="43"/>
      <c r="Q74" s="43"/>
      <c r="R74" s="43"/>
      <c r="S74" s="43"/>
      <c r="T74" s="43"/>
      <c r="U74" s="43"/>
      <c r="V74" s="43"/>
    </row>
    <row r="75" spans="2:22" s="15" customFormat="1" x14ac:dyDescent="0.25">
      <c r="B75" s="76" t="s">
        <v>922</v>
      </c>
      <c r="C75" s="161"/>
      <c r="D75" s="1808"/>
      <c r="E75" s="161"/>
      <c r="F75" s="1809">
        <v>43998</v>
      </c>
      <c r="G75" s="1808">
        <v>25</v>
      </c>
      <c r="H75" s="161"/>
      <c r="I75" s="76">
        <f>F75-E73</f>
        <v>66</v>
      </c>
      <c r="J75" s="76"/>
      <c r="K75" s="43"/>
      <c r="L75" s="43"/>
      <c r="M75" s="43"/>
      <c r="N75" s="43"/>
      <c r="O75" s="43"/>
      <c r="P75" s="43"/>
      <c r="Q75" s="43"/>
      <c r="R75" s="43"/>
      <c r="S75" s="43"/>
      <c r="T75" s="43"/>
      <c r="U75" s="43"/>
      <c r="V75" s="43"/>
    </row>
    <row r="76" spans="2:22" s="15" customFormat="1" x14ac:dyDescent="0.25">
      <c r="B76" s="76"/>
      <c r="C76" s="161"/>
      <c r="D76" s="1808"/>
      <c r="E76" s="161"/>
      <c r="F76" s="1809">
        <v>44013</v>
      </c>
      <c r="G76" s="1808">
        <v>37.159999999999997</v>
      </c>
      <c r="H76" s="161"/>
      <c r="I76" s="76"/>
      <c r="J76" s="76"/>
      <c r="K76" s="43"/>
      <c r="L76" s="43"/>
      <c r="M76" s="43"/>
      <c r="N76" s="43"/>
      <c r="O76" s="43"/>
      <c r="P76" s="43"/>
      <c r="Q76" s="43"/>
      <c r="R76" s="43"/>
      <c r="S76" s="43"/>
      <c r="T76" s="43"/>
      <c r="U76" s="43"/>
      <c r="V76" s="43"/>
    </row>
    <row r="77" spans="2:22" s="15" customFormat="1" x14ac:dyDescent="0.25">
      <c r="B77" s="76"/>
      <c r="C77" s="161"/>
      <c r="D77" s="1808"/>
      <c r="E77" s="161"/>
      <c r="F77" s="1809"/>
      <c r="G77" s="1808"/>
      <c r="H77" s="161"/>
      <c r="I77" s="76"/>
      <c r="J77" s="76"/>
      <c r="K77" s="43"/>
      <c r="L77" s="43"/>
      <c r="M77" s="43"/>
      <c r="N77" s="43"/>
      <c r="O77" s="43"/>
      <c r="P77" s="43"/>
      <c r="Q77" s="43"/>
      <c r="R77" s="43"/>
      <c r="S77" s="43"/>
      <c r="T77" s="43"/>
      <c r="U77" s="43"/>
      <c r="V77" s="43"/>
    </row>
    <row r="78" spans="2:22" s="15" customFormat="1" x14ac:dyDescent="0.25">
      <c r="B78" s="76" t="s">
        <v>922</v>
      </c>
      <c r="C78" s="1810">
        <v>43944</v>
      </c>
      <c r="D78" s="1811">
        <f>1199092801/10000000</f>
        <v>119.9092801</v>
      </c>
      <c r="E78" s="1810">
        <f>C78+29</f>
        <v>43973</v>
      </c>
      <c r="F78" s="1812">
        <v>44013</v>
      </c>
      <c r="G78" s="1813">
        <f>580400000/10000000</f>
        <v>58.04</v>
      </c>
      <c r="H78" s="1814"/>
      <c r="I78" s="803">
        <f>F78-E78</f>
        <v>40</v>
      </c>
      <c r="J78" s="76"/>
      <c r="K78" s="43"/>
      <c r="L78" s="43"/>
      <c r="M78" s="43"/>
      <c r="N78" s="43"/>
      <c r="O78" s="43"/>
      <c r="P78" s="43"/>
      <c r="Q78" s="43"/>
      <c r="R78" s="43"/>
      <c r="S78" s="43"/>
      <c r="T78" s="43"/>
      <c r="U78" s="43"/>
      <c r="V78" s="43"/>
    </row>
    <row r="79" spans="2:22" s="15" customFormat="1" x14ac:dyDescent="0.25">
      <c r="B79" s="76" t="s">
        <v>922</v>
      </c>
      <c r="C79" s="803"/>
      <c r="D79" s="1811"/>
      <c r="E79" s="803"/>
      <c r="F79" s="1812">
        <v>44027</v>
      </c>
      <c r="G79" s="1813">
        <f>618692801/10000000</f>
        <v>61.869280099999997</v>
      </c>
      <c r="H79" s="1814"/>
      <c r="I79" s="803">
        <f>F79-E78</f>
        <v>54</v>
      </c>
      <c r="J79" s="76"/>
      <c r="K79" s="43"/>
      <c r="L79" s="43"/>
      <c r="M79" s="43"/>
      <c r="N79" s="43"/>
      <c r="O79" s="43"/>
      <c r="P79" s="43"/>
      <c r="Q79" s="43"/>
      <c r="R79" s="43"/>
      <c r="S79" s="43"/>
      <c r="T79" s="43"/>
      <c r="U79" s="43"/>
      <c r="V79" s="43"/>
    </row>
    <row r="80" spans="2:22" s="15" customFormat="1" x14ac:dyDescent="0.25">
      <c r="B80" s="76" t="s">
        <v>922</v>
      </c>
      <c r="C80" s="161"/>
      <c r="D80" s="1808"/>
      <c r="E80" s="161"/>
      <c r="F80" s="1809"/>
      <c r="G80" s="1808"/>
      <c r="H80" s="161"/>
      <c r="I80" s="76"/>
      <c r="J80" s="76"/>
      <c r="K80" s="43"/>
      <c r="L80" s="43"/>
      <c r="M80" s="43"/>
      <c r="N80" s="43"/>
      <c r="O80" s="43"/>
      <c r="P80" s="43"/>
      <c r="Q80" s="43"/>
      <c r="R80" s="43"/>
      <c r="S80" s="43"/>
      <c r="T80" s="43"/>
      <c r="U80" s="43"/>
      <c r="V80" s="43"/>
    </row>
    <row r="81" spans="2:22" s="22" customFormat="1" x14ac:dyDescent="0.25">
      <c r="B81" s="76" t="s">
        <v>922</v>
      </c>
      <c r="C81" s="161"/>
      <c r="D81" s="1808"/>
      <c r="E81" s="161"/>
      <c r="F81" s="1809"/>
      <c r="G81" s="1808"/>
      <c r="H81" s="161"/>
      <c r="I81" s="76"/>
      <c r="J81" s="76"/>
      <c r="K81" s="224"/>
      <c r="L81" s="224"/>
      <c r="M81" s="224"/>
      <c r="N81" s="224"/>
      <c r="O81" s="224"/>
      <c r="P81" s="224"/>
      <c r="Q81" s="224"/>
      <c r="R81" s="224"/>
      <c r="S81" s="224"/>
      <c r="T81" s="224"/>
      <c r="U81" s="224"/>
      <c r="V81" s="224"/>
    </row>
    <row r="82" spans="2:22" s="22" customFormat="1" x14ac:dyDescent="0.25">
      <c r="B82" s="76"/>
      <c r="C82" s="161"/>
      <c r="D82" s="1808"/>
      <c r="E82" s="161"/>
      <c r="F82" s="1809"/>
      <c r="G82" s="1808"/>
      <c r="H82" s="161"/>
      <c r="I82" s="76"/>
      <c r="J82" s="76"/>
      <c r="K82" s="224"/>
      <c r="L82" s="224"/>
      <c r="M82" s="224"/>
      <c r="N82" s="224"/>
      <c r="O82" s="224"/>
      <c r="P82" s="224"/>
      <c r="Q82" s="224"/>
      <c r="R82" s="224"/>
      <c r="S82" s="224"/>
      <c r="T82" s="224"/>
      <c r="U82" s="224"/>
      <c r="V82" s="224"/>
    </row>
    <row r="83" spans="2:22" s="22" customFormat="1" x14ac:dyDescent="0.25">
      <c r="B83" s="76"/>
      <c r="C83" s="161"/>
      <c r="D83" s="1808"/>
      <c r="E83" s="161"/>
      <c r="F83" s="161"/>
      <c r="G83" s="1808"/>
      <c r="H83" s="161"/>
      <c r="I83" s="76"/>
      <c r="J83" s="76"/>
      <c r="K83" s="224"/>
      <c r="L83" s="224"/>
      <c r="M83" s="224"/>
      <c r="N83" s="224"/>
      <c r="O83" s="224"/>
      <c r="P83" s="224"/>
      <c r="Q83" s="224"/>
      <c r="R83" s="224"/>
      <c r="S83" s="224"/>
      <c r="T83" s="224"/>
      <c r="U83" s="224"/>
      <c r="V83" s="224"/>
    </row>
    <row r="84" spans="2:22" s="22" customFormat="1" x14ac:dyDescent="0.25">
      <c r="B84" s="76"/>
      <c r="C84" s="161"/>
      <c r="D84" s="1808"/>
      <c r="E84" s="161"/>
      <c r="F84" s="161"/>
      <c r="G84" s="1808"/>
      <c r="H84" s="161"/>
      <c r="I84" s="76"/>
      <c r="J84" s="76"/>
      <c r="K84" s="224"/>
      <c r="L84" s="224"/>
      <c r="M84" s="224"/>
      <c r="N84" s="224"/>
      <c r="O84" s="224"/>
      <c r="P84" s="224"/>
      <c r="Q84" s="224"/>
      <c r="R84" s="224"/>
      <c r="S84" s="224"/>
      <c r="T84" s="224"/>
      <c r="U84" s="224"/>
      <c r="V84" s="224"/>
    </row>
    <row r="85" spans="2:22" s="22" customFormat="1" x14ac:dyDescent="0.25">
      <c r="B85" s="177" t="s">
        <v>145</v>
      </c>
      <c r="C85" s="161"/>
      <c r="D85" s="1815">
        <f>SUM(D14:D84)</f>
        <v>1519.0592801</v>
      </c>
      <c r="E85" s="161"/>
      <c r="F85" s="161"/>
      <c r="G85" s="1815">
        <f>SUM(G14:G84)</f>
        <v>1519.0492800999998</v>
      </c>
      <c r="H85" s="161"/>
      <c r="I85" s="76"/>
      <c r="J85" s="76"/>
      <c r="K85" s="224"/>
      <c r="L85" s="224"/>
      <c r="M85" s="224"/>
      <c r="N85" s="224"/>
      <c r="O85" s="224"/>
      <c r="P85" s="224"/>
      <c r="Q85" s="224"/>
      <c r="R85" s="224"/>
      <c r="S85" s="224"/>
      <c r="T85" s="224"/>
      <c r="U85" s="224"/>
      <c r="V85" s="224"/>
    </row>
    <row r="86" spans="2:22" s="22" customFormat="1" x14ac:dyDescent="0.25">
      <c r="B86" s="224"/>
      <c r="C86" s="1801"/>
      <c r="D86" s="1802"/>
      <c r="E86" s="224"/>
      <c r="F86" s="224"/>
      <c r="G86" s="1802"/>
      <c r="H86" s="1803"/>
      <c r="I86" s="1804"/>
      <c r="J86" s="1805"/>
      <c r="K86" s="224"/>
      <c r="L86" s="224"/>
      <c r="M86" s="224"/>
      <c r="N86" s="224"/>
      <c r="O86" s="224"/>
      <c r="P86" s="224"/>
      <c r="Q86" s="224"/>
      <c r="R86" s="224"/>
      <c r="S86" s="224"/>
      <c r="T86" s="224"/>
      <c r="U86" s="224"/>
      <c r="V86" s="224"/>
    </row>
    <row r="87" spans="2:22" s="15" customFormat="1" x14ac:dyDescent="0.25">
      <c r="B87" s="224"/>
      <c r="C87" s="225"/>
      <c r="D87" s="225"/>
      <c r="E87" s="225"/>
      <c r="F87" s="804"/>
      <c r="G87" s="225"/>
      <c r="H87" s="804"/>
      <c r="I87" s="43"/>
      <c r="J87" s="43"/>
      <c r="K87" s="43"/>
      <c r="L87" s="43"/>
      <c r="M87" s="43"/>
      <c r="N87" s="43"/>
      <c r="O87" s="43"/>
      <c r="P87" s="43"/>
      <c r="Q87" s="43"/>
      <c r="R87" s="43"/>
      <c r="S87" s="43"/>
      <c r="T87" s="43"/>
      <c r="U87" s="43"/>
    </row>
    <row r="88" spans="2:22" s="15" customFormat="1" x14ac:dyDescent="0.25">
      <c r="B88" s="43"/>
      <c r="C88" s="225"/>
      <c r="D88" s="225"/>
      <c r="E88" s="225"/>
      <c r="F88" s="225"/>
      <c r="G88" s="225"/>
      <c r="H88" s="225"/>
      <c r="I88" s="43"/>
      <c r="J88" s="43"/>
      <c r="K88" s="43"/>
      <c r="L88" s="43"/>
      <c r="M88" s="43"/>
      <c r="N88" s="43"/>
      <c r="O88" s="43"/>
      <c r="P88" s="43"/>
      <c r="Q88" s="43"/>
      <c r="R88" s="43"/>
      <c r="S88" s="43"/>
      <c r="T88" s="43"/>
      <c r="U88" s="43"/>
    </row>
    <row r="89" spans="2:22" s="15" customFormat="1" x14ac:dyDescent="0.25">
      <c r="B89" s="224" t="s">
        <v>599</v>
      </c>
      <c r="C89" s="225"/>
      <c r="D89" s="225"/>
      <c r="E89" s="225"/>
      <c r="F89" s="225"/>
      <c r="G89" s="225"/>
      <c r="H89" s="225"/>
      <c r="I89" s="43"/>
      <c r="J89" s="43"/>
      <c r="K89" s="43"/>
      <c r="L89" s="43"/>
      <c r="M89" s="43"/>
      <c r="N89" s="43"/>
      <c r="O89" s="43"/>
      <c r="P89" s="43"/>
      <c r="Q89" s="43"/>
      <c r="R89" s="43"/>
      <c r="S89" s="43"/>
      <c r="T89" s="43"/>
      <c r="U89" s="43"/>
    </row>
    <row r="90" spans="2:22" s="15" customFormat="1" x14ac:dyDescent="0.25">
      <c r="K90" s="43"/>
      <c r="L90" s="43"/>
      <c r="M90" s="43"/>
      <c r="N90" s="43"/>
      <c r="O90" s="43"/>
      <c r="P90" s="43"/>
      <c r="Q90" s="43"/>
      <c r="R90" s="43"/>
      <c r="S90" s="43"/>
      <c r="T90" s="43"/>
      <c r="U90" s="43"/>
    </row>
    <row r="91" spans="2:22" s="15" customFormat="1" ht="14" customHeight="1" x14ac:dyDescent="0.25">
      <c r="B91" s="2461" t="s">
        <v>50</v>
      </c>
      <c r="C91" s="2464" t="s">
        <v>476</v>
      </c>
      <c r="D91" s="2465"/>
      <c r="E91" s="2466"/>
      <c r="F91" s="2464" t="s">
        <v>469</v>
      </c>
      <c r="G91" s="2465"/>
      <c r="H91" s="2466"/>
      <c r="I91" s="2471" t="s">
        <v>470</v>
      </c>
      <c r="J91" s="2471" t="s">
        <v>471</v>
      </c>
      <c r="K91" s="43"/>
      <c r="L91" s="43"/>
      <c r="M91" s="43"/>
      <c r="N91" s="43"/>
      <c r="O91" s="43"/>
      <c r="P91" s="43"/>
      <c r="Q91" s="43"/>
      <c r="R91" s="43"/>
      <c r="S91" s="43"/>
      <c r="T91" s="43"/>
      <c r="U91" s="43"/>
    </row>
    <row r="92" spans="2:22" s="15" customFormat="1" ht="28" x14ac:dyDescent="0.25">
      <c r="B92" s="2463"/>
      <c r="C92" s="1827" t="s">
        <v>472</v>
      </c>
      <c r="D92" s="1806" t="s">
        <v>473</v>
      </c>
      <c r="E92" s="1827" t="s">
        <v>474</v>
      </c>
      <c r="F92" s="1827" t="s">
        <v>472</v>
      </c>
      <c r="G92" s="1806" t="s">
        <v>473</v>
      </c>
      <c r="H92" s="1826" t="s">
        <v>477</v>
      </c>
      <c r="I92" s="2471"/>
      <c r="J92" s="2471"/>
      <c r="K92" s="43"/>
      <c r="L92" s="43"/>
      <c r="M92" s="43"/>
      <c r="N92" s="43"/>
      <c r="O92" s="43"/>
      <c r="P92" s="43"/>
      <c r="Q92" s="43"/>
      <c r="R92" s="43"/>
      <c r="S92" s="43"/>
      <c r="T92" s="43"/>
      <c r="U92" s="43"/>
    </row>
    <row r="93" spans="2:22" s="15" customFormat="1" x14ac:dyDescent="0.25">
      <c r="B93" s="226"/>
      <c r="C93" s="227"/>
      <c r="D93" s="1816"/>
      <c r="E93" s="227"/>
      <c r="F93" s="227"/>
      <c r="G93" s="1816"/>
      <c r="H93" s="112"/>
      <c r="I93" s="112"/>
      <c r="J93" s="112"/>
      <c r="K93" s="43"/>
      <c r="L93" s="43"/>
      <c r="M93" s="43"/>
      <c r="N93" s="43"/>
      <c r="O93" s="43"/>
      <c r="P93" s="43"/>
      <c r="Q93" s="43"/>
      <c r="R93" s="43"/>
      <c r="S93" s="43"/>
      <c r="T93" s="43"/>
      <c r="U93" s="43"/>
    </row>
    <row r="94" spans="2:22" s="22" customFormat="1" x14ac:dyDescent="0.25">
      <c r="B94" s="177" t="s">
        <v>478</v>
      </c>
      <c r="C94" s="161"/>
      <c r="D94" s="1808"/>
      <c r="E94" s="161"/>
      <c r="F94" s="161"/>
      <c r="G94" s="1808"/>
      <c r="H94" s="161"/>
      <c r="I94" s="76"/>
      <c r="J94" s="76"/>
      <c r="K94" s="43"/>
      <c r="L94" s="43"/>
      <c r="M94" s="43"/>
      <c r="N94" s="43"/>
      <c r="O94" s="43"/>
      <c r="P94" s="43"/>
      <c r="Q94" s="43"/>
      <c r="R94" s="43"/>
      <c r="S94" s="43"/>
      <c r="T94" s="43"/>
      <c r="U94" s="43"/>
    </row>
    <row r="95" spans="2:22" s="22" customFormat="1" x14ac:dyDescent="0.25">
      <c r="B95" s="177"/>
      <c r="C95" s="161"/>
      <c r="D95" s="1808"/>
      <c r="E95" s="161"/>
      <c r="F95" s="161"/>
      <c r="G95" s="1808"/>
      <c r="H95" s="161"/>
      <c r="I95" s="76"/>
      <c r="J95" s="76"/>
      <c r="K95" s="43"/>
      <c r="L95" s="43"/>
      <c r="M95" s="43"/>
      <c r="N95" s="43"/>
      <c r="O95" s="43"/>
      <c r="P95" s="43"/>
      <c r="Q95" s="43"/>
      <c r="R95" s="43"/>
      <c r="S95" s="43"/>
      <c r="T95" s="43"/>
      <c r="U95" s="43"/>
    </row>
    <row r="96" spans="2:22" s="22" customFormat="1" x14ac:dyDescent="0.25">
      <c r="B96" s="76" t="s">
        <v>479</v>
      </c>
      <c r="C96" s="161"/>
      <c r="D96" s="161"/>
      <c r="E96" s="161"/>
      <c r="F96" s="161"/>
      <c r="G96" s="1808"/>
      <c r="H96" s="161"/>
      <c r="I96" s="76"/>
      <c r="J96" s="76"/>
      <c r="K96" s="43"/>
      <c r="L96" s="43"/>
      <c r="M96" s="43"/>
      <c r="N96" s="43"/>
      <c r="O96" s="43"/>
      <c r="P96" s="43"/>
      <c r="Q96" s="43"/>
      <c r="R96" s="43"/>
      <c r="S96" s="43"/>
      <c r="T96" s="43"/>
      <c r="U96" s="43"/>
    </row>
    <row r="97" spans="2:21" s="22" customFormat="1" x14ac:dyDescent="0.25">
      <c r="B97" s="76" t="s">
        <v>1849</v>
      </c>
      <c r="C97" s="1817">
        <v>43617</v>
      </c>
      <c r="D97" s="25">
        <v>0.22</v>
      </c>
      <c r="E97" s="1818">
        <v>43630</v>
      </c>
      <c r="F97" s="1818">
        <v>43630</v>
      </c>
      <c r="G97" s="1819">
        <v>0.22</v>
      </c>
      <c r="H97" s="1820">
        <v>1</v>
      </c>
      <c r="I97" s="76">
        <f t="shared" ref="I97:I106" si="0">F97-E97</f>
        <v>0</v>
      </c>
      <c r="J97" s="76">
        <v>0</v>
      </c>
      <c r="K97" s="43"/>
      <c r="L97" s="43"/>
      <c r="M97" s="43"/>
      <c r="N97" s="43"/>
      <c r="O97" s="43"/>
      <c r="P97" s="43"/>
      <c r="Q97" s="43"/>
      <c r="R97" s="43"/>
      <c r="S97" s="43"/>
      <c r="T97" s="43"/>
      <c r="U97" s="43"/>
    </row>
    <row r="98" spans="2:21" s="22" customFormat="1" x14ac:dyDescent="0.25">
      <c r="B98" s="76"/>
      <c r="C98" s="1817">
        <v>43647</v>
      </c>
      <c r="D98" s="25">
        <v>0.22</v>
      </c>
      <c r="E98" s="1818">
        <v>43661</v>
      </c>
      <c r="F98" s="1818">
        <v>43662</v>
      </c>
      <c r="G98" s="1819">
        <v>0.22</v>
      </c>
      <c r="H98" s="1820">
        <v>1</v>
      </c>
      <c r="I98" s="76">
        <f t="shared" si="0"/>
        <v>1</v>
      </c>
      <c r="J98" s="76">
        <v>0</v>
      </c>
      <c r="K98" s="43"/>
      <c r="L98" s="43"/>
      <c r="M98" s="43"/>
      <c r="N98" s="43"/>
      <c r="O98" s="43"/>
      <c r="P98" s="43"/>
      <c r="Q98" s="43"/>
      <c r="R98" s="43"/>
      <c r="S98" s="43"/>
      <c r="T98" s="43"/>
      <c r="U98" s="43"/>
    </row>
    <row r="99" spans="2:21" s="22" customFormat="1" x14ac:dyDescent="0.25">
      <c r="B99" s="76"/>
      <c r="C99" s="1817">
        <v>43678</v>
      </c>
      <c r="D99" s="25">
        <v>0.22</v>
      </c>
      <c r="E99" s="1818">
        <v>43691</v>
      </c>
      <c r="F99" s="1818">
        <v>43691</v>
      </c>
      <c r="G99" s="1819">
        <v>0.22</v>
      </c>
      <c r="H99" s="1820">
        <v>1</v>
      </c>
      <c r="I99" s="76">
        <f t="shared" si="0"/>
        <v>0</v>
      </c>
      <c r="J99" s="76">
        <v>0</v>
      </c>
      <c r="K99" s="43"/>
      <c r="L99" s="43"/>
      <c r="M99" s="43"/>
      <c r="N99" s="43"/>
      <c r="O99" s="43"/>
      <c r="P99" s="43"/>
      <c r="Q99" s="43"/>
      <c r="R99" s="43"/>
      <c r="S99" s="43"/>
      <c r="T99" s="43"/>
      <c r="U99" s="43"/>
    </row>
    <row r="100" spans="2:21" s="15" customFormat="1" x14ac:dyDescent="0.25">
      <c r="B100" s="76"/>
      <c r="C100" s="1817">
        <v>43709</v>
      </c>
      <c r="D100" s="25">
        <v>0.22</v>
      </c>
      <c r="E100" s="1818">
        <v>43721</v>
      </c>
      <c r="F100" s="1818">
        <v>43721</v>
      </c>
      <c r="G100" s="1819">
        <v>0.22</v>
      </c>
      <c r="H100" s="1820">
        <v>1</v>
      </c>
      <c r="I100" s="76">
        <f t="shared" si="0"/>
        <v>0</v>
      </c>
      <c r="J100" s="76">
        <v>0</v>
      </c>
      <c r="K100" s="43"/>
      <c r="L100" s="43"/>
      <c r="M100" s="43"/>
      <c r="N100" s="43"/>
      <c r="O100" s="43"/>
      <c r="P100" s="43"/>
      <c r="Q100" s="43"/>
      <c r="R100" s="43"/>
      <c r="S100" s="43"/>
      <c r="T100" s="43"/>
      <c r="U100" s="43"/>
    </row>
    <row r="101" spans="2:21" s="15" customFormat="1" x14ac:dyDescent="0.25">
      <c r="B101" s="76"/>
      <c r="C101" s="1817">
        <v>43739</v>
      </c>
      <c r="D101" s="25">
        <v>0.22</v>
      </c>
      <c r="E101" s="1818">
        <v>43753</v>
      </c>
      <c r="F101" s="1818">
        <v>43753</v>
      </c>
      <c r="G101" s="1819">
        <v>0.22</v>
      </c>
      <c r="H101" s="1820">
        <v>1</v>
      </c>
      <c r="I101" s="76">
        <f t="shared" si="0"/>
        <v>0</v>
      </c>
      <c r="J101" s="76">
        <v>0</v>
      </c>
      <c r="K101" s="43"/>
      <c r="L101" s="43"/>
      <c r="M101" s="43"/>
      <c r="N101" s="43"/>
      <c r="O101" s="43"/>
      <c r="P101" s="43"/>
      <c r="Q101" s="43"/>
      <c r="R101" s="43"/>
      <c r="S101" s="43"/>
      <c r="T101" s="43"/>
      <c r="U101" s="43"/>
    </row>
    <row r="102" spans="2:21" s="15" customFormat="1" x14ac:dyDescent="0.25">
      <c r="B102" s="76"/>
      <c r="C102" s="1817">
        <v>43770</v>
      </c>
      <c r="D102" s="25">
        <v>0.22</v>
      </c>
      <c r="E102" s="1818">
        <v>43784</v>
      </c>
      <c r="F102" s="1818">
        <v>43784</v>
      </c>
      <c r="G102" s="1819">
        <v>0.22</v>
      </c>
      <c r="H102" s="1820">
        <v>1</v>
      </c>
      <c r="I102" s="76">
        <f t="shared" si="0"/>
        <v>0</v>
      </c>
      <c r="J102" s="76">
        <v>0</v>
      </c>
      <c r="K102" s="43"/>
      <c r="L102" s="43"/>
      <c r="M102" s="43"/>
      <c r="N102" s="43"/>
      <c r="O102" s="43"/>
      <c r="P102" s="43"/>
      <c r="Q102" s="43"/>
      <c r="R102" s="43"/>
      <c r="S102" s="43"/>
      <c r="T102" s="43"/>
      <c r="U102" s="43"/>
    </row>
    <row r="103" spans="2:21" s="15" customFormat="1" x14ac:dyDescent="0.25">
      <c r="B103" s="76"/>
      <c r="C103" s="1817">
        <v>43800</v>
      </c>
      <c r="D103" s="25">
        <v>0.22</v>
      </c>
      <c r="E103" s="1818">
        <v>43812</v>
      </c>
      <c r="F103" s="1818">
        <v>43812</v>
      </c>
      <c r="G103" s="1819">
        <v>0.22</v>
      </c>
      <c r="H103" s="1820">
        <v>1</v>
      </c>
      <c r="I103" s="76">
        <f t="shared" si="0"/>
        <v>0</v>
      </c>
      <c r="J103" s="76">
        <v>0</v>
      </c>
      <c r="K103" s="43"/>
      <c r="L103" s="43"/>
      <c r="M103" s="43"/>
      <c r="N103" s="43"/>
      <c r="O103" s="43"/>
      <c r="P103" s="43"/>
      <c r="Q103" s="43"/>
      <c r="R103" s="43"/>
      <c r="S103" s="43"/>
      <c r="T103" s="43"/>
      <c r="U103" s="43"/>
    </row>
    <row r="104" spans="2:21" s="15" customFormat="1" x14ac:dyDescent="0.25">
      <c r="B104" s="76"/>
      <c r="C104" s="1817">
        <v>43831</v>
      </c>
      <c r="D104" s="25">
        <v>0.22</v>
      </c>
      <c r="E104" s="1818">
        <v>43845</v>
      </c>
      <c r="F104" s="1818">
        <v>43845</v>
      </c>
      <c r="G104" s="1819">
        <v>0.22</v>
      </c>
      <c r="H104" s="1820">
        <v>1</v>
      </c>
      <c r="I104" s="76">
        <f t="shared" si="0"/>
        <v>0</v>
      </c>
      <c r="J104" s="76">
        <v>0</v>
      </c>
      <c r="K104" s="43"/>
      <c r="L104" s="43"/>
      <c r="M104" s="43"/>
      <c r="N104" s="43"/>
      <c r="O104" s="43"/>
      <c r="P104" s="43"/>
      <c r="Q104" s="43"/>
      <c r="R104" s="43"/>
      <c r="S104" s="43"/>
      <c r="T104" s="43"/>
      <c r="U104" s="43"/>
    </row>
    <row r="105" spans="2:21" s="15" customFormat="1" x14ac:dyDescent="0.25">
      <c r="B105" s="76"/>
      <c r="C105" s="1817">
        <v>43862</v>
      </c>
      <c r="D105" s="25">
        <v>0.22</v>
      </c>
      <c r="E105" s="1818">
        <v>43875</v>
      </c>
      <c r="F105" s="1818">
        <v>43875</v>
      </c>
      <c r="G105" s="1819">
        <v>0.22</v>
      </c>
      <c r="H105" s="1820">
        <v>1</v>
      </c>
      <c r="I105" s="76">
        <f t="shared" si="0"/>
        <v>0</v>
      </c>
      <c r="J105" s="76">
        <v>0</v>
      </c>
      <c r="K105" s="43"/>
      <c r="L105" s="43"/>
      <c r="M105" s="43"/>
      <c r="N105" s="43"/>
      <c r="O105" s="43"/>
      <c r="P105" s="43"/>
      <c r="Q105" s="43"/>
      <c r="R105" s="43"/>
      <c r="S105" s="43"/>
      <c r="T105" s="43"/>
      <c r="U105" s="43"/>
    </row>
    <row r="106" spans="2:21" s="15" customFormat="1" x14ac:dyDescent="0.25">
      <c r="B106" s="76"/>
      <c r="C106" s="1817">
        <v>43891</v>
      </c>
      <c r="D106" s="25">
        <v>0.22</v>
      </c>
      <c r="E106" s="1818">
        <v>43903</v>
      </c>
      <c r="F106" s="1818">
        <v>43906</v>
      </c>
      <c r="G106" s="1819">
        <v>0.22</v>
      </c>
      <c r="H106" s="1820">
        <v>1</v>
      </c>
      <c r="I106" s="76">
        <f t="shared" si="0"/>
        <v>3</v>
      </c>
      <c r="J106" s="76">
        <v>0</v>
      </c>
      <c r="K106" s="43"/>
      <c r="L106" s="43"/>
      <c r="M106" s="43"/>
      <c r="N106" s="43"/>
      <c r="O106" s="43"/>
      <c r="P106" s="43"/>
      <c r="Q106" s="43"/>
      <c r="R106" s="43"/>
      <c r="S106" s="43"/>
      <c r="T106" s="43"/>
      <c r="U106" s="43"/>
    </row>
    <row r="107" spans="2:21" s="15" customFormat="1" x14ac:dyDescent="0.25">
      <c r="B107" s="76" t="s">
        <v>480</v>
      </c>
      <c r="C107" s="1821"/>
      <c r="D107" s="161"/>
      <c r="E107" s="161"/>
      <c r="F107" s="161"/>
      <c r="G107" s="1808"/>
      <c r="H107" s="161"/>
      <c r="I107" s="76"/>
      <c r="J107" s="76"/>
      <c r="K107" s="43"/>
      <c r="L107" s="43"/>
      <c r="M107" s="43"/>
      <c r="N107" s="43"/>
      <c r="O107" s="43"/>
      <c r="P107" s="43"/>
      <c r="Q107" s="43"/>
      <c r="R107" s="43"/>
      <c r="S107" s="43"/>
      <c r="T107" s="43"/>
      <c r="U107" s="43"/>
    </row>
    <row r="108" spans="2:21" s="15" customFormat="1" x14ac:dyDescent="0.25">
      <c r="B108" s="76" t="s">
        <v>1850</v>
      </c>
      <c r="C108" s="1828" t="s">
        <v>1851</v>
      </c>
      <c r="D108" s="25">
        <v>13.41</v>
      </c>
      <c r="E108" s="1818">
        <v>43691</v>
      </c>
      <c r="F108" s="1818">
        <v>43697</v>
      </c>
      <c r="G108" s="1819">
        <v>13.41</v>
      </c>
      <c r="H108" s="1820">
        <v>1</v>
      </c>
      <c r="I108" s="76">
        <f t="shared" ref="I108:I111" si="1">F108-E108</f>
        <v>6</v>
      </c>
      <c r="J108" s="76">
        <v>0</v>
      </c>
      <c r="K108" s="43"/>
      <c r="L108" s="43"/>
      <c r="M108" s="43"/>
      <c r="N108" s="43"/>
      <c r="O108" s="43"/>
      <c r="P108" s="43"/>
      <c r="Q108" s="43"/>
      <c r="R108" s="43"/>
      <c r="S108" s="43"/>
      <c r="T108" s="43"/>
      <c r="U108" s="43"/>
    </row>
    <row r="109" spans="2:21" s="15" customFormat="1" x14ac:dyDescent="0.25">
      <c r="B109" s="76"/>
      <c r="C109" s="1828" t="s">
        <v>1851</v>
      </c>
      <c r="D109" s="25">
        <v>10.6</v>
      </c>
      <c r="E109" s="1818">
        <v>43691</v>
      </c>
      <c r="F109" s="1818">
        <v>43697</v>
      </c>
      <c r="G109" s="1819">
        <v>10.6</v>
      </c>
      <c r="H109" s="1820">
        <v>1</v>
      </c>
      <c r="I109" s="76">
        <f t="shared" si="1"/>
        <v>6</v>
      </c>
      <c r="J109" s="76">
        <v>0</v>
      </c>
      <c r="K109" s="43"/>
      <c r="L109" s="43"/>
      <c r="M109" s="43"/>
      <c r="N109" s="43"/>
      <c r="O109" s="43"/>
      <c r="P109" s="43"/>
      <c r="Q109" s="43"/>
      <c r="R109" s="43"/>
      <c r="S109" s="43"/>
      <c r="T109" s="43"/>
      <c r="U109" s="43"/>
    </row>
    <row r="110" spans="2:21" s="15" customFormat="1" x14ac:dyDescent="0.25">
      <c r="B110" s="76"/>
      <c r="C110" s="1828" t="s">
        <v>1851</v>
      </c>
      <c r="D110" s="25">
        <v>8.09</v>
      </c>
      <c r="E110" s="1818">
        <v>43691</v>
      </c>
      <c r="F110" s="1818">
        <v>43697</v>
      </c>
      <c r="G110" s="1819">
        <v>8.09</v>
      </c>
      <c r="H110" s="1820">
        <v>1</v>
      </c>
      <c r="I110" s="76">
        <f t="shared" si="1"/>
        <v>6</v>
      </c>
      <c r="J110" s="76">
        <v>0</v>
      </c>
      <c r="K110" s="43"/>
      <c r="L110" s="43"/>
      <c r="M110" s="43"/>
      <c r="N110" s="43"/>
      <c r="O110" s="43"/>
      <c r="P110" s="43"/>
      <c r="Q110" s="43"/>
      <c r="R110" s="43"/>
      <c r="S110" s="43"/>
      <c r="T110" s="43"/>
      <c r="U110" s="43"/>
    </row>
    <row r="111" spans="2:21" s="15" customFormat="1" x14ac:dyDescent="0.25">
      <c r="B111" s="76"/>
      <c r="C111" s="1828" t="s">
        <v>1851</v>
      </c>
      <c r="D111" s="25">
        <v>7.44</v>
      </c>
      <c r="E111" s="1818">
        <v>43691</v>
      </c>
      <c r="F111" s="1818">
        <v>43697</v>
      </c>
      <c r="G111" s="1819">
        <v>7.44</v>
      </c>
      <c r="H111" s="1820">
        <v>1</v>
      </c>
      <c r="I111" s="76">
        <f t="shared" si="1"/>
        <v>6</v>
      </c>
      <c r="J111" s="76">
        <v>0</v>
      </c>
      <c r="K111" s="43"/>
      <c r="L111" s="43"/>
      <c r="M111" s="43"/>
      <c r="N111" s="43"/>
      <c r="O111" s="43"/>
      <c r="P111" s="43"/>
      <c r="Q111" s="43"/>
      <c r="R111" s="43"/>
      <c r="S111" s="43"/>
      <c r="T111" s="43"/>
      <c r="U111" s="43"/>
    </row>
    <row r="112" spans="2:21" s="15" customFormat="1" x14ac:dyDescent="0.25">
      <c r="B112" s="76"/>
      <c r="C112" s="161"/>
      <c r="D112" s="1808"/>
      <c r="E112" s="161"/>
      <c r="F112" s="161"/>
      <c r="G112" s="1808"/>
      <c r="H112" s="161"/>
      <c r="I112" s="76"/>
      <c r="J112" s="76"/>
      <c r="K112" s="43"/>
      <c r="L112" s="43"/>
      <c r="M112" s="43"/>
      <c r="N112" s="43"/>
      <c r="O112" s="43"/>
      <c r="P112" s="43"/>
      <c r="Q112" s="43"/>
      <c r="R112" s="43"/>
      <c r="S112" s="43"/>
      <c r="T112" s="43"/>
      <c r="U112" s="43"/>
    </row>
    <row r="113" spans="2:22" s="15" customFormat="1" x14ac:dyDescent="0.25">
      <c r="B113" s="76"/>
      <c r="C113" s="161"/>
      <c r="D113" s="1808"/>
      <c r="E113" s="161"/>
      <c r="F113" s="161"/>
      <c r="G113" s="1808"/>
      <c r="H113" s="161"/>
      <c r="I113" s="76"/>
      <c r="J113" s="76"/>
      <c r="K113" s="43"/>
      <c r="L113" s="43"/>
      <c r="M113" s="43"/>
      <c r="N113" s="43"/>
      <c r="O113" s="43"/>
      <c r="P113" s="43"/>
      <c r="Q113" s="43"/>
      <c r="R113" s="43"/>
      <c r="S113" s="43"/>
      <c r="T113" s="43"/>
      <c r="U113" s="43"/>
    </row>
    <row r="114" spans="2:22" s="15" customFormat="1" x14ac:dyDescent="0.25">
      <c r="B114" s="76"/>
      <c r="C114" s="161"/>
      <c r="D114" s="1808"/>
      <c r="E114" s="161"/>
      <c r="F114" s="161"/>
      <c r="G114" s="1808"/>
      <c r="H114" s="161"/>
      <c r="I114" s="76"/>
      <c r="J114" s="76"/>
      <c r="K114" s="43"/>
      <c r="L114" s="43"/>
      <c r="M114" s="43"/>
      <c r="N114" s="43"/>
      <c r="O114" s="43"/>
      <c r="P114" s="43"/>
      <c r="Q114" s="43"/>
      <c r="R114" s="43"/>
      <c r="S114" s="43"/>
      <c r="T114" s="43"/>
      <c r="U114" s="43"/>
    </row>
    <row r="115" spans="2:22" s="15" customFormat="1" x14ac:dyDescent="0.25">
      <c r="B115" s="177" t="s">
        <v>145</v>
      </c>
      <c r="C115" s="161"/>
      <c r="D115" s="1815">
        <f>SUM(D97:D111)</f>
        <v>41.739999999999995</v>
      </c>
      <c r="E115" s="476"/>
      <c r="F115" s="476"/>
      <c r="G115" s="1815">
        <f>SUM(G97:G111)</f>
        <v>41.739999999999995</v>
      </c>
      <c r="H115" s="161"/>
      <c r="I115" s="76"/>
      <c r="J115" s="76"/>
      <c r="K115" s="43"/>
      <c r="L115" s="43"/>
      <c r="M115" s="43"/>
      <c r="N115" s="43"/>
      <c r="O115" s="43"/>
      <c r="P115" s="43"/>
      <c r="Q115" s="43"/>
      <c r="R115" s="43"/>
      <c r="S115" s="43"/>
      <c r="T115" s="43"/>
      <c r="U115" s="43"/>
    </row>
    <row r="116" spans="2:22" s="15" customFormat="1" x14ac:dyDescent="0.25">
      <c r="K116" s="43"/>
      <c r="L116" s="43"/>
      <c r="M116" s="43"/>
      <c r="N116" s="43"/>
      <c r="O116" s="43"/>
      <c r="P116" s="43"/>
      <c r="Q116" s="43"/>
      <c r="R116" s="43"/>
      <c r="S116" s="43"/>
      <c r="T116" s="43"/>
      <c r="U116" s="43"/>
    </row>
    <row r="117" spans="2:22" x14ac:dyDescent="0.3">
      <c r="B117" s="1786"/>
      <c r="C117" s="9"/>
      <c r="D117" s="40"/>
      <c r="E117" s="40"/>
      <c r="F117" s="40"/>
      <c r="G117" s="40"/>
      <c r="H117" s="40"/>
      <c r="I117" s="40"/>
    </row>
    <row r="118" spans="2:22" s="15" customFormat="1" x14ac:dyDescent="0.25">
      <c r="B118" s="57" t="s">
        <v>699</v>
      </c>
      <c r="C118" s="68"/>
      <c r="D118" s="68"/>
      <c r="E118" s="68"/>
      <c r="F118" s="68"/>
      <c r="G118" s="68"/>
      <c r="H118" s="68"/>
    </row>
    <row r="119" spans="2:22" s="15" customFormat="1" x14ac:dyDescent="0.25">
      <c r="B119" s="57"/>
      <c r="C119" s="68"/>
      <c r="D119" s="68"/>
      <c r="E119" s="68"/>
      <c r="F119" s="68"/>
      <c r="G119" s="68"/>
      <c r="H119" s="68"/>
    </row>
    <row r="120" spans="2:22" s="15" customFormat="1" x14ac:dyDescent="0.25">
      <c r="B120" s="57" t="s">
        <v>773</v>
      </c>
      <c r="C120" s="68"/>
      <c r="D120" s="68"/>
      <c r="E120" s="68"/>
      <c r="F120" s="68"/>
      <c r="G120" s="68"/>
      <c r="H120" s="68"/>
    </row>
    <row r="121" spans="2:22" s="15" customFormat="1" x14ac:dyDescent="0.25">
      <c r="B121" s="57"/>
      <c r="C121" s="68"/>
      <c r="D121" s="68"/>
      <c r="E121" s="68"/>
      <c r="F121" s="68"/>
      <c r="G121" s="68"/>
      <c r="H121" s="68"/>
    </row>
    <row r="122" spans="2:22" s="15" customFormat="1" ht="14" customHeight="1" x14ac:dyDescent="0.25">
      <c r="B122" s="2461" t="s">
        <v>50</v>
      </c>
      <c r="C122" s="2464" t="s">
        <v>468</v>
      </c>
      <c r="D122" s="2465"/>
      <c r="E122" s="2466"/>
      <c r="F122" s="2464" t="s">
        <v>469</v>
      </c>
      <c r="G122" s="2465"/>
      <c r="H122" s="2466"/>
      <c r="I122" s="2471" t="s">
        <v>470</v>
      </c>
      <c r="J122" s="2471" t="s">
        <v>471</v>
      </c>
      <c r="K122" s="43"/>
      <c r="L122" s="43"/>
      <c r="M122" s="43"/>
      <c r="N122" s="43"/>
      <c r="O122" s="43"/>
      <c r="P122" s="43"/>
      <c r="Q122" s="43"/>
      <c r="R122" s="43"/>
      <c r="S122" s="43"/>
      <c r="T122" s="43"/>
      <c r="U122" s="43"/>
      <c r="V122" s="43"/>
    </row>
    <row r="123" spans="2:22" s="15" customFormat="1" ht="28" x14ac:dyDescent="0.25">
      <c r="B123" s="2463"/>
      <c r="C123" s="1827" t="s">
        <v>472</v>
      </c>
      <c r="D123" s="1806" t="s">
        <v>473</v>
      </c>
      <c r="E123" s="1827" t="s">
        <v>474</v>
      </c>
      <c r="F123" s="1827" t="s">
        <v>472</v>
      </c>
      <c r="G123" s="1806" t="s">
        <v>473</v>
      </c>
      <c r="H123" s="1826" t="s">
        <v>475</v>
      </c>
      <c r="I123" s="2471"/>
      <c r="J123" s="2471"/>
      <c r="K123" s="43"/>
      <c r="L123" s="43"/>
      <c r="M123" s="43"/>
      <c r="N123" s="43"/>
      <c r="O123" s="43"/>
      <c r="P123" s="43"/>
      <c r="Q123" s="43"/>
      <c r="R123" s="43"/>
      <c r="S123" s="43"/>
      <c r="T123" s="43"/>
      <c r="U123" s="43"/>
      <c r="V123" s="43"/>
    </row>
    <row r="124" spans="2:22" s="22" customFormat="1" x14ac:dyDescent="0.25">
      <c r="B124" s="76"/>
      <c r="C124" s="69"/>
      <c r="D124" s="1807"/>
      <c r="E124" s="69"/>
      <c r="F124" s="69"/>
      <c r="G124" s="1829"/>
      <c r="H124" s="69"/>
      <c r="I124" s="25"/>
      <c r="J124" s="25"/>
      <c r="K124" s="43"/>
      <c r="L124" s="43"/>
      <c r="M124" s="43"/>
      <c r="N124" s="43"/>
      <c r="O124" s="43"/>
      <c r="P124" s="43"/>
      <c r="Q124" s="43"/>
      <c r="R124" s="43"/>
      <c r="S124" s="43"/>
      <c r="T124" s="43"/>
      <c r="U124" s="43"/>
      <c r="V124" s="43"/>
    </row>
    <row r="125" spans="2:22" s="22" customFormat="1" x14ac:dyDescent="0.25">
      <c r="B125" s="76"/>
      <c r="C125" s="803"/>
      <c r="D125" s="1830"/>
      <c r="E125" s="803"/>
      <c r="F125" s="803"/>
      <c r="G125" s="1811"/>
      <c r="H125" s="803"/>
      <c r="I125" s="803"/>
      <c r="J125" s="76"/>
      <c r="K125" s="43"/>
      <c r="L125" s="43"/>
      <c r="M125" s="43"/>
      <c r="N125" s="43"/>
      <c r="O125" s="43"/>
      <c r="P125" s="43"/>
      <c r="Q125" s="43"/>
      <c r="R125" s="43"/>
      <c r="S125" s="43"/>
      <c r="T125" s="43"/>
      <c r="U125" s="43"/>
      <c r="V125" s="43"/>
    </row>
    <row r="126" spans="2:22" s="22" customFormat="1" x14ac:dyDescent="0.25">
      <c r="B126" s="76" t="s">
        <v>922</v>
      </c>
      <c r="C126" s="1812">
        <v>43965</v>
      </c>
      <c r="D126" s="1831">
        <f>1055061371/10000000</f>
        <v>105.5061371</v>
      </c>
      <c r="E126" s="1832">
        <f>C126+29</f>
        <v>43994</v>
      </c>
      <c r="F126" s="1810">
        <v>44042</v>
      </c>
      <c r="G126" s="1833">
        <f>500000000/10000000</f>
        <v>50</v>
      </c>
      <c r="H126" s="803"/>
      <c r="I126" s="803">
        <f>F126-E126</f>
        <v>48</v>
      </c>
      <c r="J126" s="76"/>
      <c r="K126" s="43"/>
      <c r="L126" s="43"/>
      <c r="M126" s="43"/>
      <c r="N126" s="43"/>
      <c r="O126" s="43"/>
      <c r="P126" s="43"/>
      <c r="Q126" s="43"/>
      <c r="R126" s="43"/>
      <c r="S126" s="43"/>
      <c r="T126" s="43"/>
      <c r="U126" s="43"/>
      <c r="V126" s="43"/>
    </row>
    <row r="127" spans="2:22" s="22" customFormat="1" x14ac:dyDescent="0.25">
      <c r="B127" s="76" t="s">
        <v>922</v>
      </c>
      <c r="C127" s="803"/>
      <c r="D127" s="1834"/>
      <c r="E127" s="803"/>
      <c r="F127" s="1810">
        <v>44061</v>
      </c>
      <c r="G127" s="1813">
        <f>100000000/10000000</f>
        <v>10</v>
      </c>
      <c r="H127" s="803"/>
      <c r="I127" s="803">
        <f>F127-E126</f>
        <v>67</v>
      </c>
      <c r="J127" s="76"/>
      <c r="K127" s="43"/>
      <c r="L127" s="43"/>
      <c r="M127" s="43"/>
      <c r="N127" s="43"/>
      <c r="O127" s="43"/>
      <c r="P127" s="43"/>
      <c r="Q127" s="43"/>
      <c r="R127" s="43"/>
      <c r="S127" s="43"/>
      <c r="T127" s="43"/>
      <c r="U127" s="43"/>
      <c r="V127" s="43"/>
    </row>
    <row r="128" spans="2:22" s="22" customFormat="1" x14ac:dyDescent="0.25">
      <c r="B128" s="76" t="s">
        <v>922</v>
      </c>
      <c r="C128" s="803"/>
      <c r="D128" s="1811"/>
      <c r="E128" s="803"/>
      <c r="F128" s="1810">
        <v>44061</v>
      </c>
      <c r="G128" s="1813">
        <f>100000000/10000000</f>
        <v>10</v>
      </c>
      <c r="H128" s="803"/>
      <c r="I128" s="803">
        <f>F128-E126</f>
        <v>67</v>
      </c>
      <c r="J128" s="76"/>
      <c r="K128" s="43"/>
      <c r="L128" s="43"/>
      <c r="M128" s="43"/>
      <c r="N128" s="43"/>
      <c r="O128" s="43"/>
      <c r="P128" s="43"/>
      <c r="Q128" s="43"/>
      <c r="R128" s="43"/>
      <c r="S128" s="43"/>
      <c r="T128" s="43"/>
      <c r="U128" s="43"/>
      <c r="V128" s="43"/>
    </row>
    <row r="129" spans="2:22" s="22" customFormat="1" x14ac:dyDescent="0.25">
      <c r="B129" s="76" t="s">
        <v>922</v>
      </c>
      <c r="C129" s="803"/>
      <c r="D129" s="1811"/>
      <c r="E129" s="803"/>
      <c r="F129" s="1810">
        <v>44070</v>
      </c>
      <c r="G129" s="1813">
        <f>100000000/10000000</f>
        <v>10</v>
      </c>
      <c r="H129" s="803"/>
      <c r="I129" s="803">
        <f>F129-E126</f>
        <v>76</v>
      </c>
      <c r="J129" s="76"/>
      <c r="K129" s="43"/>
      <c r="L129" s="43"/>
      <c r="M129" s="43"/>
      <c r="N129" s="43"/>
      <c r="O129" s="43"/>
      <c r="P129" s="43"/>
      <c r="Q129" s="43"/>
      <c r="R129" s="43"/>
      <c r="S129" s="43"/>
      <c r="T129" s="43"/>
      <c r="U129" s="43"/>
      <c r="V129" s="43"/>
    </row>
    <row r="130" spans="2:22" s="22" customFormat="1" x14ac:dyDescent="0.25">
      <c r="B130" s="76" t="s">
        <v>922</v>
      </c>
      <c r="C130" s="803"/>
      <c r="D130" s="1811"/>
      <c r="E130" s="803"/>
      <c r="F130" s="1810">
        <v>44070</v>
      </c>
      <c r="G130" s="1813">
        <f>100000000/10000000</f>
        <v>10</v>
      </c>
      <c r="H130" s="803"/>
      <c r="I130" s="803">
        <f>F130-E126</f>
        <v>76</v>
      </c>
      <c r="J130" s="76"/>
      <c r="K130" s="43"/>
      <c r="L130" s="43"/>
      <c r="M130" s="43"/>
      <c r="N130" s="43"/>
      <c r="O130" s="43"/>
      <c r="P130" s="43"/>
      <c r="Q130" s="43"/>
      <c r="R130" s="43"/>
      <c r="S130" s="43"/>
      <c r="T130" s="43"/>
      <c r="U130" s="43"/>
      <c r="V130" s="43"/>
    </row>
    <row r="131" spans="2:22" s="22" customFormat="1" x14ac:dyDescent="0.25">
      <c r="B131" s="76" t="s">
        <v>922</v>
      </c>
      <c r="C131" s="803"/>
      <c r="D131" s="1811"/>
      <c r="E131" s="803"/>
      <c r="F131" s="1810">
        <v>44070</v>
      </c>
      <c r="G131" s="1813">
        <f>100000000/10000000</f>
        <v>10</v>
      </c>
      <c r="H131" s="803"/>
      <c r="I131" s="803">
        <f>F131-E126</f>
        <v>76</v>
      </c>
      <c r="J131" s="76"/>
      <c r="K131" s="43"/>
      <c r="L131" s="43"/>
      <c r="M131" s="43"/>
      <c r="N131" s="43"/>
      <c r="O131" s="43"/>
      <c r="P131" s="43"/>
      <c r="Q131" s="43"/>
      <c r="R131" s="43"/>
      <c r="S131" s="43"/>
      <c r="T131" s="43"/>
      <c r="U131" s="43"/>
      <c r="V131" s="43"/>
    </row>
    <row r="132" spans="2:22" s="22" customFormat="1" x14ac:dyDescent="0.25">
      <c r="B132" s="76" t="s">
        <v>922</v>
      </c>
      <c r="C132" s="803"/>
      <c r="D132" s="1811"/>
      <c r="E132" s="803"/>
      <c r="F132" s="1810">
        <v>44061</v>
      </c>
      <c r="G132" s="1813">
        <f>55061371/10000000</f>
        <v>5.5061371000000001</v>
      </c>
      <c r="H132" s="803"/>
      <c r="I132" s="803">
        <f>F132-E126</f>
        <v>67</v>
      </c>
      <c r="J132" s="76"/>
      <c r="K132" s="43"/>
      <c r="L132" s="43"/>
      <c r="M132" s="43"/>
      <c r="N132" s="43"/>
      <c r="O132" s="43"/>
      <c r="P132" s="43"/>
      <c r="Q132" s="43"/>
      <c r="R132" s="43"/>
      <c r="S132" s="43"/>
      <c r="T132" s="43"/>
      <c r="U132" s="43"/>
      <c r="V132" s="43"/>
    </row>
    <row r="133" spans="2:22" s="22" customFormat="1" x14ac:dyDescent="0.25">
      <c r="B133" s="97" t="s">
        <v>1853</v>
      </c>
      <c r="C133" s="1835" t="s">
        <v>1854</v>
      </c>
      <c r="D133" s="1834">
        <f>274466550/10000000</f>
        <v>27.446655</v>
      </c>
      <c r="E133" s="803" t="s">
        <v>1855</v>
      </c>
      <c r="F133" s="803" t="s">
        <v>1856</v>
      </c>
      <c r="G133" s="1813">
        <f>+D133</f>
        <v>27.446655</v>
      </c>
      <c r="H133" s="803"/>
      <c r="I133" s="803">
        <v>0</v>
      </c>
      <c r="J133" s="76"/>
      <c r="K133" s="43"/>
      <c r="L133" s="43"/>
      <c r="M133" s="43"/>
      <c r="N133" s="43"/>
      <c r="O133" s="43"/>
      <c r="P133" s="43"/>
      <c r="Q133" s="43"/>
      <c r="R133" s="43"/>
      <c r="S133" s="43"/>
      <c r="T133" s="43"/>
      <c r="U133" s="43"/>
      <c r="V133" s="43"/>
    </row>
    <row r="134" spans="2:22" s="22" customFormat="1" x14ac:dyDescent="0.25">
      <c r="B134" s="76"/>
      <c r="C134" s="803"/>
      <c r="D134" s="1834"/>
      <c r="E134" s="803"/>
      <c r="F134" s="1810"/>
      <c r="G134" s="1813"/>
      <c r="H134" s="803"/>
      <c r="I134" s="803"/>
      <c r="J134" s="76"/>
      <c r="K134" s="43"/>
      <c r="L134" s="43"/>
      <c r="M134" s="43"/>
      <c r="N134" s="43"/>
      <c r="O134" s="43"/>
      <c r="P134" s="43"/>
      <c r="Q134" s="43"/>
      <c r="R134" s="43"/>
      <c r="S134" s="43"/>
      <c r="T134" s="43"/>
      <c r="U134" s="43"/>
      <c r="V134" s="43"/>
    </row>
    <row r="135" spans="2:22" s="22" customFormat="1" x14ac:dyDescent="0.25">
      <c r="B135" s="76" t="s">
        <v>922</v>
      </c>
      <c r="C135" s="1810">
        <v>43999</v>
      </c>
      <c r="D135" s="1836">
        <f>1033346480/10000000</f>
        <v>103.334648</v>
      </c>
      <c r="E135" s="1810">
        <f>C135+29</f>
        <v>44028</v>
      </c>
      <c r="F135" s="1810">
        <v>44092</v>
      </c>
      <c r="G135" s="1811">
        <v>50</v>
      </c>
      <c r="H135" s="803"/>
      <c r="I135" s="803">
        <f>F135-E135</f>
        <v>64</v>
      </c>
      <c r="J135" s="76"/>
      <c r="K135" s="43"/>
      <c r="L135" s="43"/>
      <c r="M135" s="43"/>
      <c r="N135" s="43"/>
      <c r="O135" s="43"/>
      <c r="P135" s="43"/>
      <c r="Q135" s="43"/>
      <c r="R135" s="43"/>
      <c r="S135" s="43"/>
      <c r="T135" s="43"/>
      <c r="U135" s="43"/>
      <c r="V135" s="43"/>
    </row>
    <row r="136" spans="2:22" s="22" customFormat="1" x14ac:dyDescent="0.25">
      <c r="B136" s="76" t="s">
        <v>922</v>
      </c>
      <c r="C136" s="803"/>
      <c r="D136" s="1811"/>
      <c r="E136" s="803"/>
      <c r="F136" s="1810">
        <v>44092</v>
      </c>
      <c r="G136" s="1811">
        <v>50</v>
      </c>
      <c r="H136" s="803"/>
      <c r="I136" s="803">
        <f>F136-E135</f>
        <v>64</v>
      </c>
      <c r="J136" s="76"/>
      <c r="K136" s="43"/>
      <c r="L136" s="43"/>
      <c r="M136" s="43"/>
      <c r="N136" s="43"/>
      <c r="O136" s="43"/>
      <c r="P136" s="43"/>
      <c r="Q136" s="43"/>
      <c r="R136" s="43"/>
      <c r="S136" s="43"/>
      <c r="T136" s="43"/>
      <c r="U136" s="43"/>
      <c r="V136" s="43"/>
    </row>
    <row r="137" spans="2:22" s="22" customFormat="1" x14ac:dyDescent="0.25">
      <c r="B137" s="76" t="s">
        <v>922</v>
      </c>
      <c r="C137" s="803"/>
      <c r="D137" s="1811"/>
      <c r="E137" s="803"/>
      <c r="F137" s="1810">
        <v>44104</v>
      </c>
      <c r="G137" s="1811">
        <f>3333/1000</f>
        <v>3.3330000000000002</v>
      </c>
      <c r="H137" s="803"/>
      <c r="I137" s="803">
        <f>F137-E135</f>
        <v>76</v>
      </c>
      <c r="J137" s="76"/>
      <c r="K137" s="43"/>
      <c r="L137" s="43"/>
      <c r="M137" s="43"/>
      <c r="N137" s="43"/>
      <c r="O137" s="43"/>
      <c r="P137" s="43"/>
      <c r="Q137" s="43"/>
      <c r="R137" s="43"/>
      <c r="S137" s="43"/>
      <c r="T137" s="43"/>
      <c r="U137" s="43"/>
      <c r="V137" s="43"/>
    </row>
    <row r="138" spans="2:22" s="22" customFormat="1" x14ac:dyDescent="0.25">
      <c r="B138" s="97" t="s">
        <v>1853</v>
      </c>
      <c r="C138" s="1835" t="s">
        <v>1857</v>
      </c>
      <c r="D138" s="1837">
        <f>286243455/10000000</f>
        <v>28.6243455</v>
      </c>
      <c r="E138" s="803" t="s">
        <v>1858</v>
      </c>
      <c r="F138" s="1814" t="s">
        <v>1858</v>
      </c>
      <c r="G138" s="1811">
        <f>+D138</f>
        <v>28.6243455</v>
      </c>
      <c r="H138" s="803"/>
      <c r="I138" s="803">
        <v>0</v>
      </c>
      <c r="J138" s="76"/>
      <c r="K138" s="43"/>
      <c r="L138" s="43"/>
      <c r="M138" s="43"/>
      <c r="N138" s="43"/>
      <c r="O138" s="43"/>
      <c r="P138" s="43"/>
      <c r="Q138" s="43"/>
      <c r="R138" s="43"/>
      <c r="S138" s="43"/>
      <c r="T138" s="43"/>
      <c r="U138" s="43"/>
      <c r="V138" s="43"/>
    </row>
    <row r="139" spans="2:22" s="22" customFormat="1" x14ac:dyDescent="0.25">
      <c r="B139" s="76"/>
      <c r="C139" s="1838"/>
      <c r="D139" s="1839"/>
      <c r="E139" s="1814"/>
      <c r="F139" s="1810"/>
      <c r="G139" s="1811"/>
      <c r="H139" s="803"/>
      <c r="I139" s="803"/>
      <c r="J139" s="76"/>
      <c r="K139" s="43"/>
      <c r="L139" s="43"/>
      <c r="M139" s="43"/>
      <c r="N139" s="43"/>
      <c r="O139" s="43"/>
      <c r="P139" s="43"/>
      <c r="Q139" s="43"/>
      <c r="R139" s="43"/>
      <c r="S139" s="43"/>
      <c r="T139" s="43"/>
      <c r="U139" s="43"/>
      <c r="V139" s="43"/>
    </row>
    <row r="140" spans="2:22" s="22" customFormat="1" x14ac:dyDescent="0.25">
      <c r="B140" s="76" t="s">
        <v>922</v>
      </c>
      <c r="C140" s="1812">
        <v>44033</v>
      </c>
      <c r="D140" s="1831">
        <f>794706924/10000000</f>
        <v>79.470692400000004</v>
      </c>
      <c r="E140" s="1832">
        <f>C140+29</f>
        <v>44062</v>
      </c>
      <c r="F140" s="1810">
        <v>44104</v>
      </c>
      <c r="G140" s="1813">
        <f>216653520/10000000</f>
        <v>21.665351999999999</v>
      </c>
      <c r="H140" s="803"/>
      <c r="I140" s="803">
        <f>F140-E140</f>
        <v>42</v>
      </c>
      <c r="J140" s="76"/>
      <c r="K140" s="43"/>
      <c r="L140" s="43"/>
      <c r="M140" s="43"/>
      <c r="N140" s="43"/>
      <c r="O140" s="43"/>
      <c r="P140" s="43"/>
      <c r="Q140" s="43"/>
      <c r="R140" s="43"/>
      <c r="S140" s="43"/>
      <c r="T140" s="43"/>
      <c r="U140" s="43"/>
      <c r="V140" s="43"/>
    </row>
    <row r="141" spans="2:22" s="22" customFormat="1" x14ac:dyDescent="0.25">
      <c r="B141" s="76" t="s">
        <v>922</v>
      </c>
      <c r="C141" s="803"/>
      <c r="D141" s="1834"/>
      <c r="E141" s="803"/>
      <c r="F141" s="1810">
        <v>44113</v>
      </c>
      <c r="G141" s="1813">
        <f>250000000/10000000</f>
        <v>25</v>
      </c>
      <c r="H141" s="803"/>
      <c r="I141" s="803">
        <f>F141-E140</f>
        <v>51</v>
      </c>
      <c r="J141" s="76"/>
      <c r="K141" s="43"/>
      <c r="L141" s="43"/>
      <c r="M141" s="43"/>
      <c r="N141" s="43"/>
      <c r="O141" s="43"/>
      <c r="P141" s="43"/>
      <c r="Q141" s="43"/>
      <c r="R141" s="43"/>
      <c r="S141" s="43"/>
      <c r="T141" s="43"/>
      <c r="U141" s="43"/>
      <c r="V141" s="43"/>
    </row>
    <row r="142" spans="2:22" s="22" customFormat="1" x14ac:dyDescent="0.25">
      <c r="B142" s="76" t="s">
        <v>922</v>
      </c>
      <c r="C142" s="803"/>
      <c r="D142" s="1811"/>
      <c r="E142" s="803"/>
      <c r="F142" s="1810">
        <v>44113</v>
      </c>
      <c r="G142" s="1813">
        <f>250000000/10000000</f>
        <v>25</v>
      </c>
      <c r="H142" s="803"/>
      <c r="I142" s="803">
        <f>F142-E140</f>
        <v>51</v>
      </c>
      <c r="J142" s="76"/>
      <c r="K142" s="43"/>
      <c r="L142" s="43"/>
      <c r="M142" s="43"/>
      <c r="N142" s="43"/>
      <c r="O142" s="43"/>
      <c r="P142" s="43"/>
      <c r="Q142" s="43"/>
      <c r="R142" s="43"/>
      <c r="S142" s="43"/>
      <c r="T142" s="43"/>
      <c r="U142" s="43"/>
      <c r="V142" s="43"/>
    </row>
    <row r="143" spans="2:22" s="22" customFormat="1" x14ac:dyDescent="0.25">
      <c r="B143" s="76"/>
      <c r="C143" s="803"/>
      <c r="D143" s="1811"/>
      <c r="E143" s="803"/>
      <c r="F143" s="1810">
        <v>44113</v>
      </c>
      <c r="G143" s="1840">
        <f>78053404/10000000</f>
        <v>7.8053404000000004</v>
      </c>
      <c r="H143" s="803"/>
      <c r="I143" s="803">
        <f>F143-E140</f>
        <v>51</v>
      </c>
      <c r="J143" s="76"/>
      <c r="K143" s="43"/>
      <c r="L143" s="43"/>
      <c r="M143" s="43"/>
      <c r="N143" s="43"/>
      <c r="O143" s="43"/>
      <c r="P143" s="43"/>
      <c r="Q143" s="43"/>
      <c r="R143" s="43"/>
      <c r="S143" s="43"/>
      <c r="T143" s="43"/>
      <c r="U143" s="43"/>
      <c r="V143" s="43"/>
    </row>
    <row r="144" spans="2:22" s="22" customFormat="1" x14ac:dyDescent="0.25">
      <c r="B144" s="97" t="s">
        <v>1853</v>
      </c>
      <c r="C144" s="1835" t="s">
        <v>1857</v>
      </c>
      <c r="D144" s="1811">
        <f>270017753/10000000</f>
        <v>27.001775299999998</v>
      </c>
      <c r="E144" s="803" t="s">
        <v>1859</v>
      </c>
      <c r="F144" s="803" t="s">
        <v>1860</v>
      </c>
      <c r="G144" s="1811">
        <f>+D144</f>
        <v>27.001775299999998</v>
      </c>
      <c r="H144" s="803"/>
      <c r="I144" s="803">
        <v>0</v>
      </c>
      <c r="J144" s="76"/>
      <c r="K144" s="43"/>
      <c r="L144" s="43"/>
      <c r="M144" s="43"/>
      <c r="N144" s="43"/>
      <c r="O144" s="43"/>
      <c r="P144" s="43"/>
      <c r="Q144" s="43"/>
      <c r="R144" s="43"/>
      <c r="S144" s="43"/>
      <c r="T144" s="43"/>
      <c r="U144" s="43"/>
      <c r="V144" s="43"/>
    </row>
    <row r="145" spans="2:22" s="22" customFormat="1" x14ac:dyDescent="0.25">
      <c r="B145" s="76" t="s">
        <v>922</v>
      </c>
      <c r="C145" s="1810">
        <v>44057</v>
      </c>
      <c r="D145" s="1841">
        <f>1004848312/10000000</f>
        <v>100.4848312</v>
      </c>
      <c r="E145" s="1810">
        <f>C145+29</f>
        <v>44086</v>
      </c>
      <c r="F145" s="1842">
        <v>44113</v>
      </c>
      <c r="G145" s="1813">
        <f>421946596/10000000</f>
        <v>42.194659600000001</v>
      </c>
      <c r="H145" s="803"/>
      <c r="I145" s="803">
        <f>F145-E145</f>
        <v>27</v>
      </c>
      <c r="J145" s="76"/>
      <c r="K145" s="43"/>
      <c r="L145" s="43"/>
      <c r="M145" s="43"/>
      <c r="N145" s="43"/>
      <c r="O145" s="43"/>
      <c r="P145" s="43"/>
      <c r="Q145" s="43"/>
      <c r="R145" s="43"/>
      <c r="S145" s="43"/>
      <c r="T145" s="43"/>
      <c r="U145" s="43"/>
      <c r="V145" s="43"/>
    </row>
    <row r="146" spans="2:22" s="22" customFormat="1" x14ac:dyDescent="0.25">
      <c r="B146" s="76" t="s">
        <v>922</v>
      </c>
      <c r="C146" s="803"/>
      <c r="D146" s="1811"/>
      <c r="E146" s="803"/>
      <c r="F146" s="1842">
        <v>44133</v>
      </c>
      <c r="G146" s="1813">
        <f>250000000/10000000</f>
        <v>25</v>
      </c>
      <c r="H146" s="803"/>
      <c r="I146" s="803">
        <f>F146-E145</f>
        <v>47</v>
      </c>
      <c r="J146" s="76"/>
      <c r="K146" s="43"/>
      <c r="L146" s="43"/>
      <c r="M146" s="43"/>
      <c r="N146" s="43"/>
      <c r="O146" s="43"/>
      <c r="P146" s="43"/>
      <c r="Q146" s="43"/>
      <c r="R146" s="43"/>
      <c r="S146" s="43"/>
      <c r="T146" s="43"/>
      <c r="U146" s="43"/>
      <c r="V146" s="43"/>
    </row>
    <row r="147" spans="2:22" s="22" customFormat="1" x14ac:dyDescent="0.25">
      <c r="B147" s="76" t="s">
        <v>922</v>
      </c>
      <c r="C147" s="803"/>
      <c r="D147" s="1811"/>
      <c r="E147" s="803"/>
      <c r="F147" s="1842">
        <v>44147</v>
      </c>
      <c r="G147" s="1813">
        <f>250000000/10000000</f>
        <v>25</v>
      </c>
      <c r="H147" s="803"/>
      <c r="I147" s="803">
        <f>F147-E145</f>
        <v>61</v>
      </c>
      <c r="J147" s="76"/>
      <c r="K147" s="43"/>
      <c r="L147" s="43"/>
      <c r="M147" s="43"/>
      <c r="N147" s="43"/>
      <c r="O147" s="43"/>
      <c r="P147" s="43"/>
      <c r="Q147" s="43"/>
      <c r="R147" s="43"/>
      <c r="S147" s="43"/>
      <c r="T147" s="43"/>
      <c r="U147" s="43"/>
      <c r="V147" s="43"/>
    </row>
    <row r="148" spans="2:22" s="22" customFormat="1" x14ac:dyDescent="0.25">
      <c r="B148" s="76" t="s">
        <v>922</v>
      </c>
      <c r="C148" s="803"/>
      <c r="D148" s="1811"/>
      <c r="E148" s="803"/>
      <c r="F148" s="1842">
        <v>44147</v>
      </c>
      <c r="G148" s="1813">
        <f>82901716/10000000</f>
        <v>8.2901716000000008</v>
      </c>
      <c r="H148" s="803"/>
      <c r="I148" s="803">
        <f>F148-E145</f>
        <v>61</v>
      </c>
      <c r="J148" s="76"/>
      <c r="K148" s="43"/>
      <c r="L148" s="43"/>
      <c r="M148" s="43"/>
      <c r="N148" s="43"/>
      <c r="O148" s="43"/>
      <c r="P148" s="43"/>
      <c r="Q148" s="43"/>
      <c r="R148" s="43"/>
      <c r="S148" s="43"/>
      <c r="T148" s="43"/>
      <c r="U148" s="43"/>
      <c r="V148" s="43"/>
    </row>
    <row r="149" spans="2:22" s="22" customFormat="1" x14ac:dyDescent="0.25">
      <c r="B149" s="97" t="s">
        <v>1853</v>
      </c>
      <c r="C149" s="1835" t="s">
        <v>1861</v>
      </c>
      <c r="D149" s="1830">
        <f>277325408/10000000</f>
        <v>27.732540799999999</v>
      </c>
      <c r="E149" s="803" t="s">
        <v>1862</v>
      </c>
      <c r="F149" s="803" t="s">
        <v>1863</v>
      </c>
      <c r="G149" s="1813">
        <f>+D149</f>
        <v>27.732540799999999</v>
      </c>
      <c r="H149" s="803"/>
      <c r="I149" s="803">
        <v>0</v>
      </c>
      <c r="J149" s="76"/>
      <c r="K149" s="43"/>
      <c r="L149" s="43"/>
      <c r="M149" s="43"/>
      <c r="N149" s="43"/>
      <c r="O149" s="43"/>
      <c r="P149" s="43"/>
      <c r="Q149" s="43"/>
      <c r="R149" s="43"/>
      <c r="S149" s="43"/>
      <c r="T149" s="43"/>
      <c r="U149" s="43"/>
      <c r="V149" s="43"/>
    </row>
    <row r="150" spans="2:22" s="22" customFormat="1" x14ac:dyDescent="0.25">
      <c r="B150" s="76"/>
      <c r="C150" s="803"/>
      <c r="D150" s="1830"/>
      <c r="E150" s="803"/>
      <c r="F150" s="803"/>
      <c r="G150" s="1811"/>
      <c r="H150" s="803"/>
      <c r="I150" s="803"/>
      <c r="J150" s="76"/>
      <c r="K150" s="43"/>
      <c r="L150" s="43"/>
      <c r="M150" s="43"/>
      <c r="N150" s="43"/>
      <c r="O150" s="43"/>
      <c r="P150" s="43"/>
      <c r="Q150" s="43"/>
      <c r="R150" s="43"/>
      <c r="S150" s="43"/>
      <c r="T150" s="43"/>
      <c r="U150" s="43"/>
      <c r="V150" s="43"/>
    </row>
    <row r="151" spans="2:22" s="22" customFormat="1" x14ac:dyDescent="0.25">
      <c r="B151" s="76" t="s">
        <v>922</v>
      </c>
      <c r="C151" s="1812">
        <v>44088</v>
      </c>
      <c r="D151" s="1831">
        <f>980098314/10000000</f>
        <v>98.009831399999996</v>
      </c>
      <c r="E151" s="1810">
        <f>C151+29</f>
        <v>44117</v>
      </c>
      <c r="F151" s="1842">
        <v>44147</v>
      </c>
      <c r="G151" s="1813">
        <f>167098284/10000000</f>
        <v>16.709828399999999</v>
      </c>
      <c r="H151" s="803"/>
      <c r="I151" s="803">
        <f>F151-E151</f>
        <v>30</v>
      </c>
      <c r="J151" s="76"/>
      <c r="K151" s="43"/>
      <c r="L151" s="43"/>
      <c r="M151" s="43"/>
      <c r="N151" s="43"/>
      <c r="O151" s="43"/>
      <c r="P151" s="43"/>
      <c r="Q151" s="43"/>
      <c r="R151" s="43"/>
      <c r="S151" s="43"/>
      <c r="T151" s="43"/>
      <c r="U151" s="43"/>
      <c r="V151" s="43"/>
    </row>
    <row r="152" spans="2:22" s="22" customFormat="1" x14ac:dyDescent="0.25">
      <c r="B152" s="76" t="s">
        <v>922</v>
      </c>
      <c r="C152" s="803"/>
      <c r="D152" s="1834"/>
      <c r="E152" s="803"/>
      <c r="F152" s="1842">
        <v>44161</v>
      </c>
      <c r="G152" s="1813">
        <f>250000/10000</f>
        <v>25</v>
      </c>
      <c r="H152" s="803"/>
      <c r="I152" s="803">
        <f>F152-E151</f>
        <v>44</v>
      </c>
      <c r="J152" s="76"/>
      <c r="K152" s="43"/>
      <c r="L152" s="43"/>
      <c r="M152" s="43"/>
      <c r="N152" s="43"/>
      <c r="O152" s="43"/>
      <c r="P152" s="43"/>
      <c r="Q152" s="43"/>
      <c r="R152" s="43"/>
      <c r="S152" s="43"/>
      <c r="T152" s="43"/>
      <c r="U152" s="43"/>
      <c r="V152" s="43"/>
    </row>
    <row r="153" spans="2:22" s="22" customFormat="1" x14ac:dyDescent="0.25">
      <c r="B153" s="76" t="s">
        <v>1864</v>
      </c>
      <c r="C153" s="803"/>
      <c r="D153" s="1811"/>
      <c r="E153" s="803"/>
      <c r="F153" s="1842">
        <v>44161</v>
      </c>
      <c r="G153" s="1813">
        <f>2500/100</f>
        <v>25</v>
      </c>
      <c r="H153" s="803"/>
      <c r="I153" s="803">
        <f>F153-E151</f>
        <v>44</v>
      </c>
      <c r="J153" s="76"/>
      <c r="K153" s="43"/>
      <c r="L153" s="43"/>
      <c r="M153" s="43"/>
      <c r="N153" s="43"/>
      <c r="O153" s="43"/>
      <c r="P153" s="43"/>
      <c r="Q153" s="43"/>
      <c r="R153" s="43"/>
      <c r="S153" s="43"/>
      <c r="T153" s="43"/>
      <c r="U153" s="43"/>
      <c r="V153" s="43"/>
    </row>
    <row r="154" spans="2:22" s="22" customFormat="1" x14ac:dyDescent="0.25">
      <c r="B154" s="76" t="s">
        <v>922</v>
      </c>
      <c r="C154" s="803"/>
      <c r="D154" s="1811"/>
      <c r="E154" s="803"/>
      <c r="F154" s="1842">
        <v>44169</v>
      </c>
      <c r="G154" s="1813">
        <f>31300003/1000000</f>
        <v>31.300003</v>
      </c>
      <c r="H154" s="803"/>
      <c r="I154" s="803">
        <f>F154-E151</f>
        <v>52</v>
      </c>
      <c r="J154" s="76"/>
      <c r="K154" s="43"/>
      <c r="L154" s="43"/>
      <c r="M154" s="43"/>
      <c r="N154" s="43"/>
      <c r="O154" s="43"/>
      <c r="P154" s="43"/>
      <c r="Q154" s="43"/>
      <c r="R154" s="43"/>
      <c r="S154" s="43"/>
      <c r="T154" s="43"/>
      <c r="U154" s="43"/>
      <c r="V154" s="43"/>
    </row>
    <row r="155" spans="2:22" s="22" customFormat="1" x14ac:dyDescent="0.25">
      <c r="B155" s="97" t="s">
        <v>1853</v>
      </c>
      <c r="C155" s="1835" t="s">
        <v>1865</v>
      </c>
      <c r="D155" s="1811">
        <f>269195918/10000000</f>
        <v>26.919591799999999</v>
      </c>
      <c r="E155" s="803" t="s">
        <v>1866</v>
      </c>
      <c r="F155" s="803" t="s">
        <v>1866</v>
      </c>
      <c r="G155" s="1813">
        <f>+D155</f>
        <v>26.919591799999999</v>
      </c>
      <c r="H155" s="803"/>
      <c r="I155" s="803">
        <v>0</v>
      </c>
      <c r="J155" s="76"/>
      <c r="K155" s="43"/>
      <c r="L155" s="43"/>
      <c r="M155" s="43"/>
      <c r="N155" s="43"/>
      <c r="O155" s="43"/>
      <c r="P155" s="43"/>
      <c r="Q155" s="43"/>
      <c r="R155" s="43"/>
      <c r="S155" s="43"/>
      <c r="T155" s="43"/>
      <c r="U155" s="43"/>
      <c r="V155" s="43"/>
    </row>
    <row r="156" spans="2:22" s="22" customFormat="1" x14ac:dyDescent="0.25">
      <c r="B156" s="76" t="s">
        <v>922</v>
      </c>
      <c r="C156" s="1843">
        <v>44120</v>
      </c>
      <c r="D156" s="1831">
        <f>958284828/10000000</f>
        <v>95.828482800000003</v>
      </c>
      <c r="E156" s="1810">
        <f>C156+29</f>
        <v>44149</v>
      </c>
      <c r="F156" s="1842">
        <v>44169</v>
      </c>
      <c r="G156" s="1813">
        <f>38699997/1000000</f>
        <v>38.699997000000003</v>
      </c>
      <c r="H156" s="803"/>
      <c r="I156" s="803">
        <f>F156-E156</f>
        <v>20</v>
      </c>
      <c r="J156" s="76"/>
      <c r="K156" s="43"/>
      <c r="L156" s="43"/>
      <c r="M156" s="43"/>
      <c r="N156" s="43"/>
      <c r="O156" s="43"/>
      <c r="P156" s="43"/>
      <c r="Q156" s="43"/>
      <c r="R156" s="43"/>
      <c r="S156" s="43"/>
      <c r="T156" s="43"/>
      <c r="U156" s="43"/>
      <c r="V156" s="43"/>
    </row>
    <row r="157" spans="2:22" s="22" customFormat="1" x14ac:dyDescent="0.25">
      <c r="B157" s="76" t="s">
        <v>1848</v>
      </c>
      <c r="C157" s="1844"/>
      <c r="D157" s="1834"/>
      <c r="E157" s="1844"/>
      <c r="F157" s="1842">
        <v>44194</v>
      </c>
      <c r="G157" s="1813">
        <f>2500/100</f>
        <v>25</v>
      </c>
      <c r="H157" s="803"/>
      <c r="I157" s="803">
        <f>F157-E156</f>
        <v>45</v>
      </c>
      <c r="J157" s="76"/>
      <c r="K157" s="43"/>
      <c r="L157" s="43"/>
      <c r="M157" s="43"/>
      <c r="N157" s="43"/>
      <c r="O157" s="43"/>
      <c r="P157" s="43"/>
      <c r="Q157" s="43"/>
      <c r="R157" s="43"/>
      <c r="S157" s="43"/>
      <c r="T157" s="43"/>
      <c r="U157" s="43"/>
      <c r="V157" s="43"/>
    </row>
    <row r="158" spans="2:22" s="22" customFormat="1" x14ac:dyDescent="0.25">
      <c r="B158" s="76" t="s">
        <v>922</v>
      </c>
      <c r="C158" s="803"/>
      <c r="D158" s="1811"/>
      <c r="E158" s="803"/>
      <c r="F158" s="1842">
        <v>44202</v>
      </c>
      <c r="G158" s="1813">
        <f>321284858/10000000+0.01</f>
        <v>32.138485799999998</v>
      </c>
      <c r="H158" s="803"/>
      <c r="I158" s="803">
        <f>F158-E156</f>
        <v>53</v>
      </c>
      <c r="J158" s="76"/>
      <c r="K158" s="43"/>
      <c r="L158" s="43"/>
      <c r="M158" s="43"/>
      <c r="N158" s="43"/>
      <c r="O158" s="43"/>
      <c r="P158" s="43"/>
      <c r="Q158" s="43"/>
      <c r="R158" s="43"/>
      <c r="S158" s="43"/>
      <c r="T158" s="43"/>
      <c r="U158" s="43"/>
      <c r="V158" s="43"/>
    </row>
    <row r="159" spans="2:22" s="22" customFormat="1" x14ac:dyDescent="0.25">
      <c r="B159" s="97" t="s">
        <v>1853</v>
      </c>
      <c r="C159" s="1835" t="s">
        <v>1867</v>
      </c>
      <c r="D159" s="1811">
        <f>269879130/10000000</f>
        <v>26.987912999999999</v>
      </c>
      <c r="E159" s="803" t="s">
        <v>1868</v>
      </c>
      <c r="F159" s="1845" t="s">
        <v>1869</v>
      </c>
      <c r="G159" s="1813">
        <f>+D159</f>
        <v>26.987912999999999</v>
      </c>
      <c r="H159" s="803"/>
      <c r="I159" s="803">
        <v>0</v>
      </c>
      <c r="J159" s="76"/>
      <c r="K159" s="43"/>
      <c r="L159" s="43"/>
      <c r="M159" s="43"/>
      <c r="N159" s="43"/>
      <c r="O159" s="43"/>
      <c r="P159" s="43"/>
      <c r="Q159" s="43"/>
      <c r="R159" s="43"/>
      <c r="S159" s="43"/>
      <c r="T159" s="43"/>
      <c r="U159" s="43"/>
      <c r="V159" s="43"/>
    </row>
    <row r="160" spans="2:22" s="22" customFormat="1" x14ac:dyDescent="0.25">
      <c r="B160" s="76" t="s">
        <v>922</v>
      </c>
      <c r="C160" s="1843">
        <v>44145</v>
      </c>
      <c r="D160" s="1831">
        <f>1105611210/10000000</f>
        <v>110.561121</v>
      </c>
      <c r="E160" s="1810">
        <f>C160+29</f>
        <v>44174</v>
      </c>
      <c r="F160" s="1842">
        <v>44217</v>
      </c>
      <c r="G160" s="1813">
        <f>10000/100</f>
        <v>100</v>
      </c>
      <c r="H160" s="803"/>
      <c r="I160" s="803">
        <f>F160-E160</f>
        <v>43</v>
      </c>
      <c r="J160" s="76"/>
      <c r="K160" s="43"/>
      <c r="L160" s="43"/>
      <c r="M160" s="43"/>
      <c r="N160" s="43"/>
      <c r="O160" s="43"/>
      <c r="P160" s="43"/>
      <c r="Q160" s="43"/>
      <c r="R160" s="43"/>
      <c r="S160" s="43"/>
      <c r="T160" s="43"/>
      <c r="U160" s="43"/>
      <c r="V160" s="43"/>
    </row>
    <row r="161" spans="2:22" s="22" customFormat="1" x14ac:dyDescent="0.25">
      <c r="B161" s="76" t="s">
        <v>922</v>
      </c>
      <c r="C161" s="1846"/>
      <c r="D161" s="1834"/>
      <c r="E161" s="1814"/>
      <c r="F161" s="1842">
        <v>44225</v>
      </c>
      <c r="G161" s="1813">
        <f>10561121/1000000</f>
        <v>10.561121</v>
      </c>
      <c r="H161" s="803"/>
      <c r="I161" s="803">
        <f>F161-E160</f>
        <v>51</v>
      </c>
      <c r="J161" s="76"/>
      <c r="K161" s="43"/>
      <c r="L161" s="43"/>
      <c r="M161" s="43"/>
      <c r="N161" s="43"/>
      <c r="O161" s="43"/>
      <c r="P161" s="43"/>
      <c r="Q161" s="43"/>
      <c r="R161" s="43"/>
      <c r="S161" s="43"/>
      <c r="T161" s="43"/>
      <c r="U161" s="43"/>
      <c r="V161" s="43"/>
    </row>
    <row r="162" spans="2:22" s="22" customFormat="1" x14ac:dyDescent="0.25">
      <c r="B162" s="97" t="s">
        <v>1853</v>
      </c>
      <c r="C162" s="1835" t="s">
        <v>1870</v>
      </c>
      <c r="D162" s="1834">
        <f>284448180/10000000</f>
        <v>28.444818000000001</v>
      </c>
      <c r="E162" s="1814" t="s">
        <v>1871</v>
      </c>
      <c r="F162" s="1845" t="s">
        <v>1872</v>
      </c>
      <c r="G162" s="1813">
        <f>+D162</f>
        <v>28.444818000000001</v>
      </c>
      <c r="H162" s="803"/>
      <c r="I162" s="803">
        <v>0</v>
      </c>
      <c r="J162" s="76"/>
      <c r="K162" s="43"/>
      <c r="L162" s="43"/>
      <c r="M162" s="43"/>
      <c r="N162" s="43"/>
      <c r="O162" s="43"/>
      <c r="P162" s="43"/>
      <c r="Q162" s="43"/>
      <c r="R162" s="43"/>
      <c r="S162" s="43"/>
      <c r="T162" s="43"/>
      <c r="U162" s="43"/>
      <c r="V162" s="43"/>
    </row>
    <row r="163" spans="2:22" s="22" customFormat="1" x14ac:dyDescent="0.25">
      <c r="B163" s="76" t="s">
        <v>922</v>
      </c>
      <c r="C163" s="1843">
        <v>44175</v>
      </c>
      <c r="D163" s="1831">
        <f>1132819750/10000000</f>
        <v>113.281975</v>
      </c>
      <c r="E163" s="1832">
        <f>C163+29</f>
        <v>44204</v>
      </c>
      <c r="F163" s="1842">
        <v>44225</v>
      </c>
      <c r="G163" s="1813">
        <f>89438879/1000000</f>
        <v>89.438879</v>
      </c>
      <c r="H163" s="803"/>
      <c r="I163" s="803">
        <f>F163-E163</f>
        <v>21</v>
      </c>
      <c r="J163" s="76"/>
      <c r="K163" s="43"/>
      <c r="L163" s="43"/>
      <c r="M163" s="43"/>
      <c r="N163" s="43"/>
      <c r="O163" s="43"/>
      <c r="P163" s="43"/>
      <c r="Q163" s="43"/>
      <c r="R163" s="43"/>
      <c r="S163" s="43"/>
      <c r="T163" s="43"/>
      <c r="U163" s="43"/>
      <c r="V163" s="43"/>
    </row>
    <row r="164" spans="2:22" s="22" customFormat="1" x14ac:dyDescent="0.25">
      <c r="B164" s="76" t="s">
        <v>922</v>
      </c>
      <c r="C164" s="1846"/>
      <c r="D164" s="1834"/>
      <c r="E164" s="1814"/>
      <c r="F164" s="1842">
        <v>44251</v>
      </c>
      <c r="G164" s="1813">
        <f>23843096/1000000</f>
        <v>23.843095999999999</v>
      </c>
      <c r="H164" s="803"/>
      <c r="I164" s="803">
        <f>F164-E163</f>
        <v>47</v>
      </c>
      <c r="J164" s="76"/>
      <c r="K164" s="43"/>
      <c r="L164" s="43"/>
      <c r="M164" s="43"/>
      <c r="N164" s="43"/>
      <c r="O164" s="43"/>
      <c r="P164" s="43"/>
      <c r="Q164" s="43"/>
      <c r="R164" s="43"/>
      <c r="S164" s="43"/>
      <c r="T164" s="43"/>
      <c r="U164" s="43"/>
      <c r="V164" s="43"/>
    </row>
    <row r="165" spans="2:22" s="22" customFormat="1" x14ac:dyDescent="0.25">
      <c r="B165" s="76" t="s">
        <v>922</v>
      </c>
      <c r="C165" s="1843"/>
      <c r="D165" s="1831"/>
      <c r="E165" s="1832"/>
      <c r="F165" s="1842"/>
      <c r="G165" s="1813"/>
      <c r="H165" s="803"/>
      <c r="I165" s="803">
        <f>F165-E165</f>
        <v>0</v>
      </c>
      <c r="J165" s="76"/>
      <c r="K165" s="43"/>
      <c r="L165" s="43"/>
      <c r="M165" s="43"/>
      <c r="N165" s="43"/>
      <c r="O165" s="43"/>
      <c r="P165" s="43"/>
      <c r="Q165" s="43"/>
      <c r="R165" s="43"/>
      <c r="S165" s="43"/>
      <c r="T165" s="43"/>
      <c r="U165" s="43"/>
      <c r="V165" s="43"/>
    </row>
    <row r="166" spans="2:22" s="22" customFormat="1" x14ac:dyDescent="0.25">
      <c r="B166" s="97" t="s">
        <v>1853</v>
      </c>
      <c r="C166" s="1835" t="s">
        <v>1873</v>
      </c>
      <c r="D166" s="1811">
        <f>276806468/10000000</f>
        <v>27.680646800000002</v>
      </c>
      <c r="E166" s="1814" t="s">
        <v>1874</v>
      </c>
      <c r="F166" s="1847" t="s">
        <v>1875</v>
      </c>
      <c r="G166" s="1813">
        <f>+D166</f>
        <v>27.680646800000002</v>
      </c>
      <c r="H166" s="803"/>
      <c r="I166" s="803">
        <v>0</v>
      </c>
      <c r="J166" s="76"/>
      <c r="K166" s="43"/>
      <c r="L166" s="43"/>
      <c r="M166" s="43"/>
      <c r="N166" s="43"/>
      <c r="O166" s="43"/>
      <c r="P166" s="43"/>
      <c r="Q166" s="43"/>
      <c r="R166" s="43"/>
      <c r="S166" s="43"/>
      <c r="T166" s="43"/>
      <c r="U166" s="43"/>
      <c r="V166" s="43"/>
    </row>
    <row r="167" spans="2:22" s="15" customFormat="1" x14ac:dyDescent="0.25">
      <c r="B167" s="76" t="s">
        <v>922</v>
      </c>
      <c r="C167" s="1842">
        <v>44210</v>
      </c>
      <c r="D167" s="1848">
        <f>109167962/1000000</f>
        <v>109.167962</v>
      </c>
      <c r="E167" s="1810">
        <f>C167+29</f>
        <v>44239</v>
      </c>
      <c r="F167" s="1842">
        <v>44285</v>
      </c>
      <c r="G167" s="1813">
        <f>2500/100</f>
        <v>25</v>
      </c>
      <c r="H167" s="803"/>
      <c r="I167" s="803">
        <f>F167-E167</f>
        <v>46</v>
      </c>
      <c r="J167" s="76"/>
      <c r="K167" s="43"/>
      <c r="L167" s="43"/>
      <c r="M167" s="43"/>
      <c r="N167" s="43"/>
      <c r="O167" s="43"/>
      <c r="P167" s="43"/>
      <c r="Q167" s="43"/>
      <c r="R167" s="43"/>
      <c r="S167" s="43"/>
      <c r="T167" s="43"/>
      <c r="U167" s="43"/>
      <c r="V167" s="43"/>
    </row>
    <row r="168" spans="2:22" s="15" customFormat="1" x14ac:dyDescent="0.25">
      <c r="B168" s="76" t="s">
        <v>922</v>
      </c>
      <c r="C168" s="803"/>
      <c r="D168" s="1811"/>
      <c r="E168" s="1814"/>
      <c r="F168" s="1842">
        <v>44285</v>
      </c>
      <c r="G168" s="1813">
        <f>2500/100</f>
        <v>25</v>
      </c>
      <c r="H168" s="803"/>
      <c r="I168" s="803">
        <f>F168-E167</f>
        <v>46</v>
      </c>
      <c r="J168" s="76"/>
      <c r="K168" s="43"/>
      <c r="L168" s="43"/>
      <c r="M168" s="43"/>
      <c r="N168" s="43"/>
      <c r="O168" s="43"/>
      <c r="P168" s="43"/>
      <c r="Q168" s="43"/>
      <c r="R168" s="43"/>
      <c r="S168" s="43"/>
      <c r="T168" s="43"/>
      <c r="U168" s="43"/>
      <c r="V168" s="43"/>
    </row>
    <row r="169" spans="2:22" s="15" customFormat="1" x14ac:dyDescent="0.25">
      <c r="B169" s="76" t="s">
        <v>922</v>
      </c>
      <c r="C169" s="803"/>
      <c r="D169" s="1811"/>
      <c r="E169" s="803"/>
      <c r="F169" s="1842">
        <v>44285</v>
      </c>
      <c r="G169" s="1813">
        <f>2500/100</f>
        <v>25</v>
      </c>
      <c r="H169" s="803"/>
      <c r="I169" s="803">
        <f>F169-E167</f>
        <v>46</v>
      </c>
      <c r="J169" s="76"/>
      <c r="K169" s="43"/>
      <c r="L169" s="43"/>
      <c r="M169" s="43"/>
      <c r="N169" s="43"/>
      <c r="O169" s="43"/>
      <c r="P169" s="43"/>
      <c r="Q169" s="43"/>
      <c r="R169" s="43"/>
      <c r="S169" s="43"/>
      <c r="T169" s="43"/>
      <c r="U169" s="43"/>
      <c r="V169" s="43"/>
    </row>
    <row r="170" spans="2:22" s="15" customFormat="1" x14ac:dyDescent="0.25">
      <c r="B170" s="76" t="s">
        <v>922</v>
      </c>
      <c r="C170" s="803"/>
      <c r="D170" s="1811"/>
      <c r="E170" s="803"/>
      <c r="F170" s="1842">
        <v>44305</v>
      </c>
      <c r="G170" s="1813">
        <f>34167962/1000000</f>
        <v>34.167962000000003</v>
      </c>
      <c r="H170" s="803"/>
      <c r="I170" s="803">
        <f>F170-E167</f>
        <v>66</v>
      </c>
      <c r="J170" s="76"/>
      <c r="K170" s="43"/>
      <c r="L170" s="43"/>
      <c r="M170" s="43"/>
      <c r="N170" s="43"/>
      <c r="O170" s="43"/>
      <c r="P170" s="43"/>
      <c r="Q170" s="43"/>
      <c r="R170" s="43"/>
      <c r="S170" s="43"/>
      <c r="T170" s="43"/>
      <c r="U170" s="43"/>
      <c r="V170" s="43"/>
    </row>
    <row r="171" spans="2:22" s="15" customFormat="1" x14ac:dyDescent="0.25">
      <c r="B171" s="97" t="s">
        <v>1853</v>
      </c>
      <c r="C171" s="1835" t="s">
        <v>1876</v>
      </c>
      <c r="D171" s="1811">
        <f>273597371/10000000</f>
        <v>27.3597371</v>
      </c>
      <c r="E171" s="1814" t="s">
        <v>1877</v>
      </c>
      <c r="F171" s="1845" t="s">
        <v>1878</v>
      </c>
      <c r="G171" s="1813">
        <f>+D171</f>
        <v>27.3597371</v>
      </c>
      <c r="H171" s="803"/>
      <c r="I171" s="803">
        <v>0</v>
      </c>
      <c r="J171" s="76"/>
      <c r="K171" s="43"/>
      <c r="L171" s="43"/>
      <c r="M171" s="43"/>
      <c r="N171" s="43"/>
      <c r="O171" s="43"/>
      <c r="P171" s="43"/>
      <c r="Q171" s="43"/>
      <c r="R171" s="43"/>
      <c r="S171" s="43"/>
      <c r="T171" s="43"/>
      <c r="U171" s="43"/>
      <c r="V171" s="43"/>
    </row>
    <row r="172" spans="2:22" s="15" customFormat="1" x14ac:dyDescent="0.25">
      <c r="B172" s="76" t="s">
        <v>922</v>
      </c>
      <c r="C172" s="1843">
        <v>44243</v>
      </c>
      <c r="D172" s="1831">
        <f>1004643154/10000000</f>
        <v>100.4643154</v>
      </c>
      <c r="E172" s="1832">
        <f>C172+29</f>
        <v>44272</v>
      </c>
      <c r="F172" s="1842">
        <v>44341</v>
      </c>
      <c r="G172" s="1813">
        <f>5000/100</f>
        <v>50</v>
      </c>
      <c r="H172" s="803"/>
      <c r="I172" s="803">
        <f>F172-E172</f>
        <v>69</v>
      </c>
      <c r="J172" s="76"/>
      <c r="K172" s="43"/>
      <c r="L172" s="43"/>
      <c r="M172" s="43"/>
      <c r="N172" s="43"/>
      <c r="O172" s="43"/>
      <c r="P172" s="43"/>
      <c r="Q172" s="43"/>
      <c r="R172" s="43"/>
      <c r="S172" s="43"/>
      <c r="T172" s="43"/>
      <c r="U172" s="43"/>
      <c r="V172" s="43"/>
    </row>
    <row r="173" spans="2:22" s="15" customFormat="1" x14ac:dyDescent="0.25">
      <c r="B173" s="76"/>
      <c r="C173" s="803"/>
      <c r="D173" s="1834"/>
      <c r="E173" s="803"/>
      <c r="F173" s="1842">
        <v>44341</v>
      </c>
      <c r="G173" s="1849">
        <f>504643154/10000000</f>
        <v>50.464315399999997</v>
      </c>
      <c r="H173" s="1844"/>
      <c r="I173" s="803">
        <f>F173-E172</f>
        <v>69</v>
      </c>
      <c r="J173" s="76"/>
      <c r="K173" s="43"/>
      <c r="L173" s="43"/>
      <c r="M173" s="43"/>
      <c r="N173" s="43"/>
      <c r="O173" s="43"/>
      <c r="P173" s="43"/>
      <c r="Q173" s="43"/>
      <c r="R173" s="43"/>
      <c r="S173" s="43"/>
      <c r="T173" s="43"/>
      <c r="U173" s="43"/>
      <c r="V173" s="43"/>
    </row>
    <row r="174" spans="2:22" s="15" customFormat="1" x14ac:dyDescent="0.25">
      <c r="B174" s="97" t="s">
        <v>1853</v>
      </c>
      <c r="C174" s="1835" t="s">
        <v>1879</v>
      </c>
      <c r="D174" s="1834">
        <f>281958278/10000000</f>
        <v>28.1958278</v>
      </c>
      <c r="E174" s="803" t="s">
        <v>1880</v>
      </c>
      <c r="F174" s="1845" t="s">
        <v>1881</v>
      </c>
      <c r="G174" s="1849">
        <f>+D174</f>
        <v>28.1958278</v>
      </c>
      <c r="H174" s="1844"/>
      <c r="I174" s="803">
        <v>0</v>
      </c>
      <c r="J174" s="76"/>
      <c r="K174" s="43"/>
      <c r="L174" s="43"/>
      <c r="M174" s="43"/>
      <c r="N174" s="43"/>
      <c r="O174" s="43"/>
      <c r="P174" s="43"/>
      <c r="Q174" s="43"/>
      <c r="R174" s="43"/>
      <c r="S174" s="43"/>
      <c r="T174" s="43"/>
      <c r="U174" s="43"/>
      <c r="V174" s="43"/>
    </row>
    <row r="175" spans="2:22" s="15" customFormat="1" x14ac:dyDescent="0.25">
      <c r="B175" s="76" t="s">
        <v>922</v>
      </c>
      <c r="C175" s="1842">
        <v>44270</v>
      </c>
      <c r="D175" s="1831">
        <f>834043186/10000000</f>
        <v>83.404318599999996</v>
      </c>
      <c r="E175" s="1810">
        <v>44298</v>
      </c>
      <c r="F175" s="1810">
        <v>44365</v>
      </c>
      <c r="G175" s="1813">
        <f>834043/10000</f>
        <v>83.404300000000006</v>
      </c>
      <c r="H175" s="803"/>
      <c r="I175" s="803">
        <f>F175-E175</f>
        <v>67</v>
      </c>
      <c r="J175" s="76"/>
      <c r="K175" s="43"/>
      <c r="L175" s="43"/>
      <c r="M175" s="43"/>
      <c r="N175" s="43"/>
      <c r="O175" s="43"/>
      <c r="P175" s="43"/>
      <c r="Q175" s="43"/>
      <c r="R175" s="43"/>
      <c r="S175" s="43"/>
      <c r="T175" s="43"/>
      <c r="U175" s="43"/>
      <c r="V175" s="43"/>
    </row>
    <row r="176" spans="2:22" s="15" customFormat="1" x14ac:dyDescent="0.25">
      <c r="B176" s="97" t="s">
        <v>1853</v>
      </c>
      <c r="C176" s="1835" t="s">
        <v>1881</v>
      </c>
      <c r="D176" s="1831">
        <f>257997638/10000000</f>
        <v>25.799763800000001</v>
      </c>
      <c r="E176" s="1832" t="s">
        <v>1882</v>
      </c>
      <c r="F176" s="1810" t="s">
        <v>1883</v>
      </c>
      <c r="G176" s="1813">
        <f>+D176</f>
        <v>25.799763800000001</v>
      </c>
      <c r="H176" s="803"/>
      <c r="I176" s="803">
        <v>0</v>
      </c>
      <c r="J176" s="76"/>
      <c r="K176" s="43"/>
      <c r="L176" s="43"/>
      <c r="M176" s="43"/>
      <c r="N176" s="43"/>
      <c r="O176" s="43"/>
      <c r="P176" s="43"/>
      <c r="Q176" s="43"/>
      <c r="R176" s="43"/>
      <c r="S176" s="43"/>
      <c r="T176" s="43"/>
      <c r="U176" s="43"/>
      <c r="V176" s="43"/>
    </row>
    <row r="177" spans="2:22" s="15" customFormat="1" x14ac:dyDescent="0.25">
      <c r="B177" s="76"/>
      <c r="C177" s="1850"/>
      <c r="D177" s="1831"/>
      <c r="E177" s="1832"/>
      <c r="F177" s="1810"/>
      <c r="G177" s="1813"/>
      <c r="H177" s="803"/>
      <c r="I177" s="803"/>
      <c r="J177" s="76"/>
      <c r="K177" s="43"/>
      <c r="L177" s="43"/>
      <c r="M177" s="43"/>
      <c r="N177" s="43"/>
      <c r="O177" s="43"/>
      <c r="P177" s="43"/>
      <c r="Q177" s="43"/>
      <c r="R177" s="43"/>
      <c r="S177" s="43"/>
      <c r="T177" s="43"/>
      <c r="U177" s="43"/>
      <c r="V177" s="43"/>
    </row>
    <row r="178" spans="2:22" s="15" customFormat="1" x14ac:dyDescent="0.25">
      <c r="B178" s="76" t="s">
        <v>1884</v>
      </c>
      <c r="C178" s="1842" t="s">
        <v>1885</v>
      </c>
      <c r="D178" s="1831">
        <f>1082634654/10000000</f>
        <v>108.2634654</v>
      </c>
      <c r="E178" s="1851" t="s">
        <v>1886</v>
      </c>
      <c r="F178" s="1809">
        <v>44365</v>
      </c>
      <c r="G178" s="1813">
        <f>165956/10000</f>
        <v>16.595600000000001</v>
      </c>
      <c r="H178" s="803"/>
      <c r="I178" s="803">
        <v>48</v>
      </c>
      <c r="J178" s="76"/>
      <c r="K178" s="43"/>
      <c r="L178" s="43"/>
      <c r="M178" s="43"/>
      <c r="N178" s="43"/>
      <c r="O178" s="43"/>
      <c r="P178" s="43"/>
      <c r="Q178" s="43"/>
      <c r="R178" s="43"/>
      <c r="S178" s="43"/>
      <c r="T178" s="43"/>
      <c r="U178" s="43"/>
      <c r="V178" s="43"/>
    </row>
    <row r="179" spans="2:22" s="15" customFormat="1" x14ac:dyDescent="0.25">
      <c r="B179" s="76" t="s">
        <v>922</v>
      </c>
      <c r="C179" s="1852"/>
      <c r="D179" s="1808"/>
      <c r="E179" s="1851"/>
      <c r="F179" s="1809" t="s">
        <v>1887</v>
      </c>
      <c r="G179" s="1853">
        <f>916679/10000</f>
        <v>91.667900000000003</v>
      </c>
      <c r="H179" s="803"/>
      <c r="I179" s="803">
        <v>61</v>
      </c>
      <c r="J179" s="76"/>
      <c r="K179" s="43"/>
      <c r="L179" s="43"/>
      <c r="M179" s="43"/>
      <c r="N179" s="43"/>
      <c r="O179" s="43"/>
      <c r="P179" s="43"/>
      <c r="Q179" s="43"/>
      <c r="R179" s="43"/>
      <c r="S179" s="43"/>
      <c r="T179" s="43"/>
      <c r="U179" s="43"/>
      <c r="V179" s="43"/>
    </row>
    <row r="180" spans="2:22" s="15" customFormat="1" x14ac:dyDescent="0.25">
      <c r="B180" s="97" t="s">
        <v>1853</v>
      </c>
      <c r="C180" s="1835" t="s">
        <v>1888</v>
      </c>
      <c r="D180" s="1811">
        <f>287295623/10000000</f>
        <v>28.729562300000001</v>
      </c>
      <c r="E180" s="803"/>
      <c r="F180" s="803" t="s">
        <v>1889</v>
      </c>
      <c r="G180" s="1813">
        <f>+D180</f>
        <v>28.729562300000001</v>
      </c>
      <c r="H180" s="803"/>
      <c r="I180" s="803">
        <v>0</v>
      </c>
      <c r="J180" s="76"/>
      <c r="K180" s="43"/>
      <c r="L180" s="43"/>
      <c r="M180" s="43"/>
      <c r="N180" s="43"/>
      <c r="O180" s="43"/>
      <c r="P180" s="43"/>
      <c r="Q180" s="43"/>
      <c r="R180" s="43"/>
      <c r="S180" s="43"/>
      <c r="T180" s="43"/>
      <c r="U180" s="43"/>
      <c r="V180" s="43"/>
    </row>
    <row r="181" spans="2:22" s="22" customFormat="1" x14ac:dyDescent="0.25">
      <c r="B181" s="76"/>
      <c r="C181" s="803"/>
      <c r="D181" s="1811"/>
      <c r="E181" s="803"/>
      <c r="F181" s="803"/>
      <c r="G181" s="1811"/>
      <c r="H181" s="803"/>
      <c r="I181" s="803"/>
      <c r="J181" s="76"/>
      <c r="K181" s="224"/>
      <c r="L181" s="224"/>
      <c r="M181" s="224"/>
      <c r="N181" s="224"/>
      <c r="O181" s="224"/>
      <c r="P181" s="224"/>
      <c r="Q181" s="224"/>
      <c r="R181" s="224"/>
      <c r="S181" s="224"/>
      <c r="T181" s="224"/>
      <c r="U181" s="224"/>
      <c r="V181" s="224"/>
    </row>
    <row r="182" spans="2:22" s="22" customFormat="1" x14ac:dyDescent="0.25">
      <c r="B182" s="76"/>
      <c r="C182" s="803"/>
      <c r="D182" s="1811"/>
      <c r="E182" s="803"/>
      <c r="F182" s="803"/>
      <c r="G182" s="1811"/>
      <c r="H182" s="803"/>
      <c r="I182" s="803"/>
      <c r="J182" s="76"/>
      <c r="K182" s="224"/>
      <c r="L182" s="224"/>
      <c r="M182" s="224"/>
      <c r="N182" s="224"/>
      <c r="O182" s="224"/>
      <c r="P182" s="224"/>
      <c r="Q182" s="224"/>
      <c r="R182" s="224"/>
      <c r="S182" s="224"/>
      <c r="T182" s="224"/>
      <c r="U182" s="224"/>
      <c r="V182" s="224"/>
    </row>
    <row r="183" spans="2:22" s="22" customFormat="1" x14ac:dyDescent="0.25">
      <c r="B183" s="76"/>
      <c r="C183" s="803"/>
      <c r="D183" s="1811"/>
      <c r="E183" s="803"/>
      <c r="F183" s="803"/>
      <c r="G183" s="1811"/>
      <c r="H183" s="803"/>
      <c r="I183" s="803"/>
      <c r="J183" s="76"/>
      <c r="K183" s="224"/>
      <c r="L183" s="224"/>
      <c r="M183" s="224"/>
      <c r="N183" s="224"/>
      <c r="O183" s="224"/>
      <c r="P183" s="224"/>
      <c r="Q183" s="224"/>
      <c r="R183" s="224"/>
      <c r="S183" s="224"/>
      <c r="T183" s="224"/>
      <c r="U183" s="224"/>
      <c r="V183" s="224"/>
    </row>
    <row r="184" spans="2:22" s="22" customFormat="1" x14ac:dyDescent="0.25">
      <c r="B184" s="76"/>
      <c r="C184" s="803"/>
      <c r="D184" s="1811"/>
      <c r="E184" s="803"/>
      <c r="F184" s="803"/>
      <c r="G184" s="1811"/>
      <c r="H184" s="803"/>
      <c r="I184" s="803"/>
      <c r="J184" s="76"/>
      <c r="K184" s="224"/>
      <c r="L184" s="224"/>
      <c r="M184" s="224"/>
      <c r="N184" s="224"/>
      <c r="O184" s="224"/>
      <c r="P184" s="224"/>
      <c r="Q184" s="224"/>
      <c r="R184" s="224"/>
      <c r="S184" s="224"/>
      <c r="T184" s="224"/>
      <c r="U184" s="224"/>
      <c r="V184" s="224"/>
    </row>
    <row r="185" spans="2:22" s="22" customFormat="1" x14ac:dyDescent="0.25">
      <c r="B185" s="177" t="s">
        <v>145</v>
      </c>
      <c r="C185" s="803"/>
      <c r="D185" s="1811">
        <f>SUM(D125:D184)</f>
        <v>1538.7009575000002</v>
      </c>
      <c r="E185" s="803"/>
      <c r="F185" s="803"/>
      <c r="G185" s="1811">
        <f>SUM(G125:G184)-0.01</f>
        <v>1538.6993255</v>
      </c>
      <c r="H185" s="803"/>
      <c r="I185" s="803"/>
      <c r="J185" s="76"/>
      <c r="K185" s="224"/>
      <c r="L185" s="224"/>
      <c r="M185" s="224"/>
      <c r="N185" s="224"/>
      <c r="O185" s="224"/>
      <c r="P185" s="224"/>
      <c r="Q185" s="224"/>
      <c r="R185" s="224"/>
      <c r="S185" s="224"/>
      <c r="T185" s="224"/>
      <c r="U185" s="224"/>
      <c r="V185" s="224"/>
    </row>
    <row r="186" spans="2:22" s="22" customFormat="1" x14ac:dyDescent="0.25">
      <c r="B186" s="224"/>
      <c r="C186" s="222"/>
      <c r="D186" s="1854"/>
      <c r="E186" s="1854"/>
      <c r="F186" s="1854"/>
      <c r="G186" s="1854"/>
      <c r="H186" s="1803"/>
      <c r="I186" s="224"/>
      <c r="J186" s="1805"/>
      <c r="K186" s="224"/>
      <c r="L186" s="224"/>
      <c r="M186" s="224"/>
      <c r="N186" s="224"/>
      <c r="O186" s="224"/>
      <c r="P186" s="224"/>
      <c r="Q186" s="224"/>
      <c r="R186" s="224"/>
      <c r="S186" s="224"/>
      <c r="T186" s="224"/>
      <c r="U186" s="224"/>
      <c r="V186" s="224"/>
    </row>
    <row r="187" spans="2:22" s="22" customFormat="1" x14ac:dyDescent="0.25">
      <c r="B187" s="224"/>
      <c r="C187" s="222"/>
      <c r="D187" s="1854"/>
      <c r="E187" s="1854"/>
      <c r="F187" s="1854"/>
      <c r="G187" s="1854"/>
      <c r="H187" s="1803"/>
      <c r="I187" s="224"/>
      <c r="J187" s="1805"/>
      <c r="K187" s="224"/>
      <c r="L187" s="224"/>
      <c r="M187" s="224"/>
      <c r="N187" s="224"/>
      <c r="O187" s="224"/>
      <c r="P187" s="224"/>
      <c r="Q187" s="224"/>
      <c r="R187" s="224"/>
      <c r="S187" s="224"/>
      <c r="T187" s="224"/>
      <c r="U187" s="224"/>
      <c r="V187" s="224"/>
    </row>
    <row r="188" spans="2:22" s="22" customFormat="1" x14ac:dyDescent="0.25">
      <c r="B188" s="224"/>
      <c r="C188" s="222"/>
      <c r="D188" s="1854"/>
      <c r="E188" s="1854"/>
      <c r="F188" s="1854"/>
      <c r="G188" s="1854"/>
      <c r="H188" s="1803"/>
      <c r="I188" s="224"/>
      <c r="J188" s="1805"/>
      <c r="K188" s="224"/>
      <c r="L188" s="224"/>
      <c r="M188" s="224"/>
      <c r="N188" s="224"/>
      <c r="O188" s="224"/>
      <c r="P188" s="224"/>
      <c r="Q188" s="224"/>
      <c r="R188" s="224"/>
      <c r="S188" s="224"/>
      <c r="T188" s="224"/>
      <c r="U188" s="224"/>
      <c r="V188" s="224"/>
    </row>
    <row r="189" spans="2:22" s="22" customFormat="1" x14ac:dyDescent="0.25">
      <c r="B189" s="224"/>
      <c r="C189" s="222"/>
      <c r="D189" s="1854"/>
      <c r="E189" s="1854"/>
      <c r="F189" s="1854"/>
      <c r="G189" s="1854"/>
      <c r="H189" s="1803"/>
      <c r="I189" s="224"/>
      <c r="J189" s="1805"/>
      <c r="K189" s="224"/>
      <c r="L189" s="224"/>
      <c r="M189" s="224"/>
      <c r="N189" s="224"/>
      <c r="O189" s="224"/>
      <c r="P189" s="224"/>
      <c r="Q189" s="224"/>
      <c r="R189" s="224"/>
      <c r="S189" s="224"/>
      <c r="T189" s="224"/>
      <c r="U189" s="224"/>
      <c r="V189" s="224"/>
    </row>
    <row r="190" spans="2:22" s="15" customFormat="1" x14ac:dyDescent="0.25">
      <c r="B190" s="224"/>
      <c r="C190" s="225"/>
      <c r="D190" s="225"/>
      <c r="E190" s="225"/>
      <c r="F190" s="225"/>
      <c r="G190" s="225"/>
      <c r="H190" s="804"/>
      <c r="I190" s="43"/>
      <c r="J190" s="43"/>
      <c r="K190" s="43"/>
      <c r="L190" s="43"/>
      <c r="M190" s="43"/>
      <c r="N190" s="43"/>
      <c r="O190" s="43"/>
      <c r="P190" s="43"/>
      <c r="Q190" s="43"/>
      <c r="R190" s="43"/>
      <c r="S190" s="43"/>
      <c r="T190" s="43"/>
      <c r="U190" s="43"/>
      <c r="V190" s="43"/>
    </row>
    <row r="191" spans="2:22" s="15" customFormat="1" x14ac:dyDescent="0.25">
      <c r="B191" s="43"/>
      <c r="C191" s="225"/>
      <c r="D191" s="225"/>
      <c r="E191" s="225"/>
      <c r="F191" s="225"/>
      <c r="G191" s="225"/>
      <c r="H191" s="225"/>
      <c r="I191" s="43"/>
      <c r="J191" s="43"/>
      <c r="K191" s="43"/>
      <c r="L191" s="43"/>
      <c r="M191" s="43"/>
      <c r="N191" s="43"/>
      <c r="O191" s="43"/>
      <c r="P191" s="43"/>
      <c r="Q191" s="43"/>
      <c r="R191" s="43"/>
      <c r="S191" s="43"/>
      <c r="T191" s="43"/>
      <c r="U191" s="43"/>
      <c r="V191" s="43"/>
    </row>
    <row r="192" spans="2:22" s="15" customFormat="1" x14ac:dyDescent="0.25">
      <c r="B192" s="224" t="s">
        <v>599</v>
      </c>
      <c r="C192" s="225"/>
      <c r="D192" s="225"/>
      <c r="E192" s="225"/>
      <c r="F192" s="225"/>
      <c r="G192" s="225"/>
      <c r="H192" s="225"/>
      <c r="I192" s="43"/>
      <c r="J192" s="43"/>
      <c r="K192" s="43"/>
      <c r="L192" s="43"/>
      <c r="M192" s="43"/>
      <c r="N192" s="43"/>
      <c r="O192" s="43"/>
      <c r="P192" s="43"/>
      <c r="Q192" s="43"/>
      <c r="R192" s="43"/>
      <c r="S192" s="43"/>
      <c r="T192" s="43"/>
      <c r="U192" s="43"/>
      <c r="V192" s="43"/>
    </row>
    <row r="193" spans="2:22" s="15" customFormat="1" x14ac:dyDescent="0.25">
      <c r="K193" s="43"/>
      <c r="L193" s="43"/>
      <c r="M193" s="43"/>
      <c r="N193" s="43"/>
      <c r="O193" s="43"/>
      <c r="P193" s="43"/>
      <c r="Q193" s="43"/>
      <c r="R193" s="43"/>
      <c r="S193" s="43"/>
      <c r="T193" s="43"/>
      <c r="U193" s="43"/>
      <c r="V193" s="43"/>
    </row>
    <row r="194" spans="2:22" s="15" customFormat="1" ht="14" customHeight="1" x14ac:dyDescent="0.25">
      <c r="B194" s="2461" t="s">
        <v>50</v>
      </c>
      <c r="C194" s="2464" t="s">
        <v>476</v>
      </c>
      <c r="D194" s="2465"/>
      <c r="E194" s="2466"/>
      <c r="F194" s="2464" t="s">
        <v>469</v>
      </c>
      <c r="G194" s="2465"/>
      <c r="H194" s="2466"/>
      <c r="I194" s="2471" t="s">
        <v>470</v>
      </c>
      <c r="J194" s="2471" t="s">
        <v>471</v>
      </c>
      <c r="K194" s="43"/>
      <c r="L194" s="43"/>
      <c r="M194" s="43"/>
      <c r="N194" s="43"/>
      <c r="O194" s="43"/>
      <c r="P194" s="43"/>
      <c r="Q194" s="43"/>
      <c r="R194" s="43"/>
      <c r="S194" s="43"/>
      <c r="T194" s="43"/>
      <c r="U194" s="43"/>
      <c r="V194" s="43"/>
    </row>
    <row r="195" spans="2:22" s="15" customFormat="1" ht="28" x14ac:dyDescent="0.25">
      <c r="B195" s="2463"/>
      <c r="C195" s="1827" t="s">
        <v>472</v>
      </c>
      <c r="D195" s="1806" t="s">
        <v>473</v>
      </c>
      <c r="E195" s="1827" t="s">
        <v>474</v>
      </c>
      <c r="F195" s="1827" t="s">
        <v>472</v>
      </c>
      <c r="G195" s="1806" t="s">
        <v>473</v>
      </c>
      <c r="H195" s="1826" t="s">
        <v>477</v>
      </c>
      <c r="I195" s="2471"/>
      <c r="J195" s="2471"/>
      <c r="K195" s="43"/>
      <c r="L195" s="43"/>
      <c r="M195" s="43"/>
      <c r="N195" s="43"/>
      <c r="O195" s="43"/>
      <c r="P195" s="43"/>
      <c r="Q195" s="43"/>
      <c r="R195" s="43"/>
      <c r="S195" s="43"/>
      <c r="T195" s="43"/>
      <c r="U195" s="43"/>
      <c r="V195" s="43"/>
    </row>
    <row r="196" spans="2:22" s="15" customFormat="1" x14ac:dyDescent="0.25">
      <c r="B196" s="226"/>
      <c r="C196" s="227"/>
      <c r="D196" s="1816"/>
      <c r="E196" s="227"/>
      <c r="F196" s="227"/>
      <c r="G196" s="1816"/>
      <c r="H196" s="112"/>
      <c r="I196" s="112"/>
      <c r="J196" s="112"/>
      <c r="K196" s="43"/>
      <c r="L196" s="43"/>
      <c r="M196" s="43"/>
      <c r="N196" s="43"/>
      <c r="O196" s="43"/>
      <c r="P196" s="43"/>
      <c r="Q196" s="43"/>
      <c r="R196" s="43"/>
      <c r="S196" s="43"/>
      <c r="T196" s="43"/>
      <c r="U196" s="43"/>
      <c r="V196" s="43"/>
    </row>
    <row r="197" spans="2:22" s="15" customFormat="1" x14ac:dyDescent="0.25">
      <c r="B197" s="177" t="s">
        <v>478</v>
      </c>
      <c r="C197" s="161"/>
      <c r="D197" s="1808"/>
      <c r="E197" s="161"/>
      <c r="F197" s="161"/>
      <c r="G197" s="1808"/>
      <c r="H197" s="161"/>
      <c r="I197" s="76"/>
      <c r="J197" s="76"/>
      <c r="K197" s="43"/>
      <c r="L197" s="43"/>
      <c r="M197" s="43"/>
      <c r="N197" s="43"/>
      <c r="O197" s="43"/>
      <c r="P197" s="43"/>
      <c r="Q197" s="43"/>
      <c r="R197" s="43"/>
      <c r="S197" s="43"/>
      <c r="T197" s="43"/>
      <c r="U197" s="43"/>
      <c r="V197" s="43"/>
    </row>
    <row r="198" spans="2:22" s="15" customFormat="1" x14ac:dyDescent="0.25">
      <c r="B198" s="177"/>
      <c r="C198" s="161"/>
      <c r="D198" s="1808"/>
      <c r="E198" s="161"/>
      <c r="F198" s="161"/>
      <c r="G198" s="1808"/>
      <c r="H198" s="161"/>
      <c r="I198" s="76"/>
      <c r="J198" s="76"/>
      <c r="K198" s="43"/>
      <c r="L198" s="43"/>
      <c r="M198" s="43"/>
      <c r="N198" s="43"/>
      <c r="O198" s="43"/>
      <c r="P198" s="43"/>
      <c r="Q198" s="43"/>
      <c r="R198" s="43"/>
      <c r="S198" s="43"/>
      <c r="T198" s="43"/>
      <c r="U198" s="43"/>
      <c r="V198" s="43"/>
    </row>
    <row r="199" spans="2:22" s="15" customFormat="1" x14ac:dyDescent="0.25">
      <c r="B199" s="76" t="s">
        <v>479</v>
      </c>
      <c r="C199" s="161"/>
      <c r="D199" s="161"/>
      <c r="E199" s="161"/>
      <c r="F199" s="161"/>
      <c r="G199" s="1808"/>
      <c r="H199" s="161"/>
      <c r="I199" s="76"/>
      <c r="J199" s="76"/>
      <c r="K199" s="43"/>
      <c r="L199" s="43"/>
      <c r="M199" s="43"/>
      <c r="N199" s="43"/>
      <c r="O199" s="43"/>
      <c r="P199" s="43"/>
      <c r="Q199" s="43"/>
      <c r="R199" s="43"/>
      <c r="S199" s="43"/>
      <c r="T199" s="43"/>
      <c r="U199" s="43"/>
      <c r="V199" s="43"/>
    </row>
    <row r="200" spans="2:22" s="15" customFormat="1" ht="15.5" x14ac:dyDescent="0.35">
      <c r="B200" s="76" t="s">
        <v>1890</v>
      </c>
      <c r="C200" s="1855">
        <v>43983</v>
      </c>
      <c r="D200" s="25">
        <v>0.22</v>
      </c>
      <c r="E200" s="1856">
        <v>43997</v>
      </c>
      <c r="F200" s="1856">
        <v>43997</v>
      </c>
      <c r="G200" s="1819">
        <v>0.22</v>
      </c>
      <c r="H200" s="1820">
        <v>1</v>
      </c>
      <c r="I200" s="76">
        <f>F200-E200</f>
        <v>0</v>
      </c>
      <c r="J200" s="76">
        <v>0</v>
      </c>
      <c r="K200" s="43"/>
      <c r="L200" s="43"/>
      <c r="M200" s="43"/>
      <c r="N200" s="43"/>
      <c r="O200" s="43"/>
      <c r="P200" s="43"/>
      <c r="Q200" s="43"/>
      <c r="R200" s="43"/>
      <c r="S200" s="43"/>
      <c r="T200" s="43"/>
      <c r="U200" s="43"/>
      <c r="V200" s="43"/>
    </row>
    <row r="201" spans="2:22" s="15" customFormat="1" ht="15.5" x14ac:dyDescent="0.35">
      <c r="B201" s="76"/>
      <c r="C201" s="1855">
        <v>44013</v>
      </c>
      <c r="D201" s="25">
        <v>0.22</v>
      </c>
      <c r="E201" s="1856">
        <v>44027</v>
      </c>
      <c r="F201" s="1856">
        <v>44027</v>
      </c>
      <c r="G201" s="1819">
        <v>0.22</v>
      </c>
      <c r="H201" s="1820">
        <v>1</v>
      </c>
      <c r="I201" s="76">
        <f>F201-E201</f>
        <v>0</v>
      </c>
      <c r="J201" s="76">
        <v>0</v>
      </c>
      <c r="K201" s="43"/>
      <c r="L201" s="43"/>
      <c r="M201" s="43"/>
      <c r="N201" s="43"/>
      <c r="O201" s="43"/>
      <c r="P201" s="43"/>
      <c r="Q201" s="43"/>
      <c r="R201" s="43"/>
      <c r="S201" s="43"/>
      <c r="T201" s="43"/>
      <c r="U201" s="43"/>
      <c r="V201" s="43"/>
    </row>
    <row r="202" spans="2:22" s="15" customFormat="1" ht="15.5" x14ac:dyDescent="0.35">
      <c r="B202" s="76"/>
      <c r="C202" s="1855">
        <v>44044</v>
      </c>
      <c r="D202" s="25">
        <v>0.22</v>
      </c>
      <c r="E202" s="1856">
        <v>44057</v>
      </c>
      <c r="F202" s="1856">
        <v>44057</v>
      </c>
      <c r="G202" s="1819">
        <v>0.22</v>
      </c>
      <c r="H202" s="1820">
        <v>1</v>
      </c>
      <c r="I202" s="76">
        <f t="shared" ref="I202:I209" si="2">F202-E202</f>
        <v>0</v>
      </c>
      <c r="J202" s="76">
        <v>0</v>
      </c>
      <c r="K202" s="43"/>
      <c r="L202" s="43"/>
      <c r="M202" s="43"/>
      <c r="N202" s="43"/>
      <c r="O202" s="43"/>
      <c r="P202" s="43"/>
      <c r="Q202" s="43"/>
      <c r="R202" s="43"/>
      <c r="S202" s="43"/>
      <c r="T202" s="43"/>
      <c r="U202" s="43"/>
      <c r="V202" s="43"/>
    </row>
    <row r="203" spans="2:22" s="15" customFormat="1" ht="15.5" x14ac:dyDescent="0.35">
      <c r="B203" s="76"/>
      <c r="C203" s="1855">
        <v>44075</v>
      </c>
      <c r="D203" s="25">
        <v>0.22</v>
      </c>
      <c r="E203" s="1856">
        <v>44089</v>
      </c>
      <c r="F203" s="1856">
        <v>44091</v>
      </c>
      <c r="G203" s="1819">
        <v>0.22</v>
      </c>
      <c r="H203" s="1820">
        <v>1</v>
      </c>
      <c r="I203" s="76">
        <f t="shared" si="2"/>
        <v>2</v>
      </c>
      <c r="J203" s="76">
        <v>0</v>
      </c>
      <c r="K203" s="43"/>
      <c r="L203" s="43"/>
      <c r="M203" s="43"/>
      <c r="N203" s="43"/>
      <c r="O203" s="43"/>
      <c r="P203" s="43"/>
      <c r="Q203" s="43"/>
      <c r="R203" s="43"/>
      <c r="S203" s="43"/>
      <c r="T203" s="43"/>
      <c r="U203" s="43"/>
      <c r="V203" s="43"/>
    </row>
    <row r="204" spans="2:22" s="15" customFormat="1" ht="15.5" x14ac:dyDescent="0.35">
      <c r="B204" s="76"/>
      <c r="C204" s="1855">
        <v>44105</v>
      </c>
      <c r="D204" s="25">
        <v>0.22</v>
      </c>
      <c r="E204" s="1856">
        <v>44119</v>
      </c>
      <c r="F204" s="1856">
        <v>44126</v>
      </c>
      <c r="G204" s="1819">
        <v>0.22</v>
      </c>
      <c r="H204" s="1820">
        <v>1</v>
      </c>
      <c r="I204" s="76">
        <f t="shared" si="2"/>
        <v>7</v>
      </c>
      <c r="J204" s="76">
        <v>0</v>
      </c>
      <c r="K204" s="43"/>
      <c r="L204" s="43"/>
      <c r="M204" s="43"/>
      <c r="N204" s="43"/>
      <c r="O204" s="43"/>
      <c r="P204" s="43"/>
      <c r="Q204" s="43"/>
      <c r="R204" s="43"/>
      <c r="S204" s="43"/>
      <c r="T204" s="43"/>
      <c r="U204" s="43"/>
    </row>
    <row r="205" spans="2:22" s="15" customFormat="1" ht="15.5" x14ac:dyDescent="0.35">
      <c r="B205" s="76"/>
      <c r="C205" s="1855">
        <v>44136</v>
      </c>
      <c r="D205" s="25">
        <v>0.22</v>
      </c>
      <c r="E205" s="1856">
        <v>44148</v>
      </c>
      <c r="F205" s="1856">
        <v>44158</v>
      </c>
      <c r="G205" s="1819">
        <v>0.22</v>
      </c>
      <c r="H205" s="1820">
        <v>1</v>
      </c>
      <c r="I205" s="76">
        <f t="shared" si="2"/>
        <v>10</v>
      </c>
      <c r="J205" s="76">
        <v>0</v>
      </c>
      <c r="K205" s="43"/>
      <c r="L205" s="43"/>
      <c r="M205" s="43"/>
      <c r="N205" s="43"/>
      <c r="O205" s="43"/>
      <c r="P205" s="43"/>
      <c r="Q205" s="43"/>
      <c r="R205" s="43"/>
      <c r="S205" s="43"/>
      <c r="T205" s="43"/>
      <c r="U205" s="43"/>
    </row>
    <row r="206" spans="2:22" s="15" customFormat="1" ht="15.5" x14ac:dyDescent="0.35">
      <c r="B206" s="76"/>
      <c r="C206" s="1855">
        <v>44166</v>
      </c>
      <c r="D206" s="25">
        <v>0.22</v>
      </c>
      <c r="E206" s="1856">
        <v>44180</v>
      </c>
      <c r="F206" s="1856">
        <v>44186</v>
      </c>
      <c r="G206" s="1819">
        <v>0.22</v>
      </c>
      <c r="H206" s="1820">
        <v>1</v>
      </c>
      <c r="I206" s="76">
        <f t="shared" si="2"/>
        <v>6</v>
      </c>
      <c r="J206" s="76">
        <v>0</v>
      </c>
      <c r="K206" s="43"/>
      <c r="L206" s="43"/>
      <c r="M206" s="43"/>
      <c r="N206" s="43"/>
      <c r="O206" s="43"/>
      <c r="P206" s="43"/>
      <c r="Q206" s="43"/>
      <c r="R206" s="43"/>
      <c r="S206" s="43"/>
      <c r="T206" s="43"/>
      <c r="U206" s="43"/>
    </row>
    <row r="207" spans="2:22" s="15" customFormat="1" ht="15.5" x14ac:dyDescent="0.35">
      <c r="B207" s="76"/>
      <c r="C207" s="1855">
        <v>44197</v>
      </c>
      <c r="D207" s="25">
        <v>0.22</v>
      </c>
      <c r="E207" s="1856">
        <v>44211</v>
      </c>
      <c r="F207" s="1856">
        <v>44215</v>
      </c>
      <c r="G207" s="1819">
        <v>0.22</v>
      </c>
      <c r="H207" s="1820">
        <v>1</v>
      </c>
      <c r="I207" s="76">
        <f t="shared" si="2"/>
        <v>4</v>
      </c>
      <c r="J207" s="76">
        <v>0</v>
      </c>
      <c r="K207" s="43"/>
      <c r="L207" s="43"/>
      <c r="M207" s="43"/>
      <c r="N207" s="43"/>
      <c r="O207" s="43"/>
      <c r="P207" s="43"/>
      <c r="Q207" s="43"/>
      <c r="R207" s="43"/>
      <c r="S207" s="43"/>
      <c r="T207" s="43"/>
      <c r="U207" s="43"/>
    </row>
    <row r="208" spans="2:22" s="15" customFormat="1" ht="15.5" x14ac:dyDescent="0.35">
      <c r="B208" s="76"/>
      <c r="C208" s="1855">
        <v>44228</v>
      </c>
      <c r="D208" s="25">
        <v>0.22</v>
      </c>
      <c r="E208" s="1856">
        <v>44242</v>
      </c>
      <c r="F208" s="1856">
        <v>44245</v>
      </c>
      <c r="G208" s="1819">
        <v>0.22</v>
      </c>
      <c r="H208" s="1820">
        <v>1</v>
      </c>
      <c r="I208" s="76">
        <f t="shared" si="2"/>
        <v>3</v>
      </c>
      <c r="J208" s="76">
        <v>0</v>
      </c>
      <c r="K208" s="43"/>
      <c r="L208" s="43"/>
      <c r="M208" s="43"/>
      <c r="N208" s="43"/>
      <c r="O208" s="43"/>
      <c r="P208" s="43"/>
      <c r="Q208" s="43"/>
      <c r="R208" s="43"/>
      <c r="S208" s="43"/>
      <c r="T208" s="43"/>
      <c r="U208" s="43"/>
    </row>
    <row r="209" spans="2:21" s="15" customFormat="1" ht="15.5" x14ac:dyDescent="0.35">
      <c r="B209" s="76"/>
      <c r="C209" s="1855">
        <v>44256</v>
      </c>
      <c r="D209" s="25">
        <v>0.22</v>
      </c>
      <c r="E209" s="1856">
        <v>44267</v>
      </c>
      <c r="F209" s="1856">
        <v>44272</v>
      </c>
      <c r="G209" s="1819">
        <v>0.22</v>
      </c>
      <c r="H209" s="1820">
        <v>1</v>
      </c>
      <c r="I209" s="76">
        <f t="shared" si="2"/>
        <v>5</v>
      </c>
      <c r="J209" s="76">
        <v>0</v>
      </c>
      <c r="K209" s="43"/>
      <c r="L209" s="43"/>
      <c r="M209" s="43"/>
      <c r="N209" s="43"/>
      <c r="O209" s="43"/>
      <c r="P209" s="43"/>
      <c r="Q209" s="43"/>
      <c r="R209" s="43"/>
      <c r="S209" s="43"/>
      <c r="T209" s="43"/>
      <c r="U209" s="43"/>
    </row>
    <row r="210" spans="2:21" s="15" customFormat="1" x14ac:dyDescent="0.25">
      <c r="B210" s="76"/>
      <c r="C210" s="161"/>
      <c r="D210" s="161"/>
      <c r="E210" s="161"/>
      <c r="F210" s="161"/>
      <c r="G210" s="1808"/>
      <c r="H210" s="161"/>
      <c r="I210" s="76"/>
      <c r="J210" s="76"/>
      <c r="K210" s="43"/>
      <c r="L210" s="43"/>
      <c r="M210" s="43"/>
      <c r="N210" s="43"/>
      <c r="O210" s="43"/>
      <c r="P210" s="43"/>
      <c r="Q210" s="43"/>
      <c r="R210" s="43"/>
      <c r="S210" s="43"/>
      <c r="T210" s="43"/>
      <c r="U210" s="43"/>
    </row>
    <row r="211" spans="2:21" s="15" customFormat="1" x14ac:dyDescent="0.3">
      <c r="B211" s="76" t="s">
        <v>480</v>
      </c>
      <c r="C211" s="11"/>
      <c r="D211" s="11"/>
      <c r="E211" s="11"/>
      <c r="F211" s="11"/>
      <c r="G211" s="1857"/>
      <c r="H211" s="161"/>
      <c r="I211" s="76"/>
      <c r="J211" s="76"/>
      <c r="K211" s="43"/>
      <c r="L211" s="43"/>
      <c r="M211" s="43"/>
      <c r="N211" s="43"/>
      <c r="O211" s="43"/>
      <c r="P211" s="43"/>
      <c r="Q211" s="43"/>
      <c r="R211" s="43"/>
      <c r="S211" s="43"/>
      <c r="T211" s="43"/>
      <c r="U211" s="43"/>
    </row>
    <row r="212" spans="2:21" s="22" customFormat="1" ht="15.5" x14ac:dyDescent="0.35">
      <c r="B212" s="76" t="s">
        <v>1891</v>
      </c>
      <c r="C212" s="1822" t="s">
        <v>1892</v>
      </c>
      <c r="D212" s="25">
        <v>13.41</v>
      </c>
      <c r="E212" s="1856">
        <v>44057</v>
      </c>
      <c r="F212" s="1856">
        <v>44057</v>
      </c>
      <c r="G212" s="1819">
        <v>13.41</v>
      </c>
      <c r="H212" s="1820">
        <v>1</v>
      </c>
      <c r="I212" s="76">
        <f t="shared" ref="I212:I215" si="3">F212-E212</f>
        <v>0</v>
      </c>
      <c r="J212" s="76">
        <v>0</v>
      </c>
      <c r="K212" s="43"/>
      <c r="L212" s="43"/>
      <c r="M212" s="43"/>
      <c r="N212" s="43"/>
      <c r="O212" s="43"/>
      <c r="P212" s="43"/>
      <c r="Q212" s="43"/>
      <c r="R212" s="43"/>
      <c r="S212" s="43"/>
      <c r="T212" s="43"/>
      <c r="U212" s="43"/>
    </row>
    <row r="213" spans="2:21" s="22" customFormat="1" ht="15.5" x14ac:dyDescent="0.35">
      <c r="B213" s="76"/>
      <c r="C213" s="1822" t="s">
        <v>1892</v>
      </c>
      <c r="D213" s="25">
        <v>10.6</v>
      </c>
      <c r="E213" s="1856">
        <v>44057</v>
      </c>
      <c r="F213" s="1856">
        <v>44057</v>
      </c>
      <c r="G213" s="1819">
        <v>10.6</v>
      </c>
      <c r="H213" s="1820">
        <v>1</v>
      </c>
      <c r="I213" s="76">
        <f t="shared" si="3"/>
        <v>0</v>
      </c>
      <c r="J213" s="76">
        <v>0</v>
      </c>
      <c r="K213" s="43"/>
      <c r="L213" s="43"/>
      <c r="M213" s="43"/>
      <c r="N213" s="43"/>
      <c r="O213" s="43"/>
      <c r="P213" s="43"/>
      <c r="Q213" s="43"/>
      <c r="R213" s="43"/>
      <c r="S213" s="43"/>
      <c r="T213" s="43"/>
      <c r="U213" s="43"/>
    </row>
    <row r="214" spans="2:21" s="22" customFormat="1" ht="15.5" x14ac:dyDescent="0.35">
      <c r="B214" s="76"/>
      <c r="C214" s="1822" t="s">
        <v>1892</v>
      </c>
      <c r="D214" s="25">
        <v>8.09</v>
      </c>
      <c r="E214" s="1856">
        <v>44057</v>
      </c>
      <c r="F214" s="1856">
        <v>44057</v>
      </c>
      <c r="G214" s="1819">
        <v>8.09</v>
      </c>
      <c r="H214" s="1820">
        <v>1</v>
      </c>
      <c r="I214" s="76">
        <f t="shared" si="3"/>
        <v>0</v>
      </c>
      <c r="J214" s="76">
        <v>0</v>
      </c>
      <c r="K214" s="43"/>
      <c r="L214" s="43"/>
      <c r="M214" s="43"/>
      <c r="N214" s="43"/>
      <c r="O214" s="43"/>
      <c r="P214" s="43"/>
      <c r="Q214" s="43"/>
      <c r="R214" s="43"/>
      <c r="S214" s="43"/>
      <c r="T214" s="43"/>
      <c r="U214" s="43"/>
    </row>
    <row r="215" spans="2:21" s="22" customFormat="1" ht="15.5" x14ac:dyDescent="0.35">
      <c r="B215" s="76"/>
      <c r="C215" s="1822" t="s">
        <v>1892</v>
      </c>
      <c r="D215" s="25">
        <v>7.44</v>
      </c>
      <c r="E215" s="1856">
        <v>44057</v>
      </c>
      <c r="F215" s="1856">
        <v>44057</v>
      </c>
      <c r="G215" s="1819">
        <v>7.44</v>
      </c>
      <c r="H215" s="1820">
        <v>1</v>
      </c>
      <c r="I215" s="76">
        <f t="shared" si="3"/>
        <v>0</v>
      </c>
      <c r="J215" s="76">
        <v>0</v>
      </c>
      <c r="K215" s="43"/>
      <c r="L215" s="43"/>
      <c r="M215" s="43"/>
      <c r="N215" s="43"/>
      <c r="O215" s="43"/>
      <c r="P215" s="43"/>
      <c r="Q215" s="43"/>
      <c r="R215" s="43"/>
      <c r="S215" s="43"/>
      <c r="T215" s="43"/>
      <c r="U215" s="43"/>
    </row>
    <row r="216" spans="2:21" s="22" customFormat="1" x14ac:dyDescent="0.25">
      <c r="B216" s="177"/>
      <c r="C216" s="161"/>
      <c r="D216" s="1808"/>
      <c r="E216" s="161"/>
      <c r="F216" s="161"/>
      <c r="G216" s="1808"/>
      <c r="H216" s="161"/>
      <c r="I216" s="76"/>
      <c r="J216" s="76"/>
      <c r="K216" s="43"/>
      <c r="L216" s="43"/>
      <c r="M216" s="43"/>
      <c r="N216" s="43"/>
      <c r="O216" s="43"/>
      <c r="P216" s="43"/>
      <c r="Q216" s="43"/>
      <c r="R216" s="43"/>
      <c r="S216" s="43"/>
      <c r="T216" s="43"/>
      <c r="U216" s="43"/>
    </row>
    <row r="217" spans="2:21" s="22" customFormat="1" x14ac:dyDescent="0.25">
      <c r="B217" s="76" t="s">
        <v>479</v>
      </c>
      <c r="C217" s="161"/>
      <c r="D217" s="1808"/>
      <c r="E217" s="161"/>
      <c r="F217" s="161"/>
      <c r="G217" s="1808"/>
      <c r="H217" s="161"/>
      <c r="I217" s="76"/>
      <c r="J217" s="76"/>
      <c r="K217" s="43"/>
      <c r="L217" s="43"/>
      <c r="M217" s="43"/>
      <c r="N217" s="43"/>
      <c r="O217" s="43"/>
      <c r="P217" s="43"/>
      <c r="Q217" s="43"/>
      <c r="R217" s="43"/>
      <c r="S217" s="43"/>
      <c r="T217" s="43"/>
      <c r="U217" s="43"/>
    </row>
    <row r="218" spans="2:21" s="22" customFormat="1" x14ac:dyDescent="0.25">
      <c r="B218" s="76" t="s">
        <v>480</v>
      </c>
      <c r="C218" s="161"/>
      <c r="D218" s="1808"/>
      <c r="E218" s="161"/>
      <c r="F218" s="161"/>
      <c r="G218" s="1808"/>
      <c r="H218" s="161"/>
      <c r="I218" s="76"/>
      <c r="J218" s="76"/>
      <c r="K218" s="43"/>
      <c r="L218" s="43"/>
      <c r="M218" s="43"/>
      <c r="N218" s="43"/>
      <c r="O218" s="43"/>
      <c r="P218" s="43"/>
      <c r="Q218" s="43"/>
      <c r="R218" s="43"/>
      <c r="S218" s="43"/>
      <c r="T218" s="43"/>
      <c r="U218" s="43"/>
    </row>
    <row r="219" spans="2:21" s="22" customFormat="1" x14ac:dyDescent="0.25">
      <c r="B219" s="76" t="s">
        <v>481</v>
      </c>
      <c r="C219" s="161"/>
      <c r="D219" s="1808"/>
      <c r="E219" s="161"/>
      <c r="F219" s="161"/>
      <c r="G219" s="1808"/>
      <c r="H219" s="161"/>
      <c r="I219" s="76"/>
      <c r="J219" s="76"/>
      <c r="K219" s="43"/>
      <c r="L219" s="43"/>
      <c r="M219" s="43"/>
      <c r="N219" s="43"/>
      <c r="O219" s="43"/>
      <c r="P219" s="43"/>
      <c r="Q219" s="43"/>
      <c r="R219" s="43"/>
      <c r="S219" s="43"/>
      <c r="T219" s="43"/>
      <c r="U219" s="43"/>
    </row>
    <row r="220" spans="2:21" s="22" customFormat="1" x14ac:dyDescent="0.25">
      <c r="B220" s="76" t="s">
        <v>395</v>
      </c>
      <c r="C220" s="161"/>
      <c r="D220" s="1808"/>
      <c r="E220" s="161"/>
      <c r="F220" s="161"/>
      <c r="G220" s="1808"/>
      <c r="H220" s="161"/>
      <c r="I220" s="76"/>
      <c r="J220" s="76"/>
      <c r="K220" s="43"/>
      <c r="L220" s="43"/>
      <c r="M220" s="43"/>
      <c r="N220" s="43"/>
      <c r="O220" s="43"/>
      <c r="P220" s="43"/>
      <c r="Q220" s="43"/>
      <c r="R220" s="43"/>
      <c r="S220" s="43"/>
      <c r="T220" s="43"/>
      <c r="U220" s="43"/>
    </row>
    <row r="221" spans="2:21" s="22" customFormat="1" x14ac:dyDescent="0.25">
      <c r="B221" s="177" t="s">
        <v>145</v>
      </c>
      <c r="C221" s="161"/>
      <c r="D221" s="1808">
        <f>SUM(D200:D215)</f>
        <v>41.739999999999995</v>
      </c>
      <c r="E221" s="161"/>
      <c r="F221" s="161"/>
      <c r="G221" s="1808">
        <f>SUM(G200:G215)</f>
        <v>41.739999999999995</v>
      </c>
      <c r="H221" s="161"/>
      <c r="I221" s="76"/>
      <c r="J221" s="76"/>
      <c r="K221" s="43"/>
      <c r="L221" s="43"/>
      <c r="M221" s="43"/>
      <c r="N221" s="43"/>
      <c r="O221" s="43"/>
      <c r="P221" s="43"/>
      <c r="Q221" s="43"/>
      <c r="R221" s="43"/>
      <c r="S221" s="43"/>
      <c r="T221" s="43"/>
      <c r="U221" s="43"/>
    </row>
    <row r="222" spans="2:21" s="22" customFormat="1" x14ac:dyDescent="0.25">
      <c r="B222" s="177"/>
      <c r="C222" s="161"/>
      <c r="D222" s="1808"/>
      <c r="E222" s="161"/>
      <c r="F222" s="161"/>
      <c r="G222" s="1808"/>
      <c r="H222" s="161"/>
      <c r="I222" s="76"/>
      <c r="J222" s="76"/>
      <c r="K222" s="43"/>
      <c r="L222" s="43"/>
      <c r="M222" s="43"/>
      <c r="N222" s="43"/>
      <c r="O222" s="43"/>
      <c r="P222" s="43"/>
      <c r="Q222" s="43"/>
      <c r="R222" s="43"/>
      <c r="S222" s="43"/>
      <c r="T222" s="43"/>
      <c r="U222" s="43"/>
    </row>
    <row r="223" spans="2:21" s="22" customFormat="1" x14ac:dyDescent="0.25">
      <c r="B223" s="15"/>
      <c r="C223" s="15"/>
      <c r="D223" s="15"/>
      <c r="E223" s="15"/>
      <c r="F223" s="15"/>
      <c r="G223" s="15"/>
      <c r="H223" s="15"/>
      <c r="I223" s="15"/>
      <c r="J223" s="15"/>
      <c r="K223" s="43"/>
      <c r="L223" s="43"/>
      <c r="M223" s="43"/>
      <c r="N223" s="43"/>
      <c r="O223" s="43"/>
      <c r="P223" s="43"/>
      <c r="Q223" s="43"/>
      <c r="R223" s="43"/>
      <c r="S223" s="43"/>
      <c r="T223" s="43"/>
      <c r="U223" s="43"/>
    </row>
    <row r="224" spans="2:21" s="22" customFormat="1" x14ac:dyDescent="0.25">
      <c r="B224" s="15"/>
      <c r="C224" s="15"/>
      <c r="D224" s="15"/>
      <c r="E224" s="15"/>
      <c r="F224" s="15"/>
      <c r="G224" s="15"/>
      <c r="H224" s="15"/>
      <c r="I224" s="15"/>
      <c r="J224" s="15"/>
      <c r="K224" s="43"/>
      <c r="L224" s="43"/>
      <c r="M224" s="43"/>
      <c r="N224" s="43"/>
      <c r="O224" s="43"/>
      <c r="P224" s="43"/>
      <c r="Q224" s="43"/>
      <c r="R224" s="43"/>
      <c r="S224" s="43"/>
      <c r="T224" s="43"/>
      <c r="U224" s="43"/>
    </row>
    <row r="225" spans="2:21" s="22" customFormat="1" x14ac:dyDescent="0.25">
      <c r="B225" s="57" t="s">
        <v>700</v>
      </c>
      <c r="C225" s="68"/>
      <c r="D225" s="68"/>
      <c r="E225" s="68"/>
      <c r="F225" s="68"/>
      <c r="G225" s="68"/>
      <c r="H225" s="68"/>
      <c r="I225" s="15"/>
      <c r="J225" s="15"/>
      <c r="K225" s="43"/>
      <c r="L225" s="43"/>
      <c r="M225" s="43"/>
      <c r="N225" s="43"/>
      <c r="O225" s="43"/>
      <c r="P225" s="43"/>
      <c r="Q225" s="43"/>
      <c r="R225" s="43"/>
      <c r="S225" s="43"/>
      <c r="T225" s="43"/>
      <c r="U225" s="43"/>
    </row>
    <row r="226" spans="2:21" s="22" customFormat="1" x14ac:dyDescent="0.25">
      <c r="B226" s="57"/>
      <c r="C226" s="68"/>
      <c r="D226" s="68"/>
      <c r="E226" s="68"/>
      <c r="F226" s="68"/>
      <c r="G226" s="68"/>
      <c r="H226" s="68"/>
      <c r="I226" s="15"/>
      <c r="J226" s="15"/>
      <c r="K226" s="43"/>
      <c r="L226" s="43"/>
      <c r="M226" s="43"/>
      <c r="N226" s="43"/>
      <c r="O226" s="43"/>
      <c r="P226" s="43"/>
      <c r="Q226" s="43"/>
      <c r="R226" s="43"/>
      <c r="S226" s="43"/>
      <c r="T226" s="43"/>
      <c r="U226" s="43"/>
    </row>
    <row r="227" spans="2:21" s="22" customFormat="1" x14ac:dyDescent="0.25">
      <c r="B227" s="57" t="s">
        <v>467</v>
      </c>
      <c r="C227" s="68"/>
      <c r="D227" s="68"/>
      <c r="E227" s="68"/>
      <c r="F227" s="68"/>
      <c r="G227" s="68"/>
      <c r="H227" s="68"/>
      <c r="I227" s="15"/>
      <c r="J227" s="15"/>
      <c r="K227" s="43"/>
      <c r="L227" s="43"/>
      <c r="M227" s="43"/>
      <c r="N227" s="43"/>
      <c r="O227" s="43"/>
      <c r="P227" s="43"/>
      <c r="Q227" s="43"/>
      <c r="R227" s="43"/>
      <c r="S227" s="43"/>
      <c r="T227" s="43"/>
      <c r="U227" s="43"/>
    </row>
    <row r="228" spans="2:21" s="15" customFormat="1" x14ac:dyDescent="0.25">
      <c r="B228" s="57"/>
      <c r="C228" s="68"/>
      <c r="D228" s="68"/>
      <c r="E228" s="68"/>
      <c r="F228" s="68"/>
      <c r="G228" s="68"/>
      <c r="H228" s="68"/>
      <c r="K228" s="43"/>
      <c r="L228" s="43"/>
      <c r="M228" s="43"/>
      <c r="N228" s="43"/>
      <c r="O228" s="43"/>
      <c r="P228" s="43"/>
      <c r="Q228" s="43"/>
      <c r="R228" s="43"/>
      <c r="S228" s="43"/>
      <c r="T228" s="43"/>
      <c r="U228" s="43"/>
    </row>
    <row r="229" spans="2:21" s="15" customFormat="1" ht="14" customHeight="1" x14ac:dyDescent="0.25">
      <c r="B229" s="2461" t="s">
        <v>50</v>
      </c>
      <c r="C229" s="2464" t="s">
        <v>468</v>
      </c>
      <c r="D229" s="2465"/>
      <c r="E229" s="2466"/>
      <c r="F229" s="2464" t="s">
        <v>469</v>
      </c>
      <c r="G229" s="2465"/>
      <c r="H229" s="2466"/>
      <c r="I229" s="2471" t="s">
        <v>470</v>
      </c>
      <c r="J229" s="2471" t="s">
        <v>471</v>
      </c>
      <c r="K229" s="43"/>
      <c r="L229" s="43"/>
      <c r="M229" s="43"/>
      <c r="N229" s="43"/>
      <c r="O229" s="43"/>
      <c r="P229" s="43"/>
      <c r="Q229" s="43"/>
      <c r="R229" s="43"/>
      <c r="S229" s="43"/>
      <c r="T229" s="43"/>
      <c r="U229" s="43"/>
    </row>
    <row r="230" spans="2:21" s="15" customFormat="1" ht="28" x14ac:dyDescent="0.25">
      <c r="B230" s="2462"/>
      <c r="C230" s="1827" t="s">
        <v>472</v>
      </c>
      <c r="D230" s="1806" t="s">
        <v>473</v>
      </c>
      <c r="E230" s="1827" t="s">
        <v>474</v>
      </c>
      <c r="F230" s="1827" t="s">
        <v>472</v>
      </c>
      <c r="G230" s="1806" t="s">
        <v>473</v>
      </c>
      <c r="H230" s="1826" t="s">
        <v>475</v>
      </c>
      <c r="I230" s="2471"/>
      <c r="J230" s="2471"/>
      <c r="K230" s="43"/>
      <c r="L230" s="43"/>
      <c r="M230" s="43"/>
      <c r="N230" s="43"/>
      <c r="O230" s="43"/>
      <c r="P230" s="43"/>
      <c r="Q230" s="43"/>
      <c r="R230" s="43"/>
      <c r="S230" s="43"/>
      <c r="T230" s="43"/>
      <c r="U230" s="43"/>
    </row>
    <row r="231" spans="2:21" s="242" customFormat="1" x14ac:dyDescent="0.25">
      <c r="B231" s="76" t="s">
        <v>922</v>
      </c>
      <c r="C231" s="1809" t="s">
        <v>1893</v>
      </c>
      <c r="D231" s="1853">
        <f>1371214719/10000000</f>
        <v>137.12147189999999</v>
      </c>
      <c r="E231" s="1809" t="s">
        <v>1894</v>
      </c>
      <c r="F231" s="1809" t="s">
        <v>1887</v>
      </c>
      <c r="G231" s="1808">
        <v>137.12</v>
      </c>
      <c r="H231" s="161"/>
      <c r="I231" s="76">
        <v>33</v>
      </c>
      <c r="J231" s="76"/>
      <c r="K231" s="43"/>
      <c r="L231" s="43"/>
      <c r="M231" s="43"/>
      <c r="N231" s="43"/>
      <c r="O231" s="43"/>
      <c r="P231" s="43"/>
      <c r="Q231" s="43"/>
      <c r="R231" s="43"/>
      <c r="S231" s="43"/>
      <c r="T231" s="43"/>
      <c r="U231" s="43"/>
    </row>
    <row r="232" spans="2:21" s="242" customFormat="1" x14ac:dyDescent="0.25">
      <c r="B232" s="76" t="s">
        <v>922</v>
      </c>
      <c r="C232" s="161"/>
      <c r="D232" s="1808"/>
      <c r="E232" s="161"/>
      <c r="F232" s="161"/>
      <c r="G232" s="1808"/>
      <c r="H232" s="161"/>
      <c r="I232" s="76"/>
      <c r="J232" s="76"/>
      <c r="K232" s="43"/>
      <c r="L232" s="43"/>
      <c r="M232" s="43"/>
      <c r="N232" s="43"/>
      <c r="O232" s="43"/>
      <c r="P232" s="43"/>
      <c r="Q232" s="43"/>
      <c r="R232" s="43"/>
      <c r="S232" s="43"/>
      <c r="T232" s="43"/>
      <c r="U232" s="43"/>
    </row>
    <row r="233" spans="2:21" s="242" customFormat="1" x14ac:dyDescent="0.25">
      <c r="B233" s="76" t="s">
        <v>1848</v>
      </c>
      <c r="C233" s="161"/>
      <c r="D233" s="1808"/>
      <c r="E233" s="161"/>
      <c r="F233" s="161"/>
      <c r="G233" s="1808"/>
      <c r="H233" s="161"/>
      <c r="I233" s="76"/>
      <c r="J233" s="76"/>
      <c r="K233" s="43"/>
      <c r="L233" s="43"/>
      <c r="M233" s="43"/>
      <c r="N233" s="43"/>
      <c r="O233" s="43"/>
      <c r="P233" s="43"/>
      <c r="Q233" s="43"/>
      <c r="R233" s="43"/>
      <c r="S233" s="43"/>
      <c r="T233" s="43"/>
      <c r="U233" s="43"/>
    </row>
    <row r="234" spans="2:21" s="242" customFormat="1" x14ac:dyDescent="0.25">
      <c r="B234" s="76" t="s">
        <v>922</v>
      </c>
      <c r="C234" s="161"/>
      <c r="D234" s="1808"/>
      <c r="E234" s="161"/>
      <c r="F234" s="161"/>
      <c r="G234" s="1808"/>
      <c r="H234" s="161"/>
      <c r="I234" s="76"/>
      <c r="J234" s="76"/>
      <c r="K234" s="43"/>
      <c r="L234" s="43"/>
      <c r="M234" s="43"/>
      <c r="N234" s="43"/>
      <c r="O234" s="43"/>
      <c r="P234" s="43"/>
      <c r="Q234" s="43"/>
      <c r="R234" s="43"/>
      <c r="S234" s="43"/>
      <c r="T234" s="43"/>
      <c r="U234" s="43"/>
    </row>
    <row r="235" spans="2:21" s="242" customFormat="1" x14ac:dyDescent="0.25">
      <c r="B235" s="76" t="s">
        <v>1853</v>
      </c>
      <c r="C235" s="803" t="s">
        <v>1895</v>
      </c>
      <c r="D235" s="1811">
        <f>259121744/10000000</f>
        <v>25.912174400000001</v>
      </c>
      <c r="E235" s="161" t="s">
        <v>1896</v>
      </c>
      <c r="F235" s="161" t="s">
        <v>1894</v>
      </c>
      <c r="G235" s="1808">
        <f>+D235</f>
        <v>25.912174400000001</v>
      </c>
      <c r="H235" s="161"/>
      <c r="I235" s="76">
        <v>0</v>
      </c>
      <c r="J235" s="76"/>
      <c r="K235" s="43"/>
      <c r="L235" s="43"/>
      <c r="M235" s="43"/>
      <c r="N235" s="43"/>
      <c r="O235" s="43"/>
      <c r="P235" s="43"/>
      <c r="Q235" s="43"/>
      <c r="R235" s="43"/>
      <c r="S235" s="43"/>
      <c r="T235" s="43"/>
      <c r="U235" s="43"/>
    </row>
    <row r="236" spans="2:21" s="242" customFormat="1" x14ac:dyDescent="0.25">
      <c r="B236" s="76" t="s">
        <v>922</v>
      </c>
      <c r="C236" s="1809" t="s">
        <v>1897</v>
      </c>
      <c r="D236" s="1853">
        <f>1371023233/10000000</f>
        <v>137.10232329999999</v>
      </c>
      <c r="E236" s="1809">
        <v>44391</v>
      </c>
      <c r="F236" s="1809" t="s">
        <v>1887</v>
      </c>
      <c r="G236" s="1808">
        <v>137.1</v>
      </c>
      <c r="H236" s="161"/>
      <c r="I236" s="76">
        <v>0</v>
      </c>
      <c r="J236" s="76"/>
      <c r="K236" s="43"/>
      <c r="L236" s="43"/>
      <c r="M236" s="43"/>
      <c r="N236" s="43"/>
      <c r="O236" s="43"/>
      <c r="P236" s="43"/>
      <c r="Q236" s="43"/>
      <c r="R236" s="43"/>
      <c r="S236" s="43"/>
      <c r="T236" s="43"/>
      <c r="U236" s="43"/>
    </row>
    <row r="237" spans="2:21" s="242" customFormat="1" x14ac:dyDescent="0.25">
      <c r="B237" s="76" t="s">
        <v>1853</v>
      </c>
      <c r="C237" s="803" t="s">
        <v>1898</v>
      </c>
      <c r="D237" s="1811">
        <f>275434600/10000000</f>
        <v>27.54346</v>
      </c>
      <c r="E237" s="161" t="s">
        <v>1897</v>
      </c>
      <c r="F237" s="161" t="s">
        <v>1897</v>
      </c>
      <c r="G237" s="1808">
        <f>+D237</f>
        <v>27.54346</v>
      </c>
      <c r="H237" s="161"/>
      <c r="I237" s="76">
        <v>0</v>
      </c>
      <c r="J237" s="76"/>
      <c r="K237" s="43"/>
      <c r="L237" s="43"/>
      <c r="M237" s="43"/>
      <c r="N237" s="43"/>
      <c r="O237" s="43"/>
      <c r="P237" s="43"/>
      <c r="Q237" s="43"/>
      <c r="R237" s="43"/>
      <c r="S237" s="43"/>
      <c r="T237" s="43"/>
      <c r="U237" s="43"/>
    </row>
    <row r="238" spans="2:21" s="242" customFormat="1" x14ac:dyDescent="0.25">
      <c r="B238" s="76"/>
      <c r="C238" s="161"/>
      <c r="D238" s="1808"/>
      <c r="E238" s="161"/>
      <c r="F238" s="161"/>
      <c r="G238" s="1808"/>
      <c r="H238" s="161"/>
      <c r="I238" s="76"/>
      <c r="J238" s="76"/>
      <c r="K238" s="43"/>
      <c r="L238" s="43"/>
      <c r="M238" s="43"/>
      <c r="N238" s="43"/>
      <c r="O238" s="43"/>
      <c r="P238" s="43"/>
      <c r="Q238" s="43"/>
      <c r="R238" s="43"/>
      <c r="S238" s="43"/>
      <c r="T238" s="43"/>
      <c r="U238" s="43"/>
    </row>
    <row r="239" spans="2:21" s="242" customFormat="1" x14ac:dyDescent="0.25">
      <c r="B239" s="76"/>
      <c r="C239" s="161"/>
      <c r="D239" s="1808"/>
      <c r="E239" s="161"/>
      <c r="F239" s="161"/>
      <c r="G239" s="1808"/>
      <c r="H239" s="161"/>
      <c r="I239" s="76"/>
      <c r="J239" s="76"/>
      <c r="K239" s="43"/>
      <c r="L239" s="43"/>
      <c r="M239" s="43"/>
      <c r="N239" s="43"/>
      <c r="O239" s="43"/>
      <c r="P239" s="43"/>
      <c r="Q239" s="43"/>
      <c r="R239" s="43"/>
      <c r="S239" s="43"/>
      <c r="T239" s="43"/>
      <c r="U239" s="43"/>
    </row>
    <row r="240" spans="2:21" s="242" customFormat="1" x14ac:dyDescent="0.25">
      <c r="B240" s="76" t="s">
        <v>922</v>
      </c>
      <c r="C240" s="1809" t="s">
        <v>1899</v>
      </c>
      <c r="D240" s="1808">
        <v>143.88</v>
      </c>
      <c r="E240" s="161" t="s">
        <v>1900</v>
      </c>
      <c r="F240" s="1809" t="s">
        <v>1901</v>
      </c>
      <c r="G240" s="1808">
        <v>70</v>
      </c>
      <c r="H240" s="161"/>
      <c r="I240" s="76">
        <v>0</v>
      </c>
      <c r="J240" s="76"/>
      <c r="K240" s="43"/>
      <c r="L240" s="43"/>
      <c r="M240" s="43"/>
      <c r="N240" s="43"/>
      <c r="O240" s="43"/>
      <c r="P240" s="43"/>
      <c r="Q240" s="43"/>
      <c r="R240" s="43"/>
      <c r="S240" s="43"/>
      <c r="T240" s="43"/>
      <c r="U240" s="43"/>
    </row>
    <row r="241" spans="2:21" s="242" customFormat="1" x14ac:dyDescent="0.25">
      <c r="B241" s="76" t="s">
        <v>922</v>
      </c>
      <c r="C241" s="161"/>
      <c r="D241" s="1808"/>
      <c r="E241" s="161"/>
      <c r="F241" s="161" t="s">
        <v>1900</v>
      </c>
      <c r="G241" s="1808">
        <v>73.88</v>
      </c>
      <c r="H241" s="161"/>
      <c r="I241" s="76">
        <v>0</v>
      </c>
      <c r="J241" s="76"/>
      <c r="K241" s="43"/>
      <c r="L241" s="43"/>
      <c r="M241" s="43"/>
      <c r="N241" s="43"/>
      <c r="O241" s="43"/>
      <c r="P241" s="43"/>
      <c r="Q241" s="43"/>
      <c r="R241" s="43"/>
      <c r="S241" s="43"/>
      <c r="T241" s="43"/>
      <c r="U241" s="43"/>
    </row>
    <row r="242" spans="2:21" s="242" customFormat="1" x14ac:dyDescent="0.25">
      <c r="B242" s="76" t="s">
        <v>922</v>
      </c>
      <c r="C242" s="161"/>
      <c r="D242" s="1808"/>
      <c r="E242" s="161"/>
      <c r="F242" s="161"/>
      <c r="G242" s="1808"/>
      <c r="H242" s="161"/>
      <c r="I242" s="76"/>
      <c r="J242" s="76"/>
      <c r="K242" s="43"/>
      <c r="L242" s="43"/>
      <c r="M242" s="43"/>
      <c r="N242" s="43"/>
      <c r="O242" s="43"/>
      <c r="P242" s="43"/>
      <c r="Q242" s="43"/>
      <c r="R242" s="43"/>
      <c r="S242" s="43"/>
      <c r="T242" s="43"/>
      <c r="U242" s="43"/>
    </row>
    <row r="243" spans="2:21" s="242" customFormat="1" x14ac:dyDescent="0.25">
      <c r="B243" s="76" t="s">
        <v>1853</v>
      </c>
      <c r="C243" s="803" t="s">
        <v>1902</v>
      </c>
      <c r="D243" s="1811">
        <f>279647862.5/10000000</f>
        <v>27.96478625</v>
      </c>
      <c r="E243" s="161" t="s">
        <v>1903</v>
      </c>
      <c r="F243" s="161" t="s">
        <v>1900</v>
      </c>
      <c r="G243" s="1808">
        <f>+D243</f>
        <v>27.96478625</v>
      </c>
      <c r="H243" s="161"/>
      <c r="I243" s="76">
        <v>0</v>
      </c>
      <c r="J243" s="76"/>
      <c r="K243" s="43"/>
      <c r="L243" s="43"/>
      <c r="M243" s="43"/>
      <c r="N243" s="43"/>
      <c r="O243" s="43"/>
      <c r="P243" s="43"/>
      <c r="Q243" s="43"/>
      <c r="R243" s="43"/>
      <c r="S243" s="43"/>
      <c r="T243" s="43"/>
      <c r="U243" s="43"/>
    </row>
    <row r="244" spans="2:21" s="242" customFormat="1" x14ac:dyDescent="0.25">
      <c r="B244" s="76" t="s">
        <v>922</v>
      </c>
      <c r="C244" s="161" t="s">
        <v>1904</v>
      </c>
      <c r="D244" s="1808">
        <v>126.45</v>
      </c>
      <c r="E244" s="161" t="s">
        <v>1905</v>
      </c>
      <c r="F244" s="161" t="s">
        <v>1905</v>
      </c>
      <c r="G244" s="1808">
        <v>51.95</v>
      </c>
      <c r="H244" s="161"/>
      <c r="I244" s="76">
        <v>0</v>
      </c>
      <c r="J244" s="76"/>
      <c r="K244" s="43"/>
      <c r="L244" s="43"/>
      <c r="M244" s="43"/>
      <c r="N244" s="43"/>
      <c r="O244" s="43"/>
      <c r="P244" s="43"/>
      <c r="Q244" s="43"/>
      <c r="R244" s="43"/>
      <c r="S244" s="43"/>
      <c r="T244" s="43"/>
      <c r="U244" s="43"/>
    </row>
    <row r="245" spans="2:21" s="242" customFormat="1" x14ac:dyDescent="0.25">
      <c r="B245" s="76" t="s">
        <v>1848</v>
      </c>
      <c r="C245" s="161"/>
      <c r="D245" s="1808"/>
      <c r="E245" s="161"/>
      <c r="F245" s="161" t="s">
        <v>1906</v>
      </c>
      <c r="G245" s="1808">
        <v>74.5</v>
      </c>
      <c r="H245" s="161"/>
      <c r="I245" s="76">
        <v>1</v>
      </c>
      <c r="J245" s="76"/>
      <c r="K245" s="43"/>
      <c r="L245" s="43"/>
      <c r="M245" s="43"/>
      <c r="N245" s="43"/>
      <c r="O245" s="43"/>
      <c r="P245" s="43"/>
      <c r="Q245" s="43"/>
      <c r="R245" s="43"/>
      <c r="S245" s="43"/>
      <c r="T245" s="43"/>
      <c r="U245" s="43"/>
    </row>
    <row r="246" spans="2:21" s="242" customFormat="1" x14ac:dyDescent="0.25">
      <c r="B246" s="76" t="s">
        <v>922</v>
      </c>
      <c r="C246" s="161"/>
      <c r="D246" s="1808"/>
      <c r="E246" s="161"/>
      <c r="F246" s="161"/>
      <c r="G246" s="1808"/>
      <c r="H246" s="161"/>
      <c r="I246" s="76"/>
      <c r="J246" s="76"/>
      <c r="K246" s="43"/>
      <c r="L246" s="43"/>
      <c r="M246" s="43"/>
      <c r="N246" s="43"/>
      <c r="O246" s="43"/>
      <c r="P246" s="43"/>
      <c r="Q246" s="43"/>
      <c r="R246" s="43"/>
      <c r="S246" s="43"/>
      <c r="T246" s="43"/>
      <c r="U246" s="43"/>
    </row>
    <row r="247" spans="2:21" s="242" customFormat="1" x14ac:dyDescent="0.25">
      <c r="B247" s="76" t="s">
        <v>1853</v>
      </c>
      <c r="C247" s="161" t="s">
        <v>1907</v>
      </c>
      <c r="D247" s="1808">
        <f>279388162.5/10000000</f>
        <v>27.938816249999999</v>
      </c>
      <c r="E247" s="161" t="s">
        <v>1908</v>
      </c>
      <c r="F247" s="161" t="s">
        <v>1908</v>
      </c>
      <c r="G247" s="1808">
        <f>+D247</f>
        <v>27.938816249999999</v>
      </c>
      <c r="H247" s="161"/>
      <c r="I247" s="76">
        <v>0</v>
      </c>
      <c r="J247" s="76"/>
      <c r="K247" s="43"/>
      <c r="L247" s="43"/>
      <c r="M247" s="43"/>
      <c r="N247" s="43"/>
      <c r="O247" s="43"/>
      <c r="P247" s="43"/>
      <c r="Q247" s="43"/>
      <c r="R247" s="43"/>
      <c r="S247" s="43"/>
      <c r="T247" s="43"/>
      <c r="U247" s="43"/>
    </row>
    <row r="248" spans="2:21" s="242" customFormat="1" x14ac:dyDescent="0.25">
      <c r="B248" s="76" t="s">
        <v>922</v>
      </c>
      <c r="C248" s="161" t="s">
        <v>1909</v>
      </c>
      <c r="D248" s="1808">
        <v>125.94</v>
      </c>
      <c r="E248" s="161" t="s">
        <v>1910</v>
      </c>
      <c r="F248" s="161" t="s">
        <v>1910</v>
      </c>
      <c r="G248" s="1808">
        <v>25.94</v>
      </c>
      <c r="H248" s="161"/>
      <c r="I248" s="76">
        <v>0</v>
      </c>
      <c r="J248" s="76"/>
      <c r="K248" s="43"/>
      <c r="L248" s="43"/>
      <c r="M248" s="43"/>
      <c r="N248" s="43"/>
      <c r="O248" s="43"/>
      <c r="P248" s="43"/>
      <c r="Q248" s="43"/>
      <c r="R248" s="43"/>
      <c r="S248" s="43"/>
      <c r="T248" s="43"/>
      <c r="U248" s="43"/>
    </row>
    <row r="249" spans="2:21" s="242" customFormat="1" x14ac:dyDescent="0.25">
      <c r="B249" s="76" t="s">
        <v>922</v>
      </c>
      <c r="C249" s="161"/>
      <c r="D249" s="1808"/>
      <c r="E249" s="161"/>
      <c r="F249" s="161" t="s">
        <v>1911</v>
      </c>
      <c r="G249" s="1808">
        <v>97.89</v>
      </c>
      <c r="H249" s="161"/>
      <c r="I249" s="76">
        <v>0</v>
      </c>
      <c r="J249" s="76"/>
      <c r="K249" s="43"/>
      <c r="L249" s="43"/>
      <c r="M249" s="43"/>
      <c r="N249" s="43"/>
      <c r="O249" s="43"/>
      <c r="P249" s="43"/>
      <c r="Q249" s="43"/>
      <c r="R249" s="43"/>
      <c r="S249" s="43"/>
      <c r="T249" s="43"/>
      <c r="U249" s="43"/>
    </row>
    <row r="250" spans="2:21" s="22" customFormat="1" x14ac:dyDescent="0.25">
      <c r="B250" s="76" t="s">
        <v>922</v>
      </c>
      <c r="C250" s="161"/>
      <c r="D250" s="1808"/>
      <c r="E250" s="161"/>
      <c r="F250" s="161"/>
      <c r="G250" s="1808"/>
      <c r="H250" s="161"/>
      <c r="I250" s="76"/>
      <c r="J250" s="76"/>
      <c r="K250" s="224"/>
      <c r="L250" s="224"/>
      <c r="M250" s="224"/>
      <c r="N250" s="224"/>
      <c r="O250" s="224"/>
      <c r="P250" s="224"/>
      <c r="Q250" s="224"/>
      <c r="R250" s="224"/>
      <c r="S250" s="224"/>
      <c r="T250" s="224"/>
      <c r="U250" s="224"/>
    </row>
    <row r="251" spans="2:21" s="22" customFormat="1" x14ac:dyDescent="0.25">
      <c r="B251" s="76" t="s">
        <v>922</v>
      </c>
      <c r="C251" s="161"/>
      <c r="D251" s="1808"/>
      <c r="E251" s="161"/>
      <c r="F251" s="161"/>
      <c r="G251" s="1808"/>
      <c r="H251" s="161"/>
      <c r="I251" s="76"/>
      <c r="J251" s="76"/>
      <c r="K251" s="224"/>
      <c r="L251" s="224"/>
      <c r="M251" s="224"/>
      <c r="N251" s="224"/>
      <c r="O251" s="224"/>
      <c r="P251" s="224"/>
      <c r="Q251" s="224"/>
      <c r="R251" s="224"/>
      <c r="S251" s="224"/>
      <c r="T251" s="224"/>
      <c r="U251" s="224"/>
    </row>
    <row r="252" spans="2:21" s="22" customFormat="1" x14ac:dyDescent="0.25">
      <c r="B252" s="76" t="s">
        <v>922</v>
      </c>
      <c r="C252" s="161"/>
      <c r="D252" s="1808"/>
      <c r="E252" s="161"/>
      <c r="F252" s="161"/>
      <c r="G252" s="1808"/>
      <c r="H252" s="161"/>
      <c r="I252" s="76"/>
      <c r="J252" s="76"/>
      <c r="K252" s="224"/>
      <c r="L252" s="224"/>
      <c r="M252" s="224"/>
      <c r="N252" s="224"/>
      <c r="O252" s="224"/>
      <c r="P252" s="224"/>
      <c r="Q252" s="224"/>
      <c r="R252" s="224"/>
      <c r="S252" s="224"/>
      <c r="T252" s="224"/>
      <c r="U252" s="224"/>
    </row>
    <row r="253" spans="2:21" s="22" customFormat="1" x14ac:dyDescent="0.25">
      <c r="B253" s="76" t="s">
        <v>1853</v>
      </c>
      <c r="C253" s="161" t="s">
        <v>1912</v>
      </c>
      <c r="D253" s="1808">
        <f>171576305/10000000</f>
        <v>17.1576305</v>
      </c>
      <c r="E253" s="161" t="s">
        <v>1910</v>
      </c>
      <c r="F253" s="161" t="s">
        <v>1910</v>
      </c>
      <c r="G253" s="1808">
        <f>+D253</f>
        <v>17.1576305</v>
      </c>
      <c r="H253" s="161"/>
      <c r="I253" s="76">
        <v>0</v>
      </c>
      <c r="J253" s="76"/>
      <c r="K253" s="224"/>
      <c r="L253" s="224"/>
      <c r="M253" s="224"/>
      <c r="N253" s="224"/>
      <c r="O253" s="224"/>
      <c r="P253" s="224"/>
      <c r="Q253" s="224"/>
      <c r="R253" s="224"/>
      <c r="S253" s="224"/>
      <c r="T253" s="224"/>
      <c r="U253" s="224"/>
    </row>
    <row r="254" spans="2:21" s="22" customFormat="1" x14ac:dyDescent="0.25">
      <c r="B254" s="76" t="s">
        <v>922</v>
      </c>
      <c r="C254" s="161" t="s">
        <v>1913</v>
      </c>
      <c r="D254" s="1808">
        <v>155.37</v>
      </c>
      <c r="E254" s="161" t="s">
        <v>1914</v>
      </c>
      <c r="F254" s="161" t="s">
        <v>1915</v>
      </c>
      <c r="G254" s="1808">
        <f>124.3+1.07</f>
        <v>125.36999999999999</v>
      </c>
      <c r="H254" s="161"/>
      <c r="I254" s="76">
        <v>2</v>
      </c>
      <c r="J254" s="76"/>
      <c r="K254" s="224"/>
      <c r="L254" s="224"/>
      <c r="M254" s="224"/>
      <c r="N254" s="224"/>
      <c r="O254" s="224"/>
      <c r="P254" s="224"/>
      <c r="Q254" s="224"/>
      <c r="R254" s="224"/>
      <c r="S254" s="224"/>
      <c r="T254" s="224"/>
      <c r="U254" s="224"/>
    </row>
    <row r="255" spans="2:21" s="22" customFormat="1" x14ac:dyDescent="0.25">
      <c r="B255" s="76" t="s">
        <v>922</v>
      </c>
      <c r="C255" s="161"/>
      <c r="D255" s="1808"/>
      <c r="E255" s="161"/>
      <c r="F255" s="161" t="s">
        <v>1914</v>
      </c>
      <c r="G255" s="1808">
        <v>30</v>
      </c>
      <c r="H255" s="161"/>
      <c r="I255" s="76">
        <v>0</v>
      </c>
      <c r="J255" s="76"/>
      <c r="K255" s="224"/>
      <c r="L255" s="224"/>
      <c r="M255" s="224"/>
      <c r="N255" s="224"/>
      <c r="O255" s="224"/>
      <c r="P255" s="224"/>
      <c r="Q255" s="224"/>
      <c r="R255" s="224"/>
      <c r="S255" s="224"/>
      <c r="T255" s="224"/>
      <c r="U255" s="224"/>
    </row>
    <row r="256" spans="2:21" s="22" customFormat="1" x14ac:dyDescent="0.25">
      <c r="B256" s="76" t="s">
        <v>922</v>
      </c>
      <c r="C256" s="161"/>
      <c r="D256" s="1808"/>
      <c r="E256" s="161"/>
      <c r="F256" s="161" t="s">
        <v>740</v>
      </c>
      <c r="G256" s="1808" t="s">
        <v>740</v>
      </c>
      <c r="H256" s="161"/>
      <c r="I256" s="76"/>
      <c r="J256" s="76"/>
      <c r="K256" s="224"/>
      <c r="L256" s="224"/>
      <c r="M256" s="224"/>
      <c r="N256" s="224"/>
      <c r="O256" s="224"/>
      <c r="P256" s="224"/>
      <c r="Q256" s="224"/>
      <c r="R256" s="224"/>
      <c r="S256" s="224"/>
      <c r="T256" s="224"/>
      <c r="U256" s="224"/>
    </row>
    <row r="257" spans="2:21" s="22" customFormat="1" x14ac:dyDescent="0.25">
      <c r="B257" s="76" t="s">
        <v>922</v>
      </c>
      <c r="C257" s="161"/>
      <c r="D257" s="1808"/>
      <c r="E257" s="161"/>
      <c r="F257" s="161"/>
      <c r="G257" s="1808"/>
      <c r="H257" s="161"/>
      <c r="I257" s="76"/>
      <c r="J257" s="76"/>
      <c r="K257" s="224"/>
      <c r="L257" s="224"/>
      <c r="M257" s="224"/>
      <c r="N257" s="224"/>
      <c r="O257" s="224"/>
      <c r="P257" s="224"/>
      <c r="Q257" s="224"/>
      <c r="R257" s="224"/>
      <c r="S257" s="224"/>
      <c r="T257" s="224"/>
      <c r="U257" s="224"/>
    </row>
    <row r="258" spans="2:21" s="22" customFormat="1" x14ac:dyDescent="0.25">
      <c r="B258" s="76" t="s">
        <v>922</v>
      </c>
      <c r="C258" s="161"/>
      <c r="D258" s="1808"/>
      <c r="E258" s="161"/>
      <c r="F258" s="161"/>
      <c r="G258" s="1808"/>
      <c r="H258" s="161"/>
      <c r="I258" s="76"/>
      <c r="J258" s="76"/>
      <c r="K258" s="224"/>
      <c r="L258" s="224"/>
      <c r="M258" s="224"/>
      <c r="N258" s="224"/>
      <c r="O258" s="224"/>
      <c r="P258" s="224"/>
      <c r="Q258" s="224"/>
      <c r="R258" s="224"/>
      <c r="S258" s="224"/>
      <c r="T258" s="224"/>
      <c r="U258" s="224"/>
    </row>
    <row r="259" spans="2:21" s="22" customFormat="1" x14ac:dyDescent="0.25">
      <c r="B259" s="76" t="s">
        <v>922</v>
      </c>
      <c r="C259" s="161"/>
      <c r="D259" s="1808"/>
      <c r="E259" s="161"/>
      <c r="F259" s="161"/>
      <c r="G259" s="1808"/>
      <c r="H259" s="161"/>
      <c r="I259" s="76"/>
      <c r="J259" s="76"/>
      <c r="K259" s="224"/>
      <c r="L259" s="224"/>
      <c r="M259" s="224"/>
      <c r="N259" s="224"/>
      <c r="O259" s="224"/>
      <c r="P259" s="224"/>
      <c r="Q259" s="224"/>
      <c r="R259" s="224"/>
      <c r="S259" s="224"/>
      <c r="T259" s="224"/>
      <c r="U259" s="224"/>
    </row>
    <row r="260" spans="2:21" s="22" customFormat="1" x14ac:dyDescent="0.25">
      <c r="B260" s="76" t="s">
        <v>922</v>
      </c>
      <c r="C260" s="161"/>
      <c r="D260" s="1808"/>
      <c r="E260" s="161"/>
      <c r="F260" s="161"/>
      <c r="G260" s="1808"/>
      <c r="H260" s="161"/>
      <c r="I260" s="76"/>
      <c r="J260" s="76"/>
      <c r="K260" s="224"/>
      <c r="L260" s="224"/>
      <c r="M260" s="224"/>
      <c r="N260" s="224"/>
      <c r="O260" s="224"/>
      <c r="P260" s="224"/>
      <c r="Q260" s="224"/>
      <c r="R260" s="224"/>
      <c r="S260" s="224"/>
      <c r="T260" s="224"/>
      <c r="U260" s="224"/>
    </row>
    <row r="261" spans="2:21" s="22" customFormat="1" x14ac:dyDescent="0.25">
      <c r="B261" s="76" t="s">
        <v>1853</v>
      </c>
      <c r="C261" s="161" t="s">
        <v>1916</v>
      </c>
      <c r="D261" s="1808">
        <f>168696550/10000000</f>
        <v>16.869655000000002</v>
      </c>
      <c r="E261" s="161" t="s">
        <v>1917</v>
      </c>
      <c r="F261" s="161" t="s">
        <v>1914</v>
      </c>
      <c r="G261" s="1808">
        <f>+D261</f>
        <v>16.869655000000002</v>
      </c>
      <c r="H261" s="161"/>
      <c r="I261" s="76">
        <v>0</v>
      </c>
      <c r="J261" s="76"/>
      <c r="K261" s="224"/>
      <c r="L261" s="224"/>
      <c r="M261" s="224"/>
      <c r="N261" s="224"/>
      <c r="O261" s="224"/>
      <c r="P261" s="224"/>
      <c r="Q261" s="224"/>
      <c r="R261" s="224"/>
      <c r="S261" s="224"/>
      <c r="T261" s="224"/>
      <c r="U261" s="224"/>
    </row>
    <row r="262" spans="2:21" s="22" customFormat="1" x14ac:dyDescent="0.25">
      <c r="B262" s="76" t="s">
        <v>922</v>
      </c>
      <c r="C262" s="161" t="s">
        <v>1918</v>
      </c>
      <c r="D262" s="1808">
        <v>195.01</v>
      </c>
      <c r="E262" s="161" t="s">
        <v>1919</v>
      </c>
      <c r="F262" s="161" t="s">
        <v>1920</v>
      </c>
      <c r="G262" s="1808">
        <v>150.51</v>
      </c>
      <c r="H262" s="161"/>
      <c r="I262" s="76">
        <v>2</v>
      </c>
      <c r="J262" s="76"/>
      <c r="K262" s="224"/>
      <c r="L262" s="224"/>
      <c r="M262" s="224"/>
      <c r="N262" s="224"/>
      <c r="O262" s="224"/>
      <c r="P262" s="224"/>
      <c r="Q262" s="224"/>
      <c r="R262" s="224"/>
      <c r="S262" s="224"/>
      <c r="T262" s="224"/>
      <c r="U262" s="224"/>
    </row>
    <row r="263" spans="2:21" s="22" customFormat="1" x14ac:dyDescent="0.25">
      <c r="B263" s="76" t="s">
        <v>922</v>
      </c>
      <c r="C263" s="161"/>
      <c r="D263" s="1808"/>
      <c r="E263" s="161"/>
      <c r="F263" s="161" t="s">
        <v>1920</v>
      </c>
      <c r="G263" s="1808">
        <v>44.5</v>
      </c>
      <c r="H263" s="161"/>
      <c r="I263" s="76">
        <v>2</v>
      </c>
      <c r="J263" s="76"/>
      <c r="K263" s="224"/>
      <c r="L263" s="224"/>
      <c r="M263" s="224"/>
      <c r="N263" s="224"/>
      <c r="O263" s="224"/>
      <c r="P263" s="224"/>
      <c r="Q263" s="224"/>
      <c r="R263" s="224"/>
      <c r="S263" s="224"/>
      <c r="T263" s="224"/>
      <c r="U263" s="224"/>
    </row>
    <row r="264" spans="2:21" s="22" customFormat="1" x14ac:dyDescent="0.25">
      <c r="B264" s="76" t="s">
        <v>922</v>
      </c>
      <c r="C264" s="161"/>
      <c r="D264" s="1808"/>
      <c r="E264" s="161"/>
      <c r="F264" s="161"/>
      <c r="G264" s="1808"/>
      <c r="H264" s="161"/>
      <c r="I264" s="76"/>
      <c r="J264" s="76"/>
      <c r="K264" s="224"/>
      <c r="L264" s="224"/>
      <c r="M264" s="224"/>
      <c r="N264" s="224"/>
      <c r="O264" s="224"/>
      <c r="P264" s="224"/>
      <c r="Q264" s="224"/>
      <c r="R264" s="224"/>
      <c r="S264" s="224"/>
      <c r="T264" s="224"/>
      <c r="U264" s="224"/>
    </row>
    <row r="265" spans="2:21" s="22" customFormat="1" x14ac:dyDescent="0.25">
      <c r="B265" s="76"/>
      <c r="C265" s="161"/>
      <c r="D265" s="1808"/>
      <c r="E265" s="161"/>
      <c r="F265" s="161"/>
      <c r="G265" s="1808"/>
      <c r="H265" s="161"/>
      <c r="I265" s="76"/>
      <c r="J265" s="76"/>
      <c r="K265" s="224"/>
      <c r="L265" s="224"/>
      <c r="M265" s="224"/>
      <c r="N265" s="224"/>
      <c r="O265" s="224"/>
      <c r="P265" s="224"/>
      <c r="Q265" s="224"/>
      <c r="R265" s="224"/>
      <c r="S265" s="224"/>
      <c r="T265" s="224"/>
      <c r="U265" s="224"/>
    </row>
    <row r="266" spans="2:21" s="22" customFormat="1" x14ac:dyDescent="0.25">
      <c r="B266" s="76" t="s">
        <v>1853</v>
      </c>
      <c r="C266" s="161" t="s">
        <v>1921</v>
      </c>
      <c r="D266" s="1808">
        <f>173957285.3/10000000</f>
        <v>17.39572853</v>
      </c>
      <c r="E266" s="161" t="s">
        <v>1919</v>
      </c>
      <c r="F266" s="161" t="s">
        <v>1919</v>
      </c>
      <c r="G266" s="1808">
        <f>+D266</f>
        <v>17.39572853</v>
      </c>
      <c r="H266" s="161"/>
      <c r="I266" s="76">
        <v>0</v>
      </c>
      <c r="J266" s="76"/>
      <c r="K266" s="224"/>
      <c r="L266" s="224"/>
      <c r="M266" s="224"/>
      <c r="N266" s="224"/>
      <c r="O266" s="224"/>
      <c r="P266" s="224"/>
      <c r="Q266" s="224"/>
      <c r="R266" s="224"/>
      <c r="S266" s="224"/>
      <c r="T266" s="224"/>
      <c r="U266" s="224"/>
    </row>
    <row r="267" spans="2:21" s="22" customFormat="1" x14ac:dyDescent="0.25">
      <c r="B267" s="76"/>
      <c r="C267" s="161"/>
      <c r="D267" s="1808"/>
      <c r="E267" s="161"/>
      <c r="F267" s="161"/>
      <c r="G267" s="1808"/>
      <c r="H267" s="161"/>
      <c r="I267" s="76"/>
      <c r="J267" s="76"/>
      <c r="K267" s="224"/>
      <c r="L267" s="224"/>
      <c r="M267" s="224"/>
      <c r="N267" s="224"/>
      <c r="O267" s="224"/>
      <c r="P267" s="224"/>
      <c r="Q267" s="224"/>
      <c r="R267" s="224"/>
      <c r="S267" s="224"/>
      <c r="T267" s="224"/>
      <c r="U267" s="224"/>
    </row>
    <row r="268" spans="2:21" s="22" customFormat="1" x14ac:dyDescent="0.25">
      <c r="B268" s="76"/>
      <c r="C268" s="161"/>
      <c r="D268" s="1808"/>
      <c r="E268" s="161"/>
      <c r="F268" s="161"/>
      <c r="G268" s="1808"/>
      <c r="H268" s="161"/>
      <c r="I268" s="76"/>
      <c r="J268" s="76"/>
      <c r="K268" s="224"/>
      <c r="L268" s="224"/>
      <c r="M268" s="224"/>
      <c r="N268" s="224"/>
      <c r="O268" s="224"/>
      <c r="P268" s="224"/>
      <c r="Q268" s="224"/>
      <c r="R268" s="224"/>
      <c r="S268" s="224"/>
      <c r="T268" s="224"/>
      <c r="U268" s="224"/>
    </row>
    <row r="269" spans="2:21" s="22" customFormat="1" x14ac:dyDescent="0.25">
      <c r="B269" s="76" t="s">
        <v>922</v>
      </c>
      <c r="C269" s="161" t="s">
        <v>1922</v>
      </c>
      <c r="D269" s="1808">
        <v>157.86000000000001</v>
      </c>
      <c r="E269" s="161" t="s">
        <v>1923</v>
      </c>
      <c r="F269" s="161" t="s">
        <v>1924</v>
      </c>
      <c r="G269" s="1808">
        <v>80</v>
      </c>
      <c r="H269" s="161"/>
      <c r="I269" s="76">
        <v>47</v>
      </c>
      <c r="J269" s="76"/>
      <c r="K269" s="224"/>
      <c r="L269" s="224"/>
      <c r="M269" s="224"/>
      <c r="N269" s="224"/>
      <c r="O269" s="224"/>
      <c r="P269" s="224"/>
      <c r="Q269" s="224"/>
      <c r="R269" s="224"/>
      <c r="S269" s="224"/>
      <c r="T269" s="224"/>
      <c r="U269" s="224"/>
    </row>
    <row r="270" spans="2:21" s="22" customFormat="1" x14ac:dyDescent="0.25">
      <c r="B270" s="76" t="s">
        <v>922</v>
      </c>
      <c r="C270" s="161"/>
      <c r="D270" s="1808"/>
      <c r="E270" s="161"/>
      <c r="F270" s="161" t="s">
        <v>1925</v>
      </c>
      <c r="G270" s="1808">
        <v>77.86</v>
      </c>
      <c r="H270" s="161"/>
      <c r="I270" s="76">
        <v>73</v>
      </c>
      <c r="J270" s="76"/>
      <c r="K270" s="224"/>
      <c r="L270" s="224"/>
      <c r="M270" s="224"/>
      <c r="N270" s="224"/>
      <c r="O270" s="224"/>
      <c r="P270" s="224"/>
      <c r="Q270" s="224"/>
      <c r="R270" s="224"/>
      <c r="S270" s="224"/>
      <c r="T270" s="224"/>
      <c r="U270" s="224"/>
    </row>
    <row r="271" spans="2:21" s="22" customFormat="1" x14ac:dyDescent="0.25">
      <c r="B271" s="76" t="s">
        <v>922</v>
      </c>
      <c r="C271" s="161"/>
      <c r="D271" s="1808"/>
      <c r="E271" s="161"/>
      <c r="F271" s="161"/>
      <c r="G271" s="1808"/>
      <c r="H271" s="161"/>
      <c r="I271" s="76"/>
      <c r="J271" s="76"/>
      <c r="K271" s="224"/>
      <c r="L271" s="224"/>
      <c r="M271" s="224"/>
      <c r="N271" s="224"/>
      <c r="O271" s="224"/>
      <c r="P271" s="224"/>
      <c r="Q271" s="224"/>
      <c r="R271" s="224"/>
      <c r="S271" s="224"/>
      <c r="T271" s="224"/>
      <c r="U271" s="224"/>
    </row>
    <row r="272" spans="2:21" s="22" customFormat="1" x14ac:dyDescent="0.25">
      <c r="B272" s="76" t="s">
        <v>1853</v>
      </c>
      <c r="C272" s="161" t="s">
        <v>1920</v>
      </c>
      <c r="D272" s="1808">
        <f>260942691.8/10000000</f>
        <v>26.094269180000001</v>
      </c>
      <c r="E272" s="161" t="s">
        <v>1923</v>
      </c>
      <c r="F272" s="161" t="s">
        <v>1923</v>
      </c>
      <c r="G272" s="1808">
        <f>+D272</f>
        <v>26.094269180000001</v>
      </c>
      <c r="H272" s="161"/>
      <c r="I272" s="76">
        <v>0</v>
      </c>
      <c r="J272" s="76"/>
      <c r="K272" s="224"/>
      <c r="L272" s="224"/>
      <c r="M272" s="224"/>
      <c r="N272" s="224"/>
      <c r="O272" s="224"/>
      <c r="P272" s="224"/>
      <c r="Q272" s="224"/>
      <c r="R272" s="224"/>
      <c r="S272" s="224"/>
      <c r="T272" s="224"/>
      <c r="U272" s="224"/>
    </row>
    <row r="273" spans="2:21" s="22" customFormat="1" x14ac:dyDescent="0.25">
      <c r="B273" s="76" t="s">
        <v>922</v>
      </c>
      <c r="C273" s="161" t="s">
        <v>1926</v>
      </c>
      <c r="D273" s="1808">
        <v>128.02000000000001</v>
      </c>
      <c r="E273" s="161" t="s">
        <v>1927</v>
      </c>
      <c r="F273" s="161" t="s">
        <v>1925</v>
      </c>
      <c r="G273" s="1808">
        <v>128.02000000000001</v>
      </c>
      <c r="H273" s="161"/>
      <c r="I273" s="76">
        <v>44</v>
      </c>
      <c r="J273" s="76"/>
      <c r="K273" s="224"/>
      <c r="L273" s="224"/>
      <c r="M273" s="224"/>
      <c r="N273" s="224"/>
      <c r="O273" s="224"/>
      <c r="P273" s="224"/>
      <c r="Q273" s="224"/>
      <c r="R273" s="224"/>
      <c r="S273" s="224"/>
      <c r="T273" s="224"/>
      <c r="U273" s="224"/>
    </row>
    <row r="274" spans="2:21" s="22" customFormat="1" x14ac:dyDescent="0.25">
      <c r="B274" s="76" t="s">
        <v>922</v>
      </c>
      <c r="C274" s="161"/>
      <c r="D274" s="1808"/>
      <c r="E274" s="161"/>
      <c r="F274" s="161"/>
      <c r="G274" s="1808"/>
      <c r="H274" s="161"/>
      <c r="I274" s="76"/>
      <c r="J274" s="76"/>
      <c r="K274" s="224"/>
      <c r="L274" s="224"/>
      <c r="M274" s="224"/>
      <c r="N274" s="224"/>
      <c r="O274" s="224"/>
      <c r="P274" s="224"/>
      <c r="Q274" s="224"/>
      <c r="R274" s="224"/>
      <c r="S274" s="224"/>
      <c r="T274" s="224"/>
      <c r="U274" s="224"/>
    </row>
    <row r="275" spans="2:21" s="22" customFormat="1" x14ac:dyDescent="0.25">
      <c r="B275" s="76" t="s">
        <v>922</v>
      </c>
      <c r="C275" s="161"/>
      <c r="D275" s="1808"/>
      <c r="E275" s="161"/>
      <c r="F275" s="161"/>
      <c r="G275" s="1808"/>
      <c r="H275" s="161"/>
      <c r="I275" s="76"/>
      <c r="J275" s="76"/>
      <c r="K275" s="224"/>
      <c r="L275" s="224"/>
      <c r="M275" s="224"/>
      <c r="N275" s="224"/>
      <c r="O275" s="224"/>
      <c r="P275" s="224"/>
      <c r="Q275" s="224"/>
      <c r="R275" s="224"/>
      <c r="S275" s="224"/>
      <c r="T275" s="224"/>
      <c r="U275" s="224"/>
    </row>
    <row r="276" spans="2:21" s="22" customFormat="1" x14ac:dyDescent="0.25">
      <c r="B276" s="76"/>
      <c r="C276" s="161"/>
      <c r="D276" s="1808"/>
      <c r="E276" s="161"/>
      <c r="F276" s="161"/>
      <c r="G276" s="1808"/>
      <c r="H276" s="161"/>
      <c r="I276" s="76"/>
      <c r="J276" s="76"/>
      <c r="K276" s="224"/>
      <c r="L276" s="224"/>
      <c r="M276" s="224"/>
      <c r="N276" s="224"/>
      <c r="O276" s="224"/>
      <c r="P276" s="224"/>
      <c r="Q276" s="224"/>
      <c r="R276" s="224"/>
      <c r="S276" s="224"/>
      <c r="T276" s="224"/>
      <c r="U276" s="224"/>
    </row>
    <row r="277" spans="2:21" s="22" customFormat="1" x14ac:dyDescent="0.25">
      <c r="B277" s="76" t="s">
        <v>1853</v>
      </c>
      <c r="C277" s="161" t="s">
        <v>1928</v>
      </c>
      <c r="D277" s="1808">
        <f>267589825.19/10000000</f>
        <v>26.758982519</v>
      </c>
      <c r="E277" s="161" t="s">
        <v>1877</v>
      </c>
      <c r="F277" s="161" t="s">
        <v>1927</v>
      </c>
      <c r="G277" s="1808">
        <f>+D277</f>
        <v>26.758982519</v>
      </c>
      <c r="H277" s="161"/>
      <c r="I277" s="76">
        <v>0</v>
      </c>
      <c r="J277" s="76"/>
      <c r="K277" s="224"/>
      <c r="L277" s="224"/>
      <c r="M277" s="224"/>
      <c r="N277" s="224"/>
      <c r="O277" s="224"/>
      <c r="P277" s="224"/>
      <c r="Q277" s="224"/>
      <c r="R277" s="224"/>
      <c r="S277" s="224"/>
      <c r="T277" s="224"/>
      <c r="U277" s="224"/>
    </row>
    <row r="278" spans="2:21" s="22" customFormat="1" x14ac:dyDescent="0.25">
      <c r="B278" s="76"/>
      <c r="C278" s="161"/>
      <c r="D278" s="1808"/>
      <c r="E278" s="161"/>
      <c r="F278" s="161"/>
      <c r="G278" s="1808"/>
      <c r="H278" s="161"/>
      <c r="I278" s="76"/>
      <c r="J278" s="76"/>
      <c r="K278" s="224"/>
      <c r="L278" s="224"/>
      <c r="M278" s="224"/>
      <c r="N278" s="224"/>
      <c r="O278" s="224"/>
      <c r="P278" s="224"/>
      <c r="Q278" s="224"/>
      <c r="R278" s="224"/>
      <c r="S278" s="224"/>
      <c r="T278" s="224"/>
      <c r="U278" s="224"/>
    </row>
    <row r="279" spans="2:21" s="22" customFormat="1" x14ac:dyDescent="0.25">
      <c r="B279" s="76" t="s">
        <v>922</v>
      </c>
      <c r="C279" s="161" t="s">
        <v>1929</v>
      </c>
      <c r="D279" s="1808">
        <v>136.36000000000001</v>
      </c>
      <c r="E279" s="161" t="s">
        <v>1930</v>
      </c>
      <c r="F279" s="161" t="s">
        <v>1925</v>
      </c>
      <c r="G279" s="1808">
        <v>136.36000000000001</v>
      </c>
      <c r="H279" s="161"/>
      <c r="I279" s="76">
        <v>12</v>
      </c>
      <c r="J279" s="76"/>
      <c r="K279" s="224"/>
      <c r="L279" s="224"/>
      <c r="M279" s="224"/>
      <c r="N279" s="224"/>
      <c r="O279" s="224"/>
      <c r="P279" s="224"/>
      <c r="Q279" s="224"/>
      <c r="R279" s="224"/>
      <c r="S279" s="224"/>
      <c r="T279" s="224"/>
      <c r="U279" s="224"/>
    </row>
    <row r="280" spans="2:21" s="22" customFormat="1" x14ac:dyDescent="0.25">
      <c r="B280" s="76" t="s">
        <v>922</v>
      </c>
      <c r="C280" s="161"/>
      <c r="D280" s="1808"/>
      <c r="E280" s="161"/>
      <c r="F280" s="161"/>
      <c r="G280" s="1808"/>
      <c r="H280" s="161"/>
      <c r="I280" s="76"/>
      <c r="J280" s="76"/>
      <c r="K280" s="224"/>
      <c r="L280" s="224"/>
      <c r="M280" s="224"/>
      <c r="N280" s="224"/>
      <c r="O280" s="224"/>
      <c r="P280" s="224"/>
      <c r="Q280" s="224"/>
      <c r="R280" s="224"/>
      <c r="S280" s="224"/>
      <c r="T280" s="224"/>
      <c r="U280" s="224"/>
    </row>
    <row r="281" spans="2:21" s="22" customFormat="1" x14ac:dyDescent="0.25">
      <c r="B281" s="76" t="s">
        <v>922</v>
      </c>
      <c r="C281" s="161"/>
      <c r="D281" s="1808"/>
      <c r="E281" s="161"/>
      <c r="F281" s="161"/>
      <c r="G281" s="1808"/>
      <c r="H281" s="161"/>
      <c r="I281" s="76"/>
      <c r="J281" s="76"/>
      <c r="K281" s="224"/>
      <c r="L281" s="224"/>
      <c r="M281" s="224"/>
      <c r="N281" s="224"/>
      <c r="O281" s="224"/>
      <c r="P281" s="224"/>
      <c r="Q281" s="224"/>
      <c r="R281" s="224"/>
      <c r="S281" s="224"/>
      <c r="T281" s="224"/>
      <c r="U281" s="224"/>
    </row>
    <row r="282" spans="2:21" s="22" customFormat="1" x14ac:dyDescent="0.25">
      <c r="B282" s="76" t="s">
        <v>1853</v>
      </c>
      <c r="C282" s="161" t="s">
        <v>1931</v>
      </c>
      <c r="D282" s="1808">
        <f>240700136.25/10000000</f>
        <v>24.070013625000001</v>
      </c>
      <c r="E282" s="161" t="s">
        <v>1932</v>
      </c>
      <c r="F282" s="161" t="s">
        <v>1930</v>
      </c>
      <c r="G282" s="1808">
        <f>+D282</f>
        <v>24.070013625000001</v>
      </c>
      <c r="H282" s="161"/>
      <c r="I282" s="76">
        <v>2</v>
      </c>
      <c r="J282" s="76"/>
      <c r="K282" s="224"/>
      <c r="L282" s="224"/>
      <c r="M282" s="224"/>
      <c r="N282" s="224"/>
      <c r="O282" s="224"/>
      <c r="P282" s="224"/>
      <c r="Q282" s="224"/>
      <c r="R282" s="224"/>
      <c r="S282" s="224"/>
      <c r="T282" s="224"/>
      <c r="U282" s="224"/>
    </row>
    <row r="283" spans="2:21" s="22" customFormat="1" x14ac:dyDescent="0.25">
      <c r="B283" s="76" t="s">
        <v>922</v>
      </c>
      <c r="C283" s="161"/>
      <c r="D283" s="1808"/>
      <c r="E283" s="161"/>
      <c r="F283" s="161"/>
      <c r="G283" s="1808"/>
      <c r="H283" s="161"/>
      <c r="I283" s="76"/>
      <c r="J283" s="76"/>
      <c r="K283" s="224"/>
      <c r="L283" s="224"/>
      <c r="M283" s="224"/>
      <c r="N283" s="224"/>
      <c r="O283" s="224"/>
      <c r="P283" s="224"/>
      <c r="Q283" s="224"/>
      <c r="R283" s="224"/>
      <c r="S283" s="224"/>
      <c r="T283" s="224"/>
      <c r="U283" s="224"/>
    </row>
    <row r="284" spans="2:21" s="22" customFormat="1" x14ac:dyDescent="0.25">
      <c r="B284" s="76"/>
      <c r="C284" s="161"/>
      <c r="D284" s="1808"/>
      <c r="E284" s="161"/>
      <c r="F284" s="161"/>
      <c r="G284" s="1808"/>
      <c r="H284" s="161"/>
      <c r="I284" s="76"/>
      <c r="J284" s="76"/>
      <c r="K284" s="224"/>
      <c r="L284" s="224"/>
      <c r="M284" s="224"/>
      <c r="N284" s="224"/>
      <c r="O284" s="224"/>
      <c r="P284" s="224"/>
      <c r="Q284" s="224"/>
      <c r="R284" s="224"/>
      <c r="S284" s="224"/>
      <c r="T284" s="224"/>
      <c r="U284" s="224"/>
    </row>
    <row r="285" spans="2:21" s="22" customFormat="1" x14ac:dyDescent="0.25">
      <c r="B285" s="76"/>
      <c r="C285" s="161"/>
      <c r="D285" s="1808"/>
      <c r="E285" s="161"/>
      <c r="F285" s="161"/>
      <c r="G285" s="1808"/>
      <c r="H285" s="161"/>
      <c r="I285" s="76"/>
      <c r="J285" s="76"/>
      <c r="K285" s="224"/>
      <c r="L285" s="224"/>
      <c r="M285" s="224"/>
      <c r="N285" s="224"/>
      <c r="O285" s="224"/>
      <c r="P285" s="224"/>
      <c r="Q285" s="224"/>
      <c r="R285" s="224"/>
      <c r="S285" s="224"/>
      <c r="T285" s="224"/>
      <c r="U285" s="224"/>
    </row>
    <row r="286" spans="2:21" s="22" customFormat="1" x14ac:dyDescent="0.25">
      <c r="B286" s="76" t="s">
        <v>922</v>
      </c>
      <c r="C286" s="161" t="s">
        <v>1933</v>
      </c>
      <c r="D286" s="1808">
        <v>142.78</v>
      </c>
      <c r="E286" s="161" t="s">
        <v>1934</v>
      </c>
      <c r="F286" s="161" t="s">
        <v>1935</v>
      </c>
      <c r="G286" s="1808">
        <v>142.78</v>
      </c>
      <c r="H286" s="161"/>
      <c r="I286" s="76">
        <v>0</v>
      </c>
      <c r="J286" s="76"/>
      <c r="K286" s="224"/>
      <c r="L286" s="224"/>
      <c r="M286" s="224"/>
      <c r="N286" s="224"/>
      <c r="O286" s="224"/>
      <c r="P286" s="224"/>
      <c r="Q286" s="224"/>
      <c r="R286" s="224"/>
      <c r="S286" s="224"/>
      <c r="T286" s="224"/>
      <c r="U286" s="224"/>
    </row>
    <row r="287" spans="2:21" s="22" customFormat="1" x14ac:dyDescent="0.25">
      <c r="B287" s="76" t="s">
        <v>922</v>
      </c>
      <c r="C287" s="161"/>
      <c r="D287" s="1808"/>
      <c r="E287" s="161"/>
      <c r="F287" s="161"/>
      <c r="G287" s="1808"/>
      <c r="H287" s="161"/>
      <c r="I287" s="76"/>
      <c r="J287" s="76"/>
      <c r="K287" s="224"/>
      <c r="L287" s="224"/>
      <c r="M287" s="224"/>
      <c r="N287" s="224"/>
      <c r="O287" s="224"/>
      <c r="P287" s="224"/>
      <c r="Q287" s="224"/>
      <c r="R287" s="224"/>
      <c r="S287" s="224"/>
      <c r="T287" s="224"/>
      <c r="U287" s="224"/>
    </row>
    <row r="288" spans="2:21" s="22" customFormat="1" x14ac:dyDescent="0.25">
      <c r="B288" s="76" t="s">
        <v>922</v>
      </c>
      <c r="C288" s="161"/>
      <c r="D288" s="1808"/>
      <c r="E288" s="161"/>
      <c r="F288" s="161"/>
      <c r="G288" s="1808"/>
      <c r="H288" s="161"/>
      <c r="I288" s="76"/>
      <c r="J288" s="76"/>
      <c r="K288" s="224"/>
      <c r="L288" s="224"/>
      <c r="M288" s="224"/>
      <c r="N288" s="224"/>
      <c r="O288" s="224"/>
      <c r="P288" s="224"/>
      <c r="Q288" s="224"/>
      <c r="R288" s="224"/>
      <c r="S288" s="224"/>
      <c r="T288" s="224"/>
      <c r="U288" s="224"/>
    </row>
    <row r="289" spans="2:21" s="22" customFormat="1" x14ac:dyDescent="0.25">
      <c r="B289" s="76"/>
      <c r="C289" s="161"/>
      <c r="D289" s="1808"/>
      <c r="E289" s="161"/>
      <c r="F289" s="161"/>
      <c r="G289" s="1808"/>
      <c r="H289" s="161"/>
      <c r="I289" s="76"/>
      <c r="J289" s="76"/>
      <c r="K289" s="224"/>
      <c r="L289" s="224"/>
      <c r="M289" s="224"/>
      <c r="N289" s="224"/>
      <c r="O289" s="224"/>
      <c r="P289" s="224"/>
      <c r="Q289" s="224"/>
      <c r="R289" s="224"/>
      <c r="S289" s="224"/>
      <c r="T289" s="224"/>
      <c r="U289" s="224"/>
    </row>
    <row r="290" spans="2:21" s="22" customFormat="1" x14ac:dyDescent="0.25">
      <c r="B290" s="76" t="s">
        <v>922</v>
      </c>
      <c r="C290" s="161"/>
      <c r="D290" s="1808"/>
      <c r="E290" s="161"/>
      <c r="F290" s="161"/>
      <c r="G290" s="1808"/>
      <c r="H290" s="161"/>
      <c r="I290" s="76"/>
      <c r="J290" s="76"/>
      <c r="K290" s="224"/>
      <c r="L290" s="224"/>
      <c r="M290" s="224"/>
      <c r="N290" s="224"/>
      <c r="O290" s="224"/>
      <c r="P290" s="224"/>
      <c r="Q290" s="224"/>
      <c r="R290" s="224"/>
      <c r="S290" s="224"/>
      <c r="T290" s="224"/>
      <c r="U290" s="224"/>
    </row>
    <row r="291" spans="2:21" s="22" customFormat="1" x14ac:dyDescent="0.25">
      <c r="B291" s="76" t="s">
        <v>1853</v>
      </c>
      <c r="C291" s="161" t="s">
        <v>1936</v>
      </c>
      <c r="D291" s="1808">
        <f>240441311.4/10000000</f>
        <v>24.044131140000001</v>
      </c>
      <c r="E291" s="161" t="s">
        <v>1937</v>
      </c>
      <c r="F291" s="161" t="s">
        <v>1934</v>
      </c>
      <c r="G291" s="1808">
        <f>+D291</f>
        <v>24.044131140000001</v>
      </c>
      <c r="H291" s="161"/>
      <c r="I291" s="76">
        <v>0</v>
      </c>
      <c r="J291" s="76"/>
      <c r="K291" s="224"/>
      <c r="L291" s="224"/>
      <c r="M291" s="224"/>
      <c r="N291" s="224"/>
      <c r="O291" s="224"/>
      <c r="P291" s="224"/>
      <c r="Q291" s="224"/>
      <c r="R291" s="224"/>
      <c r="S291" s="224"/>
      <c r="T291" s="224"/>
      <c r="U291" s="224"/>
    </row>
    <row r="292" spans="2:21" s="22" customFormat="1" x14ac:dyDescent="0.25">
      <c r="B292" s="76"/>
      <c r="C292" s="161"/>
      <c r="D292" s="1808"/>
      <c r="E292" s="161"/>
      <c r="F292" s="161"/>
      <c r="G292" s="1808"/>
      <c r="H292" s="161"/>
      <c r="I292" s="76"/>
      <c r="J292" s="76"/>
      <c r="K292" s="224"/>
      <c r="L292" s="224"/>
      <c r="M292" s="224"/>
      <c r="N292" s="224"/>
      <c r="O292" s="224"/>
      <c r="P292" s="224"/>
      <c r="Q292" s="224"/>
      <c r="R292" s="224"/>
      <c r="S292" s="224"/>
      <c r="T292" s="224"/>
      <c r="U292" s="224"/>
    </row>
    <row r="293" spans="2:21" s="22" customFormat="1" x14ac:dyDescent="0.25">
      <c r="B293" s="76" t="s">
        <v>922</v>
      </c>
      <c r="C293" s="161"/>
      <c r="D293" s="1808">
        <v>185.26</v>
      </c>
      <c r="E293" s="161" t="s">
        <v>1938</v>
      </c>
      <c r="F293" s="161" t="s">
        <v>1939</v>
      </c>
      <c r="G293" s="1808">
        <v>185.26</v>
      </c>
      <c r="H293" s="161"/>
      <c r="I293" s="76">
        <v>0</v>
      </c>
      <c r="J293" s="76"/>
      <c r="K293" s="224"/>
      <c r="L293" s="224"/>
      <c r="M293" s="224"/>
      <c r="N293" s="224"/>
      <c r="O293" s="224"/>
      <c r="P293" s="224"/>
      <c r="Q293" s="224"/>
      <c r="R293" s="224"/>
      <c r="S293" s="224"/>
      <c r="T293" s="224"/>
      <c r="U293" s="224"/>
    </row>
    <row r="294" spans="2:21" s="22" customFormat="1" x14ac:dyDescent="0.25">
      <c r="B294" s="76" t="s">
        <v>922</v>
      </c>
      <c r="C294" s="161"/>
      <c r="D294" s="1808"/>
      <c r="E294" s="161"/>
      <c r="F294" s="161"/>
      <c r="G294" s="1808"/>
      <c r="H294" s="161"/>
      <c r="I294" s="76"/>
      <c r="J294" s="76"/>
      <c r="K294" s="224"/>
      <c r="L294" s="224"/>
      <c r="M294" s="224"/>
      <c r="N294" s="224"/>
      <c r="O294" s="224"/>
      <c r="P294" s="224"/>
      <c r="Q294" s="224"/>
      <c r="R294" s="224"/>
      <c r="S294" s="224"/>
      <c r="T294" s="224"/>
      <c r="U294" s="224"/>
    </row>
    <row r="295" spans="2:21" s="22" customFormat="1" x14ac:dyDescent="0.25">
      <c r="B295" s="76" t="s">
        <v>922</v>
      </c>
      <c r="C295" s="161"/>
      <c r="D295" s="1808"/>
      <c r="E295" s="161"/>
      <c r="F295" s="161"/>
      <c r="G295" s="1808"/>
      <c r="H295" s="161"/>
      <c r="I295" s="76"/>
      <c r="J295" s="76"/>
      <c r="K295" s="224"/>
      <c r="L295" s="224"/>
      <c r="M295" s="224"/>
      <c r="N295" s="224"/>
      <c r="O295" s="224"/>
      <c r="P295" s="224"/>
      <c r="Q295" s="224"/>
      <c r="R295" s="224"/>
      <c r="S295" s="224"/>
      <c r="T295" s="224"/>
      <c r="U295" s="224"/>
    </row>
    <row r="296" spans="2:21" s="22" customFormat="1" x14ac:dyDescent="0.25">
      <c r="B296" s="76" t="s">
        <v>1853</v>
      </c>
      <c r="C296" s="161" t="s">
        <v>1940</v>
      </c>
      <c r="D296" s="1808">
        <f>238507088.23/10000000</f>
        <v>23.850708822999998</v>
      </c>
      <c r="E296" s="161" t="s">
        <v>1941</v>
      </c>
      <c r="F296" s="161" t="s">
        <v>1942</v>
      </c>
      <c r="G296" s="1808">
        <f>+D296</f>
        <v>23.850708822999998</v>
      </c>
      <c r="H296" s="161"/>
      <c r="I296" s="76">
        <v>0</v>
      </c>
      <c r="J296" s="76"/>
      <c r="K296" s="224"/>
      <c r="L296" s="224"/>
      <c r="M296" s="224"/>
      <c r="N296" s="224"/>
      <c r="O296" s="224"/>
      <c r="P296" s="224"/>
      <c r="Q296" s="224"/>
      <c r="R296" s="224"/>
      <c r="S296" s="224"/>
      <c r="T296" s="224"/>
      <c r="U296" s="224"/>
    </row>
    <row r="297" spans="2:21" s="22" customFormat="1" x14ac:dyDescent="0.25">
      <c r="B297" s="76" t="s">
        <v>1853</v>
      </c>
      <c r="C297" s="161" t="s">
        <v>1943</v>
      </c>
      <c r="D297" s="1808">
        <f>84057366/10000000</f>
        <v>8.4057365999999991</v>
      </c>
      <c r="E297" s="161"/>
      <c r="F297" s="161" t="s">
        <v>1942</v>
      </c>
      <c r="G297" s="1808">
        <f>+D297</f>
        <v>8.4057365999999991</v>
      </c>
      <c r="H297" s="161"/>
      <c r="I297" s="76">
        <v>0</v>
      </c>
      <c r="J297" s="76"/>
      <c r="K297" s="224"/>
      <c r="L297" s="224"/>
      <c r="M297" s="224"/>
      <c r="N297" s="224"/>
      <c r="O297" s="224"/>
      <c r="P297" s="224"/>
      <c r="Q297" s="224"/>
      <c r="R297" s="224"/>
      <c r="S297" s="224"/>
      <c r="T297" s="224"/>
      <c r="U297" s="224"/>
    </row>
    <row r="298" spans="2:21" s="22" customFormat="1" x14ac:dyDescent="0.25">
      <c r="B298" s="76"/>
      <c r="C298" s="161" t="s">
        <v>1944</v>
      </c>
      <c r="D298" s="1808"/>
      <c r="E298" s="161"/>
      <c r="F298" s="161"/>
      <c r="G298" s="1808"/>
      <c r="H298" s="161"/>
      <c r="I298" s="76"/>
      <c r="J298" s="76"/>
      <c r="K298" s="224"/>
      <c r="L298" s="224"/>
      <c r="M298" s="224"/>
      <c r="N298" s="224"/>
      <c r="O298" s="224"/>
      <c r="P298" s="224"/>
      <c r="Q298" s="224"/>
      <c r="R298" s="224"/>
      <c r="S298" s="224"/>
      <c r="T298" s="224"/>
      <c r="U298" s="224"/>
    </row>
    <row r="299" spans="2:21" s="22" customFormat="1" x14ac:dyDescent="0.25">
      <c r="B299" s="76"/>
      <c r="C299" s="161"/>
      <c r="D299" s="1808"/>
      <c r="E299" s="161"/>
      <c r="F299" s="161"/>
      <c r="G299" s="1808"/>
      <c r="H299" s="161"/>
      <c r="I299" s="76"/>
      <c r="J299" s="76"/>
      <c r="K299" s="224"/>
      <c r="L299" s="224"/>
      <c r="M299" s="224"/>
      <c r="N299" s="224"/>
      <c r="O299" s="224"/>
      <c r="P299" s="224"/>
      <c r="Q299" s="224"/>
      <c r="R299" s="224"/>
      <c r="S299" s="224"/>
      <c r="T299" s="224"/>
      <c r="U299" s="224"/>
    </row>
    <row r="300" spans="2:21" s="22" customFormat="1" x14ac:dyDescent="0.25">
      <c r="B300" s="177" t="s">
        <v>145</v>
      </c>
      <c r="C300" s="476"/>
      <c r="D300" s="1815">
        <f>SUM(D231:D298)</f>
        <v>2065.159888017</v>
      </c>
      <c r="E300" s="476"/>
      <c r="F300" s="1858"/>
      <c r="G300" s="1815">
        <f>SUM(G231:G298)</f>
        <v>2063.046092817</v>
      </c>
      <c r="H300" s="476"/>
      <c r="I300" s="177"/>
      <c r="J300" s="177"/>
      <c r="K300" s="224"/>
      <c r="L300" s="224"/>
      <c r="M300" s="224"/>
      <c r="N300" s="224"/>
      <c r="O300" s="224"/>
      <c r="P300" s="224"/>
      <c r="Q300" s="224"/>
      <c r="R300" s="224"/>
      <c r="S300" s="224"/>
      <c r="T300" s="224"/>
      <c r="U300" s="224"/>
    </row>
    <row r="301" spans="2:21" s="15" customFormat="1" x14ac:dyDescent="0.25">
      <c r="B301" s="224"/>
      <c r="C301" s="225"/>
      <c r="D301" s="225"/>
      <c r="E301" s="225"/>
      <c r="F301" s="225"/>
      <c r="G301" s="225"/>
      <c r="H301" s="225"/>
      <c r="I301" s="43"/>
      <c r="J301" s="43"/>
      <c r="K301" s="43"/>
      <c r="L301" s="43"/>
      <c r="M301" s="43"/>
      <c r="N301" s="43"/>
      <c r="O301" s="43"/>
      <c r="P301" s="43"/>
      <c r="Q301" s="43"/>
      <c r="R301" s="43"/>
      <c r="S301" s="43"/>
      <c r="T301" s="43"/>
      <c r="U301" s="43"/>
    </row>
    <row r="302" spans="2:21" s="15" customFormat="1" x14ac:dyDescent="0.25">
      <c r="B302" s="43"/>
      <c r="C302" s="225"/>
      <c r="D302" s="225"/>
      <c r="E302" s="225"/>
      <c r="F302" s="225"/>
      <c r="G302" s="225"/>
      <c r="H302" s="225"/>
      <c r="I302" s="43"/>
      <c r="J302" s="43"/>
      <c r="K302" s="43"/>
      <c r="L302" s="43"/>
      <c r="M302" s="43"/>
      <c r="N302" s="43"/>
      <c r="O302" s="43"/>
      <c r="P302" s="43"/>
      <c r="Q302" s="43"/>
      <c r="R302" s="43"/>
      <c r="S302" s="43"/>
      <c r="T302" s="43"/>
      <c r="U302" s="43"/>
    </row>
    <row r="303" spans="2:21" s="15" customFormat="1" x14ac:dyDescent="0.25">
      <c r="B303" s="224" t="s">
        <v>599</v>
      </c>
      <c r="C303" s="225"/>
      <c r="D303" s="225"/>
      <c r="E303" s="225"/>
      <c r="F303" s="225"/>
      <c r="G303" s="225"/>
      <c r="H303" s="225"/>
      <c r="I303" s="43"/>
      <c r="J303" s="43"/>
      <c r="K303" s="43"/>
      <c r="L303" s="43"/>
      <c r="M303" s="43"/>
      <c r="N303" s="43"/>
      <c r="O303" s="43"/>
      <c r="P303" s="43"/>
      <c r="Q303" s="43"/>
      <c r="R303" s="43"/>
      <c r="S303" s="43"/>
      <c r="T303" s="43"/>
      <c r="U303" s="43"/>
    </row>
    <row r="304" spans="2:21" s="15" customFormat="1" x14ac:dyDescent="0.25"/>
    <row r="305" spans="2:22" s="15" customFormat="1" ht="14" customHeight="1" x14ac:dyDescent="0.25">
      <c r="B305" s="2461" t="s">
        <v>50</v>
      </c>
      <c r="C305" s="2464" t="s">
        <v>476</v>
      </c>
      <c r="D305" s="2465"/>
      <c r="E305" s="2466"/>
      <c r="F305" s="2464" t="s">
        <v>469</v>
      </c>
      <c r="G305" s="2465"/>
      <c r="H305" s="2466"/>
      <c r="I305" s="2471" t="s">
        <v>470</v>
      </c>
      <c r="J305" s="2471" t="s">
        <v>471</v>
      </c>
    </row>
    <row r="306" spans="2:22" s="15" customFormat="1" ht="28" x14ac:dyDescent="0.25">
      <c r="B306" s="2463"/>
      <c r="C306" s="1827" t="s">
        <v>472</v>
      </c>
      <c r="D306" s="1806" t="s">
        <v>473</v>
      </c>
      <c r="E306" s="1827" t="s">
        <v>474</v>
      </c>
      <c r="F306" s="1827" t="s">
        <v>472</v>
      </c>
      <c r="G306" s="1806" t="s">
        <v>473</v>
      </c>
      <c r="H306" s="1826" t="s">
        <v>477</v>
      </c>
      <c r="I306" s="2471"/>
      <c r="J306" s="2471"/>
    </row>
    <row r="307" spans="2:22" s="15" customFormat="1" x14ac:dyDescent="0.25">
      <c r="B307" s="226"/>
      <c r="C307" s="227"/>
      <c r="D307" s="1816"/>
      <c r="E307" s="227"/>
      <c r="F307" s="227"/>
      <c r="G307" s="1816"/>
      <c r="H307" s="112"/>
      <c r="I307" s="112"/>
      <c r="J307" s="112"/>
    </row>
    <row r="308" spans="2:22" s="15" customFormat="1" x14ac:dyDescent="0.25">
      <c r="B308" s="177" t="s">
        <v>478</v>
      </c>
      <c r="C308" s="161"/>
      <c r="D308" s="1808"/>
      <c r="E308" s="161"/>
      <c r="F308" s="161"/>
      <c r="G308" s="1808"/>
      <c r="H308" s="161"/>
      <c r="I308" s="76"/>
      <c r="J308" s="76"/>
      <c r="K308" s="43"/>
      <c r="L308" s="43"/>
      <c r="M308" s="43"/>
      <c r="N308" s="43"/>
      <c r="O308" s="43"/>
      <c r="P308" s="43"/>
      <c r="Q308" s="43"/>
      <c r="R308" s="43"/>
      <c r="S308" s="43"/>
      <c r="T308" s="43"/>
      <c r="U308" s="43"/>
      <c r="V308" s="43"/>
    </row>
    <row r="309" spans="2:22" s="15" customFormat="1" x14ac:dyDescent="0.25">
      <c r="B309" s="177"/>
      <c r="C309" s="161"/>
      <c r="D309" s="1808"/>
      <c r="E309" s="161"/>
      <c r="F309" s="161"/>
      <c r="G309" s="1808"/>
      <c r="H309" s="161"/>
      <c r="I309" s="76"/>
      <c r="J309" s="76"/>
      <c r="K309" s="43"/>
      <c r="L309" s="43"/>
      <c r="M309" s="43"/>
      <c r="N309" s="43"/>
      <c r="O309" s="43"/>
      <c r="P309" s="43"/>
      <c r="Q309" s="43"/>
      <c r="R309" s="43"/>
      <c r="S309" s="43"/>
      <c r="T309" s="43"/>
      <c r="U309" s="43"/>
      <c r="V309" s="43"/>
    </row>
    <row r="310" spans="2:22" s="22" customFormat="1" x14ac:dyDescent="0.3">
      <c r="B310" s="76" t="s">
        <v>479</v>
      </c>
      <c r="C310" s="161"/>
      <c r="D310" s="119"/>
      <c r="E310" s="161"/>
      <c r="F310" s="161"/>
      <c r="G310" s="1808"/>
      <c r="H310" s="161"/>
      <c r="I310" s="76"/>
      <c r="J310" s="76"/>
      <c r="K310" s="43"/>
      <c r="L310" s="43"/>
      <c r="M310" s="43"/>
      <c r="N310" s="43"/>
      <c r="O310" s="43"/>
      <c r="P310" s="43"/>
      <c r="Q310" s="43"/>
      <c r="R310" s="43"/>
      <c r="S310" s="43"/>
      <c r="T310" s="43"/>
      <c r="U310" s="43"/>
      <c r="V310" s="43"/>
    </row>
    <row r="311" spans="2:22" s="15" customFormat="1" x14ac:dyDescent="0.25">
      <c r="B311" s="76" t="s">
        <v>1890</v>
      </c>
      <c r="C311" s="1859">
        <v>44348</v>
      </c>
      <c r="D311" s="69">
        <v>0.22</v>
      </c>
      <c r="E311" s="1809">
        <v>44362</v>
      </c>
      <c r="F311" s="1809">
        <v>44363</v>
      </c>
      <c r="G311" s="1807">
        <v>0.22</v>
      </c>
      <c r="H311" s="1820">
        <v>1</v>
      </c>
      <c r="I311" s="161">
        <f>F311-E311</f>
        <v>1</v>
      </c>
      <c r="J311" s="161">
        <v>0</v>
      </c>
      <c r="K311" s="43"/>
      <c r="L311" s="43"/>
      <c r="M311" s="43"/>
      <c r="N311" s="43"/>
      <c r="O311" s="43"/>
      <c r="P311" s="43"/>
      <c r="Q311" s="43"/>
      <c r="R311" s="43"/>
      <c r="S311" s="43"/>
      <c r="T311" s="43"/>
      <c r="U311" s="43"/>
      <c r="V311" s="43"/>
    </row>
    <row r="312" spans="2:22" s="15" customFormat="1" x14ac:dyDescent="0.25">
      <c r="B312" s="107"/>
      <c r="C312" s="1859">
        <v>44378</v>
      </c>
      <c r="D312" s="69">
        <v>0.22</v>
      </c>
      <c r="E312" s="1809">
        <v>44392</v>
      </c>
      <c r="F312" s="1809">
        <v>44392</v>
      </c>
      <c r="G312" s="1807">
        <v>0.22</v>
      </c>
      <c r="H312" s="1820">
        <v>1</v>
      </c>
      <c r="I312" s="161">
        <f>F312-E312</f>
        <v>0</v>
      </c>
      <c r="J312" s="161">
        <v>0</v>
      </c>
      <c r="K312" s="43"/>
      <c r="L312" s="43"/>
      <c r="M312" s="43"/>
      <c r="N312" s="43"/>
      <c r="O312" s="43"/>
      <c r="P312" s="43"/>
      <c r="Q312" s="43"/>
      <c r="R312" s="43"/>
      <c r="S312" s="43"/>
      <c r="T312" s="43"/>
      <c r="U312" s="43"/>
      <c r="V312" s="43"/>
    </row>
    <row r="313" spans="2:22" s="15" customFormat="1" x14ac:dyDescent="0.25">
      <c r="B313" s="107"/>
      <c r="C313" s="1859">
        <v>44409</v>
      </c>
      <c r="D313" s="69">
        <v>0.22</v>
      </c>
      <c r="E313" s="1809">
        <v>44421</v>
      </c>
      <c r="F313" s="1809">
        <v>44425</v>
      </c>
      <c r="G313" s="1807">
        <v>0.22</v>
      </c>
      <c r="H313" s="1820">
        <v>1</v>
      </c>
      <c r="I313" s="161">
        <f t="shared" ref="I313:I320" si="4">F313-E313</f>
        <v>4</v>
      </c>
      <c r="J313" s="161">
        <v>0</v>
      </c>
      <c r="K313" s="43"/>
      <c r="L313" s="43"/>
      <c r="M313" s="43"/>
      <c r="N313" s="43"/>
      <c r="O313" s="43"/>
      <c r="P313" s="43"/>
      <c r="Q313" s="43"/>
      <c r="R313" s="43"/>
      <c r="S313" s="43"/>
      <c r="T313" s="43"/>
      <c r="U313" s="43"/>
      <c r="V313" s="43"/>
    </row>
    <row r="314" spans="2:22" s="15" customFormat="1" x14ac:dyDescent="0.25">
      <c r="B314" s="107"/>
      <c r="C314" s="1859">
        <v>44440</v>
      </c>
      <c r="D314" s="69">
        <v>0.22</v>
      </c>
      <c r="E314" s="1809">
        <v>44454</v>
      </c>
      <c r="F314" s="1809">
        <v>44454</v>
      </c>
      <c r="G314" s="1807">
        <v>0.22</v>
      </c>
      <c r="H314" s="1820">
        <v>1</v>
      </c>
      <c r="I314" s="161">
        <f t="shared" si="4"/>
        <v>0</v>
      </c>
      <c r="J314" s="161">
        <v>0</v>
      </c>
      <c r="K314" s="43"/>
      <c r="L314" s="43"/>
      <c r="M314" s="43"/>
      <c r="N314" s="43"/>
      <c r="O314" s="43"/>
      <c r="P314" s="43"/>
      <c r="Q314" s="43"/>
      <c r="R314" s="43"/>
      <c r="S314" s="43"/>
      <c r="T314" s="43"/>
      <c r="U314" s="43"/>
      <c r="V314" s="43"/>
    </row>
    <row r="315" spans="2:22" s="15" customFormat="1" x14ac:dyDescent="0.25">
      <c r="B315" s="107"/>
      <c r="C315" s="1859">
        <v>44470</v>
      </c>
      <c r="D315" s="69">
        <v>0.22</v>
      </c>
      <c r="E315" s="1809">
        <v>44483</v>
      </c>
      <c r="F315" s="1809">
        <v>44483</v>
      </c>
      <c r="G315" s="1807">
        <v>0.22</v>
      </c>
      <c r="H315" s="1820">
        <v>1</v>
      </c>
      <c r="I315" s="161">
        <f t="shared" si="4"/>
        <v>0</v>
      </c>
      <c r="J315" s="161">
        <v>0</v>
      </c>
      <c r="K315" s="43"/>
      <c r="L315" s="43"/>
      <c r="M315" s="43"/>
      <c r="N315" s="43"/>
      <c r="O315" s="43"/>
      <c r="P315" s="43"/>
      <c r="Q315" s="43"/>
      <c r="R315" s="43"/>
      <c r="S315" s="43"/>
      <c r="T315" s="43"/>
      <c r="U315" s="43"/>
    </row>
    <row r="316" spans="2:22" s="15" customFormat="1" x14ac:dyDescent="0.25">
      <c r="B316" s="107"/>
      <c r="C316" s="1859">
        <v>44501</v>
      </c>
      <c r="D316" s="69">
        <v>0.22</v>
      </c>
      <c r="E316" s="1809">
        <v>44515</v>
      </c>
      <c r="F316" s="1809">
        <v>44515</v>
      </c>
      <c r="G316" s="1807">
        <v>0.22</v>
      </c>
      <c r="H316" s="1820">
        <v>1</v>
      </c>
      <c r="I316" s="161">
        <f t="shared" si="4"/>
        <v>0</v>
      </c>
      <c r="J316" s="161">
        <v>0</v>
      </c>
      <c r="K316" s="43"/>
      <c r="L316" s="43"/>
      <c r="M316" s="43"/>
      <c r="N316" s="43"/>
      <c r="O316" s="43"/>
      <c r="P316" s="43"/>
      <c r="Q316" s="43"/>
      <c r="R316" s="43"/>
      <c r="S316" s="43"/>
      <c r="T316" s="43"/>
      <c r="U316" s="43"/>
    </row>
    <row r="317" spans="2:22" s="15" customFormat="1" x14ac:dyDescent="0.25">
      <c r="B317" s="107"/>
      <c r="C317" s="1859">
        <v>44531</v>
      </c>
      <c r="D317" s="69">
        <v>0.22</v>
      </c>
      <c r="E317" s="1809">
        <v>44545</v>
      </c>
      <c r="F317" s="1809">
        <v>44545</v>
      </c>
      <c r="G317" s="1807">
        <v>0.22</v>
      </c>
      <c r="H317" s="1820">
        <v>1</v>
      </c>
      <c r="I317" s="161">
        <f t="shared" si="4"/>
        <v>0</v>
      </c>
      <c r="J317" s="161">
        <v>0</v>
      </c>
      <c r="K317" s="43"/>
      <c r="L317" s="43"/>
      <c r="M317" s="43"/>
      <c r="N317" s="43"/>
      <c r="O317" s="43"/>
      <c r="P317" s="43"/>
      <c r="Q317" s="43"/>
      <c r="R317" s="43"/>
      <c r="S317" s="43"/>
      <c r="T317" s="43"/>
      <c r="U317" s="43"/>
    </row>
    <row r="318" spans="2:22" s="15" customFormat="1" x14ac:dyDescent="0.25">
      <c r="B318" s="107"/>
      <c r="C318" s="1859">
        <v>44562</v>
      </c>
      <c r="D318" s="69">
        <v>0.22</v>
      </c>
      <c r="E318" s="1809">
        <v>44575</v>
      </c>
      <c r="F318" s="1809">
        <v>44575</v>
      </c>
      <c r="G318" s="1807">
        <v>0.22</v>
      </c>
      <c r="H318" s="1820">
        <v>1</v>
      </c>
      <c r="I318" s="161">
        <f t="shared" si="4"/>
        <v>0</v>
      </c>
      <c r="J318" s="161">
        <v>0</v>
      </c>
      <c r="K318" s="43"/>
      <c r="L318" s="43"/>
      <c r="M318" s="43"/>
      <c r="N318" s="43"/>
      <c r="O318" s="43"/>
      <c r="P318" s="43"/>
      <c r="Q318" s="43"/>
      <c r="R318" s="43"/>
      <c r="S318" s="43"/>
      <c r="T318" s="43"/>
      <c r="U318" s="43"/>
    </row>
    <row r="319" spans="2:22" s="15" customFormat="1" x14ac:dyDescent="0.3">
      <c r="B319" s="11"/>
      <c r="C319" s="1859">
        <v>44593</v>
      </c>
      <c r="D319" s="69">
        <v>0.22</v>
      </c>
      <c r="E319" s="1809">
        <v>44607</v>
      </c>
      <c r="F319" s="1809">
        <v>44607</v>
      </c>
      <c r="G319" s="1807">
        <v>0.22</v>
      </c>
      <c r="H319" s="1820">
        <v>1</v>
      </c>
      <c r="I319" s="161">
        <f t="shared" si="4"/>
        <v>0</v>
      </c>
      <c r="J319" s="161">
        <v>0</v>
      </c>
      <c r="K319" s="43"/>
      <c r="L319" s="43"/>
      <c r="M319" s="43"/>
      <c r="N319" s="43"/>
      <c r="O319" s="43"/>
      <c r="P319" s="43"/>
      <c r="Q319" s="43"/>
      <c r="R319" s="43"/>
      <c r="S319" s="43"/>
      <c r="T319" s="43"/>
      <c r="U319" s="43"/>
    </row>
    <row r="320" spans="2:22" s="15" customFormat="1" x14ac:dyDescent="0.25">
      <c r="B320" s="76"/>
      <c r="C320" s="1859">
        <v>44621</v>
      </c>
      <c r="D320" s="69">
        <v>0.22</v>
      </c>
      <c r="E320" s="1809">
        <v>44635</v>
      </c>
      <c r="F320" s="1809">
        <v>44635</v>
      </c>
      <c r="G320" s="1807">
        <v>0.22</v>
      </c>
      <c r="H320" s="1820">
        <v>1</v>
      </c>
      <c r="I320" s="161">
        <f t="shared" si="4"/>
        <v>0</v>
      </c>
      <c r="J320" s="161">
        <v>0</v>
      </c>
      <c r="K320" s="43"/>
      <c r="L320" s="43"/>
      <c r="M320" s="43"/>
      <c r="N320" s="43"/>
      <c r="O320" s="43"/>
      <c r="P320" s="43"/>
      <c r="Q320" s="43"/>
      <c r="R320" s="43"/>
      <c r="S320" s="43"/>
      <c r="T320" s="43"/>
      <c r="U320" s="43"/>
    </row>
    <row r="321" spans="2:21" s="15" customFormat="1" x14ac:dyDescent="0.25">
      <c r="B321" s="76"/>
      <c r="C321" s="161"/>
      <c r="D321" s="25"/>
      <c r="E321" s="161"/>
      <c r="F321" s="161"/>
      <c r="G321" s="1808"/>
      <c r="H321" s="161"/>
      <c r="I321" s="76"/>
      <c r="J321" s="76"/>
      <c r="K321" s="43"/>
      <c r="L321" s="43"/>
      <c r="M321" s="43"/>
      <c r="N321" s="43"/>
      <c r="O321" s="43"/>
      <c r="P321" s="43"/>
      <c r="Q321" s="43"/>
      <c r="R321" s="43"/>
      <c r="S321" s="43"/>
      <c r="T321" s="43"/>
      <c r="U321" s="43"/>
    </row>
    <row r="322" spans="2:21" s="15" customFormat="1" x14ac:dyDescent="0.25">
      <c r="B322" s="76" t="s">
        <v>480</v>
      </c>
      <c r="C322" s="161"/>
      <c r="D322" s="25"/>
      <c r="E322" s="161"/>
      <c r="F322" s="161"/>
      <c r="G322" s="1808"/>
      <c r="H322" s="161"/>
      <c r="I322" s="76"/>
      <c r="J322" s="76"/>
      <c r="K322" s="43"/>
      <c r="L322" s="43"/>
      <c r="M322" s="43"/>
      <c r="N322" s="43"/>
      <c r="O322" s="43"/>
      <c r="P322" s="43"/>
      <c r="Q322" s="43"/>
      <c r="R322" s="43"/>
      <c r="S322" s="43"/>
      <c r="T322" s="43"/>
      <c r="U322" s="43"/>
    </row>
    <row r="323" spans="2:21" s="22" customFormat="1" x14ac:dyDescent="0.25">
      <c r="B323" s="76" t="s">
        <v>1891</v>
      </c>
      <c r="C323" s="161" t="s">
        <v>1945</v>
      </c>
      <c r="D323" s="69">
        <v>13.41</v>
      </c>
      <c r="E323" s="1809">
        <v>44421</v>
      </c>
      <c r="F323" s="1809">
        <v>44421</v>
      </c>
      <c r="G323" s="1807">
        <v>13.41</v>
      </c>
      <c r="H323" s="1820">
        <v>1</v>
      </c>
      <c r="I323" s="161">
        <f t="shared" ref="I323:I326" si="5">F323-E323</f>
        <v>0</v>
      </c>
      <c r="J323" s="161">
        <v>0</v>
      </c>
      <c r="K323" s="43"/>
      <c r="L323" s="43"/>
      <c r="M323" s="43"/>
      <c r="N323" s="43"/>
      <c r="O323" s="43"/>
      <c r="P323" s="43"/>
      <c r="Q323" s="43"/>
      <c r="R323" s="43"/>
      <c r="S323" s="43"/>
      <c r="T323" s="43"/>
      <c r="U323" s="43"/>
    </row>
    <row r="324" spans="2:21" s="22" customFormat="1" x14ac:dyDescent="0.25">
      <c r="B324" s="107"/>
      <c r="C324" s="161" t="s">
        <v>1945</v>
      </c>
      <c r="D324" s="69">
        <v>10.6</v>
      </c>
      <c r="E324" s="1809">
        <v>44421</v>
      </c>
      <c r="F324" s="1809">
        <v>44421</v>
      </c>
      <c r="G324" s="1807">
        <v>10.6</v>
      </c>
      <c r="H324" s="1820">
        <v>1</v>
      </c>
      <c r="I324" s="161">
        <f t="shared" si="5"/>
        <v>0</v>
      </c>
      <c r="J324" s="161">
        <v>0</v>
      </c>
      <c r="K324" s="43"/>
      <c r="L324" s="43"/>
      <c r="M324" s="43"/>
      <c r="N324" s="43"/>
      <c r="O324" s="43"/>
      <c r="P324" s="43"/>
      <c r="Q324" s="43"/>
      <c r="R324" s="43"/>
      <c r="S324" s="43"/>
      <c r="T324" s="43"/>
      <c r="U324" s="43"/>
    </row>
    <row r="325" spans="2:21" s="22" customFormat="1" x14ac:dyDescent="0.25">
      <c r="B325" s="107"/>
      <c r="C325" s="161" t="s">
        <v>1945</v>
      </c>
      <c r="D325" s="69">
        <v>8.09</v>
      </c>
      <c r="E325" s="1809">
        <v>44421</v>
      </c>
      <c r="F325" s="1809">
        <v>44421</v>
      </c>
      <c r="G325" s="1807">
        <v>8.09</v>
      </c>
      <c r="H325" s="1820">
        <v>1</v>
      </c>
      <c r="I325" s="161">
        <f t="shared" si="5"/>
        <v>0</v>
      </c>
      <c r="J325" s="161">
        <v>0</v>
      </c>
      <c r="K325" s="43"/>
      <c r="L325" s="43"/>
      <c r="M325" s="43"/>
      <c r="N325" s="43"/>
      <c r="O325" s="43"/>
      <c r="P325" s="43"/>
      <c r="Q325" s="43"/>
      <c r="R325" s="43"/>
      <c r="S325" s="43"/>
      <c r="T325" s="43"/>
      <c r="U325" s="43"/>
    </row>
    <row r="326" spans="2:21" s="22" customFormat="1" x14ac:dyDescent="0.25">
      <c r="B326" s="177"/>
      <c r="C326" s="161" t="s">
        <v>1945</v>
      </c>
      <c r="D326" s="69">
        <v>7.44</v>
      </c>
      <c r="E326" s="1809">
        <v>44421</v>
      </c>
      <c r="F326" s="1809">
        <v>44421</v>
      </c>
      <c r="G326" s="1807">
        <v>7.44</v>
      </c>
      <c r="H326" s="1820">
        <v>1</v>
      </c>
      <c r="I326" s="161">
        <f t="shared" si="5"/>
        <v>0</v>
      </c>
      <c r="J326" s="161">
        <v>0</v>
      </c>
      <c r="K326" s="43"/>
      <c r="L326" s="43"/>
      <c r="M326" s="43"/>
      <c r="N326" s="43"/>
      <c r="O326" s="43"/>
      <c r="P326" s="43"/>
      <c r="Q326" s="43"/>
      <c r="R326" s="43"/>
      <c r="S326" s="43"/>
      <c r="T326" s="43"/>
      <c r="U326" s="43"/>
    </row>
    <row r="327" spans="2:21" s="22" customFormat="1" x14ac:dyDescent="0.25">
      <c r="B327" s="177" t="s">
        <v>145</v>
      </c>
      <c r="C327" s="476"/>
      <c r="D327" s="1815">
        <f>SUM(D311:D326)</f>
        <v>41.739999999999995</v>
      </c>
      <c r="E327" s="476"/>
      <c r="F327" s="476"/>
      <c r="G327" s="1815">
        <f>SUM(G311:G326)</f>
        <v>41.739999999999995</v>
      </c>
      <c r="H327" s="476"/>
      <c r="I327" s="177"/>
      <c r="J327" s="177"/>
      <c r="K327" s="224"/>
      <c r="L327" s="224"/>
      <c r="M327" s="224"/>
      <c r="N327" s="224"/>
      <c r="O327" s="224"/>
      <c r="P327" s="224"/>
      <c r="Q327" s="224"/>
      <c r="R327" s="224"/>
      <c r="S327" s="224"/>
      <c r="T327" s="224"/>
      <c r="U327" s="224"/>
    </row>
    <row r="328" spans="2:21" s="15" customFormat="1" x14ac:dyDescent="0.25">
      <c r="B328" s="177"/>
      <c r="C328" s="161"/>
      <c r="D328" s="1808"/>
      <c r="E328" s="161"/>
      <c r="F328" s="161"/>
      <c r="G328" s="1808"/>
      <c r="H328" s="161"/>
      <c r="I328" s="76"/>
      <c r="J328" s="76"/>
      <c r="K328" s="43"/>
      <c r="L328" s="43"/>
      <c r="M328" s="43"/>
      <c r="N328" s="43"/>
      <c r="O328" s="43"/>
      <c r="P328" s="43"/>
      <c r="Q328" s="43"/>
      <c r="R328" s="43"/>
      <c r="S328" s="43"/>
      <c r="T328" s="43"/>
      <c r="U328" s="43"/>
    </row>
  </sheetData>
  <mergeCells count="30">
    <mergeCell ref="B91:B92"/>
    <mergeCell ref="C91:E91"/>
    <mergeCell ref="F91:H91"/>
    <mergeCell ref="I91:I92"/>
    <mergeCell ref="J91:J92"/>
    <mergeCell ref="B11:B12"/>
    <mergeCell ref="C11:E11"/>
    <mergeCell ref="F11:H11"/>
    <mergeCell ref="I11:I12"/>
    <mergeCell ref="J11:J12"/>
    <mergeCell ref="B194:B195"/>
    <mergeCell ref="C194:E194"/>
    <mergeCell ref="F194:H194"/>
    <mergeCell ref="I194:I195"/>
    <mergeCell ref="J194:J195"/>
    <mergeCell ref="B122:B123"/>
    <mergeCell ref="C122:E122"/>
    <mergeCell ref="F122:H122"/>
    <mergeCell ref="I122:I123"/>
    <mergeCell ref="J122:J123"/>
    <mergeCell ref="B305:B306"/>
    <mergeCell ref="C305:E305"/>
    <mergeCell ref="F305:H305"/>
    <mergeCell ref="I305:I306"/>
    <mergeCell ref="J305:J306"/>
    <mergeCell ref="B229:B230"/>
    <mergeCell ref="C229:E229"/>
    <mergeCell ref="F229:H229"/>
    <mergeCell ref="I229:I230"/>
    <mergeCell ref="J229:J230"/>
  </mergeCells>
  <pageMargins left="0.74803149606299213" right="0.74803149606299213" top="0.98425196850393704" bottom="0.98425196850393704" header="0.51181102362204722" footer="0.51181102362204722"/>
  <pageSetup paperSize="9" scale="36" fitToHeight="2" orientation="landscape" r:id="rId1"/>
  <headerFooter alignWithMargins="0"/>
  <rowBreaks count="4" manualBreakCount="4">
    <brk id="87" max="16383" man="1"/>
    <brk id="116" min="1" max="9" man="1"/>
    <brk id="190" min="1" max="9" man="1"/>
    <brk id="223" min="1"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showGridLines="0" view="pageBreakPreview" topLeftCell="A16" zoomScale="55" zoomScaleNormal="75" zoomScaleSheetLayoutView="55" workbookViewId="0">
      <selection activeCell="D35" sqref="D35:I39"/>
    </sheetView>
  </sheetViews>
  <sheetFormatPr defaultColWidth="9.1796875" defaultRowHeight="14" x14ac:dyDescent="0.25"/>
  <cols>
    <col min="1" max="1" width="6.81640625" style="15" customWidth="1"/>
    <col min="2" max="2" width="6.54296875" style="15" customWidth="1"/>
    <col min="3" max="3" width="29.26953125" style="15" customWidth="1"/>
    <col min="4" max="4" width="19.7265625" style="15" customWidth="1"/>
    <col min="5" max="5" width="16.7265625" style="15" customWidth="1"/>
    <col min="6" max="9" width="20.54296875" style="15" customWidth="1"/>
    <col min="10" max="10" width="10.26953125" style="15" bestFit="1" customWidth="1"/>
    <col min="11" max="16384" width="9.1796875" style="15"/>
  </cols>
  <sheetData>
    <row r="1" spans="2:10" x14ac:dyDescent="0.25">
      <c r="C1" s="55"/>
    </row>
    <row r="2" spans="2:10" ht="16.149999999999999" customHeight="1" x14ac:dyDescent="0.25">
      <c r="B2" s="131"/>
      <c r="C2" s="73"/>
      <c r="E2" s="188" t="s">
        <v>1027</v>
      </c>
      <c r="G2" s="73"/>
      <c r="H2" s="73"/>
      <c r="I2" s="73"/>
      <c r="J2" s="34"/>
    </row>
    <row r="3" spans="2:10" s="119" customFormat="1" ht="16.149999999999999" customHeight="1" x14ac:dyDescent="0.3">
      <c r="B3" s="168"/>
      <c r="C3" s="158"/>
      <c r="E3" s="189" t="s">
        <v>826</v>
      </c>
      <c r="G3" s="158"/>
      <c r="H3" s="158"/>
      <c r="I3" s="158"/>
      <c r="J3" s="36"/>
    </row>
    <row r="4" spans="2:10" s="119" customFormat="1" ht="16.149999999999999" customHeight="1" x14ac:dyDescent="0.3">
      <c r="B4" s="168"/>
      <c r="C4" s="158"/>
      <c r="E4" s="138" t="s">
        <v>509</v>
      </c>
      <c r="G4" s="158"/>
      <c r="H4" s="158"/>
      <c r="I4" s="158"/>
      <c r="J4" s="56"/>
    </row>
    <row r="5" spans="2:10" x14ac:dyDescent="0.25">
      <c r="B5" s="34"/>
      <c r="C5" s="34"/>
      <c r="D5" s="138"/>
      <c r="E5" s="34"/>
      <c r="F5" s="34"/>
      <c r="G5" s="34"/>
      <c r="H5" s="34"/>
      <c r="I5" s="34"/>
      <c r="J5" s="34"/>
    </row>
    <row r="6" spans="2:10" x14ac:dyDescent="0.25">
      <c r="B6" s="57" t="s">
        <v>179</v>
      </c>
      <c r="J6" s="34"/>
    </row>
    <row r="7" spans="2:10" x14ac:dyDescent="0.25">
      <c r="I7" s="21" t="s">
        <v>16</v>
      </c>
      <c r="J7" s="34"/>
    </row>
    <row r="8" spans="2:10" ht="28" x14ac:dyDescent="0.25">
      <c r="B8" s="2177" t="s">
        <v>187</v>
      </c>
      <c r="C8" s="2278" t="s">
        <v>391</v>
      </c>
      <c r="D8" s="265" t="s">
        <v>397</v>
      </c>
      <c r="E8" s="265" t="s">
        <v>399</v>
      </c>
      <c r="F8" s="265" t="s">
        <v>403</v>
      </c>
      <c r="G8" s="265" t="s">
        <v>316</v>
      </c>
      <c r="H8" s="265" t="s">
        <v>401</v>
      </c>
      <c r="I8" s="265" t="s">
        <v>402</v>
      </c>
      <c r="J8" s="34"/>
    </row>
    <row r="9" spans="2:10" x14ac:dyDescent="0.25">
      <c r="B9" s="2178"/>
      <c r="C9" s="2279"/>
      <c r="D9" s="265" t="s">
        <v>398</v>
      </c>
      <c r="E9" s="265" t="s">
        <v>398</v>
      </c>
      <c r="F9" s="265" t="s">
        <v>398</v>
      </c>
      <c r="G9" s="265" t="s">
        <v>317</v>
      </c>
      <c r="H9" s="265" t="s">
        <v>400</v>
      </c>
      <c r="I9" s="265" t="s">
        <v>400</v>
      </c>
      <c r="J9" s="34"/>
    </row>
    <row r="10" spans="2:10" x14ac:dyDescent="0.25">
      <c r="B10" s="2218"/>
      <c r="C10" s="2402"/>
      <c r="D10" s="265" t="s">
        <v>73</v>
      </c>
      <c r="E10" s="265" t="s">
        <v>74</v>
      </c>
      <c r="F10" s="265" t="s">
        <v>580</v>
      </c>
      <c r="G10" s="265" t="s">
        <v>411</v>
      </c>
      <c r="H10" s="265" t="s">
        <v>600</v>
      </c>
      <c r="I10" s="265" t="s">
        <v>601</v>
      </c>
      <c r="J10" s="34"/>
    </row>
    <row r="11" spans="2:10" x14ac:dyDescent="0.25">
      <c r="B11" s="69">
        <v>1</v>
      </c>
      <c r="C11" s="76" t="s">
        <v>392</v>
      </c>
      <c r="D11" s="2485" t="s">
        <v>2015</v>
      </c>
      <c r="E11" s="2486"/>
      <c r="F11" s="2486"/>
      <c r="G11" s="2486"/>
      <c r="H11" s="2486"/>
      <c r="I11" s="2487"/>
      <c r="J11" s="34"/>
    </row>
    <row r="12" spans="2:10" x14ac:dyDescent="0.25">
      <c r="B12" s="69">
        <f>B11+1</f>
        <v>2</v>
      </c>
      <c r="C12" s="76" t="s">
        <v>393</v>
      </c>
      <c r="D12" s="2488"/>
      <c r="E12" s="2489"/>
      <c r="F12" s="2489"/>
      <c r="G12" s="2489"/>
      <c r="H12" s="2489"/>
      <c r="I12" s="2490"/>
      <c r="J12" s="34"/>
    </row>
    <row r="13" spans="2:10" x14ac:dyDescent="0.25">
      <c r="B13" s="69">
        <f>B12+1</f>
        <v>3</v>
      </c>
      <c r="C13" s="76" t="s">
        <v>394</v>
      </c>
      <c r="D13" s="2488"/>
      <c r="E13" s="2489"/>
      <c r="F13" s="2489"/>
      <c r="G13" s="2489"/>
      <c r="H13" s="2489"/>
      <c r="I13" s="2490"/>
      <c r="J13" s="34"/>
    </row>
    <row r="14" spans="2:10" x14ac:dyDescent="0.25">
      <c r="B14" s="69">
        <f>B13+1</f>
        <v>4</v>
      </c>
      <c r="C14" s="77" t="s">
        <v>395</v>
      </c>
      <c r="D14" s="2488"/>
      <c r="E14" s="2489"/>
      <c r="F14" s="2489"/>
      <c r="G14" s="2489"/>
      <c r="H14" s="2489"/>
      <c r="I14" s="2490"/>
      <c r="J14" s="34"/>
    </row>
    <row r="15" spans="2:10" x14ac:dyDescent="0.25">
      <c r="B15" s="69">
        <f>B14+1</f>
        <v>5</v>
      </c>
      <c r="C15" s="72" t="s">
        <v>396</v>
      </c>
      <c r="D15" s="2491"/>
      <c r="E15" s="2492"/>
      <c r="F15" s="2492"/>
      <c r="G15" s="2492"/>
      <c r="H15" s="2492"/>
      <c r="I15" s="2493"/>
      <c r="J15" s="34"/>
    </row>
    <row r="16" spans="2:10" x14ac:dyDescent="0.25">
      <c r="J16" s="34"/>
    </row>
    <row r="17" spans="2:10" x14ac:dyDescent="0.25">
      <c r="B17" s="34"/>
      <c r="C17" s="34"/>
      <c r="D17" s="138"/>
      <c r="E17" s="34"/>
      <c r="F17" s="34"/>
      <c r="G17" s="34"/>
      <c r="H17" s="34"/>
      <c r="I17" s="34"/>
      <c r="J17" s="34"/>
    </row>
    <row r="18" spans="2:10" x14ac:dyDescent="0.25">
      <c r="B18" s="57" t="s">
        <v>186</v>
      </c>
    </row>
    <row r="19" spans="2:10" x14ac:dyDescent="0.25">
      <c r="I19" s="21" t="s">
        <v>16</v>
      </c>
    </row>
    <row r="20" spans="2:10" ht="28" x14ac:dyDescent="0.25">
      <c r="B20" s="2177" t="s">
        <v>187</v>
      </c>
      <c r="C20" s="2278" t="s">
        <v>391</v>
      </c>
      <c r="D20" s="187" t="s">
        <v>397</v>
      </c>
      <c r="E20" s="187" t="s">
        <v>399</v>
      </c>
      <c r="F20" s="187" t="s">
        <v>403</v>
      </c>
      <c r="G20" s="187" t="s">
        <v>316</v>
      </c>
      <c r="H20" s="187" t="s">
        <v>401</v>
      </c>
      <c r="I20" s="187" t="s">
        <v>402</v>
      </c>
    </row>
    <row r="21" spans="2:10" x14ac:dyDescent="0.25">
      <c r="B21" s="2178"/>
      <c r="C21" s="2279"/>
      <c r="D21" s="187" t="s">
        <v>398</v>
      </c>
      <c r="E21" s="187" t="s">
        <v>398</v>
      </c>
      <c r="F21" s="187" t="s">
        <v>398</v>
      </c>
      <c r="G21" s="187" t="s">
        <v>317</v>
      </c>
      <c r="H21" s="187" t="s">
        <v>400</v>
      </c>
      <c r="I21" s="187" t="s">
        <v>400</v>
      </c>
    </row>
    <row r="22" spans="2:10" x14ac:dyDescent="0.25">
      <c r="B22" s="2218"/>
      <c r="C22" s="2402"/>
      <c r="D22" s="235" t="s">
        <v>73</v>
      </c>
      <c r="E22" s="235" t="s">
        <v>74</v>
      </c>
      <c r="F22" s="235" t="s">
        <v>580</v>
      </c>
      <c r="G22" s="235" t="s">
        <v>411</v>
      </c>
      <c r="H22" s="235" t="s">
        <v>600</v>
      </c>
      <c r="I22" s="235" t="s">
        <v>601</v>
      </c>
    </row>
    <row r="23" spans="2:10" s="22" customFormat="1" x14ac:dyDescent="0.25">
      <c r="B23" s="69">
        <v>1</v>
      </c>
      <c r="C23" s="76" t="s">
        <v>392</v>
      </c>
      <c r="D23" s="2485" t="s">
        <v>2015</v>
      </c>
      <c r="E23" s="2486"/>
      <c r="F23" s="2486"/>
      <c r="G23" s="2486"/>
      <c r="H23" s="2486"/>
      <c r="I23" s="2487"/>
    </row>
    <row r="24" spans="2:10" x14ac:dyDescent="0.25">
      <c r="B24" s="69">
        <f>B23+1</f>
        <v>2</v>
      </c>
      <c r="C24" s="76" t="s">
        <v>393</v>
      </c>
      <c r="D24" s="2488"/>
      <c r="E24" s="2489"/>
      <c r="F24" s="2489"/>
      <c r="G24" s="2489"/>
      <c r="H24" s="2489"/>
      <c r="I24" s="2490"/>
    </row>
    <row r="25" spans="2:10" x14ac:dyDescent="0.25">
      <c r="B25" s="69">
        <f>B24+1</f>
        <v>3</v>
      </c>
      <c r="C25" s="76" t="s">
        <v>394</v>
      </c>
      <c r="D25" s="2488"/>
      <c r="E25" s="2489"/>
      <c r="F25" s="2489"/>
      <c r="G25" s="2489"/>
      <c r="H25" s="2489"/>
      <c r="I25" s="2490"/>
    </row>
    <row r="26" spans="2:10" x14ac:dyDescent="0.25">
      <c r="B26" s="69">
        <f>B25+1</f>
        <v>4</v>
      </c>
      <c r="C26" s="77" t="s">
        <v>395</v>
      </c>
      <c r="D26" s="2488"/>
      <c r="E26" s="2489"/>
      <c r="F26" s="2489"/>
      <c r="G26" s="2489"/>
      <c r="H26" s="2489"/>
      <c r="I26" s="2490"/>
    </row>
    <row r="27" spans="2:10" s="22" customFormat="1" x14ac:dyDescent="0.25">
      <c r="B27" s="69">
        <f>B26+1</f>
        <v>5</v>
      </c>
      <c r="C27" s="72" t="s">
        <v>396</v>
      </c>
      <c r="D27" s="2491"/>
      <c r="E27" s="2492"/>
      <c r="F27" s="2492"/>
      <c r="G27" s="2492"/>
      <c r="H27" s="2492"/>
      <c r="I27" s="2493"/>
    </row>
    <row r="30" spans="2:10" x14ac:dyDescent="0.25">
      <c r="B30" s="57" t="s">
        <v>426</v>
      </c>
    </row>
    <row r="31" spans="2:10" x14ac:dyDescent="0.25">
      <c r="I31" s="21" t="s">
        <v>16</v>
      </c>
    </row>
    <row r="32" spans="2:10" ht="28" x14ac:dyDescent="0.25">
      <c r="B32" s="2177" t="s">
        <v>187</v>
      </c>
      <c r="C32" s="2278" t="s">
        <v>391</v>
      </c>
      <c r="D32" s="187" t="s">
        <v>397</v>
      </c>
      <c r="E32" s="187" t="s">
        <v>399</v>
      </c>
      <c r="F32" s="187" t="s">
        <v>403</v>
      </c>
      <c r="G32" s="187" t="s">
        <v>316</v>
      </c>
      <c r="H32" s="187" t="s">
        <v>401</v>
      </c>
      <c r="I32" s="187" t="s">
        <v>402</v>
      </c>
    </row>
    <row r="33" spans="1:9" ht="14.5" x14ac:dyDescent="0.25">
      <c r="A33" s="731"/>
      <c r="B33" s="2178"/>
      <c r="C33" s="2279"/>
      <c r="D33" s="187" t="s">
        <v>398</v>
      </c>
      <c r="E33" s="187" t="s">
        <v>398</v>
      </c>
      <c r="F33" s="187" t="s">
        <v>398</v>
      </c>
      <c r="G33" s="187" t="s">
        <v>317</v>
      </c>
      <c r="H33" s="187" t="s">
        <v>400</v>
      </c>
      <c r="I33" s="187" t="s">
        <v>400</v>
      </c>
    </row>
    <row r="34" spans="1:9" x14ac:dyDescent="0.25">
      <c r="B34" s="2218"/>
      <c r="C34" s="2402"/>
      <c r="D34" s="235" t="s">
        <v>73</v>
      </c>
      <c r="E34" s="235" t="s">
        <v>74</v>
      </c>
      <c r="F34" s="235" t="s">
        <v>580</v>
      </c>
      <c r="G34" s="235" t="s">
        <v>411</v>
      </c>
      <c r="H34" s="235" t="s">
        <v>600</v>
      </c>
      <c r="I34" s="235" t="s">
        <v>601</v>
      </c>
    </row>
    <row r="35" spans="1:9" x14ac:dyDescent="0.25">
      <c r="B35" s="69">
        <v>1</v>
      </c>
      <c r="C35" s="76" t="s">
        <v>392</v>
      </c>
      <c r="D35" s="2485" t="s">
        <v>2015</v>
      </c>
      <c r="E35" s="2486"/>
      <c r="F35" s="2486"/>
      <c r="G35" s="2486"/>
      <c r="H35" s="2486"/>
      <c r="I35" s="2487"/>
    </row>
    <row r="36" spans="1:9" x14ac:dyDescent="0.25">
      <c r="B36" s="69">
        <f>B35+1</f>
        <v>2</v>
      </c>
      <c r="C36" s="76" t="s">
        <v>393</v>
      </c>
      <c r="D36" s="2488"/>
      <c r="E36" s="2489"/>
      <c r="F36" s="2489"/>
      <c r="G36" s="2489"/>
      <c r="H36" s="2489"/>
      <c r="I36" s="2490"/>
    </row>
    <row r="37" spans="1:9" x14ac:dyDescent="0.25">
      <c r="B37" s="69">
        <f>B36+1</f>
        <v>3</v>
      </c>
      <c r="C37" s="76" t="s">
        <v>394</v>
      </c>
      <c r="D37" s="2488"/>
      <c r="E37" s="2489"/>
      <c r="F37" s="2489"/>
      <c r="G37" s="2489"/>
      <c r="H37" s="2489"/>
      <c r="I37" s="2490"/>
    </row>
    <row r="38" spans="1:9" ht="14.5" x14ac:dyDescent="0.25">
      <c r="B38" s="734">
        <f>B37+1</f>
        <v>4</v>
      </c>
      <c r="C38" s="77" t="s">
        <v>395</v>
      </c>
      <c r="D38" s="2488"/>
      <c r="E38" s="2489"/>
      <c r="F38" s="2489"/>
      <c r="G38" s="2489"/>
      <c r="H38" s="2489"/>
      <c r="I38" s="2490"/>
    </row>
    <row r="39" spans="1:9" x14ac:dyDescent="0.25">
      <c r="B39" s="69">
        <f>B38+1</f>
        <v>5</v>
      </c>
      <c r="C39" s="72" t="s">
        <v>396</v>
      </c>
      <c r="D39" s="2491"/>
      <c r="E39" s="2492"/>
      <c r="F39" s="2492"/>
      <c r="G39" s="2492"/>
      <c r="H39" s="2492"/>
      <c r="I39" s="2493"/>
    </row>
    <row r="42" spans="1:9" x14ac:dyDescent="0.25">
      <c r="B42" s="15" t="s">
        <v>602</v>
      </c>
    </row>
  </sheetData>
  <mergeCells count="9">
    <mergeCell ref="B8:B10"/>
    <mergeCell ref="C8:C10"/>
    <mergeCell ref="D11:I15"/>
    <mergeCell ref="D23:I27"/>
    <mergeCell ref="D35:I39"/>
    <mergeCell ref="B20:B22"/>
    <mergeCell ref="C20:C22"/>
    <mergeCell ref="B32:B34"/>
    <mergeCell ref="C32:C34"/>
  </mergeCells>
  <pageMargins left="1.1023622047244095" right="0.27559055118110237" top="1.2204724409448819" bottom="0.98425196850393704" header="0.51181102362204722" footer="0.51181102362204722"/>
  <pageSetup paperSize="9" scale="56"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4"/>
  <sheetViews>
    <sheetView showGridLines="0" view="pageBreakPreview" topLeftCell="A187" zoomScale="75" zoomScaleNormal="75" zoomScaleSheetLayoutView="75" workbookViewId="0">
      <selection activeCell="C322" sqref="C322"/>
    </sheetView>
  </sheetViews>
  <sheetFormatPr defaultColWidth="9.1796875" defaultRowHeight="14.5" x14ac:dyDescent="0.25"/>
  <cols>
    <col min="1" max="1" width="6.81640625" style="784" customWidth="1"/>
    <col min="2" max="2" width="6.54296875" style="873" customWidth="1"/>
    <col min="3" max="3" width="50.7265625" style="784" customWidth="1"/>
    <col min="4" max="4" width="10.26953125" style="784" bestFit="1" customWidth="1"/>
    <col min="5" max="5" width="11.7265625" style="784" customWidth="1"/>
    <col min="6" max="6" width="13" style="1069" customWidth="1"/>
    <col min="7" max="7" width="14.453125" style="784" customWidth="1"/>
    <col min="8" max="8" width="17.26953125" style="784" customWidth="1"/>
    <col min="9" max="9" width="18.453125" style="784" customWidth="1"/>
    <col min="10" max="10" width="22.453125" style="784" customWidth="1"/>
    <col min="11" max="11" width="21.90625" style="784" bestFit="1" customWidth="1"/>
    <col min="12" max="12" width="9.54296875" style="784" bestFit="1" customWidth="1"/>
    <col min="13" max="16384" width="9.1796875" style="784"/>
  </cols>
  <sheetData>
    <row r="1" spans="1:10" x14ac:dyDescent="0.25">
      <c r="A1" s="850" t="s">
        <v>1325</v>
      </c>
      <c r="C1" s="851"/>
    </row>
    <row r="2" spans="1:10" x14ac:dyDescent="0.25">
      <c r="B2" s="874"/>
      <c r="C2" s="853"/>
      <c r="E2" s="854" t="s">
        <v>1027</v>
      </c>
      <c r="F2" s="1070"/>
      <c r="G2" s="853"/>
      <c r="H2" s="853"/>
      <c r="I2" s="853"/>
    </row>
    <row r="3" spans="1:10" s="855" customFormat="1" x14ac:dyDescent="0.35">
      <c r="B3" s="875"/>
      <c r="C3" s="856"/>
      <c r="E3" s="857" t="s">
        <v>826</v>
      </c>
      <c r="F3" s="1071"/>
      <c r="G3" s="856"/>
      <c r="H3" s="856"/>
      <c r="I3" s="856"/>
      <c r="J3" s="858"/>
    </row>
    <row r="4" spans="1:10" s="855" customFormat="1" x14ac:dyDescent="0.35">
      <c r="B4" s="875"/>
      <c r="C4" s="856"/>
      <c r="E4" s="859" t="s">
        <v>508</v>
      </c>
      <c r="F4" s="1071"/>
      <c r="G4" s="856"/>
      <c r="H4" s="856"/>
      <c r="I4" s="856"/>
      <c r="J4" s="860"/>
    </row>
    <row r="5" spans="1:10" x14ac:dyDescent="0.25">
      <c r="B5" s="2111" t="s">
        <v>179</v>
      </c>
    </row>
    <row r="6" spans="1:10" x14ac:dyDescent="0.25">
      <c r="B6" s="876"/>
    </row>
    <row r="7" spans="1:10" x14ac:dyDescent="0.25">
      <c r="B7" s="876"/>
      <c r="C7" s="852" t="s">
        <v>327</v>
      </c>
    </row>
    <row r="8" spans="1:10" x14ac:dyDescent="0.25">
      <c r="J8" s="861" t="s">
        <v>16</v>
      </c>
    </row>
    <row r="9" spans="1:10" ht="29" x14ac:dyDescent="0.25">
      <c r="B9" s="877" t="s">
        <v>187</v>
      </c>
      <c r="C9" s="862" t="s">
        <v>50</v>
      </c>
      <c r="D9" s="863" t="s">
        <v>842</v>
      </c>
      <c r="E9" s="863" t="s">
        <v>12</v>
      </c>
      <c r="F9" s="1072" t="s">
        <v>166</v>
      </c>
      <c r="G9" s="863" t="s">
        <v>167</v>
      </c>
      <c r="H9" s="863" t="s">
        <v>168</v>
      </c>
      <c r="I9" s="863" t="s">
        <v>169</v>
      </c>
      <c r="J9" s="863" t="s">
        <v>633</v>
      </c>
    </row>
    <row r="10" spans="1:10" x14ac:dyDescent="0.25">
      <c r="B10" s="878">
        <v>1</v>
      </c>
      <c r="C10" s="865" t="s">
        <v>75</v>
      </c>
      <c r="D10" s="866">
        <v>376.77</v>
      </c>
      <c r="E10" s="866">
        <f>'F3'!F17</f>
        <v>350.46699999999998</v>
      </c>
      <c r="F10" s="1064">
        <f>E10-D10</f>
        <v>-26.302999999999997</v>
      </c>
      <c r="G10" s="1076" t="s">
        <v>1320</v>
      </c>
      <c r="H10" s="1077" t="s">
        <v>1321</v>
      </c>
      <c r="I10" s="1077"/>
      <c r="J10" s="1077">
        <f>E23</f>
        <v>16.761709707364748</v>
      </c>
    </row>
    <row r="11" spans="1:10" x14ac:dyDescent="0.25">
      <c r="B11" s="878">
        <f>B10+1</f>
        <v>2</v>
      </c>
      <c r="C11" s="867" t="s">
        <v>183</v>
      </c>
      <c r="D11" s="866">
        <v>97.85</v>
      </c>
      <c r="E11" s="866">
        <f>90%*'F 5.3'!J28</f>
        <v>90.023040934386231</v>
      </c>
      <c r="F11" s="1064">
        <f t="shared" ref="F11:F32" si="0">E11-D11</f>
        <v>-7.8269590656137638</v>
      </c>
      <c r="G11" s="1076"/>
      <c r="H11" s="1077"/>
      <c r="I11" s="1077"/>
      <c r="J11" s="1077"/>
    </row>
    <row r="12" spans="1:10" x14ac:dyDescent="0.25">
      <c r="B12" s="878">
        <f t="shared" ref="B12:B19" si="1">B11+1</f>
        <v>3</v>
      </c>
      <c r="C12" s="865" t="s">
        <v>182</v>
      </c>
      <c r="D12" s="866">
        <v>0</v>
      </c>
      <c r="E12" s="866">
        <f>'F6'!E89*90%</f>
        <v>37.111499999999999</v>
      </c>
      <c r="F12" s="1064">
        <f t="shared" si="0"/>
        <v>37.111499999999999</v>
      </c>
      <c r="G12" s="1076"/>
      <c r="H12" s="1077"/>
      <c r="I12" s="1077"/>
      <c r="J12" s="1077"/>
    </row>
    <row r="13" spans="1:10" x14ac:dyDescent="0.25">
      <c r="B13" s="878">
        <f t="shared" si="1"/>
        <v>4</v>
      </c>
      <c r="C13" s="867" t="s">
        <v>76</v>
      </c>
      <c r="D13" s="866">
        <v>0.9</v>
      </c>
      <c r="E13" s="866">
        <f>'F7'!F25</f>
        <v>0.88800000000000012</v>
      </c>
      <c r="F13" s="1064">
        <f t="shared" si="0"/>
        <v>-1.19999999999999E-2</v>
      </c>
      <c r="G13" s="1076"/>
      <c r="H13" s="1077" t="s">
        <v>1321</v>
      </c>
      <c r="I13" s="1077"/>
      <c r="J13" s="1077">
        <f>E22</f>
        <v>0</v>
      </c>
    </row>
    <row r="14" spans="1:10" ht="29" x14ac:dyDescent="0.25">
      <c r="B14" s="878">
        <f t="shared" si="1"/>
        <v>5</v>
      </c>
      <c r="C14" s="868" t="s">
        <v>285</v>
      </c>
      <c r="D14" s="866">
        <v>3.84</v>
      </c>
      <c r="E14" s="866">
        <f>'F7'!F29</f>
        <v>3.7690000000000001</v>
      </c>
      <c r="F14" s="1064">
        <f t="shared" si="0"/>
        <v>-7.099999999999973E-2</v>
      </c>
      <c r="G14" s="1076"/>
      <c r="H14" s="1077"/>
      <c r="I14" s="1077"/>
      <c r="J14" s="1077"/>
    </row>
    <row r="15" spans="1:10" x14ac:dyDescent="0.25">
      <c r="B15" s="878">
        <f t="shared" si="1"/>
        <v>6</v>
      </c>
      <c r="C15" s="868" t="s">
        <v>255</v>
      </c>
      <c r="D15" s="866">
        <v>0.67</v>
      </c>
      <c r="E15" s="353">
        <f>'F10'!E16</f>
        <v>0.50900000000000001</v>
      </c>
      <c r="F15" s="1064">
        <f t="shared" si="0"/>
        <v>-0.16100000000000003</v>
      </c>
      <c r="G15" s="1076"/>
      <c r="H15" s="1077"/>
      <c r="I15" s="1077"/>
      <c r="J15" s="1077"/>
    </row>
    <row r="16" spans="1:10" x14ac:dyDescent="0.25">
      <c r="B16" s="878">
        <f t="shared" si="1"/>
        <v>7</v>
      </c>
      <c r="C16" s="868" t="s">
        <v>256</v>
      </c>
      <c r="D16" s="866">
        <v>5.85</v>
      </c>
      <c r="E16" s="866">
        <f>'F11'!E18</f>
        <v>0</v>
      </c>
      <c r="F16" s="1064">
        <f t="shared" si="0"/>
        <v>-5.85</v>
      </c>
      <c r="G16" s="1076"/>
      <c r="H16" s="1077"/>
      <c r="I16" s="1077"/>
      <c r="J16" s="1077"/>
    </row>
    <row r="17" spans="2:10" x14ac:dyDescent="0.25">
      <c r="B17" s="878">
        <f t="shared" si="1"/>
        <v>8</v>
      </c>
      <c r="C17" s="866" t="s">
        <v>77</v>
      </c>
      <c r="D17" s="866">
        <v>0</v>
      </c>
      <c r="E17" s="866">
        <v>0</v>
      </c>
      <c r="F17" s="1064">
        <f t="shared" si="0"/>
        <v>0</v>
      </c>
      <c r="G17" s="1076"/>
      <c r="H17" s="1077"/>
      <c r="I17" s="1077"/>
      <c r="J17" s="1077"/>
    </row>
    <row r="18" spans="2:10" s="852" customFormat="1" x14ac:dyDescent="0.25">
      <c r="B18" s="879">
        <f t="shared" si="1"/>
        <v>9</v>
      </c>
      <c r="C18" s="869" t="s">
        <v>78</v>
      </c>
      <c r="D18" s="869">
        <f>SUM(D10:D17)</f>
        <v>485.88</v>
      </c>
      <c r="E18" s="869">
        <f>SUM(E10:E17)</f>
        <v>482.7675409343862</v>
      </c>
      <c r="F18" s="882">
        <f t="shared" si="0"/>
        <v>-3.1124590656137912</v>
      </c>
      <c r="G18" s="1076"/>
      <c r="H18" s="1077"/>
      <c r="I18" s="1077"/>
      <c r="J18" s="1077"/>
    </row>
    <row r="19" spans="2:10" x14ac:dyDescent="0.25">
      <c r="B19" s="878">
        <f t="shared" si="1"/>
        <v>10</v>
      </c>
      <c r="C19" s="866" t="s">
        <v>79</v>
      </c>
      <c r="D19" s="866">
        <v>126.84</v>
      </c>
      <c r="E19" s="866">
        <f>'F8'!E24</f>
        <v>125.91137474999999</v>
      </c>
      <c r="F19" s="1064">
        <f t="shared" si="0"/>
        <v>-0.92862525000001028</v>
      </c>
      <c r="G19" s="1076"/>
      <c r="H19" s="1077"/>
      <c r="I19" s="1077"/>
      <c r="J19" s="1077"/>
    </row>
    <row r="20" spans="2:10" x14ac:dyDescent="0.25">
      <c r="B20" s="878">
        <f>B19+1</f>
        <v>11</v>
      </c>
      <c r="C20" s="866" t="s">
        <v>1203</v>
      </c>
      <c r="D20" s="866">
        <v>4.75</v>
      </c>
      <c r="E20" s="866">
        <f>'F22'!E14*90%</f>
        <v>4.7514599999999998</v>
      </c>
      <c r="F20" s="1064">
        <f t="shared" si="0"/>
        <v>1.4599999999997948E-3</v>
      </c>
      <c r="G20" s="866"/>
      <c r="H20" s="864"/>
      <c r="I20" s="864"/>
      <c r="J20" s="864"/>
    </row>
    <row r="21" spans="2:10" x14ac:dyDescent="0.25">
      <c r="B21" s="878">
        <f t="shared" ref="B21:B26" si="2">B20+1</f>
        <v>12</v>
      </c>
      <c r="C21" s="866" t="s">
        <v>1204</v>
      </c>
      <c r="D21" s="866">
        <v>0</v>
      </c>
      <c r="E21" s="866">
        <f>'F24'!E13</f>
        <v>7.3319623725595235</v>
      </c>
      <c r="F21" s="1064">
        <f t="shared" si="0"/>
        <v>7.3319623725595235</v>
      </c>
      <c r="G21" s="866"/>
      <c r="H21" s="864"/>
      <c r="I21" s="864"/>
      <c r="J21" s="864"/>
    </row>
    <row r="22" spans="2:10" x14ac:dyDescent="0.25">
      <c r="B22" s="878">
        <f t="shared" si="2"/>
        <v>13</v>
      </c>
      <c r="C22" s="866" t="s">
        <v>1205</v>
      </c>
      <c r="D22" s="866">
        <v>0</v>
      </c>
      <c r="E22" s="866">
        <f>E93*('F7'!F25/'F7'!F74)</f>
        <v>0</v>
      </c>
      <c r="F22" s="1064">
        <f t="shared" si="0"/>
        <v>0</v>
      </c>
      <c r="G22" s="866"/>
      <c r="H22" s="864"/>
      <c r="I22" s="864"/>
      <c r="J22" s="864"/>
    </row>
    <row r="23" spans="2:10" x14ac:dyDescent="0.25">
      <c r="B23" s="878">
        <f t="shared" si="2"/>
        <v>14</v>
      </c>
      <c r="C23" s="866" t="s">
        <v>1206</v>
      </c>
      <c r="D23" s="866">
        <v>0</v>
      </c>
      <c r="E23" s="866">
        <f>F3.1!E15/3</f>
        <v>16.761709707364748</v>
      </c>
      <c r="F23" s="1064">
        <f t="shared" si="0"/>
        <v>16.761709707364748</v>
      </c>
      <c r="G23" s="866"/>
      <c r="H23" s="864"/>
      <c r="I23" s="864"/>
      <c r="J23" s="864"/>
    </row>
    <row r="24" spans="2:10" s="852" customFormat="1" x14ac:dyDescent="0.25">
      <c r="B24" s="879">
        <f t="shared" si="2"/>
        <v>15</v>
      </c>
      <c r="C24" s="869" t="s">
        <v>81</v>
      </c>
      <c r="D24" s="869">
        <f>SUM(D18:D23)</f>
        <v>617.47</v>
      </c>
      <c r="E24" s="869">
        <f>SUM(E18:E23)</f>
        <v>637.52404776431035</v>
      </c>
      <c r="F24" s="882">
        <f t="shared" si="0"/>
        <v>20.054047764310326</v>
      </c>
      <c r="G24" s="866"/>
      <c r="H24" s="864"/>
      <c r="I24" s="864"/>
      <c r="J24" s="864"/>
    </row>
    <row r="25" spans="2:10" x14ac:dyDescent="0.25">
      <c r="B25" s="878">
        <f t="shared" si="2"/>
        <v>16</v>
      </c>
      <c r="C25" s="866" t="s">
        <v>80</v>
      </c>
      <c r="D25" s="866">
        <v>5.36</v>
      </c>
      <c r="E25" s="866">
        <f>'F9'!E27</f>
        <v>3.9269999999999996</v>
      </c>
      <c r="F25" s="1064">
        <f t="shared" si="0"/>
        <v>-1.4330000000000007</v>
      </c>
      <c r="G25" s="866"/>
      <c r="H25" s="864"/>
      <c r="I25" s="864"/>
      <c r="J25" s="864"/>
    </row>
    <row r="26" spans="2:10" x14ac:dyDescent="0.25">
      <c r="B26" s="878">
        <f t="shared" si="2"/>
        <v>17</v>
      </c>
      <c r="C26" s="866" t="s">
        <v>260</v>
      </c>
      <c r="D26" s="866">
        <v>0</v>
      </c>
      <c r="E26" s="866">
        <v>0</v>
      </c>
      <c r="F26" s="1064">
        <f t="shared" si="0"/>
        <v>0</v>
      </c>
      <c r="G26" s="866"/>
      <c r="H26" s="864"/>
      <c r="I26" s="864"/>
      <c r="J26" s="864"/>
    </row>
    <row r="27" spans="2:10" s="852" customFormat="1" x14ac:dyDescent="0.25">
      <c r="B27" s="880" t="s">
        <v>83</v>
      </c>
      <c r="C27" s="869" t="s">
        <v>287</v>
      </c>
      <c r="D27" s="869">
        <f>D24-D25-D26</f>
        <v>612.11</v>
      </c>
      <c r="E27" s="869">
        <f>E24-E25-E26</f>
        <v>633.59704776431033</v>
      </c>
      <c r="F27" s="882">
        <f t="shared" si="0"/>
        <v>21.487047764310319</v>
      </c>
      <c r="G27" s="866"/>
      <c r="H27" s="864"/>
      <c r="I27" s="864"/>
      <c r="J27" s="864"/>
    </row>
    <row r="28" spans="2:10" x14ac:dyDescent="0.25">
      <c r="B28" s="880"/>
      <c r="C28" s="869"/>
      <c r="D28" s="866"/>
      <c r="E28" s="866"/>
      <c r="F28" s="1064">
        <f t="shared" si="0"/>
        <v>0</v>
      </c>
      <c r="G28" s="866"/>
      <c r="H28" s="864"/>
      <c r="I28" s="864"/>
      <c r="J28" s="864"/>
    </row>
    <row r="29" spans="2:10" s="852" customFormat="1" x14ac:dyDescent="0.25">
      <c r="B29" s="880" t="s">
        <v>89</v>
      </c>
      <c r="C29" s="869" t="s">
        <v>170</v>
      </c>
      <c r="D29" s="869">
        <v>616.54</v>
      </c>
      <c r="E29" s="869">
        <f>E30</f>
        <v>610.67737147740024</v>
      </c>
      <c r="F29" s="882">
        <f t="shared" si="0"/>
        <v>-5.8626285225997208</v>
      </c>
      <c r="G29" s="866"/>
      <c r="H29" s="864"/>
      <c r="I29" s="864"/>
      <c r="J29" s="864"/>
    </row>
    <row r="30" spans="2:10" x14ac:dyDescent="0.25">
      <c r="B30" s="881">
        <f>B26+1</f>
        <v>18</v>
      </c>
      <c r="C30" s="868" t="s">
        <v>171</v>
      </c>
      <c r="D30" s="866">
        <v>616.54</v>
      </c>
      <c r="E30" s="866">
        <f>'F13'!G52</f>
        <v>610.67737147740024</v>
      </c>
      <c r="F30" s="1064">
        <f t="shared" si="0"/>
        <v>-5.8626285225997208</v>
      </c>
      <c r="G30" s="866"/>
      <c r="H30" s="864"/>
      <c r="I30" s="864"/>
      <c r="J30" s="864"/>
    </row>
    <row r="31" spans="2:10" x14ac:dyDescent="0.25">
      <c r="B31" s="881"/>
      <c r="C31" s="868"/>
      <c r="D31" s="866"/>
      <c r="E31" s="866"/>
      <c r="F31" s="1064">
        <f t="shared" si="0"/>
        <v>0</v>
      </c>
      <c r="G31" s="866"/>
      <c r="H31" s="864"/>
      <c r="I31" s="864"/>
      <c r="J31" s="864"/>
    </row>
    <row r="32" spans="2:10" s="852" customFormat="1" x14ac:dyDescent="0.25">
      <c r="B32" s="880" t="s">
        <v>90</v>
      </c>
      <c r="C32" s="870" t="s">
        <v>175</v>
      </c>
      <c r="D32" s="882">
        <f>D27-D29</f>
        <v>-4.42999999999995</v>
      </c>
      <c r="E32" s="882">
        <f>E27-E29</f>
        <v>22.919676286910089</v>
      </c>
      <c r="F32" s="882">
        <f t="shared" si="0"/>
        <v>27.349676286910039</v>
      </c>
      <c r="G32" s="866"/>
      <c r="H32" s="864"/>
      <c r="I32" s="864"/>
      <c r="J32" s="864"/>
    </row>
    <row r="33" spans="2:10" hidden="1" x14ac:dyDescent="0.25"/>
    <row r="34" spans="2:10" hidden="1" x14ac:dyDescent="0.25">
      <c r="B34" s="2110" t="s">
        <v>2013</v>
      </c>
    </row>
    <row r="36" spans="2:10" x14ac:dyDescent="0.25">
      <c r="B36" s="2111" t="s">
        <v>179</v>
      </c>
    </row>
    <row r="37" spans="2:10" x14ac:dyDescent="0.25">
      <c r="C37" s="852" t="s">
        <v>284</v>
      </c>
      <c r="D37" s="871"/>
      <c r="E37" s="871"/>
      <c r="F37" s="1073"/>
      <c r="G37" s="871"/>
      <c r="H37" s="871"/>
      <c r="I37" s="871"/>
    </row>
    <row r="38" spans="2:10" x14ac:dyDescent="0.25">
      <c r="D38" s="871"/>
      <c r="E38" s="871"/>
      <c r="F38" s="1073"/>
      <c r="G38" s="871"/>
      <c r="H38" s="871"/>
      <c r="I38" s="871"/>
      <c r="J38" s="861" t="s">
        <v>16</v>
      </c>
    </row>
    <row r="39" spans="2:10" ht="29" x14ac:dyDescent="0.25">
      <c r="B39" s="877" t="s">
        <v>187</v>
      </c>
      <c r="C39" s="862" t="s">
        <v>50</v>
      </c>
      <c r="D39" s="863" t="s">
        <v>842</v>
      </c>
      <c r="E39" s="863" t="s">
        <v>12</v>
      </c>
      <c r="F39" s="1072" t="s">
        <v>166</v>
      </c>
      <c r="G39" s="863" t="s">
        <v>167</v>
      </c>
      <c r="H39" s="863" t="s">
        <v>168</v>
      </c>
      <c r="I39" s="863" t="s">
        <v>169</v>
      </c>
      <c r="J39" s="863" t="s">
        <v>633</v>
      </c>
    </row>
    <row r="40" spans="2:10" ht="29" x14ac:dyDescent="0.25">
      <c r="B40" s="878">
        <v>1</v>
      </c>
      <c r="C40" s="872" t="s">
        <v>288</v>
      </c>
      <c r="D40" s="866">
        <v>2536.04</v>
      </c>
      <c r="E40" s="866">
        <f>'F2'!Q64</f>
        <v>2189.0282088632507</v>
      </c>
      <c r="F40" s="1064">
        <f>E40-D40</f>
        <v>-347.01179113674925</v>
      </c>
      <c r="G40" s="1077"/>
      <c r="H40" s="1077"/>
      <c r="I40" s="1077" t="s">
        <v>1321</v>
      </c>
      <c r="J40" s="1077"/>
    </row>
    <row r="41" spans="2:10" x14ac:dyDescent="0.25">
      <c r="B41" s="878">
        <f>B40+1</f>
        <v>2</v>
      </c>
      <c r="C41" s="865" t="s">
        <v>75</v>
      </c>
      <c r="D41" s="866">
        <v>202.87</v>
      </c>
      <c r="E41" s="866">
        <f>'F3'!F32</f>
        <v>188.71299999999999</v>
      </c>
      <c r="F41" s="1064">
        <f t="shared" ref="F41:F67" si="3">E41-D41</f>
        <v>-14.157000000000011</v>
      </c>
      <c r="G41" s="1078" t="s">
        <v>1320</v>
      </c>
      <c r="H41" s="1077" t="s">
        <v>1321</v>
      </c>
      <c r="I41" s="1077"/>
      <c r="J41" s="1077">
        <f>E56</f>
        <v>9.0255359962733142</v>
      </c>
    </row>
    <row r="42" spans="2:10" x14ac:dyDescent="0.25">
      <c r="B42" s="878">
        <f t="shared" ref="B42:B61" si="4">B41+1</f>
        <v>3</v>
      </c>
      <c r="C42" s="867" t="s">
        <v>183</v>
      </c>
      <c r="D42" s="866">
        <v>10.87</v>
      </c>
      <c r="E42" s="866">
        <f>10%*'F 5.3'!J28</f>
        <v>10.002560103820691</v>
      </c>
      <c r="F42" s="1064">
        <f t="shared" si="3"/>
        <v>-0.86743989617930772</v>
      </c>
      <c r="G42" s="1077"/>
      <c r="H42" s="1077"/>
      <c r="I42" s="1077"/>
      <c r="J42" s="1077"/>
    </row>
    <row r="43" spans="2:10" x14ac:dyDescent="0.25">
      <c r="B43" s="878">
        <f t="shared" si="4"/>
        <v>4</v>
      </c>
      <c r="C43" s="865" t="s">
        <v>182</v>
      </c>
      <c r="D43" s="866">
        <v>0</v>
      </c>
      <c r="E43" s="866">
        <f>'F6'!E89*10%</f>
        <v>4.1234999999999999</v>
      </c>
      <c r="F43" s="1064">
        <f t="shared" si="3"/>
        <v>4.1234999999999999</v>
      </c>
      <c r="G43" s="1077"/>
      <c r="H43" s="1077"/>
      <c r="I43" s="1077"/>
      <c r="J43" s="1077"/>
    </row>
    <row r="44" spans="2:10" x14ac:dyDescent="0.25">
      <c r="B44" s="878">
        <f t="shared" si="4"/>
        <v>5</v>
      </c>
      <c r="C44" s="867" t="s">
        <v>76</v>
      </c>
      <c r="D44" s="866">
        <v>0</v>
      </c>
      <c r="E44" s="866">
        <f>'F7'!F50</f>
        <v>7.9920000000000009</v>
      </c>
      <c r="F44" s="1064">
        <f t="shared" si="3"/>
        <v>7.9920000000000009</v>
      </c>
      <c r="G44" s="1077"/>
      <c r="H44" s="1077" t="s">
        <v>1321</v>
      </c>
      <c r="I44" s="1077"/>
      <c r="J44" s="1077"/>
    </row>
    <row r="45" spans="2:10" x14ac:dyDescent="0.25">
      <c r="B45" s="878">
        <f t="shared" si="4"/>
        <v>6</v>
      </c>
      <c r="C45" s="868" t="s">
        <v>289</v>
      </c>
      <c r="D45" s="866">
        <v>34.590000000000003</v>
      </c>
      <c r="E45" s="866">
        <f>'F7'!F54</f>
        <v>33.920999999999999</v>
      </c>
      <c r="F45" s="1064">
        <f t="shared" si="3"/>
        <v>-0.66900000000000404</v>
      </c>
      <c r="G45" s="1077"/>
      <c r="H45" s="1077"/>
      <c r="I45" s="1077"/>
      <c r="J45" s="1077"/>
    </row>
    <row r="46" spans="2:10" x14ac:dyDescent="0.25">
      <c r="B46" s="878">
        <f t="shared" si="4"/>
        <v>7</v>
      </c>
      <c r="C46" s="868" t="s">
        <v>255</v>
      </c>
      <c r="D46" s="866">
        <v>6.07</v>
      </c>
      <c r="E46" s="866">
        <f>'F10'!E31</f>
        <v>4.5810000000000004</v>
      </c>
      <c r="F46" s="1064">
        <f t="shared" si="3"/>
        <v>-1.4889999999999999</v>
      </c>
      <c r="G46" s="1077"/>
      <c r="H46" s="1077"/>
      <c r="I46" s="1077"/>
      <c r="J46" s="1077"/>
    </row>
    <row r="47" spans="2:10" x14ac:dyDescent="0.25">
      <c r="B47" s="878">
        <f t="shared" si="4"/>
        <v>8</v>
      </c>
      <c r="C47" s="868" t="s">
        <v>256</v>
      </c>
      <c r="D47" s="866">
        <v>0.65</v>
      </c>
      <c r="E47" s="866">
        <f>'F11'!E37</f>
        <v>0</v>
      </c>
      <c r="F47" s="1064">
        <f t="shared" si="3"/>
        <v>-0.65</v>
      </c>
      <c r="G47" s="1077"/>
      <c r="H47" s="1077"/>
      <c r="I47" s="1077"/>
      <c r="J47" s="1077"/>
    </row>
    <row r="48" spans="2:10" x14ac:dyDescent="0.25">
      <c r="B48" s="878">
        <f t="shared" si="4"/>
        <v>9</v>
      </c>
      <c r="C48" s="868" t="s">
        <v>258</v>
      </c>
      <c r="D48" s="866">
        <v>224.52</v>
      </c>
      <c r="E48" s="866">
        <f>F2.2!E12</f>
        <v>224.88313170000004</v>
      </c>
      <c r="F48" s="1064">
        <f t="shared" si="3"/>
        <v>0.36313170000002515</v>
      </c>
      <c r="G48" s="1077"/>
      <c r="H48" s="1077"/>
      <c r="I48" s="1077" t="s">
        <v>1321</v>
      </c>
      <c r="J48" s="1077"/>
    </row>
    <row r="49" spans="2:12" x14ac:dyDescent="0.25">
      <c r="B49" s="878">
        <f t="shared" si="4"/>
        <v>10</v>
      </c>
      <c r="C49" s="868" t="s">
        <v>259</v>
      </c>
      <c r="D49" s="866">
        <v>1.1299999999999999</v>
      </c>
      <c r="E49" s="866">
        <f>F2.2!E13</f>
        <v>1.1279999999999999</v>
      </c>
      <c r="F49" s="1064">
        <f t="shared" si="3"/>
        <v>-2.0000000000000018E-3</v>
      </c>
      <c r="G49" s="1077"/>
      <c r="H49" s="1077"/>
      <c r="I49" s="1077" t="s">
        <v>1321</v>
      </c>
      <c r="J49" s="1077"/>
    </row>
    <row r="50" spans="2:12" x14ac:dyDescent="0.25">
      <c r="B50" s="878">
        <f t="shared" si="4"/>
        <v>11</v>
      </c>
      <c r="C50" s="866" t="s">
        <v>77</v>
      </c>
      <c r="D50" s="866">
        <v>0</v>
      </c>
      <c r="E50" s="866">
        <v>0</v>
      </c>
      <c r="F50" s="1064">
        <f t="shared" si="3"/>
        <v>0</v>
      </c>
      <c r="G50" s="1077"/>
      <c r="H50" s="1077"/>
      <c r="I50" s="1077"/>
      <c r="J50" s="1077"/>
    </row>
    <row r="51" spans="2:12" x14ac:dyDescent="0.25">
      <c r="B51" s="878">
        <v>12</v>
      </c>
      <c r="C51" s="866" t="s">
        <v>1207</v>
      </c>
      <c r="D51" s="866">
        <v>50.75</v>
      </c>
      <c r="E51" s="866">
        <f>'F23'!E17</f>
        <v>46.679999999999993</v>
      </c>
      <c r="F51" s="1064">
        <f t="shared" si="3"/>
        <v>-4.0700000000000074</v>
      </c>
      <c r="G51" s="1077"/>
      <c r="H51" s="1077"/>
      <c r="I51" s="1077"/>
      <c r="J51" s="1077"/>
    </row>
    <row r="52" spans="2:12" s="852" customFormat="1" x14ac:dyDescent="0.25">
      <c r="B52" s="879">
        <v>13</v>
      </c>
      <c r="C52" s="869" t="s">
        <v>78</v>
      </c>
      <c r="D52" s="869">
        <f>SUM(D40:D51)</f>
        <v>3067.4900000000002</v>
      </c>
      <c r="E52" s="869">
        <f>SUM(E40:E51)</f>
        <v>2711.0524006670717</v>
      </c>
      <c r="F52" s="882">
        <f t="shared" si="3"/>
        <v>-356.43759933292858</v>
      </c>
      <c r="G52" s="1077"/>
      <c r="H52" s="1077"/>
      <c r="I52" s="1077"/>
      <c r="J52" s="1077"/>
      <c r="K52" s="784"/>
      <c r="L52" s="784"/>
    </row>
    <row r="53" spans="2:12" x14ac:dyDescent="0.25">
      <c r="B53" s="878">
        <f t="shared" si="4"/>
        <v>14</v>
      </c>
      <c r="C53" s="866" t="s">
        <v>79</v>
      </c>
      <c r="D53" s="866">
        <v>14.09</v>
      </c>
      <c r="E53" s="866">
        <f>'F8'!E43</f>
        <v>15.795333749999998</v>
      </c>
      <c r="F53" s="1064">
        <f t="shared" si="3"/>
        <v>1.7053337499999977</v>
      </c>
      <c r="G53" s="1077"/>
      <c r="H53" s="1077"/>
      <c r="I53" s="1077"/>
      <c r="J53" s="1077"/>
    </row>
    <row r="54" spans="2:12" x14ac:dyDescent="0.25">
      <c r="B54" s="878">
        <f>B53+1</f>
        <v>15</v>
      </c>
      <c r="C54" s="866" t="s">
        <v>1203</v>
      </c>
      <c r="D54" s="866">
        <v>0.53</v>
      </c>
      <c r="E54" s="866">
        <f>'F22'!E14*10%</f>
        <v>0.52793999999999996</v>
      </c>
      <c r="F54" s="1064">
        <f t="shared" si="3"/>
        <v>-2.0600000000000618E-3</v>
      </c>
      <c r="G54" s="864"/>
      <c r="H54" s="864"/>
      <c r="I54" s="864"/>
      <c r="J54" s="864"/>
    </row>
    <row r="55" spans="2:12" x14ac:dyDescent="0.25">
      <c r="B55" s="878">
        <f>B54+1</f>
        <v>16</v>
      </c>
      <c r="C55" s="866" t="s">
        <v>1208</v>
      </c>
      <c r="D55" s="866">
        <v>0</v>
      </c>
      <c r="E55" s="866">
        <f>E93-E22</f>
        <v>0</v>
      </c>
      <c r="F55" s="1064">
        <f t="shared" si="3"/>
        <v>0</v>
      </c>
      <c r="G55" s="864"/>
      <c r="H55" s="864"/>
      <c r="I55" s="864"/>
      <c r="J55" s="864"/>
    </row>
    <row r="56" spans="2:12" x14ac:dyDescent="0.25">
      <c r="B56" s="878">
        <f>B55+1</f>
        <v>17</v>
      </c>
      <c r="C56" s="866" t="s">
        <v>1206</v>
      </c>
      <c r="D56" s="866">
        <v>0</v>
      </c>
      <c r="E56" s="866">
        <f>F3.1!E45/3</f>
        <v>9.0255359962733142</v>
      </c>
      <c r="F56" s="1064">
        <f t="shared" si="3"/>
        <v>9.0255359962733142</v>
      </c>
      <c r="G56" s="864"/>
      <c r="H56" s="864"/>
      <c r="I56" s="864"/>
      <c r="J56" s="864"/>
    </row>
    <row r="57" spans="2:12" s="852" customFormat="1" x14ac:dyDescent="0.25">
      <c r="B57" s="879">
        <f>B56+1</f>
        <v>18</v>
      </c>
      <c r="C57" s="869" t="s">
        <v>81</v>
      </c>
      <c r="D57" s="869">
        <f>SUM(D52:D56)</f>
        <v>3082.1100000000006</v>
      </c>
      <c r="E57" s="869">
        <f>SUM(E52:E56)</f>
        <v>2736.4012104133449</v>
      </c>
      <c r="F57" s="882">
        <f t="shared" si="3"/>
        <v>-345.70878958665571</v>
      </c>
      <c r="G57" s="864"/>
      <c r="H57" s="864"/>
      <c r="I57" s="864"/>
      <c r="J57" s="864"/>
      <c r="K57" s="784"/>
      <c r="L57" s="784"/>
    </row>
    <row r="58" spans="2:12" x14ac:dyDescent="0.25">
      <c r="B58" s="878">
        <f t="shared" si="4"/>
        <v>19</v>
      </c>
      <c r="C58" s="866" t="s">
        <v>80</v>
      </c>
      <c r="D58" s="866">
        <v>48.27</v>
      </c>
      <c r="E58" s="866">
        <f>'F9'!E53</f>
        <v>35.343000000000004</v>
      </c>
      <c r="F58" s="1064">
        <f t="shared" si="3"/>
        <v>-12.927</v>
      </c>
      <c r="G58" s="864"/>
      <c r="H58" s="864"/>
      <c r="I58" s="864"/>
      <c r="J58" s="864"/>
    </row>
    <row r="59" spans="2:12" x14ac:dyDescent="0.25">
      <c r="B59" s="878">
        <f t="shared" si="4"/>
        <v>20</v>
      </c>
      <c r="C59" s="866" t="s">
        <v>260</v>
      </c>
      <c r="D59" s="866">
        <v>0</v>
      </c>
      <c r="E59" s="866">
        <v>0</v>
      </c>
      <c r="F59" s="1064">
        <f t="shared" si="3"/>
        <v>0</v>
      </c>
      <c r="G59" s="864"/>
      <c r="H59" s="864"/>
      <c r="I59" s="864"/>
      <c r="J59" s="864"/>
    </row>
    <row r="60" spans="2:12" x14ac:dyDescent="0.25">
      <c r="B60" s="878">
        <f t="shared" si="4"/>
        <v>21</v>
      </c>
      <c r="C60" s="866" t="s">
        <v>261</v>
      </c>
      <c r="D60" s="866">
        <v>0</v>
      </c>
      <c r="E60" s="866">
        <v>0</v>
      </c>
      <c r="F60" s="1064">
        <f t="shared" si="3"/>
        <v>0</v>
      </c>
      <c r="G60" s="864"/>
      <c r="H60" s="864"/>
      <c r="I60" s="864"/>
      <c r="J60" s="864"/>
    </row>
    <row r="61" spans="2:12" x14ac:dyDescent="0.25">
      <c r="B61" s="878">
        <f t="shared" si="4"/>
        <v>22</v>
      </c>
      <c r="C61" s="866" t="s">
        <v>290</v>
      </c>
      <c r="D61" s="866">
        <v>0</v>
      </c>
      <c r="E61" s="866">
        <v>0</v>
      </c>
      <c r="F61" s="1064">
        <f t="shared" si="3"/>
        <v>0</v>
      </c>
      <c r="G61" s="864"/>
      <c r="H61" s="864"/>
      <c r="I61" s="864"/>
      <c r="J61" s="864"/>
    </row>
    <row r="62" spans="2:12" s="852" customFormat="1" x14ac:dyDescent="0.25">
      <c r="B62" s="879" t="s">
        <v>83</v>
      </c>
      <c r="C62" s="869" t="s">
        <v>286</v>
      </c>
      <c r="D62" s="869">
        <f>D57-SUM(D58:D61)+0.01</f>
        <v>3033.8500000000008</v>
      </c>
      <c r="E62" s="869">
        <f>E57-SUM(E58:E61)</f>
        <v>2701.058210413345</v>
      </c>
      <c r="F62" s="882">
        <f t="shared" si="3"/>
        <v>-332.7917895866558</v>
      </c>
      <c r="G62" s="864"/>
      <c r="H62" s="864"/>
      <c r="I62" s="864"/>
      <c r="J62" s="864"/>
      <c r="K62" s="784"/>
      <c r="L62" s="784"/>
    </row>
    <row r="63" spans="2:12" x14ac:dyDescent="0.25">
      <c r="B63" s="878"/>
      <c r="C63" s="866"/>
      <c r="D63" s="866"/>
      <c r="E63" s="866"/>
      <c r="F63" s="1064">
        <f>E63-D63</f>
        <v>0</v>
      </c>
      <c r="G63" s="864"/>
      <c r="H63" s="864"/>
      <c r="I63" s="864"/>
      <c r="J63" s="864"/>
    </row>
    <row r="64" spans="2:12" s="852" customFormat="1" x14ac:dyDescent="0.25">
      <c r="B64" s="880" t="s">
        <v>89</v>
      </c>
      <c r="C64" s="869" t="s">
        <v>170</v>
      </c>
      <c r="D64" s="869">
        <v>2830.98</v>
      </c>
      <c r="E64" s="869">
        <f>E65</f>
        <v>2855.9990436171288</v>
      </c>
      <c r="F64" s="882">
        <f t="shared" si="3"/>
        <v>25.019043617128773</v>
      </c>
      <c r="G64" s="864"/>
      <c r="H64" s="864"/>
      <c r="I64" s="864"/>
      <c r="J64" s="864"/>
    </row>
    <row r="65" spans="2:10" x14ac:dyDescent="0.25">
      <c r="B65" s="881">
        <f>B61+1</f>
        <v>23</v>
      </c>
      <c r="C65" s="868" t="s">
        <v>171</v>
      </c>
      <c r="D65" s="866">
        <v>2830.98</v>
      </c>
      <c r="E65" s="866">
        <f>'F13'!I52-'F20'!E30</f>
        <v>2855.9990436171288</v>
      </c>
      <c r="F65" s="1064">
        <f t="shared" si="3"/>
        <v>25.019043617128773</v>
      </c>
      <c r="G65" s="864"/>
      <c r="H65" s="864"/>
      <c r="I65" s="864"/>
      <c r="J65" s="864"/>
    </row>
    <row r="66" spans="2:10" x14ac:dyDescent="0.25">
      <c r="B66" s="881"/>
      <c r="C66" s="868"/>
      <c r="D66" s="866"/>
      <c r="E66" s="866"/>
      <c r="F66" s="1064">
        <f t="shared" si="3"/>
        <v>0</v>
      </c>
      <c r="G66" s="864"/>
      <c r="H66" s="864"/>
      <c r="I66" s="864"/>
      <c r="J66" s="864"/>
    </row>
    <row r="67" spans="2:10" s="852" customFormat="1" x14ac:dyDescent="0.25">
      <c r="B67" s="880" t="s">
        <v>90</v>
      </c>
      <c r="C67" s="870" t="s">
        <v>175</v>
      </c>
      <c r="D67" s="882">
        <f>D62-D64</f>
        <v>202.8700000000008</v>
      </c>
      <c r="E67" s="882">
        <f>E62-E64</f>
        <v>-154.94083320378377</v>
      </c>
      <c r="F67" s="882">
        <f t="shared" si="3"/>
        <v>-357.81083320378457</v>
      </c>
      <c r="G67" s="864"/>
      <c r="H67" s="864"/>
      <c r="I67" s="864"/>
      <c r="J67" s="864"/>
    </row>
    <row r="69" spans="2:10" hidden="1" x14ac:dyDescent="0.25">
      <c r="B69" s="873" t="s">
        <v>1322</v>
      </c>
    </row>
    <row r="70" spans="2:10" hidden="1" x14ac:dyDescent="0.25">
      <c r="B70" s="873" t="s">
        <v>845</v>
      </c>
    </row>
    <row r="71" spans="2:10" hidden="1" x14ac:dyDescent="0.25"/>
    <row r="73" spans="2:10" x14ac:dyDescent="0.25">
      <c r="B73" s="2111" t="s">
        <v>179</v>
      </c>
    </row>
    <row r="74" spans="2:10" x14ac:dyDescent="0.25">
      <c r="C74" s="852" t="s">
        <v>1253</v>
      </c>
      <c r="D74" s="871"/>
      <c r="E74" s="871"/>
      <c r="F74" s="1073"/>
      <c r="G74" s="871"/>
      <c r="H74" s="871"/>
      <c r="I74" s="871"/>
    </row>
    <row r="75" spans="2:10" x14ac:dyDescent="0.25">
      <c r="D75" s="871"/>
      <c r="E75" s="871"/>
      <c r="F75" s="1073"/>
      <c r="G75" s="871"/>
      <c r="H75" s="871"/>
      <c r="I75" s="871"/>
      <c r="J75" s="861" t="s">
        <v>16</v>
      </c>
    </row>
    <row r="76" spans="2:10" ht="29" x14ac:dyDescent="0.25">
      <c r="B76" s="877" t="s">
        <v>187</v>
      </c>
      <c r="C76" s="862" t="s">
        <v>50</v>
      </c>
      <c r="D76" s="863" t="s">
        <v>842</v>
      </c>
      <c r="E76" s="863" t="s">
        <v>12</v>
      </c>
      <c r="F76" s="1072" t="s">
        <v>166</v>
      </c>
      <c r="G76" s="863" t="s">
        <v>167</v>
      </c>
      <c r="H76" s="863" t="s">
        <v>168</v>
      </c>
      <c r="I76" s="863" t="s">
        <v>169</v>
      </c>
      <c r="J76" s="863" t="s">
        <v>633</v>
      </c>
    </row>
    <row r="77" spans="2:10" ht="29" x14ac:dyDescent="0.25">
      <c r="B77" s="878">
        <v>1</v>
      </c>
      <c r="C77" s="872" t="s">
        <v>288</v>
      </c>
      <c r="D77" s="866">
        <f>D40</f>
        <v>2536.04</v>
      </c>
      <c r="E77" s="866">
        <f>E40</f>
        <v>2189.0282088632507</v>
      </c>
      <c r="F77" s="1064">
        <f>E77-D77</f>
        <v>-347.01179113674925</v>
      </c>
      <c r="G77" s="1109"/>
      <c r="H77" s="866"/>
      <c r="I77" s="866"/>
      <c r="J77" s="866"/>
    </row>
    <row r="78" spans="2:10" x14ac:dyDescent="0.25">
      <c r="B78" s="878">
        <f>B77+1</f>
        <v>2</v>
      </c>
      <c r="C78" s="865" t="s">
        <v>75</v>
      </c>
      <c r="D78" s="866">
        <f t="shared" ref="D78:D84" si="5">D10+D41</f>
        <v>579.64</v>
      </c>
      <c r="E78" s="866">
        <f t="shared" ref="E78:E84" si="6">E41+E10</f>
        <v>539.17999999999995</v>
      </c>
      <c r="F78" s="1064">
        <f t="shared" ref="F78:F105" si="7">E78-D78</f>
        <v>-40.460000000000036</v>
      </c>
      <c r="G78" s="869"/>
      <c r="H78" s="869"/>
      <c r="I78" s="869"/>
      <c r="J78" s="866"/>
    </row>
    <row r="79" spans="2:10" x14ac:dyDescent="0.25">
      <c r="B79" s="878">
        <f t="shared" ref="B79:B99" si="8">B78+1</f>
        <v>3</v>
      </c>
      <c r="C79" s="867" t="s">
        <v>183</v>
      </c>
      <c r="D79" s="866">
        <f t="shared" si="5"/>
        <v>108.72</v>
      </c>
      <c r="E79" s="866">
        <f t="shared" si="6"/>
        <v>100.02560103820693</v>
      </c>
      <c r="F79" s="1064">
        <f t="shared" si="7"/>
        <v>-8.6943989617930697</v>
      </c>
      <c r="G79" s="866"/>
      <c r="H79" s="866"/>
      <c r="I79" s="866"/>
      <c r="J79" s="866"/>
    </row>
    <row r="80" spans="2:10" x14ac:dyDescent="0.25">
      <c r="B80" s="878">
        <f t="shared" si="8"/>
        <v>4</v>
      </c>
      <c r="C80" s="865" t="s">
        <v>182</v>
      </c>
      <c r="D80" s="866">
        <f t="shared" si="5"/>
        <v>0</v>
      </c>
      <c r="E80" s="865">
        <f t="shared" si="6"/>
        <v>41.234999999999999</v>
      </c>
      <c r="F80" s="1064">
        <f t="shared" si="7"/>
        <v>41.234999999999999</v>
      </c>
      <c r="G80" s="866"/>
      <c r="H80" s="866"/>
      <c r="I80" s="866"/>
      <c r="J80" s="866"/>
    </row>
    <row r="81" spans="2:12" x14ac:dyDescent="0.25">
      <c r="B81" s="878">
        <f t="shared" si="8"/>
        <v>5</v>
      </c>
      <c r="C81" s="867" t="s">
        <v>76</v>
      </c>
      <c r="D81" s="866">
        <f t="shared" si="5"/>
        <v>0.9</v>
      </c>
      <c r="E81" s="865">
        <f t="shared" si="6"/>
        <v>8.8800000000000008</v>
      </c>
      <c r="F81" s="1064">
        <f t="shared" si="7"/>
        <v>7.98</v>
      </c>
      <c r="G81" s="866"/>
      <c r="H81" s="866"/>
      <c r="I81" s="866"/>
      <c r="J81" s="866"/>
    </row>
    <row r="82" spans="2:12" x14ac:dyDescent="0.25">
      <c r="B82" s="878">
        <f t="shared" si="8"/>
        <v>6</v>
      </c>
      <c r="C82" s="868" t="s">
        <v>289</v>
      </c>
      <c r="D82" s="866">
        <f>D14+D45+0.01</f>
        <v>38.440000000000005</v>
      </c>
      <c r="E82" s="866">
        <f t="shared" si="6"/>
        <v>37.69</v>
      </c>
      <c r="F82" s="1064">
        <f t="shared" si="7"/>
        <v>-0.75000000000000711</v>
      </c>
      <c r="G82" s="866"/>
      <c r="H82" s="866"/>
      <c r="I82" s="866"/>
      <c r="J82" s="866"/>
    </row>
    <row r="83" spans="2:12" x14ac:dyDescent="0.25">
      <c r="B83" s="878">
        <f t="shared" si="8"/>
        <v>7</v>
      </c>
      <c r="C83" s="868" t="s">
        <v>255</v>
      </c>
      <c r="D83" s="866">
        <f t="shared" si="5"/>
        <v>6.74</v>
      </c>
      <c r="E83" s="866">
        <f t="shared" si="6"/>
        <v>5.0900000000000007</v>
      </c>
      <c r="F83" s="1064">
        <f t="shared" si="7"/>
        <v>-1.6499999999999995</v>
      </c>
      <c r="G83" s="866"/>
      <c r="H83" s="866"/>
      <c r="I83" s="866"/>
      <c r="J83" s="866"/>
    </row>
    <row r="84" spans="2:12" x14ac:dyDescent="0.25">
      <c r="B84" s="878">
        <f t="shared" si="8"/>
        <v>8</v>
      </c>
      <c r="C84" s="868" t="s">
        <v>256</v>
      </c>
      <c r="D84" s="866">
        <f t="shared" si="5"/>
        <v>6.5</v>
      </c>
      <c r="E84" s="866">
        <f t="shared" si="6"/>
        <v>0</v>
      </c>
      <c r="F84" s="1064">
        <f t="shared" si="7"/>
        <v>-6.5</v>
      </c>
      <c r="G84" s="866"/>
      <c r="H84" s="866"/>
      <c r="I84" s="866"/>
      <c r="J84" s="866"/>
    </row>
    <row r="85" spans="2:12" x14ac:dyDescent="0.25">
      <c r="B85" s="878">
        <f t="shared" si="8"/>
        <v>9</v>
      </c>
      <c r="C85" s="868" t="s">
        <v>258</v>
      </c>
      <c r="D85" s="866">
        <f>D48</f>
        <v>224.52</v>
      </c>
      <c r="E85" s="866">
        <f>E48</f>
        <v>224.88313170000004</v>
      </c>
      <c r="F85" s="1064">
        <f t="shared" si="7"/>
        <v>0.36313170000002515</v>
      </c>
      <c r="G85" s="866"/>
      <c r="H85" s="866"/>
      <c r="I85" s="866"/>
      <c r="J85" s="866"/>
    </row>
    <row r="86" spans="2:12" x14ac:dyDescent="0.25">
      <c r="B86" s="878">
        <f t="shared" si="8"/>
        <v>10</v>
      </c>
      <c r="C86" s="868" t="s">
        <v>259</v>
      </c>
      <c r="D86" s="866">
        <f>D49</f>
        <v>1.1299999999999999</v>
      </c>
      <c r="E86" s="866">
        <f>E49</f>
        <v>1.1279999999999999</v>
      </c>
      <c r="F86" s="1064">
        <f t="shared" si="7"/>
        <v>-2.0000000000000018E-3</v>
      </c>
      <c r="G86" s="866"/>
      <c r="H86" s="866"/>
      <c r="I86" s="866"/>
      <c r="J86" s="866"/>
    </row>
    <row r="87" spans="2:12" x14ac:dyDescent="0.25">
      <c r="B87" s="878">
        <f t="shared" si="8"/>
        <v>11</v>
      </c>
      <c r="C87" s="866" t="s">
        <v>77</v>
      </c>
      <c r="D87" s="866">
        <f>D17+D50</f>
        <v>0</v>
      </c>
      <c r="E87" s="866">
        <f>E50+E17</f>
        <v>0</v>
      </c>
      <c r="F87" s="1064">
        <f t="shared" si="7"/>
        <v>0</v>
      </c>
      <c r="G87" s="869"/>
      <c r="H87" s="869"/>
      <c r="I87" s="869"/>
      <c r="J87" s="866"/>
    </row>
    <row r="88" spans="2:12" x14ac:dyDescent="0.25">
      <c r="B88" s="878">
        <f t="shared" si="8"/>
        <v>12</v>
      </c>
      <c r="C88" s="866" t="s">
        <v>1207</v>
      </c>
      <c r="D88" s="866">
        <v>50.75</v>
      </c>
      <c r="E88" s="866">
        <f>E51</f>
        <v>46.679999999999993</v>
      </c>
      <c r="F88" s="1064">
        <f t="shared" si="7"/>
        <v>-4.0700000000000074</v>
      </c>
      <c r="G88" s="869"/>
      <c r="H88" s="869"/>
      <c r="I88" s="869"/>
      <c r="J88" s="866"/>
    </row>
    <row r="89" spans="2:12" s="852" customFormat="1" x14ac:dyDescent="0.25">
      <c r="B89" s="879">
        <f t="shared" si="8"/>
        <v>13</v>
      </c>
      <c r="C89" s="869" t="s">
        <v>78</v>
      </c>
      <c r="D89" s="869">
        <f>SUM(D77:D88)</f>
        <v>3553.3799999999997</v>
      </c>
      <c r="E89" s="869">
        <f>SUM(E77:E88)</f>
        <v>3193.8199416014577</v>
      </c>
      <c r="F89" s="882">
        <f t="shared" si="7"/>
        <v>-359.56005839854197</v>
      </c>
      <c r="G89" s="869"/>
      <c r="H89" s="869"/>
      <c r="I89" s="869"/>
      <c r="J89" s="869"/>
      <c r="K89" s="784"/>
      <c r="L89" s="784"/>
    </row>
    <row r="90" spans="2:12" x14ac:dyDescent="0.25">
      <c r="B90" s="878">
        <f t="shared" si="8"/>
        <v>14</v>
      </c>
      <c r="C90" s="866" t="s">
        <v>79</v>
      </c>
      <c r="D90" s="866">
        <f>D53+D19</f>
        <v>140.93</v>
      </c>
      <c r="E90" s="866">
        <f>E19+E53</f>
        <v>141.70670849999999</v>
      </c>
      <c r="F90" s="1064">
        <f t="shared" si="7"/>
        <v>0.77670849999998381</v>
      </c>
      <c r="G90" s="869"/>
      <c r="H90" s="869"/>
      <c r="I90" s="869"/>
      <c r="J90" s="866"/>
    </row>
    <row r="91" spans="2:12" x14ac:dyDescent="0.25">
      <c r="B91" s="878">
        <f t="shared" si="8"/>
        <v>15</v>
      </c>
      <c r="C91" s="866" t="s">
        <v>1203</v>
      </c>
      <c r="D91" s="866">
        <f>D54+D20</f>
        <v>5.28</v>
      </c>
      <c r="E91" s="866">
        <f>E20+E54</f>
        <v>5.2793999999999999</v>
      </c>
      <c r="F91" s="1064">
        <f t="shared" si="7"/>
        <v>-6.0000000000037801E-4</v>
      </c>
      <c r="G91" s="869"/>
      <c r="H91" s="869"/>
      <c r="I91" s="869"/>
      <c r="J91" s="866"/>
    </row>
    <row r="92" spans="2:12" x14ac:dyDescent="0.25">
      <c r="B92" s="878">
        <f t="shared" si="8"/>
        <v>16</v>
      </c>
      <c r="C92" s="866" t="s">
        <v>1204</v>
      </c>
      <c r="D92" s="866">
        <v>0</v>
      </c>
      <c r="E92" s="866">
        <f>E21</f>
        <v>7.3319623725595235</v>
      </c>
      <c r="F92" s="1064">
        <f t="shared" si="7"/>
        <v>7.3319623725595235</v>
      </c>
      <c r="G92" s="869"/>
      <c r="H92" s="869"/>
      <c r="I92" s="869"/>
      <c r="J92" s="866"/>
    </row>
    <row r="93" spans="2:12" x14ac:dyDescent="0.25">
      <c r="B93" s="878">
        <f t="shared" si="8"/>
        <v>17</v>
      </c>
      <c r="C93" s="866" t="s">
        <v>1208</v>
      </c>
      <c r="D93" s="866">
        <v>0</v>
      </c>
      <c r="E93" s="865">
        <f>('F7'!F74-'F7'!F74)/3</f>
        <v>0</v>
      </c>
      <c r="F93" s="1064">
        <f t="shared" si="7"/>
        <v>0</v>
      </c>
      <c r="G93" s="869"/>
      <c r="H93" s="869"/>
      <c r="I93" s="869"/>
      <c r="J93" s="866"/>
    </row>
    <row r="94" spans="2:12" x14ac:dyDescent="0.25">
      <c r="B94" s="878">
        <f t="shared" si="8"/>
        <v>18</v>
      </c>
      <c r="C94" s="866" t="s">
        <v>1206</v>
      </c>
      <c r="D94" s="866">
        <v>0</v>
      </c>
      <c r="E94" s="866">
        <f>E23+E56</f>
        <v>25.787245703638064</v>
      </c>
      <c r="F94" s="1064">
        <f t="shared" si="7"/>
        <v>25.787245703638064</v>
      </c>
      <c r="G94" s="869"/>
      <c r="H94" s="869"/>
      <c r="I94" s="869"/>
      <c r="J94" s="866"/>
    </row>
    <row r="95" spans="2:12" s="852" customFormat="1" x14ac:dyDescent="0.25">
      <c r="B95" s="878">
        <f t="shared" si="8"/>
        <v>19</v>
      </c>
      <c r="C95" s="869" t="s">
        <v>81</v>
      </c>
      <c r="D95" s="869">
        <f>SUM(D89:D94)</f>
        <v>3699.5899999999997</v>
      </c>
      <c r="E95" s="869">
        <f>SUM(E89:E94)</f>
        <v>3373.9252581776555</v>
      </c>
      <c r="F95" s="882">
        <f t="shared" si="7"/>
        <v>-325.66474182234424</v>
      </c>
      <c r="G95" s="869"/>
      <c r="H95" s="869"/>
      <c r="I95" s="869"/>
      <c r="J95" s="869"/>
      <c r="K95" s="784"/>
      <c r="L95" s="784"/>
    </row>
    <row r="96" spans="2:12" x14ac:dyDescent="0.25">
      <c r="B96" s="878">
        <f t="shared" si="8"/>
        <v>20</v>
      </c>
      <c r="C96" s="866" t="s">
        <v>80</v>
      </c>
      <c r="D96" s="866">
        <f>D58+D25</f>
        <v>53.63</v>
      </c>
      <c r="E96" s="866">
        <f>E25+E58</f>
        <v>39.270000000000003</v>
      </c>
      <c r="F96" s="1064">
        <f t="shared" si="7"/>
        <v>-14.36</v>
      </c>
      <c r="G96" s="869"/>
      <c r="H96" s="869"/>
      <c r="I96" s="869"/>
      <c r="J96" s="866"/>
    </row>
    <row r="97" spans="2:11" x14ac:dyDescent="0.25">
      <c r="B97" s="878">
        <f t="shared" si="8"/>
        <v>21</v>
      </c>
      <c r="C97" s="866" t="s">
        <v>260</v>
      </c>
      <c r="D97" s="866">
        <v>0</v>
      </c>
      <c r="E97" s="866">
        <f>E26+E59</f>
        <v>0</v>
      </c>
      <c r="F97" s="1064">
        <f t="shared" si="7"/>
        <v>0</v>
      </c>
      <c r="G97" s="869"/>
      <c r="H97" s="869"/>
      <c r="I97" s="869"/>
      <c r="J97" s="866"/>
      <c r="K97" s="784">
        <f>'ARR-Summary'!F93</f>
        <v>0</v>
      </c>
    </row>
    <row r="98" spans="2:11" x14ac:dyDescent="0.25">
      <c r="B98" s="878">
        <f t="shared" si="8"/>
        <v>22</v>
      </c>
      <c r="C98" s="866" t="s">
        <v>261</v>
      </c>
      <c r="D98" s="866">
        <v>0</v>
      </c>
      <c r="E98" s="866">
        <f>E60</f>
        <v>0</v>
      </c>
      <c r="F98" s="1064">
        <f t="shared" si="7"/>
        <v>0</v>
      </c>
      <c r="G98" s="869"/>
      <c r="H98" s="869"/>
      <c r="I98" s="869"/>
      <c r="J98" s="866"/>
    </row>
    <row r="99" spans="2:11" x14ac:dyDescent="0.25">
      <c r="B99" s="878">
        <f t="shared" si="8"/>
        <v>23</v>
      </c>
      <c r="C99" s="866" t="s">
        <v>290</v>
      </c>
      <c r="D99" s="866">
        <v>0</v>
      </c>
      <c r="E99" s="866">
        <f>E61</f>
        <v>0</v>
      </c>
      <c r="F99" s="1064">
        <f t="shared" si="7"/>
        <v>0</v>
      </c>
      <c r="G99" s="866"/>
      <c r="H99" s="866"/>
      <c r="I99" s="866"/>
      <c r="J99" s="866"/>
    </row>
    <row r="100" spans="2:11" s="852" customFormat="1" x14ac:dyDescent="0.25">
      <c r="B100" s="879" t="s">
        <v>83</v>
      </c>
      <c r="C100" s="869" t="s">
        <v>286</v>
      </c>
      <c r="D100" s="869">
        <f>D95-D96</f>
        <v>3645.9599999999996</v>
      </c>
      <c r="E100" s="869">
        <f>E95-E96</f>
        <v>3334.6552581776555</v>
      </c>
      <c r="F100" s="882">
        <f t="shared" si="7"/>
        <v>-311.30474182234411</v>
      </c>
      <c r="G100" s="869"/>
      <c r="H100" s="869"/>
      <c r="I100" s="869"/>
      <c r="J100" s="869"/>
    </row>
    <row r="101" spans="2:11" x14ac:dyDescent="0.25">
      <c r="B101" s="878"/>
      <c r="C101" s="866"/>
      <c r="D101" s="866"/>
      <c r="E101" s="866"/>
      <c r="F101" s="1064">
        <f>E101-D101</f>
        <v>0</v>
      </c>
      <c r="G101" s="866"/>
      <c r="H101" s="866"/>
      <c r="I101" s="866"/>
      <c r="J101" s="866"/>
    </row>
    <row r="102" spans="2:11" s="852" customFormat="1" x14ac:dyDescent="0.25">
      <c r="B102" s="880" t="s">
        <v>89</v>
      </c>
      <c r="C102" s="869" t="s">
        <v>170</v>
      </c>
      <c r="D102" s="869">
        <f>D64+D29</f>
        <v>3447.52</v>
      </c>
      <c r="E102" s="869">
        <f>E103</f>
        <v>3466.6764150945291</v>
      </c>
      <c r="F102" s="882">
        <f t="shared" si="7"/>
        <v>19.156415094529166</v>
      </c>
      <c r="G102" s="869"/>
      <c r="H102" s="869"/>
      <c r="I102" s="869"/>
      <c r="J102" s="869"/>
    </row>
    <row r="103" spans="2:11" x14ac:dyDescent="0.25">
      <c r="B103" s="881">
        <v>24</v>
      </c>
      <c r="C103" s="868" t="s">
        <v>171</v>
      </c>
      <c r="D103" s="866">
        <f>D102</f>
        <v>3447.52</v>
      </c>
      <c r="E103" s="866">
        <f>'F13'!I52</f>
        <v>3466.6764150945291</v>
      </c>
      <c r="F103" s="1064">
        <f t="shared" si="7"/>
        <v>19.156415094529166</v>
      </c>
      <c r="G103" s="866"/>
      <c r="H103" s="866"/>
      <c r="I103" s="866"/>
      <c r="J103" s="866"/>
    </row>
    <row r="104" spans="2:11" x14ac:dyDescent="0.25">
      <c r="B104" s="881"/>
      <c r="C104" s="868"/>
      <c r="D104" s="866"/>
      <c r="E104" s="866"/>
      <c r="F104" s="1064">
        <f t="shared" si="7"/>
        <v>0</v>
      </c>
      <c r="G104" s="866"/>
      <c r="H104" s="866"/>
      <c r="I104" s="866"/>
      <c r="J104" s="866"/>
    </row>
    <row r="105" spans="2:11" s="852" customFormat="1" x14ac:dyDescent="0.25">
      <c r="B105" s="880" t="s">
        <v>90</v>
      </c>
      <c r="C105" s="870" t="s">
        <v>175</v>
      </c>
      <c r="D105" s="882">
        <f>D100-D102</f>
        <v>198.4399999999996</v>
      </c>
      <c r="E105" s="882">
        <f>E100-E102</f>
        <v>-132.02115691687368</v>
      </c>
      <c r="F105" s="882">
        <f t="shared" si="7"/>
        <v>-330.46115691687328</v>
      </c>
      <c r="G105" s="869"/>
      <c r="H105" s="869"/>
      <c r="I105" s="869"/>
      <c r="J105" s="869"/>
    </row>
    <row r="106" spans="2:11" x14ac:dyDescent="0.25">
      <c r="F106" s="784"/>
    </row>
    <row r="107" spans="2:11" hidden="1" x14ac:dyDescent="0.25">
      <c r="B107" s="873" t="s">
        <v>1322</v>
      </c>
    </row>
    <row r="108" spans="2:11" hidden="1" x14ac:dyDescent="0.25">
      <c r="B108" s="873" t="s">
        <v>845</v>
      </c>
    </row>
    <row r="110" spans="2:11" x14ac:dyDescent="0.25">
      <c r="B110" s="2111" t="s">
        <v>186</v>
      </c>
    </row>
    <row r="111" spans="2:11" x14ac:dyDescent="0.25">
      <c r="B111" s="876"/>
    </row>
    <row r="112" spans="2:11" x14ac:dyDescent="0.25">
      <c r="B112" s="876"/>
      <c r="C112" s="852" t="s">
        <v>327</v>
      </c>
    </row>
    <row r="113" spans="2:11" x14ac:dyDescent="0.25">
      <c r="J113" s="861" t="s">
        <v>16</v>
      </c>
    </row>
    <row r="114" spans="2:11" ht="29" x14ac:dyDescent="0.25">
      <c r="B114" s="877" t="s">
        <v>187</v>
      </c>
      <c r="C114" s="862" t="s">
        <v>50</v>
      </c>
      <c r="D114" s="863" t="s">
        <v>404</v>
      </c>
      <c r="E114" s="863" t="s">
        <v>12</v>
      </c>
      <c r="F114" s="1072" t="s">
        <v>166</v>
      </c>
      <c r="G114" s="863" t="s">
        <v>167</v>
      </c>
      <c r="H114" s="863" t="s">
        <v>168</v>
      </c>
      <c r="I114" s="863" t="s">
        <v>169</v>
      </c>
      <c r="J114" s="863" t="s">
        <v>633</v>
      </c>
    </row>
    <row r="115" spans="2:11" s="852" customFormat="1" x14ac:dyDescent="0.25">
      <c r="B115" s="878">
        <v>1</v>
      </c>
      <c r="C115" s="865" t="s">
        <v>75</v>
      </c>
      <c r="D115" s="866">
        <f>'ARR-Summary'!H11</f>
        <v>367.601</v>
      </c>
      <c r="E115" s="866">
        <f>'F3'!I17</f>
        <v>384.0265</v>
      </c>
      <c r="F115" s="1064">
        <f>E115-D115</f>
        <v>16.4255</v>
      </c>
      <c r="G115" s="866"/>
      <c r="H115" s="866"/>
      <c r="I115" s="866"/>
      <c r="J115" s="866"/>
    </row>
    <row r="116" spans="2:11" x14ac:dyDescent="0.25">
      <c r="B116" s="878">
        <f>B115+1</f>
        <v>2</v>
      </c>
      <c r="C116" s="867" t="s">
        <v>183</v>
      </c>
      <c r="D116" s="866">
        <f>'ARR-Summary'!H12</f>
        <v>101.12</v>
      </c>
      <c r="E116" s="866">
        <f>'F 5.3'!K28*90%</f>
        <v>93.67043598471237</v>
      </c>
      <c r="F116" s="1064">
        <f t="shared" ref="F116:F138" si="9">E116-D116</f>
        <v>-7.4495640152876348</v>
      </c>
      <c r="G116" s="866"/>
      <c r="H116" s="866"/>
      <c r="I116" s="866"/>
      <c r="J116" s="866"/>
    </row>
    <row r="117" spans="2:11" x14ac:dyDescent="0.25">
      <c r="B117" s="878">
        <f t="shared" ref="B117:B124" si="10">B116+1</f>
        <v>3</v>
      </c>
      <c r="C117" s="865" t="s">
        <v>182</v>
      </c>
      <c r="D117" s="866">
        <f>'ARR-Summary'!H13</f>
        <v>0</v>
      </c>
      <c r="E117" s="866">
        <f>'F6'!H89*90%</f>
        <v>32.943149999999996</v>
      </c>
      <c r="F117" s="1064">
        <f t="shared" si="9"/>
        <v>32.943149999999996</v>
      </c>
      <c r="G117" s="866"/>
      <c r="H117" s="866"/>
      <c r="I117" s="866"/>
      <c r="J117" s="866"/>
    </row>
    <row r="118" spans="2:11" x14ac:dyDescent="0.25">
      <c r="B118" s="878">
        <f t="shared" si="10"/>
        <v>4</v>
      </c>
      <c r="C118" s="867" t="s">
        <v>76</v>
      </c>
      <c r="D118" s="866">
        <f>'ARR-Summary'!H14</f>
        <v>5.2240500000000001</v>
      </c>
      <c r="E118" s="866">
        <f>'F7'!F98</f>
        <v>1.0570000000000002</v>
      </c>
      <c r="F118" s="1064">
        <f t="shared" si="9"/>
        <v>-4.1670499999999997</v>
      </c>
      <c r="G118" s="866"/>
      <c r="H118" s="866"/>
      <c r="I118" s="866"/>
      <c r="J118" s="866"/>
    </row>
    <row r="119" spans="2:11" ht="29" x14ac:dyDescent="0.25">
      <c r="B119" s="878">
        <f t="shared" si="10"/>
        <v>5</v>
      </c>
      <c r="C119" s="868" t="s">
        <v>285</v>
      </c>
      <c r="D119" s="866">
        <f>'ARR-Summary'!H15</f>
        <v>2.2503690000000001</v>
      </c>
      <c r="E119" s="866">
        <f>'F7'!F102</f>
        <v>1.7130000000000001</v>
      </c>
      <c r="F119" s="1064">
        <f t="shared" si="9"/>
        <v>-0.53736899999999999</v>
      </c>
      <c r="G119" s="866"/>
      <c r="H119" s="866"/>
      <c r="I119" s="866"/>
      <c r="J119" s="866"/>
      <c r="K119" s="1063"/>
    </row>
    <row r="120" spans="2:11" x14ac:dyDescent="0.25">
      <c r="B120" s="878">
        <f t="shared" si="10"/>
        <v>6</v>
      </c>
      <c r="C120" s="868" t="s">
        <v>255</v>
      </c>
      <c r="D120" s="866">
        <f>'F10'!G15</f>
        <v>0.67400000000000004</v>
      </c>
      <c r="E120" s="866">
        <f>'F10'!H16</f>
        <v>0.39100000000000001</v>
      </c>
      <c r="F120" s="1064">
        <f t="shared" si="9"/>
        <v>-0.28300000000000003</v>
      </c>
      <c r="G120" s="866"/>
      <c r="H120" s="866"/>
      <c r="I120" s="866"/>
      <c r="J120" s="866"/>
    </row>
    <row r="121" spans="2:11" x14ac:dyDescent="0.25">
      <c r="B121" s="878">
        <f t="shared" si="10"/>
        <v>7</v>
      </c>
      <c r="C121" s="868" t="s">
        <v>256</v>
      </c>
      <c r="D121" s="866">
        <f>'ARR-Summary'!H17</f>
        <v>6.165</v>
      </c>
      <c r="E121" s="866">
        <f>'F11'!H18</f>
        <v>6.4080000000000004</v>
      </c>
      <c r="F121" s="1064">
        <f t="shared" si="9"/>
        <v>0.24300000000000033</v>
      </c>
      <c r="G121" s="866"/>
      <c r="H121" s="866"/>
      <c r="I121" s="866"/>
      <c r="J121" s="866"/>
    </row>
    <row r="122" spans="2:11" x14ac:dyDescent="0.25">
      <c r="B122" s="878">
        <f t="shared" si="10"/>
        <v>8</v>
      </c>
      <c r="C122" s="866" t="s">
        <v>77</v>
      </c>
      <c r="D122" s="866">
        <f>'ARR-Summary'!H18</f>
        <v>0</v>
      </c>
      <c r="E122" s="866">
        <f ca="1">'ARR-Summary'!I18</f>
        <v>0</v>
      </c>
      <c r="F122" s="1064">
        <f t="shared" ca="1" si="9"/>
        <v>0</v>
      </c>
      <c r="G122" s="866"/>
      <c r="H122" s="866"/>
      <c r="I122" s="866"/>
      <c r="J122" s="866"/>
    </row>
    <row r="123" spans="2:11" x14ac:dyDescent="0.25">
      <c r="B123" s="878">
        <f t="shared" si="10"/>
        <v>9</v>
      </c>
      <c r="C123" s="869" t="s">
        <v>78</v>
      </c>
      <c r="D123" s="869">
        <f>SUM(D115:D122)+0.01</f>
        <v>483.04441899999995</v>
      </c>
      <c r="E123" s="869">
        <f ca="1">SUM(E115:E122)</f>
        <v>520.20908598471237</v>
      </c>
      <c r="F123" s="882">
        <f t="shared" ca="1" si="9"/>
        <v>37.164666984712426</v>
      </c>
      <c r="G123" s="869"/>
      <c r="H123" s="869"/>
      <c r="I123" s="869"/>
      <c r="J123" s="869"/>
    </row>
    <row r="124" spans="2:11" s="852" customFormat="1" x14ac:dyDescent="0.25">
      <c r="B124" s="878">
        <f t="shared" si="10"/>
        <v>10</v>
      </c>
      <c r="C124" s="866" t="s">
        <v>79</v>
      </c>
      <c r="D124" s="866">
        <f>'ARR-Summary'!H20</f>
        <v>115.27</v>
      </c>
      <c r="E124" s="866">
        <f>'F8'!E107</f>
        <v>126.32193000000001</v>
      </c>
      <c r="F124" s="1064">
        <f t="shared" si="9"/>
        <v>11.051930000000013</v>
      </c>
      <c r="G124" s="866"/>
      <c r="H124" s="866"/>
      <c r="I124" s="866"/>
      <c r="J124" s="866"/>
    </row>
    <row r="125" spans="2:11" s="852" customFormat="1" x14ac:dyDescent="0.25">
      <c r="B125" s="878">
        <f t="shared" ref="B125:B131" si="11">B124+1</f>
        <v>11</v>
      </c>
      <c r="C125" s="866" t="s">
        <v>1203</v>
      </c>
      <c r="D125" s="866">
        <f>'ARR-Summary'!H21</f>
        <v>4.75</v>
      </c>
      <c r="E125" s="866">
        <f>'F22'!G14*90%</f>
        <v>4.7514599999999998</v>
      </c>
      <c r="F125" s="1064">
        <f t="shared" si="9"/>
        <v>1.4599999999997948E-3</v>
      </c>
      <c r="G125" s="866"/>
      <c r="H125" s="866"/>
      <c r="I125" s="866"/>
      <c r="J125" s="866"/>
    </row>
    <row r="126" spans="2:11" s="852" customFormat="1" x14ac:dyDescent="0.25">
      <c r="B126" s="878">
        <f t="shared" si="11"/>
        <v>12</v>
      </c>
      <c r="C126" s="866" t="s">
        <v>1204</v>
      </c>
      <c r="D126" s="866"/>
      <c r="E126" s="866">
        <f>'F24'!F13</f>
        <v>1.7531171575367397</v>
      </c>
      <c r="F126" s="1064"/>
      <c r="G126" s="866"/>
      <c r="H126" s="866"/>
      <c r="I126" s="866"/>
      <c r="J126" s="866"/>
    </row>
    <row r="127" spans="2:11" s="852" customFormat="1" x14ac:dyDescent="0.25">
      <c r="B127" s="878">
        <f t="shared" si="11"/>
        <v>13</v>
      </c>
      <c r="C127" s="866" t="s">
        <v>1205</v>
      </c>
      <c r="D127" s="866"/>
      <c r="E127" s="866">
        <f>E201*90%</f>
        <v>0</v>
      </c>
      <c r="F127" s="1064"/>
      <c r="G127" s="866"/>
      <c r="H127" s="866"/>
      <c r="I127" s="866"/>
      <c r="J127" s="866"/>
    </row>
    <row r="128" spans="2:11" s="852" customFormat="1" x14ac:dyDescent="0.25">
      <c r="B128" s="878">
        <f t="shared" si="11"/>
        <v>14</v>
      </c>
      <c r="C128" s="866" t="s">
        <v>1206</v>
      </c>
      <c r="D128" s="866"/>
      <c r="E128" s="866">
        <f>F3.1!H15/3</f>
        <v>17.517243775043198</v>
      </c>
      <c r="F128" s="1064"/>
      <c r="G128" s="866"/>
      <c r="H128" s="866"/>
      <c r="I128" s="866"/>
      <c r="J128" s="866"/>
    </row>
    <row r="129" spans="2:10" x14ac:dyDescent="0.25">
      <c r="B129" s="878">
        <f t="shared" si="11"/>
        <v>15</v>
      </c>
      <c r="C129" s="869" t="s">
        <v>81</v>
      </c>
      <c r="D129" s="869">
        <f>D123+D124+D125</f>
        <v>603.06441899999993</v>
      </c>
      <c r="E129" s="869">
        <f ca="1">E123+E124+E125</f>
        <v>651.28247598471239</v>
      </c>
      <c r="F129" s="882">
        <f t="shared" ca="1" si="9"/>
        <v>48.218056984712462</v>
      </c>
      <c r="G129" s="869"/>
      <c r="H129" s="869"/>
      <c r="I129" s="869"/>
      <c r="J129" s="869"/>
    </row>
    <row r="130" spans="2:10" s="852" customFormat="1" x14ac:dyDescent="0.25">
      <c r="B130" s="878">
        <f t="shared" si="11"/>
        <v>16</v>
      </c>
      <c r="C130" s="866" t="s">
        <v>80</v>
      </c>
      <c r="D130" s="866">
        <f>'ARR-Summary'!H26</f>
        <v>5.5240000000000009</v>
      </c>
      <c r="E130" s="866">
        <f>'F9'!H27</f>
        <v>1.744</v>
      </c>
      <c r="F130" s="1064">
        <f t="shared" si="9"/>
        <v>-3.7800000000000011</v>
      </c>
      <c r="G130" s="866"/>
      <c r="H130" s="866"/>
      <c r="I130" s="866"/>
      <c r="J130" s="866"/>
    </row>
    <row r="131" spans="2:10" s="852" customFormat="1" x14ac:dyDescent="0.25">
      <c r="B131" s="878">
        <f t="shared" si="11"/>
        <v>17</v>
      </c>
      <c r="C131" s="866" t="s">
        <v>260</v>
      </c>
      <c r="D131" s="866">
        <f>'ARR-Summary'!H27</f>
        <v>0</v>
      </c>
      <c r="E131" s="866">
        <v>0</v>
      </c>
      <c r="F131" s="1064">
        <f t="shared" si="9"/>
        <v>0</v>
      </c>
      <c r="G131" s="866"/>
      <c r="H131" s="866"/>
      <c r="I131" s="866"/>
      <c r="J131" s="866"/>
    </row>
    <row r="132" spans="2:10" s="852" customFormat="1" x14ac:dyDescent="0.25">
      <c r="B132" s="880" t="s">
        <v>83</v>
      </c>
      <c r="C132" s="869" t="s">
        <v>287</v>
      </c>
      <c r="D132" s="869">
        <f>D129-D130-D131-0.01</f>
        <v>597.53041899999994</v>
      </c>
      <c r="E132" s="869">
        <f ca="1">E129-E130-E131</f>
        <v>649.53847598471236</v>
      </c>
      <c r="F132" s="882">
        <f t="shared" ca="1" si="9"/>
        <v>52.008056984712425</v>
      </c>
      <c r="G132" s="869"/>
      <c r="H132" s="869"/>
      <c r="I132" s="869"/>
      <c r="J132" s="869"/>
    </row>
    <row r="133" spans="2:10" s="852" customFormat="1" x14ac:dyDescent="0.25">
      <c r="B133" s="881">
        <f>B131+1</f>
        <v>18</v>
      </c>
      <c r="C133" s="866" t="s">
        <v>1323</v>
      </c>
      <c r="D133" s="1064">
        <v>-30.13</v>
      </c>
      <c r="E133" s="1064">
        <v>-30.13</v>
      </c>
      <c r="F133" s="1064">
        <f>E133-D133</f>
        <v>0</v>
      </c>
      <c r="G133" s="866"/>
      <c r="H133" s="1109"/>
      <c r="I133" s="866"/>
      <c r="J133" s="866"/>
    </row>
    <row r="134" spans="2:10" s="852" customFormat="1" x14ac:dyDescent="0.25">
      <c r="B134" s="881">
        <v>19</v>
      </c>
      <c r="C134" s="866" t="s">
        <v>1326</v>
      </c>
      <c r="D134" s="866">
        <f>D132+D133</f>
        <v>567.40041899999994</v>
      </c>
      <c r="E134" s="866">
        <f ca="1">E132+E133</f>
        <v>619.40847598471237</v>
      </c>
      <c r="F134" s="1064">
        <f ca="1">E134-D134</f>
        <v>52.008056984712425</v>
      </c>
      <c r="G134" s="866"/>
      <c r="H134" s="866"/>
      <c r="I134" s="866"/>
      <c r="J134" s="866"/>
    </row>
    <row r="135" spans="2:10" s="852" customFormat="1" x14ac:dyDescent="0.25">
      <c r="B135" s="880" t="s">
        <v>89</v>
      </c>
      <c r="C135" s="869" t="s">
        <v>170</v>
      </c>
      <c r="D135" s="869">
        <f>D136</f>
        <v>567.40041899999994</v>
      </c>
      <c r="E135" s="869">
        <f>E136</f>
        <v>461.49592995099999</v>
      </c>
      <c r="F135" s="882">
        <f t="shared" si="9"/>
        <v>-105.90448904899995</v>
      </c>
      <c r="G135" s="869"/>
      <c r="H135" s="866"/>
      <c r="I135" s="866"/>
      <c r="J135" s="866"/>
    </row>
    <row r="136" spans="2:10" x14ac:dyDescent="0.25">
      <c r="B136" s="881">
        <v>20</v>
      </c>
      <c r="C136" s="868" t="s">
        <v>171</v>
      </c>
      <c r="D136" s="866">
        <f>D134</f>
        <v>567.40041899999994</v>
      </c>
      <c r="E136" s="866">
        <f>'F13'!G91</f>
        <v>461.49592995099999</v>
      </c>
      <c r="F136" s="1064">
        <f t="shared" si="9"/>
        <v>-105.90448904899995</v>
      </c>
      <c r="G136" s="866"/>
      <c r="H136" s="866"/>
      <c r="I136" s="866"/>
      <c r="J136" s="866"/>
    </row>
    <row r="137" spans="2:10" hidden="1" x14ac:dyDescent="0.25">
      <c r="B137" s="881"/>
      <c r="C137" s="868"/>
      <c r="D137" s="866"/>
      <c r="E137" s="866"/>
      <c r="F137" s="1064">
        <f t="shared" si="9"/>
        <v>0</v>
      </c>
      <c r="G137" s="866"/>
      <c r="H137" s="866"/>
      <c r="I137" s="866"/>
      <c r="J137" s="866"/>
    </row>
    <row r="138" spans="2:10" s="852" customFormat="1" x14ac:dyDescent="0.25">
      <c r="B138" s="880" t="s">
        <v>90</v>
      </c>
      <c r="C138" s="870" t="s">
        <v>175</v>
      </c>
      <c r="D138" s="882">
        <f>D134-D135</f>
        <v>0</v>
      </c>
      <c r="E138" s="882">
        <f ca="1">E134-E135</f>
        <v>157.91254603371237</v>
      </c>
      <c r="F138" s="882">
        <f t="shared" ca="1" si="9"/>
        <v>157.91254603371237</v>
      </c>
      <c r="G138" s="866"/>
      <c r="H138" s="866"/>
      <c r="I138" s="866"/>
      <c r="J138" s="866"/>
    </row>
    <row r="139" spans="2:10" hidden="1" x14ac:dyDescent="0.25"/>
    <row r="140" spans="2:10" hidden="1" x14ac:dyDescent="0.25">
      <c r="B140" s="873" t="s">
        <v>1322</v>
      </c>
    </row>
    <row r="141" spans="2:10" hidden="1" x14ac:dyDescent="0.25"/>
    <row r="143" spans="2:10" x14ac:dyDescent="0.25">
      <c r="B143" s="2111" t="s">
        <v>186</v>
      </c>
    </row>
    <row r="144" spans="2:10" hidden="1" x14ac:dyDescent="0.25"/>
    <row r="145" spans="2:10" x14ac:dyDescent="0.25">
      <c r="C145" s="852" t="s">
        <v>284</v>
      </c>
      <c r="D145" s="871"/>
      <c r="E145" s="871"/>
      <c r="F145" s="1073"/>
      <c r="G145" s="871"/>
      <c r="H145" s="871"/>
      <c r="I145" s="871"/>
    </row>
    <row r="146" spans="2:10" x14ac:dyDescent="0.25">
      <c r="D146" s="871"/>
      <c r="E146" s="871"/>
      <c r="F146" s="1073"/>
      <c r="G146" s="871"/>
      <c r="H146" s="871"/>
      <c r="I146" s="871"/>
      <c r="J146" s="861" t="s">
        <v>16</v>
      </c>
    </row>
    <row r="147" spans="2:10" ht="29" x14ac:dyDescent="0.25">
      <c r="B147" s="877" t="s">
        <v>187</v>
      </c>
      <c r="C147" s="862" t="s">
        <v>50</v>
      </c>
      <c r="D147" s="863" t="s">
        <v>404</v>
      </c>
      <c r="E147" s="863" t="s">
        <v>12</v>
      </c>
      <c r="F147" s="1072" t="s">
        <v>166</v>
      </c>
      <c r="G147" s="863" t="s">
        <v>167</v>
      </c>
      <c r="H147" s="863" t="s">
        <v>168</v>
      </c>
      <c r="I147" s="863" t="s">
        <v>169</v>
      </c>
      <c r="J147" s="863" t="s">
        <v>633</v>
      </c>
    </row>
    <row r="148" spans="2:10" ht="29" x14ac:dyDescent="0.25">
      <c r="B148" s="878">
        <v>1</v>
      </c>
      <c r="C148" s="872" t="s">
        <v>288</v>
      </c>
      <c r="D148" s="866">
        <f>'ARR-Summary'!H40</f>
        <v>2750.3000000000006</v>
      </c>
      <c r="E148" s="866">
        <f>'F2'!Q125</f>
        <v>2031.0999708240081</v>
      </c>
      <c r="F148" s="1064">
        <f>E148-D148</f>
        <v>-719.20002917599254</v>
      </c>
      <c r="G148" s="866"/>
      <c r="H148" s="866"/>
      <c r="I148" s="866"/>
      <c r="J148" s="866"/>
    </row>
    <row r="149" spans="2:10" x14ac:dyDescent="0.25">
      <c r="B149" s="878">
        <f>B148+1</f>
        <v>2</v>
      </c>
      <c r="C149" s="865" t="s">
        <v>75</v>
      </c>
      <c r="D149" s="866">
        <f>'ARR-Summary'!H41</f>
        <v>197.93899999999996</v>
      </c>
      <c r="E149" s="866">
        <f>'F3'!I32</f>
        <v>206.7835</v>
      </c>
      <c r="F149" s="1064">
        <f t="shared" ref="F149:F176" si="12">E149-D149</f>
        <v>8.8445000000000391</v>
      </c>
      <c r="G149" s="869"/>
      <c r="H149" s="869"/>
      <c r="I149" s="869"/>
      <c r="J149" s="866"/>
    </row>
    <row r="150" spans="2:10" x14ac:dyDescent="0.25">
      <c r="B150" s="878">
        <v>3</v>
      </c>
      <c r="C150" s="867" t="s">
        <v>183</v>
      </c>
      <c r="D150" s="866">
        <f>'ARR-Summary'!H42</f>
        <v>11.234999999999999</v>
      </c>
      <c r="E150" s="866">
        <f>'F 5.3'!K28*10%</f>
        <v>10.407826220523596</v>
      </c>
      <c r="F150" s="1064">
        <f t="shared" si="12"/>
        <v>-0.82717377947640358</v>
      </c>
      <c r="G150" s="866"/>
      <c r="H150" s="866"/>
      <c r="I150" s="866"/>
      <c r="J150" s="866"/>
    </row>
    <row r="151" spans="2:10" x14ac:dyDescent="0.25">
      <c r="B151" s="878">
        <f>B150+1</f>
        <v>4</v>
      </c>
      <c r="C151" s="865" t="s">
        <v>182</v>
      </c>
      <c r="D151" s="866">
        <f>'ARR-Summary'!H43</f>
        <v>0</v>
      </c>
      <c r="E151" s="866">
        <f>'F6'!H89*10%</f>
        <v>3.6603499999999998</v>
      </c>
      <c r="F151" s="1064">
        <f t="shared" si="12"/>
        <v>3.6603499999999998</v>
      </c>
      <c r="G151" s="866"/>
      <c r="H151" s="866"/>
      <c r="I151" s="866"/>
      <c r="J151" s="866"/>
    </row>
    <row r="152" spans="2:10" x14ac:dyDescent="0.25">
      <c r="B152" s="878">
        <v>5</v>
      </c>
      <c r="C152" s="867" t="s">
        <v>76</v>
      </c>
      <c r="D152" s="866">
        <f>'ARR-Summary'!H44</f>
        <v>0</v>
      </c>
      <c r="E152" s="866">
        <f>'F7'!F121</f>
        <v>9.5129999999999999</v>
      </c>
      <c r="F152" s="1064">
        <f t="shared" si="12"/>
        <v>9.5129999999999999</v>
      </c>
      <c r="G152" s="866"/>
      <c r="H152" s="866"/>
      <c r="I152" s="866"/>
      <c r="J152" s="866"/>
    </row>
    <row r="153" spans="2:10" x14ac:dyDescent="0.25">
      <c r="B153" s="878">
        <f>B152+1</f>
        <v>6</v>
      </c>
      <c r="C153" s="868" t="s">
        <v>289</v>
      </c>
      <c r="D153" s="866">
        <f>'ARR-Summary'!H45</f>
        <v>20.253321</v>
      </c>
      <c r="E153" s="866">
        <f>'F7'!F124</f>
        <v>15.417</v>
      </c>
      <c r="F153" s="1064">
        <f t="shared" si="12"/>
        <v>-4.8363209999999999</v>
      </c>
      <c r="G153" s="866"/>
      <c r="H153" s="866"/>
      <c r="I153" s="866"/>
      <c r="J153" s="866"/>
    </row>
    <row r="154" spans="2:10" x14ac:dyDescent="0.25">
      <c r="B154" s="878">
        <v>7</v>
      </c>
      <c r="C154" s="868" t="s">
        <v>255</v>
      </c>
      <c r="D154" s="866">
        <f>'ARR-Summary'!H46</f>
        <v>6.0660000000000007</v>
      </c>
      <c r="E154" s="866">
        <f>'F10'!H31</f>
        <v>3.5190000000000001</v>
      </c>
      <c r="F154" s="1064">
        <f t="shared" si="12"/>
        <v>-2.5470000000000006</v>
      </c>
      <c r="G154" s="866"/>
      <c r="H154" s="866"/>
      <c r="I154" s="866"/>
      <c r="J154" s="866"/>
    </row>
    <row r="155" spans="2:10" x14ac:dyDescent="0.25">
      <c r="B155" s="878">
        <f>B154+1</f>
        <v>8</v>
      </c>
      <c r="C155" s="868" t="s">
        <v>256</v>
      </c>
      <c r="D155" s="866">
        <f>'ARR-Summary'!H47</f>
        <v>0.6845</v>
      </c>
      <c r="E155" s="866">
        <f>'F11'!H37</f>
        <v>0.71200000000000008</v>
      </c>
      <c r="F155" s="1064">
        <f t="shared" si="12"/>
        <v>2.750000000000008E-2</v>
      </c>
      <c r="G155" s="866"/>
      <c r="H155" s="866"/>
      <c r="I155" s="866"/>
      <c r="J155" s="866"/>
    </row>
    <row r="156" spans="2:10" x14ac:dyDescent="0.25">
      <c r="B156" s="878">
        <v>9</v>
      </c>
      <c r="C156" s="868" t="s">
        <v>258</v>
      </c>
      <c r="D156" s="866">
        <f>'ARR-Summary'!H48</f>
        <v>258.8</v>
      </c>
      <c r="E156" s="866">
        <f>F2.2!H12</f>
        <v>258.47686829999998</v>
      </c>
      <c r="F156" s="1064">
        <f t="shared" si="12"/>
        <v>-0.32313170000003311</v>
      </c>
      <c r="G156" s="866"/>
      <c r="H156" s="866"/>
      <c r="I156" s="866"/>
      <c r="J156" s="866"/>
    </row>
    <row r="157" spans="2:10" x14ac:dyDescent="0.25">
      <c r="B157" s="878">
        <f>B156+1</f>
        <v>10</v>
      </c>
      <c r="C157" s="868" t="s">
        <v>259</v>
      </c>
      <c r="D157" s="866">
        <f>'ARR-Summary'!H49</f>
        <v>1.29</v>
      </c>
      <c r="E157" s="866">
        <f>F2.2!H13</f>
        <v>1.2927600000000001</v>
      </c>
      <c r="F157" s="1064">
        <f t="shared" si="12"/>
        <v>2.7600000000000957E-3</v>
      </c>
      <c r="G157" s="866"/>
      <c r="H157" s="866"/>
      <c r="I157" s="866"/>
      <c r="J157" s="866"/>
    </row>
    <row r="158" spans="2:10" x14ac:dyDescent="0.25">
      <c r="B158" s="878">
        <v>11</v>
      </c>
      <c r="C158" s="866" t="s">
        <v>77</v>
      </c>
      <c r="D158" s="866">
        <f>'ARR-Summary'!H50</f>
        <v>0</v>
      </c>
      <c r="E158" s="869">
        <v>0</v>
      </c>
      <c r="F158" s="1064">
        <f t="shared" si="12"/>
        <v>0</v>
      </c>
      <c r="G158" s="869"/>
      <c r="H158" s="869"/>
      <c r="I158" s="869"/>
      <c r="J158" s="866"/>
    </row>
    <row r="159" spans="2:10" x14ac:dyDescent="0.25">
      <c r="B159" s="878">
        <f>B158+1</f>
        <v>12</v>
      </c>
      <c r="C159" s="866" t="s">
        <v>1207</v>
      </c>
      <c r="D159" s="866">
        <f>'F23'!F17</f>
        <v>44.7</v>
      </c>
      <c r="E159" s="866">
        <f>'F23'!G17</f>
        <v>44.550000000000004</v>
      </c>
      <c r="F159" s="1064">
        <f t="shared" si="12"/>
        <v>-0.14999999999999858</v>
      </c>
      <c r="G159" s="869"/>
      <c r="H159" s="869"/>
      <c r="I159" s="869"/>
      <c r="J159" s="866"/>
    </row>
    <row r="160" spans="2:10" x14ac:dyDescent="0.25">
      <c r="B160" s="878">
        <v>13</v>
      </c>
      <c r="C160" s="869" t="s">
        <v>78</v>
      </c>
      <c r="D160" s="869">
        <f>SUM(D148:D159)</f>
        <v>3291.2678210000004</v>
      </c>
      <c r="E160" s="869">
        <f>SUM(E148:E159)</f>
        <v>2585.4322753445317</v>
      </c>
      <c r="F160" s="882">
        <f t="shared" si="12"/>
        <v>-705.83554565546865</v>
      </c>
      <c r="G160" s="866"/>
      <c r="H160" s="866"/>
      <c r="I160" s="866"/>
      <c r="J160" s="866"/>
    </row>
    <row r="161" spans="2:10" x14ac:dyDescent="0.25">
      <c r="B161" s="878">
        <f>B160+1</f>
        <v>14</v>
      </c>
      <c r="C161" s="866" t="s">
        <v>79</v>
      </c>
      <c r="D161" s="866">
        <f>'ARR-Summary'!H53</f>
        <v>14.18</v>
      </c>
      <c r="E161" s="866">
        <f>'F8'!E148</f>
        <v>14.503629000000002</v>
      </c>
      <c r="F161" s="1064">
        <f t="shared" si="12"/>
        <v>0.32362900000000216</v>
      </c>
      <c r="G161" s="869"/>
      <c r="H161" s="869"/>
      <c r="I161" s="869"/>
      <c r="J161" s="866"/>
    </row>
    <row r="162" spans="2:10" x14ac:dyDescent="0.25">
      <c r="B162" s="878">
        <v>15</v>
      </c>
      <c r="C162" s="866" t="s">
        <v>1203</v>
      </c>
      <c r="D162" s="866">
        <f>'ARR-Summary'!H54</f>
        <v>0.53</v>
      </c>
      <c r="E162" s="866">
        <f>'F22'!G14*10%</f>
        <v>0.52793999999999996</v>
      </c>
      <c r="F162" s="1064">
        <f t="shared" si="12"/>
        <v>-2.0600000000000618E-3</v>
      </c>
      <c r="G162" s="869"/>
      <c r="H162" s="869"/>
      <c r="I162" s="869"/>
      <c r="J162" s="866"/>
    </row>
    <row r="163" spans="2:10" x14ac:dyDescent="0.25">
      <c r="B163" s="878">
        <f>B162+1</f>
        <v>16</v>
      </c>
      <c r="C163" s="866" t="s">
        <v>1205</v>
      </c>
      <c r="D163" s="866"/>
      <c r="E163" s="866">
        <f>E201*10%</f>
        <v>0</v>
      </c>
      <c r="F163" s="1064">
        <f t="shared" si="12"/>
        <v>0</v>
      </c>
      <c r="G163" s="869"/>
      <c r="H163" s="869"/>
      <c r="I163" s="869"/>
      <c r="J163" s="866"/>
    </row>
    <row r="164" spans="2:10" x14ac:dyDescent="0.25">
      <c r="B164" s="878">
        <v>17</v>
      </c>
      <c r="C164" s="866" t="s">
        <v>1206</v>
      </c>
      <c r="D164" s="866"/>
      <c r="E164" s="866">
        <f>F3.1!H45/3</f>
        <v>9.4323620327155595</v>
      </c>
      <c r="F164" s="1064">
        <f t="shared" si="12"/>
        <v>9.4323620327155595</v>
      </c>
      <c r="G164" s="869"/>
      <c r="H164" s="869"/>
      <c r="I164" s="869"/>
      <c r="J164" s="866"/>
    </row>
    <row r="165" spans="2:10" x14ac:dyDescent="0.25">
      <c r="B165" s="878">
        <f>B164+1</f>
        <v>18</v>
      </c>
      <c r="C165" s="869" t="s">
        <v>81</v>
      </c>
      <c r="D165" s="869">
        <f>D160+SUM(D161:D162)-0.01</f>
        <v>3305.9678210000002</v>
      </c>
      <c r="E165" s="869">
        <f>E160+SUM(E161:E162)</f>
        <v>2600.4638443445319</v>
      </c>
      <c r="F165" s="882">
        <f t="shared" si="12"/>
        <v>-705.50397665546825</v>
      </c>
      <c r="G165" s="869"/>
      <c r="H165" s="869"/>
      <c r="I165" s="869"/>
      <c r="J165" s="866"/>
    </row>
    <row r="166" spans="2:10" x14ac:dyDescent="0.25">
      <c r="B166" s="878">
        <v>19</v>
      </c>
      <c r="C166" s="866" t="s">
        <v>80</v>
      </c>
      <c r="D166" s="866">
        <f>'ARR-Summary'!H58</f>
        <v>49.716000000000001</v>
      </c>
      <c r="E166" s="866">
        <f>'F9'!H53</f>
        <v>15.696</v>
      </c>
      <c r="F166" s="1064">
        <f>E166-D166</f>
        <v>-34.020000000000003</v>
      </c>
      <c r="G166" s="869"/>
      <c r="H166" s="869"/>
      <c r="I166" s="869"/>
      <c r="J166" s="866"/>
    </row>
    <row r="167" spans="2:10" x14ac:dyDescent="0.25">
      <c r="B167" s="878">
        <f>B166+1</f>
        <v>20</v>
      </c>
      <c r="C167" s="866" t="s">
        <v>260</v>
      </c>
      <c r="D167" s="866">
        <f>'ARR-Summary'!H59</f>
        <v>0</v>
      </c>
      <c r="E167" s="869">
        <v>0</v>
      </c>
      <c r="F167" s="882">
        <f t="shared" si="12"/>
        <v>0</v>
      </c>
      <c r="G167" s="869"/>
      <c r="H167" s="869"/>
      <c r="I167" s="869"/>
      <c r="J167" s="866"/>
    </row>
    <row r="168" spans="2:10" x14ac:dyDescent="0.25">
      <c r="B168" s="878">
        <v>21</v>
      </c>
      <c r="C168" s="866" t="s">
        <v>261</v>
      </c>
      <c r="D168" s="866">
        <f>'ARR-Summary'!H60</f>
        <v>0</v>
      </c>
      <c r="E168" s="869">
        <v>0</v>
      </c>
      <c r="F168" s="882">
        <f t="shared" si="12"/>
        <v>0</v>
      </c>
      <c r="G168" s="869"/>
      <c r="H168" s="869"/>
      <c r="I168" s="869"/>
      <c r="J168" s="866"/>
    </row>
    <row r="169" spans="2:10" x14ac:dyDescent="0.25">
      <c r="B169" s="878">
        <f>B168+1</f>
        <v>22</v>
      </c>
      <c r="C169" s="866" t="s">
        <v>290</v>
      </c>
      <c r="D169" s="866">
        <f>'ARR-Summary'!H61</f>
        <v>0</v>
      </c>
      <c r="E169" s="866">
        <v>0</v>
      </c>
      <c r="F169" s="882">
        <f t="shared" si="12"/>
        <v>0</v>
      </c>
      <c r="G169" s="866"/>
      <c r="H169" s="866"/>
      <c r="I169" s="866"/>
      <c r="J169" s="866"/>
    </row>
    <row r="170" spans="2:10" x14ac:dyDescent="0.25">
      <c r="B170" s="879" t="s">
        <v>83</v>
      </c>
      <c r="C170" s="869" t="s">
        <v>286</v>
      </c>
      <c r="D170" s="869">
        <f>D165-SUM(D166:D169)</f>
        <v>3256.2518210000003</v>
      </c>
      <c r="E170" s="869">
        <f>E165-SUM(E166:E169)</f>
        <v>2584.767844344532</v>
      </c>
      <c r="F170" s="882">
        <f t="shared" si="12"/>
        <v>-671.48397665546827</v>
      </c>
      <c r="G170" s="866"/>
      <c r="H170" s="866"/>
      <c r="I170" s="866"/>
      <c r="J170" s="866"/>
    </row>
    <row r="171" spans="2:10" x14ac:dyDescent="0.25">
      <c r="B171" s="881">
        <v>23</v>
      </c>
      <c r="C171" s="868" t="s">
        <v>1324</v>
      </c>
      <c r="D171" s="1064">
        <f>'ARR-Summary'!H62</f>
        <v>-741.37</v>
      </c>
      <c r="E171" s="1064">
        <f>'ARR-Summary'!I62</f>
        <v>-741.37</v>
      </c>
      <c r="F171" s="1064">
        <f t="shared" si="12"/>
        <v>0</v>
      </c>
      <c r="G171" s="866"/>
      <c r="H171" s="1109"/>
      <c r="I171" s="866"/>
      <c r="J171" s="866"/>
    </row>
    <row r="172" spans="2:10" x14ac:dyDescent="0.25">
      <c r="B172" s="881">
        <v>24</v>
      </c>
      <c r="C172" s="868" t="s">
        <v>1517</v>
      </c>
      <c r="D172" s="1064">
        <f>D170+D171</f>
        <v>2514.8818210000004</v>
      </c>
      <c r="E172" s="1064">
        <f>E170+E171</f>
        <v>1843.3978443445321</v>
      </c>
      <c r="F172" s="1064">
        <f t="shared" si="12"/>
        <v>-671.48397665546827</v>
      </c>
      <c r="G172" s="866"/>
      <c r="H172" s="866"/>
      <c r="I172" s="866"/>
      <c r="J172" s="866"/>
    </row>
    <row r="173" spans="2:10" s="852" customFormat="1" x14ac:dyDescent="0.25">
      <c r="B173" s="880" t="s">
        <v>89</v>
      </c>
      <c r="C173" s="869" t="s">
        <v>170</v>
      </c>
      <c r="D173" s="869">
        <f>D174</f>
        <v>2826.2395809999998</v>
      </c>
      <c r="E173" s="869">
        <f>E174</f>
        <v>2331.2490567085001</v>
      </c>
      <c r="F173" s="882">
        <f t="shared" si="12"/>
        <v>-494.9905242914997</v>
      </c>
      <c r="G173" s="869"/>
      <c r="H173" s="869"/>
      <c r="I173" s="869"/>
      <c r="J173" s="866"/>
    </row>
    <row r="174" spans="2:10" x14ac:dyDescent="0.25">
      <c r="B174" s="881">
        <v>25</v>
      </c>
      <c r="C174" s="868" t="s">
        <v>171</v>
      </c>
      <c r="D174" s="866">
        <f>D212-D136</f>
        <v>2826.2395809999998</v>
      </c>
      <c r="E174" s="866">
        <f>'F13'!I97-'F13'!G91</f>
        <v>2331.2490567085001</v>
      </c>
      <c r="F174" s="1064">
        <f t="shared" si="12"/>
        <v>-494.9905242914997</v>
      </c>
      <c r="G174" s="866"/>
      <c r="H174" s="866"/>
      <c r="I174" s="866"/>
      <c r="J174" s="866"/>
    </row>
    <row r="175" spans="2:10" x14ac:dyDescent="0.25">
      <c r="C175" s="866"/>
      <c r="E175" s="866"/>
      <c r="F175" s="1064">
        <f t="shared" si="12"/>
        <v>0</v>
      </c>
      <c r="G175" s="866"/>
      <c r="H175" s="866"/>
      <c r="I175" s="866"/>
      <c r="J175" s="866"/>
    </row>
    <row r="176" spans="2:10" s="852" customFormat="1" x14ac:dyDescent="0.25">
      <c r="B176" s="880" t="s">
        <v>90</v>
      </c>
      <c r="C176" s="870" t="s">
        <v>175</v>
      </c>
      <c r="D176" s="882">
        <f>D172-D173</f>
        <v>-311.35775999999942</v>
      </c>
      <c r="E176" s="882">
        <f>E172-E173</f>
        <v>-487.85121236396799</v>
      </c>
      <c r="F176" s="882">
        <f t="shared" si="12"/>
        <v>-176.49345236396857</v>
      </c>
      <c r="G176" s="869"/>
      <c r="H176" s="869"/>
      <c r="I176" s="869"/>
      <c r="J176" s="866"/>
    </row>
    <row r="177" spans="2:10" hidden="1" x14ac:dyDescent="0.25"/>
    <row r="178" spans="2:10" hidden="1" x14ac:dyDescent="0.25">
      <c r="B178" s="873" t="s">
        <v>1322</v>
      </c>
    </row>
    <row r="179" spans="2:10" hidden="1" x14ac:dyDescent="0.25"/>
    <row r="181" spans="2:10" x14ac:dyDescent="0.25">
      <c r="B181" s="2111" t="s">
        <v>186</v>
      </c>
    </row>
    <row r="182" spans="2:10" x14ac:dyDescent="0.25">
      <c r="C182" s="852" t="s">
        <v>1253</v>
      </c>
      <c r="D182" s="871"/>
      <c r="E182" s="871"/>
      <c r="F182" s="1073"/>
      <c r="G182" s="871"/>
      <c r="H182" s="871"/>
      <c r="I182" s="871"/>
    </row>
    <row r="183" spans="2:10" x14ac:dyDescent="0.25">
      <c r="D183" s="871"/>
      <c r="E183" s="871"/>
      <c r="F183" s="1073"/>
      <c r="G183" s="871"/>
      <c r="H183" s="871"/>
      <c r="I183" s="871"/>
      <c r="J183" s="861" t="s">
        <v>16</v>
      </c>
    </row>
    <row r="184" spans="2:10" ht="29" x14ac:dyDescent="0.25">
      <c r="B184" s="877" t="s">
        <v>187</v>
      </c>
      <c r="C184" s="862" t="s">
        <v>50</v>
      </c>
      <c r="D184" s="863" t="s">
        <v>842</v>
      </c>
      <c r="E184" s="863" t="s">
        <v>12</v>
      </c>
      <c r="F184" s="1072" t="s">
        <v>166</v>
      </c>
      <c r="G184" s="863" t="s">
        <v>167</v>
      </c>
      <c r="H184" s="863" t="s">
        <v>168</v>
      </c>
      <c r="I184" s="863" t="s">
        <v>169</v>
      </c>
      <c r="J184" s="863" t="s">
        <v>633</v>
      </c>
    </row>
    <row r="185" spans="2:10" ht="29" x14ac:dyDescent="0.25">
      <c r="B185" s="878">
        <v>1</v>
      </c>
      <c r="C185" s="872" t="s">
        <v>288</v>
      </c>
      <c r="D185" s="866">
        <f>D148</f>
        <v>2750.3000000000006</v>
      </c>
      <c r="E185" s="866">
        <f>E148</f>
        <v>2031.0999708240081</v>
      </c>
      <c r="F185" s="1064">
        <f>E185-D185</f>
        <v>-719.20002917599254</v>
      </c>
      <c r="G185" s="866"/>
      <c r="H185" s="866"/>
      <c r="I185" s="866"/>
      <c r="J185" s="866"/>
    </row>
    <row r="186" spans="2:10" x14ac:dyDescent="0.25">
      <c r="B186" s="878">
        <f>B185+1</f>
        <v>2</v>
      </c>
      <c r="C186" s="865" t="s">
        <v>75</v>
      </c>
      <c r="D186" s="866">
        <f t="shared" ref="D186:E192" si="13">D115+D149</f>
        <v>565.54</v>
      </c>
      <c r="E186" s="866">
        <f t="shared" si="13"/>
        <v>590.80999999999995</v>
      </c>
      <c r="F186" s="1064">
        <f t="shared" ref="F186:F208" si="14">E186-D186</f>
        <v>25.269999999999982</v>
      </c>
      <c r="G186" s="869"/>
      <c r="H186" s="869"/>
      <c r="I186" s="869"/>
      <c r="J186" s="866"/>
    </row>
    <row r="187" spans="2:10" x14ac:dyDescent="0.25">
      <c r="B187" s="878">
        <f t="shared" ref="B187:B207" si="15">B186+1</f>
        <v>3</v>
      </c>
      <c r="C187" s="867" t="s">
        <v>183</v>
      </c>
      <c r="D187" s="866">
        <f t="shared" si="13"/>
        <v>112.355</v>
      </c>
      <c r="E187" s="866">
        <f t="shared" si="13"/>
        <v>104.07826220523597</v>
      </c>
      <c r="F187" s="1064">
        <f t="shared" si="14"/>
        <v>-8.2767377947640313</v>
      </c>
      <c r="G187" s="866"/>
      <c r="H187" s="866"/>
      <c r="I187" s="866"/>
      <c r="J187" s="866"/>
    </row>
    <row r="188" spans="2:10" x14ac:dyDescent="0.25">
      <c r="B188" s="878">
        <f t="shared" si="15"/>
        <v>4</v>
      </c>
      <c r="C188" s="865" t="s">
        <v>182</v>
      </c>
      <c r="D188" s="866">
        <f t="shared" si="13"/>
        <v>0</v>
      </c>
      <c r="E188" s="865">
        <f t="shared" si="13"/>
        <v>36.603499999999997</v>
      </c>
      <c r="F188" s="1064">
        <f t="shared" si="14"/>
        <v>36.603499999999997</v>
      </c>
      <c r="G188" s="866"/>
      <c r="H188" s="866"/>
      <c r="I188" s="866"/>
      <c r="J188" s="866"/>
    </row>
    <row r="189" spans="2:10" x14ac:dyDescent="0.25">
      <c r="B189" s="878">
        <f t="shared" si="15"/>
        <v>5</v>
      </c>
      <c r="C189" s="867" t="s">
        <v>76</v>
      </c>
      <c r="D189" s="866">
        <f t="shared" si="13"/>
        <v>5.2240500000000001</v>
      </c>
      <c r="E189" s="865">
        <f t="shared" si="13"/>
        <v>10.57</v>
      </c>
      <c r="F189" s="1064">
        <f t="shared" si="14"/>
        <v>5.3459500000000002</v>
      </c>
      <c r="G189" s="866"/>
      <c r="H189" s="866"/>
      <c r="I189" s="866"/>
      <c r="J189" s="866"/>
    </row>
    <row r="190" spans="2:10" x14ac:dyDescent="0.25">
      <c r="B190" s="878">
        <f t="shared" si="15"/>
        <v>6</v>
      </c>
      <c r="C190" s="868" t="s">
        <v>289</v>
      </c>
      <c r="D190" s="866">
        <f t="shared" si="13"/>
        <v>22.503689999999999</v>
      </c>
      <c r="E190" s="866">
        <f t="shared" si="13"/>
        <v>17.13</v>
      </c>
      <c r="F190" s="1064">
        <f t="shared" si="14"/>
        <v>-5.3736899999999999</v>
      </c>
      <c r="G190" s="866"/>
      <c r="H190" s="866"/>
      <c r="I190" s="866"/>
      <c r="J190" s="866"/>
    </row>
    <row r="191" spans="2:10" x14ac:dyDescent="0.25">
      <c r="B191" s="878">
        <f t="shared" si="15"/>
        <v>7</v>
      </c>
      <c r="C191" s="868" t="s">
        <v>255</v>
      </c>
      <c r="D191" s="866">
        <f t="shared" si="13"/>
        <v>6.7400000000000011</v>
      </c>
      <c r="E191" s="866">
        <f t="shared" si="13"/>
        <v>3.91</v>
      </c>
      <c r="F191" s="1064">
        <f t="shared" si="14"/>
        <v>-2.830000000000001</v>
      </c>
      <c r="G191" s="866"/>
      <c r="H191" s="866"/>
      <c r="I191" s="866"/>
      <c r="J191" s="866"/>
    </row>
    <row r="192" spans="2:10" x14ac:dyDescent="0.25">
      <c r="B192" s="878">
        <f t="shared" si="15"/>
        <v>8</v>
      </c>
      <c r="C192" s="868" t="s">
        <v>256</v>
      </c>
      <c r="D192" s="866">
        <f t="shared" si="13"/>
        <v>6.8494999999999999</v>
      </c>
      <c r="E192" s="866">
        <f t="shared" si="13"/>
        <v>7.12</v>
      </c>
      <c r="F192" s="1064">
        <f t="shared" si="14"/>
        <v>0.27050000000000018</v>
      </c>
      <c r="G192" s="866"/>
      <c r="H192" s="866"/>
      <c r="I192" s="866"/>
      <c r="J192" s="866"/>
    </row>
    <row r="193" spans="2:10" x14ac:dyDescent="0.25">
      <c r="B193" s="878">
        <f t="shared" si="15"/>
        <v>9</v>
      </c>
      <c r="C193" s="868" t="s">
        <v>258</v>
      </c>
      <c r="D193" s="866">
        <f>D156</f>
        <v>258.8</v>
      </c>
      <c r="E193" s="866">
        <f>E156</f>
        <v>258.47686829999998</v>
      </c>
      <c r="F193" s="1064">
        <f t="shared" si="14"/>
        <v>-0.32313170000003311</v>
      </c>
      <c r="G193" s="866"/>
      <c r="H193" s="866"/>
      <c r="I193" s="866"/>
      <c r="J193" s="866"/>
    </row>
    <row r="194" spans="2:10" x14ac:dyDescent="0.25">
      <c r="B194" s="878">
        <f t="shared" si="15"/>
        <v>10</v>
      </c>
      <c r="C194" s="868" t="s">
        <v>259</v>
      </c>
      <c r="D194" s="866">
        <f>D157</f>
        <v>1.29</v>
      </c>
      <c r="E194" s="866">
        <f>E157</f>
        <v>1.2927600000000001</v>
      </c>
      <c r="F194" s="1064">
        <f t="shared" si="14"/>
        <v>2.7600000000000957E-3</v>
      </c>
      <c r="G194" s="866"/>
      <c r="H194" s="866"/>
      <c r="I194" s="866"/>
      <c r="J194" s="866"/>
    </row>
    <row r="195" spans="2:10" x14ac:dyDescent="0.25">
      <c r="B195" s="878">
        <f t="shared" si="15"/>
        <v>11</v>
      </c>
      <c r="C195" s="866" t="s">
        <v>77</v>
      </c>
      <c r="D195" s="866">
        <v>0</v>
      </c>
      <c r="E195" s="866">
        <v>0</v>
      </c>
      <c r="F195" s="1064">
        <f t="shared" si="14"/>
        <v>0</v>
      </c>
      <c r="G195" s="869"/>
      <c r="H195" s="869"/>
      <c r="I195" s="869"/>
      <c r="J195" s="866"/>
    </row>
    <row r="196" spans="2:10" x14ac:dyDescent="0.25">
      <c r="B196" s="878">
        <f t="shared" si="15"/>
        <v>12</v>
      </c>
      <c r="C196" s="866" t="s">
        <v>1207</v>
      </c>
      <c r="D196" s="866">
        <f>D159</f>
        <v>44.7</v>
      </c>
      <c r="E196" s="866">
        <f>E159</f>
        <v>44.550000000000004</v>
      </c>
      <c r="F196" s="1064">
        <f t="shared" si="14"/>
        <v>-0.14999999999999858</v>
      </c>
      <c r="G196" s="869"/>
      <c r="H196" s="869"/>
      <c r="I196" s="869"/>
      <c r="J196" s="866"/>
    </row>
    <row r="197" spans="2:10" x14ac:dyDescent="0.25">
      <c r="B197" s="879">
        <f t="shared" si="15"/>
        <v>13</v>
      </c>
      <c r="C197" s="869" t="s">
        <v>78</v>
      </c>
      <c r="D197" s="869">
        <f>SUM(D185:D196)+0.005</f>
        <v>3774.3072400000001</v>
      </c>
      <c r="E197" s="869">
        <f>SUM(E185:E196)</f>
        <v>3105.6413613292448</v>
      </c>
      <c r="F197" s="882">
        <f t="shared" si="14"/>
        <v>-668.66587867075532</v>
      </c>
      <c r="G197" s="869"/>
      <c r="H197" s="869"/>
      <c r="I197" s="869"/>
      <c r="J197" s="869"/>
    </row>
    <row r="198" spans="2:10" x14ac:dyDescent="0.25">
      <c r="B198" s="878">
        <f t="shared" si="15"/>
        <v>14</v>
      </c>
      <c r="C198" s="866" t="s">
        <v>79</v>
      </c>
      <c r="D198" s="866">
        <f>D124+D161</f>
        <v>129.44999999999999</v>
      </c>
      <c r="E198" s="865">
        <f>E124+E161</f>
        <v>140.825559</v>
      </c>
      <c r="F198" s="1064">
        <f t="shared" si="14"/>
        <v>11.37555900000001</v>
      </c>
      <c r="G198" s="869"/>
      <c r="H198" s="869"/>
      <c r="I198" s="869"/>
      <c r="J198" s="866"/>
    </row>
    <row r="199" spans="2:10" x14ac:dyDescent="0.25">
      <c r="B199" s="878">
        <f t="shared" si="15"/>
        <v>15</v>
      </c>
      <c r="C199" s="866" t="s">
        <v>1203</v>
      </c>
      <c r="D199" s="866">
        <f>D125+D162</f>
        <v>5.28</v>
      </c>
      <c r="E199" s="866">
        <f>E125+E162</f>
        <v>5.2793999999999999</v>
      </c>
      <c r="F199" s="1064">
        <f t="shared" si="14"/>
        <v>-6.0000000000037801E-4</v>
      </c>
      <c r="G199" s="869"/>
      <c r="H199" s="869"/>
      <c r="I199" s="869"/>
      <c r="J199" s="866"/>
    </row>
    <row r="200" spans="2:10" x14ac:dyDescent="0.25">
      <c r="B200" s="878">
        <f t="shared" si="15"/>
        <v>16</v>
      </c>
      <c r="C200" s="866" t="s">
        <v>1204</v>
      </c>
      <c r="D200" s="866">
        <v>0</v>
      </c>
      <c r="E200" s="866">
        <f>E126</f>
        <v>1.7531171575367397</v>
      </c>
      <c r="F200" s="1064">
        <f t="shared" si="14"/>
        <v>1.7531171575367397</v>
      </c>
      <c r="G200" s="869"/>
      <c r="H200" s="869"/>
      <c r="I200" s="869"/>
      <c r="J200" s="866"/>
    </row>
    <row r="201" spans="2:10" x14ac:dyDescent="0.25">
      <c r="B201" s="878">
        <f t="shared" si="15"/>
        <v>17</v>
      </c>
      <c r="C201" s="866" t="s">
        <v>1208</v>
      </c>
      <c r="D201" s="866">
        <v>0</v>
      </c>
      <c r="E201" s="865">
        <f>('F7'!F142-'F7'!F142)/3</f>
        <v>0</v>
      </c>
      <c r="F201" s="1064">
        <f t="shared" si="14"/>
        <v>0</v>
      </c>
      <c r="G201" s="869"/>
      <c r="H201" s="869"/>
      <c r="I201" s="869"/>
      <c r="J201" s="866"/>
    </row>
    <row r="202" spans="2:10" x14ac:dyDescent="0.25">
      <c r="B202" s="878">
        <f t="shared" si="15"/>
        <v>18</v>
      </c>
      <c r="C202" s="866" t="s">
        <v>1206</v>
      </c>
      <c r="D202" s="866">
        <v>0</v>
      </c>
      <c r="E202" s="866">
        <f>E128+E164</f>
        <v>26.949605807758758</v>
      </c>
      <c r="F202" s="1064">
        <f t="shared" si="14"/>
        <v>26.949605807758758</v>
      </c>
      <c r="G202" s="869"/>
      <c r="H202" s="869"/>
      <c r="I202" s="869"/>
      <c r="J202" s="866"/>
    </row>
    <row r="203" spans="2:10" x14ac:dyDescent="0.25">
      <c r="B203" s="878">
        <f t="shared" si="15"/>
        <v>19</v>
      </c>
      <c r="C203" s="869" t="s">
        <v>81</v>
      </c>
      <c r="D203" s="869">
        <f>SUM(D197:D202)</f>
        <v>3909.0372400000001</v>
      </c>
      <c r="E203" s="869">
        <f>SUM(E197:E202)</f>
        <v>3280.4490432945404</v>
      </c>
      <c r="F203" s="882">
        <f t="shared" si="14"/>
        <v>-628.58819670545972</v>
      </c>
      <c r="G203" s="869"/>
      <c r="H203" s="869"/>
      <c r="I203" s="869"/>
      <c r="J203" s="869"/>
    </row>
    <row r="204" spans="2:10" x14ac:dyDescent="0.25">
      <c r="B204" s="878">
        <f t="shared" si="15"/>
        <v>20</v>
      </c>
      <c r="C204" s="866" t="s">
        <v>80</v>
      </c>
      <c r="D204" s="866">
        <f>D130+D166</f>
        <v>55.24</v>
      </c>
      <c r="E204" s="866">
        <f>E130+E166</f>
        <v>17.440000000000001</v>
      </c>
      <c r="F204" s="1064">
        <f t="shared" si="14"/>
        <v>-37.799999999999997</v>
      </c>
      <c r="G204" s="869"/>
      <c r="H204" s="869"/>
      <c r="I204" s="869"/>
      <c r="J204" s="866"/>
    </row>
    <row r="205" spans="2:10" x14ac:dyDescent="0.25">
      <c r="B205" s="878">
        <f t="shared" si="15"/>
        <v>21</v>
      </c>
      <c r="C205" s="866" t="s">
        <v>260</v>
      </c>
      <c r="D205" s="866"/>
      <c r="E205" s="866">
        <f>E131+E167</f>
        <v>0</v>
      </c>
      <c r="F205" s="1064">
        <f t="shared" si="14"/>
        <v>0</v>
      </c>
      <c r="G205" s="869"/>
      <c r="H205" s="869"/>
      <c r="I205" s="869"/>
      <c r="J205" s="866"/>
    </row>
    <row r="206" spans="2:10" x14ac:dyDescent="0.25">
      <c r="B206" s="878">
        <f t="shared" si="15"/>
        <v>22</v>
      </c>
      <c r="C206" s="866" t="s">
        <v>261</v>
      </c>
      <c r="D206" s="866"/>
      <c r="E206" s="866">
        <f>E167</f>
        <v>0</v>
      </c>
      <c r="F206" s="1064">
        <f t="shared" si="14"/>
        <v>0</v>
      </c>
      <c r="G206" s="869"/>
      <c r="H206" s="869"/>
      <c r="I206" s="869"/>
      <c r="J206" s="866"/>
    </row>
    <row r="207" spans="2:10" x14ac:dyDescent="0.25">
      <c r="B207" s="878">
        <f t="shared" si="15"/>
        <v>23</v>
      </c>
      <c r="C207" s="866" t="s">
        <v>290</v>
      </c>
      <c r="D207" s="866"/>
      <c r="E207" s="866">
        <f>E168</f>
        <v>0</v>
      </c>
      <c r="F207" s="1064">
        <f t="shared" si="14"/>
        <v>0</v>
      </c>
      <c r="G207" s="866"/>
      <c r="H207" s="866"/>
      <c r="I207" s="866"/>
      <c r="J207" s="866"/>
    </row>
    <row r="208" spans="2:10" x14ac:dyDescent="0.25">
      <c r="B208" s="879" t="s">
        <v>83</v>
      </c>
      <c r="C208" s="869" t="s">
        <v>286</v>
      </c>
      <c r="D208" s="869">
        <f>D203-D204</f>
        <v>3853.7972400000003</v>
      </c>
      <c r="E208" s="869">
        <f>E203-E204</f>
        <v>3263.0090432945403</v>
      </c>
      <c r="F208" s="882">
        <f t="shared" si="14"/>
        <v>-590.78819670546</v>
      </c>
      <c r="G208" s="869"/>
      <c r="H208" s="869"/>
      <c r="I208" s="869"/>
      <c r="J208" s="869"/>
    </row>
    <row r="209" spans="2:10" x14ac:dyDescent="0.25">
      <c r="B209" s="879"/>
      <c r="C209" s="868" t="s">
        <v>1324</v>
      </c>
      <c r="D209" s="882">
        <f>'ARR-Summary'!H95</f>
        <v>-771.5</v>
      </c>
      <c r="E209" s="882">
        <f>'ARR-Summary'!I95</f>
        <v>-771.5</v>
      </c>
      <c r="F209" s="882"/>
      <c r="G209" s="869"/>
      <c r="H209" s="869"/>
      <c r="I209" s="869"/>
      <c r="J209" s="869"/>
    </row>
    <row r="210" spans="2:10" x14ac:dyDescent="0.25">
      <c r="B210" s="878"/>
      <c r="C210" s="869" t="s">
        <v>1643</v>
      </c>
      <c r="D210" s="866">
        <f>D208+D209</f>
        <v>3082.2972400000003</v>
      </c>
      <c r="E210" s="866">
        <f>E208+E209</f>
        <v>2491.5090432945403</v>
      </c>
      <c r="F210" s="1064">
        <f>E210-D210</f>
        <v>-590.78819670546</v>
      </c>
      <c r="G210" s="866"/>
      <c r="H210" s="866"/>
      <c r="I210" s="866"/>
      <c r="J210" s="866"/>
    </row>
    <row r="211" spans="2:10" x14ac:dyDescent="0.25">
      <c r="B211" s="880" t="s">
        <v>89</v>
      </c>
      <c r="C211" s="869" t="s">
        <v>170</v>
      </c>
      <c r="D211" s="869">
        <f>D212</f>
        <v>3393.64</v>
      </c>
      <c r="E211" s="869">
        <f>E212</f>
        <v>2792.7449866595002</v>
      </c>
      <c r="F211" s="882">
        <f>E211-D211</f>
        <v>-600.89501334049964</v>
      </c>
      <c r="G211" s="869"/>
      <c r="H211" s="869"/>
      <c r="I211" s="869"/>
      <c r="J211" s="869"/>
    </row>
    <row r="212" spans="2:10" x14ac:dyDescent="0.25">
      <c r="B212" s="881">
        <v>24</v>
      </c>
      <c r="C212" s="868" t="s">
        <v>171</v>
      </c>
      <c r="D212" s="866">
        <v>3393.64</v>
      </c>
      <c r="E212" s="866">
        <f>'F13'!I97</f>
        <v>2792.7449866595002</v>
      </c>
      <c r="F212" s="1064">
        <f>E212-D212</f>
        <v>-600.89501334049964</v>
      </c>
      <c r="G212" s="866"/>
      <c r="H212" s="866"/>
      <c r="I212" s="866"/>
      <c r="J212" s="866"/>
    </row>
    <row r="213" spans="2:10" x14ac:dyDescent="0.25">
      <c r="B213" s="881"/>
      <c r="C213" s="868"/>
      <c r="D213" s="866"/>
      <c r="E213" s="866"/>
      <c r="F213" s="1064">
        <f>E213-D213</f>
        <v>0</v>
      </c>
      <c r="G213" s="866"/>
      <c r="H213" s="866"/>
      <c r="I213" s="866"/>
      <c r="J213" s="866"/>
    </row>
    <row r="214" spans="2:10" x14ac:dyDescent="0.25">
      <c r="B214" s="880" t="s">
        <v>90</v>
      </c>
      <c r="C214" s="870" t="s">
        <v>175</v>
      </c>
      <c r="D214" s="882">
        <f>D210-D211</f>
        <v>-311.34275999999954</v>
      </c>
      <c r="E214" s="882">
        <f>E210-E211</f>
        <v>-301.23594336495989</v>
      </c>
      <c r="F214" s="882">
        <f>E214-D214</f>
        <v>10.10681663503965</v>
      </c>
      <c r="G214" s="869"/>
      <c r="H214" s="869"/>
      <c r="I214" s="869"/>
      <c r="J214" s="869"/>
    </row>
    <row r="215" spans="2:10" hidden="1" x14ac:dyDescent="0.25">
      <c r="D215" s="784">
        <f>D214-D138-D176-D202-D200</f>
        <v>1.4999999999872671E-2</v>
      </c>
      <c r="E215" s="784">
        <f ca="1">E214-E138-E176-E202-E200</f>
        <v>2.2293278334473143E-13</v>
      </c>
      <c r="F215" s="784">
        <f ca="1">F214-F138-F176-F202-F200</f>
        <v>-1.4999999999649738E-2</v>
      </c>
    </row>
    <row r="216" spans="2:10" hidden="1" x14ac:dyDescent="0.25">
      <c r="B216" s="873" t="s">
        <v>1322</v>
      </c>
    </row>
    <row r="217" spans="2:10" hidden="1" x14ac:dyDescent="0.25">
      <c r="B217" s="873" t="s">
        <v>845</v>
      </c>
    </row>
    <row r="218" spans="2:10" hidden="1" x14ac:dyDescent="0.25"/>
    <row r="219" spans="2:10" x14ac:dyDescent="0.25">
      <c r="B219" s="2111" t="s">
        <v>426</v>
      </c>
    </row>
    <row r="220" spans="2:10" x14ac:dyDescent="0.25">
      <c r="B220" s="876"/>
    </row>
    <row r="221" spans="2:10" x14ac:dyDescent="0.25">
      <c r="B221" s="876"/>
      <c r="C221" s="852" t="s">
        <v>327</v>
      </c>
    </row>
    <row r="222" spans="2:10" x14ac:dyDescent="0.25">
      <c r="J222" s="861" t="s">
        <v>16</v>
      </c>
    </row>
    <row r="223" spans="2:10" ht="52.9" customHeight="1" x14ac:dyDescent="0.25">
      <c r="B223" s="877" t="s">
        <v>187</v>
      </c>
      <c r="C223" s="862" t="s">
        <v>50</v>
      </c>
      <c r="D223" s="863" t="s">
        <v>404</v>
      </c>
      <c r="E223" s="863" t="s">
        <v>12</v>
      </c>
      <c r="F223" s="1072" t="s">
        <v>166</v>
      </c>
      <c r="G223" s="863" t="s">
        <v>167</v>
      </c>
      <c r="H223" s="863" t="s">
        <v>168</v>
      </c>
      <c r="I223" s="863" t="s">
        <v>169</v>
      </c>
      <c r="J223" s="863" t="s">
        <v>633</v>
      </c>
    </row>
    <row r="224" spans="2:10" s="852" customFormat="1" x14ac:dyDescent="0.25">
      <c r="B224" s="878">
        <v>1</v>
      </c>
      <c r="C224" s="865" t="s">
        <v>75</v>
      </c>
      <c r="D224" s="866">
        <f>'ARR-Summary'!K11</f>
        <v>378.02399999999994</v>
      </c>
      <c r="E224" s="866">
        <f>'F3'!L17</f>
        <v>414.83297359217715</v>
      </c>
      <c r="F224" s="1064">
        <f>E224-D224</f>
        <v>36.80897359217721</v>
      </c>
      <c r="G224" s="866"/>
      <c r="H224" s="866"/>
      <c r="I224" s="866"/>
      <c r="J224" s="866"/>
    </row>
    <row r="225" spans="2:10" x14ac:dyDescent="0.25">
      <c r="B225" s="878">
        <f>B224+1</f>
        <v>2</v>
      </c>
      <c r="C225" s="867" t="s">
        <v>183</v>
      </c>
      <c r="D225" s="866">
        <f>'ARR-Summary'!K12</f>
        <v>102.4</v>
      </c>
      <c r="E225" s="866">
        <f>'F 5.3'!L28*90%</f>
        <v>94.968492881440497</v>
      </c>
      <c r="F225" s="1064">
        <f t="shared" ref="F225:F246" si="16">E225-D225</f>
        <v>-7.4315071185595087</v>
      </c>
      <c r="G225" s="866"/>
      <c r="H225" s="866"/>
      <c r="I225" s="866"/>
      <c r="J225" s="866"/>
    </row>
    <row r="226" spans="2:10" x14ac:dyDescent="0.25">
      <c r="B226" s="878">
        <f t="shared" ref="B226:B240" si="17">B225+1</f>
        <v>3</v>
      </c>
      <c r="C226" s="865" t="s">
        <v>182</v>
      </c>
      <c r="D226" s="866">
        <f>'ARR-Summary'!K13</f>
        <v>0</v>
      </c>
      <c r="E226" s="866">
        <f>'F6'!K89*90%</f>
        <v>28.585439999999998</v>
      </c>
      <c r="F226" s="1064">
        <f t="shared" si="16"/>
        <v>28.585439999999998</v>
      </c>
      <c r="G226" s="866"/>
      <c r="H226" s="866"/>
      <c r="I226" s="866"/>
      <c r="J226" s="866"/>
    </row>
    <row r="227" spans="2:10" x14ac:dyDescent="0.25">
      <c r="B227" s="878">
        <f t="shared" si="17"/>
        <v>4</v>
      </c>
      <c r="C227" s="867" t="s">
        <v>76</v>
      </c>
      <c r="D227" s="866">
        <f>'ARR-Summary'!K14</f>
        <v>5.2544500000000003</v>
      </c>
      <c r="E227" s="866">
        <f>'F7'!H98</f>
        <v>0.99299999999999999</v>
      </c>
      <c r="F227" s="1064">
        <f t="shared" si="16"/>
        <v>-4.26145</v>
      </c>
      <c r="G227" s="866"/>
      <c r="H227" s="866"/>
      <c r="I227" s="866"/>
      <c r="J227" s="866"/>
    </row>
    <row r="228" spans="2:10" ht="29" x14ac:dyDescent="0.25">
      <c r="B228" s="878">
        <f t="shared" si="17"/>
        <v>5</v>
      </c>
      <c r="C228" s="868" t="s">
        <v>285</v>
      </c>
      <c r="D228" s="866">
        <f>'ARR-Summary'!K15</f>
        <v>2.3178960000000002</v>
      </c>
      <c r="E228" s="866">
        <f>'F7'!H102</f>
        <v>1.5649663962</v>
      </c>
      <c r="F228" s="1064">
        <f t="shared" si="16"/>
        <v>-0.75292960380000018</v>
      </c>
      <c r="G228" s="866"/>
      <c r="H228" s="866"/>
      <c r="I228" s="866"/>
      <c r="J228" s="866"/>
    </row>
    <row r="229" spans="2:10" x14ac:dyDescent="0.25">
      <c r="B229" s="878">
        <f t="shared" si="17"/>
        <v>6</v>
      </c>
      <c r="C229" s="868" t="s">
        <v>255</v>
      </c>
      <c r="D229" s="866">
        <f>'F10'!J15</f>
        <v>0.67400000000000004</v>
      </c>
      <c r="E229" s="866">
        <f>'F10'!K16</f>
        <v>0.45900000000000002</v>
      </c>
      <c r="F229" s="1064">
        <f t="shared" si="16"/>
        <v>-0.21500000000000002</v>
      </c>
      <c r="G229" s="866"/>
      <c r="H229" s="866"/>
      <c r="I229" s="866"/>
      <c r="J229" s="866"/>
    </row>
    <row r="230" spans="2:10" x14ac:dyDescent="0.25">
      <c r="B230" s="878">
        <f t="shared" si="17"/>
        <v>7</v>
      </c>
      <c r="C230" s="868" t="s">
        <v>256</v>
      </c>
      <c r="D230" s="866">
        <f>'ARR-Summary'!K17</f>
        <v>6.2460000000000004</v>
      </c>
      <c r="E230" s="866">
        <f>'F11'!K18</f>
        <v>6.66</v>
      </c>
      <c r="F230" s="1064">
        <f t="shared" si="16"/>
        <v>0.4139999999999997</v>
      </c>
      <c r="G230" s="866"/>
      <c r="H230" s="866"/>
      <c r="I230" s="866"/>
      <c r="J230" s="866"/>
    </row>
    <row r="231" spans="2:10" x14ac:dyDescent="0.25">
      <c r="B231" s="878">
        <f t="shared" si="17"/>
        <v>8</v>
      </c>
      <c r="C231" s="866" t="s">
        <v>77</v>
      </c>
      <c r="D231" s="866">
        <f>'ARR-Summary'!K18</f>
        <v>0</v>
      </c>
      <c r="E231" s="866"/>
      <c r="F231" s="1064">
        <f t="shared" si="16"/>
        <v>0</v>
      </c>
      <c r="G231" s="866"/>
      <c r="H231" s="866"/>
      <c r="I231" s="866"/>
      <c r="J231" s="866"/>
    </row>
    <row r="232" spans="2:10" s="852" customFormat="1" x14ac:dyDescent="0.25">
      <c r="B232" s="879">
        <f t="shared" si="17"/>
        <v>9</v>
      </c>
      <c r="C232" s="869" t="s">
        <v>78</v>
      </c>
      <c r="D232" s="869">
        <f>SUM(D224:D231)</f>
        <v>494.91634599999998</v>
      </c>
      <c r="E232" s="869">
        <f>SUM(E224:E231)</f>
        <v>548.0638728698176</v>
      </c>
      <c r="F232" s="882">
        <f t="shared" si="16"/>
        <v>53.147526869817625</v>
      </c>
      <c r="G232" s="869"/>
      <c r="H232" s="869"/>
      <c r="I232" s="869"/>
      <c r="J232" s="869"/>
    </row>
    <row r="233" spans="2:10" s="852" customFormat="1" x14ac:dyDescent="0.25">
      <c r="B233" s="878">
        <f t="shared" si="17"/>
        <v>10</v>
      </c>
      <c r="C233" s="866" t="s">
        <v>79</v>
      </c>
      <c r="D233" s="1064">
        <f>'ARR-Summary'!K20</f>
        <v>116.08758</v>
      </c>
      <c r="E233" s="1064">
        <f>'F8'!F107</f>
        <v>130.04558952229351</v>
      </c>
      <c r="F233" s="882">
        <f t="shared" si="16"/>
        <v>13.958009522293509</v>
      </c>
      <c r="G233" s="869"/>
      <c r="H233" s="869"/>
      <c r="I233" s="869"/>
      <c r="J233" s="866"/>
    </row>
    <row r="234" spans="2:10" s="852" customFormat="1" x14ac:dyDescent="0.25">
      <c r="B234" s="878">
        <f>B233+1</f>
        <v>11</v>
      </c>
      <c r="C234" s="866" t="s">
        <v>1203</v>
      </c>
      <c r="D234" s="1064">
        <f>'ARR-Summary'!K21</f>
        <v>4.75</v>
      </c>
      <c r="E234" s="1064">
        <f>'F22'!I14*90%</f>
        <v>4.7514599999999998</v>
      </c>
      <c r="F234" s="882"/>
      <c r="G234" s="869"/>
      <c r="H234" s="869"/>
      <c r="I234" s="869"/>
      <c r="J234" s="866"/>
    </row>
    <row r="235" spans="2:10" s="852" customFormat="1" x14ac:dyDescent="0.25">
      <c r="B235" s="878">
        <f t="shared" si="17"/>
        <v>12</v>
      </c>
      <c r="C235" s="866" t="s">
        <v>1204</v>
      </c>
      <c r="D235" s="1064"/>
      <c r="E235" s="1064">
        <f>'F24'!G13</f>
        <v>-3.9774422686399742</v>
      </c>
      <c r="F235" s="882"/>
      <c r="G235" s="869"/>
      <c r="H235" s="869"/>
      <c r="I235" s="869"/>
      <c r="J235" s="866"/>
    </row>
    <row r="236" spans="2:10" s="852" customFormat="1" x14ac:dyDescent="0.25">
      <c r="B236" s="878">
        <f t="shared" si="17"/>
        <v>13</v>
      </c>
      <c r="C236" s="866" t="s">
        <v>1205</v>
      </c>
      <c r="D236" s="1064"/>
      <c r="E236" s="1064">
        <f>E307*90%</f>
        <v>0</v>
      </c>
      <c r="F236" s="882"/>
      <c r="G236" s="869"/>
      <c r="H236" s="869"/>
      <c r="I236" s="869"/>
      <c r="J236" s="866"/>
    </row>
    <row r="237" spans="2:10" s="852" customFormat="1" x14ac:dyDescent="0.25">
      <c r="B237" s="878">
        <f t="shared" si="17"/>
        <v>14</v>
      </c>
      <c r="C237" s="866" t="s">
        <v>1206</v>
      </c>
      <c r="D237" s="1064"/>
      <c r="E237" s="1064">
        <f>F3.1!K15*2/3</f>
        <v>-9.5969302320934649</v>
      </c>
      <c r="F237" s="882"/>
      <c r="G237" s="869"/>
      <c r="H237" s="869"/>
      <c r="I237" s="869"/>
      <c r="J237" s="866"/>
    </row>
    <row r="238" spans="2:10" x14ac:dyDescent="0.25">
      <c r="B238" s="878">
        <f t="shared" si="17"/>
        <v>15</v>
      </c>
      <c r="C238" s="869" t="s">
        <v>81</v>
      </c>
      <c r="D238" s="869">
        <f>D232+SUM(D233:D234)</f>
        <v>615.75392599999998</v>
      </c>
      <c r="E238" s="869">
        <f>E232+SUM(E233:E237)</f>
        <v>669.28654989137772</v>
      </c>
      <c r="F238" s="869">
        <f>F232+SUM(F233:F237)</f>
        <v>67.105536392111134</v>
      </c>
      <c r="G238" s="866"/>
      <c r="H238" s="866"/>
      <c r="I238" s="866"/>
      <c r="J238" s="866"/>
    </row>
    <row r="239" spans="2:10" s="852" customFormat="1" x14ac:dyDescent="0.25">
      <c r="B239" s="878">
        <f t="shared" si="17"/>
        <v>16</v>
      </c>
      <c r="C239" s="866" t="s">
        <v>80</v>
      </c>
      <c r="D239" s="866">
        <f>'ARR-Summary'!K26</f>
        <v>5.69</v>
      </c>
      <c r="E239" s="866">
        <f>'F9'!K27</f>
        <v>2.6840000000000002</v>
      </c>
      <c r="F239" s="1064">
        <f t="shared" si="16"/>
        <v>-3.0060000000000002</v>
      </c>
      <c r="G239" s="869"/>
      <c r="H239" s="869"/>
      <c r="I239" s="869"/>
      <c r="J239" s="866"/>
    </row>
    <row r="240" spans="2:10" s="852" customFormat="1" x14ac:dyDescent="0.25">
      <c r="B240" s="878">
        <f t="shared" si="17"/>
        <v>17</v>
      </c>
      <c r="C240" s="866" t="s">
        <v>260</v>
      </c>
      <c r="D240" s="866">
        <f>'ARR-Summary'!K27</f>
        <v>0</v>
      </c>
      <c r="E240" s="866">
        <v>0</v>
      </c>
      <c r="F240" s="1064">
        <f t="shared" si="16"/>
        <v>0</v>
      </c>
      <c r="G240" s="869"/>
      <c r="H240" s="869"/>
      <c r="I240" s="869"/>
      <c r="J240" s="866"/>
    </row>
    <row r="241" spans="2:10" s="852" customFormat="1" x14ac:dyDescent="0.25">
      <c r="B241" s="880" t="s">
        <v>83</v>
      </c>
      <c r="C241" s="869" t="s">
        <v>287</v>
      </c>
      <c r="D241" s="869">
        <f>D238-SUM(D239:D240)+0.01</f>
        <v>610.07392599999991</v>
      </c>
      <c r="E241" s="869">
        <f>E238-SUM(E239:E240)+0.01</f>
        <v>666.61254989137774</v>
      </c>
      <c r="F241" s="882">
        <f t="shared" si="16"/>
        <v>56.538623891377824</v>
      </c>
      <c r="G241" s="869"/>
      <c r="H241" s="869"/>
      <c r="I241" s="869"/>
      <c r="J241" s="866"/>
    </row>
    <row r="242" spans="2:10" s="852" customFormat="1" x14ac:dyDescent="0.25">
      <c r="B242" s="880"/>
      <c r="C242" s="869"/>
      <c r="D242" s="869"/>
      <c r="E242" s="869"/>
      <c r="F242" s="882">
        <f>E242-D242</f>
        <v>0</v>
      </c>
      <c r="G242" s="869"/>
      <c r="H242" s="869"/>
      <c r="I242" s="869"/>
      <c r="J242" s="866"/>
    </row>
    <row r="243" spans="2:10" s="852" customFormat="1" x14ac:dyDescent="0.25">
      <c r="B243" s="880" t="s">
        <v>89</v>
      </c>
      <c r="C243" s="869" t="s">
        <v>170</v>
      </c>
      <c r="D243" s="869">
        <f>D244</f>
        <v>610.07392599999991</v>
      </c>
      <c r="E243" s="869">
        <f>E244</f>
        <v>529.34640171800004</v>
      </c>
      <c r="F243" s="882">
        <f t="shared" si="16"/>
        <v>-80.727524281999877</v>
      </c>
      <c r="G243" s="869"/>
      <c r="H243" s="869"/>
      <c r="I243" s="869"/>
      <c r="J243" s="866"/>
    </row>
    <row r="244" spans="2:10" x14ac:dyDescent="0.25">
      <c r="B244" s="881">
        <v>18</v>
      </c>
      <c r="C244" s="868" t="s">
        <v>171</v>
      </c>
      <c r="D244" s="866">
        <f>D241</f>
        <v>610.07392599999991</v>
      </c>
      <c r="E244" s="866">
        <f>'F13'!G138</f>
        <v>529.34640171800004</v>
      </c>
      <c r="F244" s="882">
        <f t="shared" si="16"/>
        <v>-80.727524281999877</v>
      </c>
      <c r="G244" s="866"/>
      <c r="H244" s="866"/>
      <c r="I244" s="866"/>
      <c r="J244" s="866"/>
    </row>
    <row r="245" spans="2:10" x14ac:dyDescent="0.25">
      <c r="B245" s="881"/>
      <c r="C245" s="868"/>
      <c r="D245" s="866"/>
      <c r="E245" s="866"/>
      <c r="F245" s="882">
        <f t="shared" si="16"/>
        <v>0</v>
      </c>
      <c r="G245" s="866"/>
      <c r="H245" s="866"/>
      <c r="I245" s="866"/>
      <c r="J245" s="866"/>
    </row>
    <row r="246" spans="2:10" s="852" customFormat="1" x14ac:dyDescent="0.25">
      <c r="B246" s="880" t="s">
        <v>90</v>
      </c>
      <c r="C246" s="870" t="s">
        <v>175</v>
      </c>
      <c r="D246" s="869">
        <f>D241-D243</f>
        <v>0</v>
      </c>
      <c r="E246" s="882">
        <f>E241-E243</f>
        <v>137.2661481733777</v>
      </c>
      <c r="F246" s="882">
        <f t="shared" si="16"/>
        <v>137.2661481733777</v>
      </c>
      <c r="G246" s="869"/>
      <c r="H246" s="869"/>
      <c r="I246" s="869"/>
      <c r="J246" s="866"/>
    </row>
    <row r="247" spans="2:10" hidden="1" x14ac:dyDescent="0.25"/>
    <row r="248" spans="2:10" hidden="1" x14ac:dyDescent="0.25">
      <c r="B248" s="873" t="s">
        <v>1322</v>
      </c>
    </row>
    <row r="249" spans="2:10" hidden="1" x14ac:dyDescent="0.25"/>
    <row r="251" spans="2:10" x14ac:dyDescent="0.25">
      <c r="B251" s="2111" t="s">
        <v>426</v>
      </c>
    </row>
    <row r="253" spans="2:10" x14ac:dyDescent="0.25">
      <c r="C253" s="852" t="s">
        <v>284</v>
      </c>
      <c r="D253" s="871"/>
      <c r="E253" s="871"/>
      <c r="F253" s="1073"/>
      <c r="G253" s="871"/>
      <c r="H253" s="871"/>
      <c r="I253" s="871"/>
    </row>
    <row r="254" spans="2:10" x14ac:dyDescent="0.25">
      <c r="D254" s="871"/>
      <c r="E254" s="871"/>
      <c r="F254" s="1073"/>
      <c r="G254" s="871"/>
      <c r="H254" s="871"/>
      <c r="I254" s="871"/>
      <c r="J254" s="861" t="s">
        <v>16</v>
      </c>
    </row>
    <row r="255" spans="2:10" ht="46.9" customHeight="1" x14ac:dyDescent="0.25">
      <c r="B255" s="877" t="s">
        <v>187</v>
      </c>
      <c r="C255" s="862" t="s">
        <v>50</v>
      </c>
      <c r="D255" s="863" t="s">
        <v>404</v>
      </c>
      <c r="E255" s="863" t="s">
        <v>12</v>
      </c>
      <c r="F255" s="1072" t="s">
        <v>166</v>
      </c>
      <c r="G255" s="863" t="s">
        <v>167</v>
      </c>
      <c r="H255" s="863" t="s">
        <v>168</v>
      </c>
      <c r="I255" s="863" t="s">
        <v>169</v>
      </c>
      <c r="J255" s="863" t="s">
        <v>633</v>
      </c>
    </row>
    <row r="256" spans="2:10" ht="29" x14ac:dyDescent="0.25">
      <c r="B256" s="878">
        <v>1</v>
      </c>
      <c r="C256" s="872" t="s">
        <v>288</v>
      </c>
      <c r="D256" s="866">
        <f>'ARR-Summary'!K40</f>
        <v>2454.2000000000003</v>
      </c>
      <c r="E256" s="866">
        <f>'F2'!Q186</f>
        <v>2530.959247834196</v>
      </c>
      <c r="F256" s="1064">
        <f>E256-D256</f>
        <v>76.759247834195776</v>
      </c>
      <c r="G256" s="866"/>
      <c r="H256" s="866"/>
      <c r="I256" s="866"/>
      <c r="J256" s="866"/>
    </row>
    <row r="257" spans="2:10" x14ac:dyDescent="0.25">
      <c r="B257" s="878">
        <f>B256+1</f>
        <v>2</v>
      </c>
      <c r="C257" s="865" t="s">
        <v>75</v>
      </c>
      <c r="D257" s="866">
        <f>'ARR-Summary'!K41</f>
        <v>203.54599999999996</v>
      </c>
      <c r="E257" s="866">
        <f>'F3'!L32</f>
        <v>223.37160116501843</v>
      </c>
      <c r="F257" s="1064">
        <f t="shared" ref="F257:F283" si="18">E257-D257</f>
        <v>19.825601165018469</v>
      </c>
      <c r="G257" s="869"/>
      <c r="H257" s="869"/>
      <c r="I257" s="869"/>
      <c r="J257" s="866"/>
    </row>
    <row r="258" spans="2:10" x14ac:dyDescent="0.25">
      <c r="B258" s="878">
        <f t="shared" ref="B258:B277" si="19">B257+1</f>
        <v>3</v>
      </c>
      <c r="C258" s="867" t="s">
        <v>183</v>
      </c>
      <c r="D258" s="866">
        <f>'ARR-Summary'!K42</f>
        <v>11.38</v>
      </c>
      <c r="E258" s="866">
        <f>'F 5.3'!L28*10%</f>
        <v>10.552054764604499</v>
      </c>
      <c r="F258" s="1064">
        <f t="shared" si="18"/>
        <v>-0.82794523539550191</v>
      </c>
      <c r="G258" s="866"/>
      <c r="H258" s="866"/>
      <c r="I258" s="866"/>
      <c r="J258" s="866"/>
    </row>
    <row r="259" spans="2:10" x14ac:dyDescent="0.25">
      <c r="B259" s="878">
        <f t="shared" si="19"/>
        <v>4</v>
      </c>
      <c r="C259" s="865" t="s">
        <v>182</v>
      </c>
      <c r="D259" s="866">
        <f>'ARR-Summary'!K43</f>
        <v>0</v>
      </c>
      <c r="E259" s="866">
        <f>'F6'!K89*10%</f>
        <v>3.1761599999999999</v>
      </c>
      <c r="F259" s="1064">
        <f t="shared" si="18"/>
        <v>3.1761599999999999</v>
      </c>
      <c r="G259" s="866"/>
      <c r="H259" s="866"/>
      <c r="I259" s="866"/>
      <c r="J259" s="866"/>
    </row>
    <row r="260" spans="2:10" x14ac:dyDescent="0.25">
      <c r="B260" s="878">
        <f t="shared" si="19"/>
        <v>5</v>
      </c>
      <c r="C260" s="867" t="s">
        <v>76</v>
      </c>
      <c r="D260" s="866">
        <f>'ARR-Summary'!K44</f>
        <v>0</v>
      </c>
      <c r="E260" s="866">
        <f>'F7'!H121</f>
        <v>8.9369999999999994</v>
      </c>
      <c r="F260" s="1064">
        <f t="shared" si="18"/>
        <v>8.9369999999999994</v>
      </c>
      <c r="G260" s="866"/>
      <c r="H260" s="866"/>
      <c r="I260" s="866"/>
      <c r="J260" s="866"/>
    </row>
    <row r="261" spans="2:10" x14ac:dyDescent="0.25">
      <c r="B261" s="878">
        <f t="shared" si="19"/>
        <v>6</v>
      </c>
      <c r="C261" s="868" t="s">
        <v>289</v>
      </c>
      <c r="D261" s="866">
        <f>'ARR-Summary'!K45</f>
        <v>20.861064000000002</v>
      </c>
      <c r="E261" s="866">
        <f>'F7'!H124</f>
        <v>14.084697565800001</v>
      </c>
      <c r="F261" s="1064">
        <f t="shared" si="18"/>
        <v>-6.7763664342000016</v>
      </c>
      <c r="G261" s="866"/>
      <c r="H261" s="866"/>
      <c r="I261" s="866"/>
      <c r="J261" s="866"/>
    </row>
    <row r="262" spans="2:10" x14ac:dyDescent="0.25">
      <c r="B262" s="878">
        <f t="shared" si="19"/>
        <v>7</v>
      </c>
      <c r="C262" s="868" t="s">
        <v>255</v>
      </c>
      <c r="D262" s="866">
        <f>'ARR-Summary'!K46</f>
        <v>6.0660000000000007</v>
      </c>
      <c r="E262" s="866">
        <f>'F10'!K31</f>
        <v>4.1310000000000002</v>
      </c>
      <c r="F262" s="1064">
        <f t="shared" si="18"/>
        <v>-1.9350000000000005</v>
      </c>
      <c r="G262" s="866"/>
      <c r="H262" s="866"/>
      <c r="I262" s="866"/>
      <c r="J262" s="866"/>
    </row>
    <row r="263" spans="2:10" x14ac:dyDescent="0.25">
      <c r="B263" s="878">
        <f t="shared" si="19"/>
        <v>8</v>
      </c>
      <c r="C263" s="868" t="s">
        <v>256</v>
      </c>
      <c r="D263" s="866">
        <f>'ARR-Summary'!K47</f>
        <v>0.69400000000000006</v>
      </c>
      <c r="E263" s="866">
        <f>'F11'!K37</f>
        <v>0.7400000000000001</v>
      </c>
      <c r="F263" s="1064">
        <f t="shared" si="18"/>
        <v>4.6000000000000041E-2</v>
      </c>
      <c r="G263" s="866"/>
      <c r="H263" s="866"/>
      <c r="I263" s="866"/>
      <c r="J263" s="866"/>
    </row>
    <row r="264" spans="2:10" x14ac:dyDescent="0.25">
      <c r="B264" s="878">
        <f t="shared" si="19"/>
        <v>9</v>
      </c>
      <c r="C264" s="868" t="s">
        <v>258</v>
      </c>
      <c r="D264" s="866">
        <f>'ARR-Summary'!K48</f>
        <v>257.95999999999998</v>
      </c>
      <c r="E264" s="866">
        <f>F2.2!K12</f>
        <v>258</v>
      </c>
      <c r="F264" s="1064">
        <f t="shared" si="18"/>
        <v>4.0000000000020464E-2</v>
      </c>
      <c r="G264" s="866"/>
      <c r="H264" s="866"/>
      <c r="I264" s="866"/>
      <c r="J264" s="866"/>
    </row>
    <row r="265" spans="2:10" x14ac:dyDescent="0.25">
      <c r="B265" s="878">
        <f t="shared" si="19"/>
        <v>10</v>
      </c>
      <c r="C265" s="868" t="s">
        <v>259</v>
      </c>
      <c r="D265" s="866">
        <f>'ARR-Summary'!K49</f>
        <v>1.2</v>
      </c>
      <c r="E265" s="866">
        <f>F2.2!K13</f>
        <v>1.19808</v>
      </c>
      <c r="F265" s="1064">
        <f t="shared" si="18"/>
        <v>-1.9199999999999218E-3</v>
      </c>
      <c r="G265" s="866"/>
      <c r="H265" s="866"/>
      <c r="I265" s="866"/>
      <c r="J265" s="866"/>
    </row>
    <row r="266" spans="2:10" x14ac:dyDescent="0.25">
      <c r="B266" s="878">
        <f t="shared" si="19"/>
        <v>11</v>
      </c>
      <c r="C266" s="866" t="s">
        <v>77</v>
      </c>
      <c r="D266" s="866">
        <f>'ARR-Summary'!K50</f>
        <v>0</v>
      </c>
      <c r="E266" s="869">
        <v>0</v>
      </c>
      <c r="F266" s="1064">
        <f t="shared" si="18"/>
        <v>0</v>
      </c>
      <c r="G266" s="869"/>
      <c r="H266" s="869"/>
      <c r="I266" s="869"/>
      <c r="J266" s="866"/>
    </row>
    <row r="267" spans="2:10" x14ac:dyDescent="0.25">
      <c r="B267" s="878">
        <f>B266+1</f>
        <v>12</v>
      </c>
      <c r="C267" s="866" t="s">
        <v>1207</v>
      </c>
      <c r="D267" s="866">
        <f>'F23'!H17</f>
        <v>46.04</v>
      </c>
      <c r="E267" s="866">
        <f>'F23'!I17</f>
        <v>53.805549075000002</v>
      </c>
      <c r="F267" s="1064">
        <f t="shared" si="18"/>
        <v>7.7655490750000027</v>
      </c>
      <c r="G267" s="869"/>
      <c r="H267" s="869"/>
      <c r="I267" s="869"/>
      <c r="J267" s="866"/>
    </row>
    <row r="268" spans="2:10" x14ac:dyDescent="0.25">
      <c r="B268" s="878">
        <f t="shared" si="19"/>
        <v>13</v>
      </c>
      <c r="C268" s="869" t="s">
        <v>78</v>
      </c>
      <c r="D268" s="869">
        <f>SUM(D256:D267)</f>
        <v>3001.947064</v>
      </c>
      <c r="E268" s="869">
        <f>SUM(E256:E267)</f>
        <v>3108.9553904046188</v>
      </c>
      <c r="F268" s="882">
        <f>SUM(F256:F267)</f>
        <v>107.00832640461877</v>
      </c>
      <c r="G268" s="866"/>
      <c r="H268" s="866"/>
      <c r="I268" s="866"/>
      <c r="J268" s="866"/>
    </row>
    <row r="269" spans="2:10" x14ac:dyDescent="0.25">
      <c r="B269" s="878">
        <f t="shared" si="19"/>
        <v>14</v>
      </c>
      <c r="C269" s="866" t="s">
        <v>79</v>
      </c>
      <c r="D269" s="1064">
        <f>'ARR-Summary'!K53</f>
        <v>14.280614999999999</v>
      </c>
      <c r="E269" s="1064">
        <f>'F8'!F148</f>
        <v>16.85776160474175</v>
      </c>
      <c r="F269" s="1064">
        <f t="shared" si="18"/>
        <v>2.5771466047417508</v>
      </c>
      <c r="G269" s="869"/>
      <c r="H269" s="869"/>
      <c r="I269" s="869"/>
      <c r="J269" s="866"/>
    </row>
    <row r="270" spans="2:10" x14ac:dyDescent="0.25">
      <c r="B270" s="878">
        <f t="shared" si="19"/>
        <v>15</v>
      </c>
      <c r="C270" s="866" t="s">
        <v>1203</v>
      </c>
      <c r="D270" s="1064">
        <f>'ARR-Summary'!K54</f>
        <v>0.53</v>
      </c>
      <c r="E270" s="1064">
        <f>'F22'!I14*10%</f>
        <v>0.52793999999999996</v>
      </c>
      <c r="F270" s="1064">
        <f t="shared" si="18"/>
        <v>-2.0600000000000618E-3</v>
      </c>
      <c r="G270" s="869"/>
      <c r="H270" s="869"/>
      <c r="I270" s="869"/>
      <c r="J270" s="866"/>
    </row>
    <row r="271" spans="2:10" x14ac:dyDescent="0.25">
      <c r="B271" s="878">
        <f t="shared" si="19"/>
        <v>16</v>
      </c>
      <c r="C271" s="866" t="s">
        <v>1205</v>
      </c>
      <c r="D271" s="1064">
        <v>0</v>
      </c>
      <c r="E271" s="1064">
        <f>E307*10%</f>
        <v>0</v>
      </c>
      <c r="F271" s="1064">
        <f t="shared" si="18"/>
        <v>0</v>
      </c>
      <c r="G271" s="869"/>
      <c r="H271" s="869"/>
      <c r="I271" s="869"/>
      <c r="J271" s="866"/>
    </row>
    <row r="272" spans="2:10" x14ac:dyDescent="0.25">
      <c r="B272" s="878">
        <f t="shared" si="19"/>
        <v>17</v>
      </c>
      <c r="C272" s="866" t="s">
        <v>1206</v>
      </c>
      <c r="D272" s="1064">
        <v>0</v>
      </c>
      <c r="E272" s="1064">
        <f>F3.1!K45*2/3</f>
        <v>-5.1675778172810851</v>
      </c>
      <c r="F272" s="1064">
        <f t="shared" si="18"/>
        <v>-5.1675778172810851</v>
      </c>
      <c r="G272" s="869"/>
      <c r="H272" s="869"/>
      <c r="I272" s="869"/>
      <c r="J272" s="866"/>
    </row>
    <row r="273" spans="2:10" x14ac:dyDescent="0.25">
      <c r="B273" s="878">
        <f t="shared" si="19"/>
        <v>18</v>
      </c>
      <c r="C273" s="869" t="s">
        <v>81</v>
      </c>
      <c r="D273" s="869">
        <f>SUM(D268:D272)</f>
        <v>3016.7576790000003</v>
      </c>
      <c r="E273" s="869">
        <f>SUM(E268:E272)</f>
        <v>3121.1735141920794</v>
      </c>
      <c r="F273" s="1064">
        <f t="shared" si="18"/>
        <v>104.41583519207916</v>
      </c>
      <c r="G273" s="869"/>
      <c r="H273" s="869"/>
      <c r="I273" s="869"/>
      <c r="J273" s="866"/>
    </row>
    <row r="274" spans="2:10" x14ac:dyDescent="0.25">
      <c r="B274" s="878">
        <f t="shared" si="19"/>
        <v>19</v>
      </c>
      <c r="C274" s="866" t="s">
        <v>80</v>
      </c>
      <c r="D274" s="866">
        <f>'ARR-Summary'!K58</f>
        <v>51.21</v>
      </c>
      <c r="E274" s="865">
        <f>'F9'!K53</f>
        <v>24.156000000000002</v>
      </c>
      <c r="F274" s="1064">
        <f>E274-D274</f>
        <v>-27.053999999999998</v>
      </c>
      <c r="G274" s="869"/>
      <c r="H274" s="869"/>
      <c r="I274" s="869"/>
      <c r="J274" s="866"/>
    </row>
    <row r="275" spans="2:10" x14ac:dyDescent="0.25">
      <c r="B275" s="878">
        <f t="shared" si="19"/>
        <v>20</v>
      </c>
      <c r="C275" s="866" t="s">
        <v>260</v>
      </c>
      <c r="D275" s="869">
        <f>'ARR-Summary'!K59</f>
        <v>0</v>
      </c>
      <c r="E275" s="869">
        <v>0</v>
      </c>
      <c r="F275" s="882">
        <f t="shared" si="18"/>
        <v>0</v>
      </c>
      <c r="G275" s="869"/>
      <c r="H275" s="869"/>
      <c r="I275" s="869"/>
      <c r="J275" s="866"/>
    </row>
    <row r="276" spans="2:10" x14ac:dyDescent="0.25">
      <c r="B276" s="878">
        <f t="shared" si="19"/>
        <v>21</v>
      </c>
      <c r="C276" s="866" t="s">
        <v>261</v>
      </c>
      <c r="D276" s="869">
        <f>'ARR-Summary'!K60</f>
        <v>0</v>
      </c>
      <c r="E276" s="869">
        <v>0</v>
      </c>
      <c r="F276" s="882">
        <f t="shared" si="18"/>
        <v>0</v>
      </c>
      <c r="G276" s="869"/>
      <c r="H276" s="869"/>
      <c r="I276" s="869"/>
      <c r="J276" s="866"/>
    </row>
    <row r="277" spans="2:10" x14ac:dyDescent="0.25">
      <c r="B277" s="878">
        <f t="shared" si="19"/>
        <v>22</v>
      </c>
      <c r="C277" s="866" t="s">
        <v>290</v>
      </c>
      <c r="D277" s="869">
        <f>'ARR-Summary'!K61</f>
        <v>0</v>
      </c>
      <c r="E277" s="866">
        <v>0</v>
      </c>
      <c r="F277" s="882">
        <f t="shared" si="18"/>
        <v>0</v>
      </c>
      <c r="G277" s="866"/>
      <c r="H277" s="866"/>
      <c r="I277" s="866"/>
      <c r="J277" s="866"/>
    </row>
    <row r="278" spans="2:10" x14ac:dyDescent="0.25">
      <c r="B278" s="879" t="s">
        <v>83</v>
      </c>
      <c r="C278" s="869" t="s">
        <v>286</v>
      </c>
      <c r="D278" s="869">
        <f>D273-SUM(D274:D277)</f>
        <v>2965.5476790000002</v>
      </c>
      <c r="E278" s="869">
        <f>E273-SUM(E274:E277)</f>
        <v>3097.0175141920795</v>
      </c>
      <c r="F278" s="882">
        <f t="shared" si="18"/>
        <v>131.46983519207924</v>
      </c>
      <c r="G278" s="866"/>
      <c r="H278" s="866"/>
      <c r="I278" s="866"/>
      <c r="J278" s="866"/>
    </row>
    <row r="279" spans="2:10" x14ac:dyDescent="0.25">
      <c r="B279" s="878"/>
      <c r="C279" s="866"/>
      <c r="D279" s="866"/>
      <c r="E279" s="866"/>
      <c r="F279" s="882">
        <f>E279-D279</f>
        <v>0</v>
      </c>
      <c r="G279" s="866"/>
      <c r="H279" s="866"/>
      <c r="I279" s="866"/>
      <c r="J279" s="866"/>
    </row>
    <row r="280" spans="2:10" s="852" customFormat="1" x14ac:dyDescent="0.25">
      <c r="B280" s="880" t="s">
        <v>89</v>
      </c>
      <c r="C280" s="869" t="s">
        <v>170</v>
      </c>
      <c r="D280" s="869">
        <f>D281</f>
        <v>2813.3360739999998</v>
      </c>
      <c r="E280" s="869">
        <f>E281</f>
        <v>2465.8455795863797</v>
      </c>
      <c r="F280" s="882">
        <f t="shared" si="18"/>
        <v>-347.49049441362013</v>
      </c>
      <c r="G280" s="869"/>
      <c r="H280" s="869"/>
      <c r="I280" s="869"/>
      <c r="J280" s="866"/>
    </row>
    <row r="281" spans="2:10" x14ac:dyDescent="0.25">
      <c r="B281" s="881">
        <f>B277+1</f>
        <v>23</v>
      </c>
      <c r="C281" s="868" t="s">
        <v>171</v>
      </c>
      <c r="D281" s="869">
        <f>D319-D244</f>
        <v>2813.3360739999998</v>
      </c>
      <c r="E281" s="866">
        <f>'F13'!I145-'F13'!G138</f>
        <v>2465.8455795863797</v>
      </c>
      <c r="F281" s="882">
        <f t="shared" si="18"/>
        <v>-347.49049441362013</v>
      </c>
      <c r="G281" s="866"/>
      <c r="H281" s="866"/>
      <c r="I281" s="866"/>
      <c r="J281" s="866"/>
    </row>
    <row r="282" spans="2:10" x14ac:dyDescent="0.25">
      <c r="B282" s="881"/>
      <c r="C282" s="868"/>
      <c r="D282" s="866"/>
      <c r="E282" s="866"/>
      <c r="F282" s="882">
        <f t="shared" si="18"/>
        <v>0</v>
      </c>
      <c r="G282" s="866"/>
      <c r="H282" s="866"/>
      <c r="I282" s="866"/>
      <c r="J282" s="866"/>
    </row>
    <row r="283" spans="2:10" s="852" customFormat="1" x14ac:dyDescent="0.25">
      <c r="B283" s="880" t="s">
        <v>90</v>
      </c>
      <c r="C283" s="870" t="s">
        <v>175</v>
      </c>
      <c r="D283" s="882">
        <f>D278-D280</f>
        <v>152.21160500000042</v>
      </c>
      <c r="E283" s="882">
        <f>E278-E280</f>
        <v>631.17193460569979</v>
      </c>
      <c r="F283" s="882">
        <f t="shared" si="18"/>
        <v>478.96032960569937</v>
      </c>
      <c r="G283" s="869"/>
      <c r="H283" s="869"/>
      <c r="I283" s="869"/>
      <c r="J283" s="866"/>
    </row>
    <row r="284" spans="2:10" hidden="1" x14ac:dyDescent="0.25"/>
    <row r="285" spans="2:10" hidden="1" x14ac:dyDescent="0.25">
      <c r="B285" s="873" t="s">
        <v>1322</v>
      </c>
    </row>
    <row r="286" spans="2:10" hidden="1" x14ac:dyDescent="0.25"/>
    <row r="287" spans="2:10" x14ac:dyDescent="0.25">
      <c r="B287" s="2111" t="s">
        <v>426</v>
      </c>
    </row>
    <row r="288" spans="2:10" x14ac:dyDescent="0.25">
      <c r="C288" s="852" t="s">
        <v>1253</v>
      </c>
      <c r="D288" s="871"/>
      <c r="E288" s="871"/>
      <c r="F288" s="1073"/>
      <c r="G288" s="871"/>
      <c r="H288" s="871"/>
      <c r="I288" s="871"/>
    </row>
    <row r="289" spans="2:10" x14ac:dyDescent="0.25">
      <c r="D289" s="871"/>
      <c r="E289" s="871"/>
      <c r="F289" s="1073"/>
      <c r="G289" s="871"/>
      <c r="H289" s="871"/>
      <c r="I289" s="871"/>
      <c r="J289" s="861" t="s">
        <v>16</v>
      </c>
    </row>
    <row r="290" spans="2:10" ht="29" x14ac:dyDescent="0.25">
      <c r="B290" s="877" t="s">
        <v>187</v>
      </c>
      <c r="C290" s="862" t="s">
        <v>50</v>
      </c>
      <c r="D290" s="863" t="s">
        <v>842</v>
      </c>
      <c r="E290" s="863" t="s">
        <v>12</v>
      </c>
      <c r="F290" s="1072" t="s">
        <v>166</v>
      </c>
      <c r="G290" s="863" t="s">
        <v>167</v>
      </c>
      <c r="H290" s="863" t="s">
        <v>168</v>
      </c>
      <c r="I290" s="863" t="s">
        <v>169</v>
      </c>
      <c r="J290" s="863" t="s">
        <v>633</v>
      </c>
    </row>
    <row r="291" spans="2:10" ht="29" x14ac:dyDescent="0.25">
      <c r="B291" s="878">
        <v>1</v>
      </c>
      <c r="C291" s="872" t="s">
        <v>288</v>
      </c>
      <c r="D291" s="865">
        <f>D256</f>
        <v>2454.2000000000003</v>
      </c>
      <c r="E291" s="866">
        <f>E256</f>
        <v>2530.959247834196</v>
      </c>
      <c r="F291" s="1064">
        <f>E291-D291</f>
        <v>76.759247834195776</v>
      </c>
      <c r="G291" s="866"/>
      <c r="H291" s="866"/>
      <c r="I291" s="866"/>
      <c r="J291" s="866"/>
    </row>
    <row r="292" spans="2:10" x14ac:dyDescent="0.25">
      <c r="B292" s="878">
        <f>B291+1</f>
        <v>2</v>
      </c>
      <c r="C292" s="865" t="s">
        <v>75</v>
      </c>
      <c r="D292" s="865">
        <f t="shared" ref="D292:E298" si="20">D224+D257</f>
        <v>581.56999999999994</v>
      </c>
      <c r="E292" s="866">
        <f t="shared" si="20"/>
        <v>638.20457475719559</v>
      </c>
      <c r="F292" s="1064">
        <f t="shared" ref="F292:F315" si="21">E292-D292</f>
        <v>56.634574757195651</v>
      </c>
      <c r="G292" s="869"/>
      <c r="H292" s="869"/>
      <c r="I292" s="869"/>
      <c r="J292" s="866"/>
    </row>
    <row r="293" spans="2:10" x14ac:dyDescent="0.25">
      <c r="B293" s="878">
        <f t="shared" ref="B293:B312" si="22">B292+1</f>
        <v>3</v>
      </c>
      <c r="C293" s="867" t="s">
        <v>183</v>
      </c>
      <c r="D293" s="865">
        <f t="shared" si="20"/>
        <v>113.78</v>
      </c>
      <c r="E293" s="866">
        <f t="shared" si="20"/>
        <v>105.520547646045</v>
      </c>
      <c r="F293" s="1064">
        <f t="shared" si="21"/>
        <v>-8.2594523539549982</v>
      </c>
      <c r="G293" s="866"/>
      <c r="H293" s="866"/>
      <c r="I293" s="866"/>
      <c r="J293" s="866"/>
    </row>
    <row r="294" spans="2:10" x14ac:dyDescent="0.25">
      <c r="B294" s="878">
        <f t="shared" si="22"/>
        <v>4</v>
      </c>
      <c r="C294" s="865" t="s">
        <v>182</v>
      </c>
      <c r="D294" s="865">
        <f t="shared" si="20"/>
        <v>0</v>
      </c>
      <c r="E294" s="865">
        <f t="shared" si="20"/>
        <v>31.761599999999998</v>
      </c>
      <c r="F294" s="1064">
        <f t="shared" si="21"/>
        <v>31.761599999999998</v>
      </c>
      <c r="G294" s="866"/>
      <c r="H294" s="866"/>
      <c r="I294" s="866"/>
      <c r="J294" s="866"/>
    </row>
    <row r="295" spans="2:10" x14ac:dyDescent="0.25">
      <c r="B295" s="878">
        <f t="shared" si="22"/>
        <v>5</v>
      </c>
      <c r="C295" s="867" t="s">
        <v>76</v>
      </c>
      <c r="D295" s="865">
        <f t="shared" si="20"/>
        <v>5.2544500000000003</v>
      </c>
      <c r="E295" s="865">
        <f t="shared" si="20"/>
        <v>9.93</v>
      </c>
      <c r="F295" s="1064">
        <f t="shared" si="21"/>
        <v>4.6755499999999994</v>
      </c>
      <c r="G295" s="866"/>
      <c r="H295" s="866"/>
      <c r="I295" s="866"/>
      <c r="J295" s="866"/>
    </row>
    <row r="296" spans="2:10" x14ac:dyDescent="0.25">
      <c r="B296" s="878">
        <f t="shared" si="22"/>
        <v>6</v>
      </c>
      <c r="C296" s="868" t="s">
        <v>289</v>
      </c>
      <c r="D296" s="865">
        <f t="shared" si="20"/>
        <v>23.178960000000004</v>
      </c>
      <c r="E296" s="866">
        <f t="shared" si="20"/>
        <v>15.649663962000002</v>
      </c>
      <c r="F296" s="1064">
        <f t="shared" si="21"/>
        <v>-7.5292960380000018</v>
      </c>
      <c r="G296" s="866"/>
      <c r="H296" s="866"/>
      <c r="I296" s="866"/>
      <c r="J296" s="866"/>
    </row>
    <row r="297" spans="2:10" x14ac:dyDescent="0.25">
      <c r="B297" s="878">
        <f t="shared" si="22"/>
        <v>7</v>
      </c>
      <c r="C297" s="868" t="s">
        <v>255</v>
      </c>
      <c r="D297" s="865">
        <f t="shared" si="20"/>
        <v>6.7400000000000011</v>
      </c>
      <c r="E297" s="866">
        <f t="shared" si="20"/>
        <v>4.59</v>
      </c>
      <c r="F297" s="1064">
        <f t="shared" si="21"/>
        <v>-2.1500000000000012</v>
      </c>
      <c r="G297" s="866"/>
      <c r="H297" s="866"/>
      <c r="I297" s="866"/>
      <c r="J297" s="866"/>
    </row>
    <row r="298" spans="2:10" x14ac:dyDescent="0.25">
      <c r="B298" s="878">
        <f t="shared" si="22"/>
        <v>8</v>
      </c>
      <c r="C298" s="868" t="s">
        <v>256</v>
      </c>
      <c r="D298" s="865">
        <f t="shared" si="20"/>
        <v>6.94</v>
      </c>
      <c r="E298" s="866">
        <f t="shared" si="20"/>
        <v>7.4</v>
      </c>
      <c r="F298" s="1064">
        <f t="shared" si="21"/>
        <v>0.45999999999999996</v>
      </c>
      <c r="G298" s="866"/>
      <c r="H298" s="866"/>
      <c r="I298" s="866"/>
      <c r="J298" s="866"/>
    </row>
    <row r="299" spans="2:10" x14ac:dyDescent="0.25">
      <c r="B299" s="878">
        <f t="shared" si="22"/>
        <v>9</v>
      </c>
      <c r="C299" s="868" t="s">
        <v>258</v>
      </c>
      <c r="D299" s="865">
        <f>D264</f>
        <v>257.95999999999998</v>
      </c>
      <c r="E299" s="866">
        <f>E264</f>
        <v>258</v>
      </c>
      <c r="F299" s="1064">
        <f t="shared" si="21"/>
        <v>4.0000000000020464E-2</v>
      </c>
      <c r="G299" s="866"/>
      <c r="H299" s="866"/>
      <c r="I299" s="866"/>
      <c r="J299" s="866"/>
    </row>
    <row r="300" spans="2:10" x14ac:dyDescent="0.25">
      <c r="B300" s="878">
        <f t="shared" si="22"/>
        <v>10</v>
      </c>
      <c r="C300" s="868" t="s">
        <v>259</v>
      </c>
      <c r="D300" s="865">
        <f>D265</f>
        <v>1.2</v>
      </c>
      <c r="E300" s="866">
        <f>E265</f>
        <v>1.19808</v>
      </c>
      <c r="F300" s="1064">
        <f t="shared" si="21"/>
        <v>-1.9199999999999218E-3</v>
      </c>
      <c r="G300" s="866"/>
      <c r="H300" s="866"/>
      <c r="I300" s="866"/>
      <c r="J300" s="866"/>
    </row>
    <row r="301" spans="2:10" x14ac:dyDescent="0.25">
      <c r="B301" s="878">
        <f t="shared" si="22"/>
        <v>11</v>
      </c>
      <c r="C301" s="866" t="s">
        <v>77</v>
      </c>
      <c r="D301" s="865">
        <f>0</f>
        <v>0</v>
      </c>
      <c r="E301" s="866">
        <f>0</f>
        <v>0</v>
      </c>
      <c r="F301" s="1064">
        <f t="shared" si="21"/>
        <v>0</v>
      </c>
      <c r="G301" s="869"/>
      <c r="H301" s="869"/>
      <c r="I301" s="869"/>
      <c r="J301" s="866"/>
    </row>
    <row r="302" spans="2:10" x14ac:dyDescent="0.25">
      <c r="B302" s="878">
        <f t="shared" si="22"/>
        <v>12</v>
      </c>
      <c r="C302" s="866" t="s">
        <v>1207</v>
      </c>
      <c r="D302" s="865">
        <f>D267</f>
        <v>46.04</v>
      </c>
      <c r="E302" s="866">
        <f>E267</f>
        <v>53.805549075000002</v>
      </c>
      <c r="F302" s="1064">
        <f t="shared" si="21"/>
        <v>7.7655490750000027</v>
      </c>
      <c r="G302" s="869"/>
      <c r="H302" s="869"/>
      <c r="I302" s="869"/>
      <c r="J302" s="866"/>
    </row>
    <row r="303" spans="2:10" x14ac:dyDescent="0.25">
      <c r="B303" s="879">
        <f t="shared" si="22"/>
        <v>13</v>
      </c>
      <c r="C303" s="869" t="s">
        <v>78</v>
      </c>
      <c r="D303" s="1413">
        <f>SUM(D291:D302)</f>
        <v>3496.8634100000004</v>
      </c>
      <c r="E303" s="869">
        <f>SUM(E291:E302)</f>
        <v>3657.0192632744365</v>
      </c>
      <c r="F303" s="882">
        <f t="shared" si="21"/>
        <v>160.15585327443614</v>
      </c>
      <c r="G303" s="869"/>
      <c r="H303" s="869"/>
      <c r="I303" s="869"/>
      <c r="J303" s="869"/>
    </row>
    <row r="304" spans="2:10" x14ac:dyDescent="0.25">
      <c r="B304" s="878">
        <f t="shared" si="22"/>
        <v>14</v>
      </c>
      <c r="C304" s="866" t="s">
        <v>79</v>
      </c>
      <c r="D304" s="1448">
        <f>D269+D233</f>
        <v>130.36819500000001</v>
      </c>
      <c r="E304" s="1064">
        <f>E269+E233</f>
        <v>146.90335112703525</v>
      </c>
      <c r="F304" s="1064">
        <f t="shared" si="21"/>
        <v>16.535156127035236</v>
      </c>
      <c r="G304" s="869"/>
      <c r="H304" s="869"/>
      <c r="I304" s="869"/>
      <c r="J304" s="866"/>
    </row>
    <row r="305" spans="2:10" x14ac:dyDescent="0.25">
      <c r="B305" s="878">
        <f t="shared" si="22"/>
        <v>15</v>
      </c>
      <c r="C305" s="866" t="s">
        <v>1203</v>
      </c>
      <c r="D305" s="1448">
        <f>D270+D234</f>
        <v>5.28</v>
      </c>
      <c r="E305" s="1064">
        <f>E270+E234</f>
        <v>5.2793999999999999</v>
      </c>
      <c r="F305" s="1064">
        <f t="shared" si="21"/>
        <v>-6.0000000000037801E-4</v>
      </c>
      <c r="G305" s="869"/>
      <c r="H305" s="869"/>
      <c r="I305" s="869"/>
      <c r="J305" s="866"/>
    </row>
    <row r="306" spans="2:10" x14ac:dyDescent="0.25">
      <c r="B306" s="878">
        <f t="shared" si="22"/>
        <v>16</v>
      </c>
      <c r="C306" s="866" t="s">
        <v>1204</v>
      </c>
      <c r="D306" s="1448">
        <v>0</v>
      </c>
      <c r="E306" s="1064">
        <f>E235</f>
        <v>-3.9774422686399742</v>
      </c>
      <c r="F306" s="1064">
        <f t="shared" si="21"/>
        <v>-3.9774422686399742</v>
      </c>
      <c r="G306" s="869"/>
      <c r="H306" s="869"/>
      <c r="I306" s="869"/>
      <c r="J306" s="866"/>
    </row>
    <row r="307" spans="2:10" x14ac:dyDescent="0.25">
      <c r="B307" s="878">
        <f t="shared" si="22"/>
        <v>17</v>
      </c>
      <c r="C307" s="866" t="s">
        <v>1208</v>
      </c>
      <c r="D307" s="1448">
        <v>0</v>
      </c>
      <c r="E307" s="1064">
        <f>('F7'!H142-'F7'!H142)/3</f>
        <v>0</v>
      </c>
      <c r="F307" s="1064">
        <f t="shared" si="21"/>
        <v>0</v>
      </c>
      <c r="G307" s="869"/>
      <c r="H307" s="869"/>
      <c r="I307" s="869"/>
      <c r="J307" s="866"/>
    </row>
    <row r="308" spans="2:10" x14ac:dyDescent="0.25">
      <c r="B308" s="878">
        <f>B307+1</f>
        <v>18</v>
      </c>
      <c r="C308" s="866" t="s">
        <v>1206</v>
      </c>
      <c r="D308" s="1448">
        <v>0</v>
      </c>
      <c r="E308" s="1064">
        <f>E272+E237</f>
        <v>-14.76450804937455</v>
      </c>
      <c r="F308" s="1064">
        <f t="shared" si="21"/>
        <v>-14.76450804937455</v>
      </c>
      <c r="G308" s="869"/>
      <c r="H308" s="869"/>
      <c r="I308" s="869"/>
      <c r="J308" s="866"/>
    </row>
    <row r="309" spans="2:10" x14ac:dyDescent="0.25">
      <c r="B309" s="879">
        <f t="shared" si="22"/>
        <v>19</v>
      </c>
      <c r="C309" s="869" t="s">
        <v>81</v>
      </c>
      <c r="D309" s="1413">
        <f>SUM(D303:D308)</f>
        <v>3632.5116050000006</v>
      </c>
      <c r="E309" s="869">
        <f>SUM(E303:E308)</f>
        <v>3790.4600640834574</v>
      </c>
      <c r="F309" s="882">
        <f t="shared" si="21"/>
        <v>157.94845908345678</v>
      </c>
      <c r="G309" s="869"/>
      <c r="H309" s="869"/>
      <c r="I309" s="869"/>
      <c r="J309" s="869"/>
    </row>
    <row r="310" spans="2:10" x14ac:dyDescent="0.25">
      <c r="B310" s="878">
        <f t="shared" si="22"/>
        <v>20</v>
      </c>
      <c r="C310" s="866" t="s">
        <v>80</v>
      </c>
      <c r="D310" s="865">
        <f>D239+D274</f>
        <v>56.9</v>
      </c>
      <c r="E310" s="866">
        <f>E239+E274</f>
        <v>26.840000000000003</v>
      </c>
      <c r="F310" s="1064">
        <f t="shared" si="21"/>
        <v>-30.059999999999995</v>
      </c>
      <c r="G310" s="869"/>
      <c r="H310" s="869"/>
      <c r="I310" s="869"/>
      <c r="J310" s="866"/>
    </row>
    <row r="311" spans="2:10" x14ac:dyDescent="0.25">
      <c r="B311" s="878">
        <f t="shared" si="22"/>
        <v>21</v>
      </c>
      <c r="C311" s="866" t="s">
        <v>260</v>
      </c>
      <c r="D311" s="865">
        <f>D240+D275</f>
        <v>0</v>
      </c>
      <c r="E311" s="866">
        <f>E240+E275</f>
        <v>0</v>
      </c>
      <c r="F311" s="1064">
        <f t="shared" si="21"/>
        <v>0</v>
      </c>
      <c r="G311" s="869"/>
      <c r="H311" s="869"/>
      <c r="I311" s="869"/>
      <c r="J311" s="866"/>
    </row>
    <row r="312" spans="2:10" x14ac:dyDescent="0.25">
      <c r="B312" s="878">
        <f t="shared" si="22"/>
        <v>22</v>
      </c>
      <c r="C312" s="866" t="s">
        <v>261</v>
      </c>
      <c r="D312" s="865">
        <f>D276</f>
        <v>0</v>
      </c>
      <c r="E312" s="866">
        <f>E276</f>
        <v>0</v>
      </c>
      <c r="F312" s="1064">
        <f t="shared" si="21"/>
        <v>0</v>
      </c>
      <c r="G312" s="869"/>
      <c r="H312" s="869"/>
      <c r="I312" s="869"/>
      <c r="J312" s="866"/>
    </row>
    <row r="313" spans="2:10" x14ac:dyDescent="0.25">
      <c r="B313" s="878">
        <v>22</v>
      </c>
      <c r="C313" s="866" t="s">
        <v>290</v>
      </c>
      <c r="D313" s="865">
        <f>D277</f>
        <v>0</v>
      </c>
      <c r="E313" s="866">
        <f>E277</f>
        <v>0</v>
      </c>
      <c r="F313" s="1064">
        <f t="shared" si="21"/>
        <v>0</v>
      </c>
      <c r="G313" s="866"/>
      <c r="H313" s="866"/>
      <c r="I313" s="866"/>
      <c r="J313" s="866"/>
    </row>
    <row r="314" spans="2:10" x14ac:dyDescent="0.25">
      <c r="B314" s="879" t="s">
        <v>83</v>
      </c>
      <c r="C314" s="869" t="s">
        <v>286</v>
      </c>
      <c r="D314" s="1413">
        <f>D309-D310</f>
        <v>3575.6116050000005</v>
      </c>
      <c r="E314" s="869">
        <f>E309-E310</f>
        <v>3763.6200640834572</v>
      </c>
      <c r="F314" s="882">
        <f t="shared" si="21"/>
        <v>188.00845908345673</v>
      </c>
      <c r="G314" s="869"/>
      <c r="H314" s="869"/>
      <c r="I314" s="869"/>
      <c r="J314" s="869"/>
    </row>
    <row r="315" spans="2:10" x14ac:dyDescent="0.25">
      <c r="B315" s="879"/>
      <c r="C315" s="869" t="s">
        <v>1323</v>
      </c>
      <c r="D315" s="1477">
        <v>-340.93</v>
      </c>
      <c r="E315" s="882">
        <f>SUM('ARR-Summary'!L95:L96)</f>
        <v>-340.93</v>
      </c>
      <c r="F315" s="882">
        <f t="shared" si="21"/>
        <v>0</v>
      </c>
      <c r="G315" s="869"/>
      <c r="H315" s="869"/>
      <c r="I315" s="869"/>
      <c r="J315" s="869"/>
    </row>
    <row r="316" spans="2:10" x14ac:dyDescent="0.25">
      <c r="B316" s="879"/>
      <c r="C316" s="869" t="s">
        <v>1643</v>
      </c>
      <c r="D316" s="1413">
        <f>D314+D315</f>
        <v>3234.6816050000007</v>
      </c>
      <c r="E316" s="1413">
        <f>E314+E315</f>
        <v>3422.6900640834574</v>
      </c>
      <c r="F316" s="1477">
        <f>F314+F315</f>
        <v>188.00845908345673</v>
      </c>
      <c r="G316" s="869"/>
      <c r="H316" s="869"/>
      <c r="I316" s="869"/>
      <c r="J316" s="869"/>
    </row>
    <row r="317" spans="2:10" x14ac:dyDescent="0.25">
      <c r="B317" s="878"/>
      <c r="C317" s="866"/>
      <c r="D317" s="865"/>
      <c r="E317" s="866"/>
      <c r="F317" s="1064">
        <f>E317-D317</f>
        <v>0</v>
      </c>
      <c r="G317" s="866"/>
      <c r="H317" s="866"/>
      <c r="I317" s="866"/>
      <c r="J317" s="866"/>
    </row>
    <row r="318" spans="2:10" x14ac:dyDescent="0.25">
      <c r="B318" s="880" t="s">
        <v>89</v>
      </c>
      <c r="C318" s="869" t="s">
        <v>170</v>
      </c>
      <c r="D318" s="1413">
        <f>D319</f>
        <v>3423.41</v>
      </c>
      <c r="E318" s="869">
        <f>E319</f>
        <v>2995.1919813043796</v>
      </c>
      <c r="F318" s="882">
        <f>E318-D318</f>
        <v>-428.21801869562023</v>
      </c>
      <c r="G318" s="869"/>
      <c r="H318" s="869"/>
      <c r="I318" s="869"/>
      <c r="J318" s="869"/>
    </row>
    <row r="319" spans="2:10" x14ac:dyDescent="0.25">
      <c r="B319" s="881">
        <v>23</v>
      </c>
      <c r="C319" s="868" t="s">
        <v>171</v>
      </c>
      <c r="D319" s="865">
        <v>3423.41</v>
      </c>
      <c r="E319" s="866">
        <f>'F13'!I145</f>
        <v>2995.1919813043796</v>
      </c>
      <c r="F319" s="1064">
        <f>E319-D319</f>
        <v>-428.21801869562023</v>
      </c>
      <c r="G319" s="866"/>
      <c r="H319" s="866"/>
      <c r="I319" s="866"/>
      <c r="J319" s="866"/>
    </row>
    <row r="320" spans="2:10" x14ac:dyDescent="0.25">
      <c r="B320" s="881"/>
      <c r="C320" s="868"/>
      <c r="D320" s="865"/>
      <c r="E320" s="866"/>
      <c r="F320" s="1064">
        <f>E320-D320</f>
        <v>0</v>
      </c>
      <c r="G320" s="866"/>
      <c r="H320" s="866"/>
      <c r="I320" s="866"/>
      <c r="J320" s="866"/>
    </row>
    <row r="321" spans="2:10" x14ac:dyDescent="0.25">
      <c r="B321" s="880" t="s">
        <v>90</v>
      </c>
      <c r="C321" s="870" t="s">
        <v>175</v>
      </c>
      <c r="D321" s="882">
        <f>D316-D318</f>
        <v>-188.72839499999918</v>
      </c>
      <c r="E321" s="882">
        <f>E316-E318</f>
        <v>427.49808277907778</v>
      </c>
      <c r="F321" s="882">
        <f>F316-F318</f>
        <v>616.22647777907696</v>
      </c>
      <c r="G321" s="869"/>
      <c r="H321" s="869"/>
      <c r="I321" s="869"/>
      <c r="J321" s="869"/>
    </row>
    <row r="322" spans="2:10" x14ac:dyDescent="0.25">
      <c r="F322" s="784"/>
    </row>
    <row r="323" spans="2:10" hidden="1" x14ac:dyDescent="0.25">
      <c r="B323" s="873" t="s">
        <v>1322</v>
      </c>
    </row>
    <row r="324" spans="2:10" hidden="1" x14ac:dyDescent="0.25">
      <c r="B324" s="873" t="s">
        <v>845</v>
      </c>
    </row>
  </sheetData>
  <pageMargins left="1.1023622047244095" right="0.27559055118110237" top="1.2204724409448819" bottom="0.98425196850393704" header="0.51181102362204722" footer="0.51181102362204722"/>
  <pageSetup paperSize="9" scale="69" fitToHeight="3" orientation="landscape" r:id="rId1"/>
  <headerFooter alignWithMargins="0"/>
  <rowBreaks count="8" manualBreakCount="8">
    <brk id="32" min="1" max="9" man="1"/>
    <brk id="67" min="1" max="9" man="1"/>
    <brk id="108" min="1" max="9" man="1"/>
    <brk id="138" min="1" max="9" man="1"/>
    <brk id="179" min="1" max="9" man="1"/>
    <brk id="218" min="1" max="9" man="1"/>
    <brk id="249" min="1" max="9" man="1"/>
    <brk id="286" min="1" max="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16"/>
  <sheetViews>
    <sheetView showGridLines="0" tabSelected="1" view="pageBreakPreview" zoomScale="36" zoomScaleNormal="56" zoomScaleSheetLayoutView="100" workbookViewId="0"/>
  </sheetViews>
  <sheetFormatPr defaultColWidth="9.1796875" defaultRowHeight="12.5" x14ac:dyDescent="0.25"/>
  <cols>
    <col min="1" max="1" width="14.7265625" style="1860" customWidth="1"/>
    <col min="2" max="2" width="9.81640625" style="1887" customWidth="1"/>
    <col min="3" max="5" width="21.7265625" style="1860" customWidth="1"/>
    <col min="6" max="6" width="19.81640625" style="1860" customWidth="1"/>
    <col min="7" max="7" width="19" style="1860" customWidth="1"/>
    <col min="8" max="16" width="22.26953125" style="1860" customWidth="1"/>
    <col min="17" max="17" width="23.453125" style="1860" customWidth="1"/>
    <col min="18" max="30" width="22.26953125" style="1860" customWidth="1"/>
    <col min="31" max="31" width="9.1796875" style="1860"/>
    <col min="32" max="32" width="25.81640625" style="1860" customWidth="1"/>
    <col min="33" max="33" width="22.1796875" style="1860" customWidth="1"/>
    <col min="34" max="16384" width="9.1796875" style="1860"/>
  </cols>
  <sheetData>
    <row r="2" spans="1:30" ht="14" x14ac:dyDescent="0.25">
      <c r="A2" s="2202" t="s">
        <v>1027</v>
      </c>
      <c r="B2" s="2257"/>
      <c r="C2" s="2257"/>
      <c r="D2" s="2257"/>
      <c r="E2" s="2257"/>
      <c r="F2" s="2257"/>
      <c r="G2" s="2257"/>
      <c r="H2" s="2257"/>
      <c r="I2" s="2257"/>
      <c r="J2" s="2257"/>
      <c r="K2" s="2257"/>
      <c r="L2" s="2257"/>
      <c r="M2" s="2257"/>
      <c r="N2" s="2257"/>
      <c r="O2" s="2257"/>
      <c r="P2" s="2257"/>
      <c r="Q2" s="2257"/>
      <c r="R2" s="2257"/>
      <c r="S2" s="2257"/>
      <c r="T2" s="2257"/>
      <c r="U2" s="2257"/>
      <c r="V2" s="2257"/>
    </row>
    <row r="3" spans="1:30" ht="14" x14ac:dyDescent="0.25">
      <c r="A3" s="2202" t="s">
        <v>803</v>
      </c>
      <c r="B3" s="2257"/>
      <c r="C3" s="2257"/>
      <c r="D3" s="2257"/>
      <c r="E3" s="2257"/>
      <c r="F3" s="2257"/>
      <c r="G3" s="2257"/>
      <c r="H3" s="2257"/>
      <c r="I3" s="2257"/>
      <c r="J3" s="2257"/>
      <c r="K3" s="2257"/>
      <c r="L3" s="2257"/>
      <c r="M3" s="2257"/>
      <c r="N3" s="2257"/>
      <c r="O3" s="2257"/>
      <c r="P3" s="2257"/>
      <c r="Q3" s="2257"/>
      <c r="R3" s="2257"/>
      <c r="S3" s="2257"/>
      <c r="T3" s="2257"/>
      <c r="U3" s="2257"/>
      <c r="V3" s="2257"/>
    </row>
    <row r="4" spans="1:30" ht="14" x14ac:dyDescent="0.25">
      <c r="A4" s="2494" t="s">
        <v>743</v>
      </c>
      <c r="B4" s="2495"/>
      <c r="C4" s="2495"/>
      <c r="D4" s="2495"/>
      <c r="E4" s="2495"/>
      <c r="F4" s="2495"/>
      <c r="G4" s="2495"/>
      <c r="H4" s="2495"/>
      <c r="I4" s="2495"/>
      <c r="J4" s="2495"/>
      <c r="K4" s="2495"/>
      <c r="L4" s="2495"/>
      <c r="M4" s="2495"/>
      <c r="N4" s="2495"/>
      <c r="O4" s="2495"/>
      <c r="P4" s="2495"/>
      <c r="Q4" s="2495"/>
      <c r="R4" s="2495"/>
      <c r="S4" s="2495"/>
      <c r="T4" s="2495"/>
      <c r="U4" s="2495"/>
      <c r="V4" s="2495"/>
    </row>
    <row r="5" spans="1:30" ht="13" x14ac:dyDescent="0.3">
      <c r="B5" s="1861" t="s">
        <v>710</v>
      </c>
      <c r="H5" s="1862" t="s">
        <v>16</v>
      </c>
    </row>
    <row r="6" spans="1:30" ht="26" x14ac:dyDescent="0.35">
      <c r="A6" s="1863"/>
      <c r="B6" s="2496" t="s">
        <v>746</v>
      </c>
      <c r="C6" s="2498" t="s">
        <v>890</v>
      </c>
      <c r="D6" s="2498" t="s">
        <v>1946</v>
      </c>
      <c r="E6" s="2498" t="s">
        <v>1947</v>
      </c>
      <c r="F6" s="2498" t="s">
        <v>711</v>
      </c>
      <c r="G6" s="2498" t="s">
        <v>747</v>
      </c>
      <c r="H6" s="2500" t="s">
        <v>748</v>
      </c>
      <c r="I6" s="2500"/>
      <c r="J6" s="2500"/>
      <c r="K6" s="2500"/>
      <c r="L6" s="2500"/>
      <c r="M6" s="2500"/>
      <c r="N6" s="2500"/>
      <c r="O6" s="2500"/>
      <c r="P6" s="2500"/>
      <c r="Q6" s="2500"/>
      <c r="R6" s="2500"/>
      <c r="S6" s="2500"/>
      <c r="T6" s="2500"/>
      <c r="U6" s="2500"/>
      <c r="V6" s="2500"/>
      <c r="W6" s="2500"/>
      <c r="X6" s="2500"/>
      <c r="Y6" s="2500"/>
      <c r="Z6" s="2500"/>
      <c r="AA6" s="2500"/>
      <c r="AB6" s="1864" t="s">
        <v>726</v>
      </c>
      <c r="AC6" s="1864" t="s">
        <v>727</v>
      </c>
      <c r="AD6" s="1864" t="s">
        <v>728</v>
      </c>
    </row>
    <row r="7" spans="1:30" ht="13" x14ac:dyDescent="0.25">
      <c r="A7" s="1863"/>
      <c r="B7" s="2497"/>
      <c r="C7" s="2499"/>
      <c r="D7" s="2499"/>
      <c r="E7" s="2499"/>
      <c r="F7" s="2499"/>
      <c r="G7" s="2499"/>
      <c r="H7" s="1865" t="s">
        <v>712</v>
      </c>
      <c r="I7" s="1865" t="s">
        <v>713</v>
      </c>
      <c r="J7" s="1865" t="s">
        <v>714</v>
      </c>
      <c r="K7" s="1865" t="s">
        <v>715</v>
      </c>
      <c r="L7" s="1865" t="s">
        <v>716</v>
      </c>
      <c r="M7" s="1865" t="s">
        <v>717</v>
      </c>
      <c r="N7" s="1865" t="s">
        <v>718</v>
      </c>
      <c r="O7" s="1865" t="s">
        <v>719</v>
      </c>
      <c r="P7" s="1865" t="s">
        <v>720</v>
      </c>
      <c r="Q7" s="1865" t="s">
        <v>721</v>
      </c>
      <c r="R7" s="1865" t="s">
        <v>722</v>
      </c>
      <c r="S7" s="1865" t="s">
        <v>723</v>
      </c>
      <c r="T7" s="1865" t="s">
        <v>724</v>
      </c>
      <c r="U7" s="1865" t="s">
        <v>725</v>
      </c>
      <c r="V7" s="1865" t="s">
        <v>179</v>
      </c>
      <c r="W7" s="1865" t="s">
        <v>186</v>
      </c>
      <c r="X7" s="1865" t="s">
        <v>426</v>
      </c>
      <c r="Y7" s="1865" t="s">
        <v>427</v>
      </c>
      <c r="Z7" s="1865" t="s">
        <v>428</v>
      </c>
      <c r="AA7" s="1865" t="s">
        <v>429</v>
      </c>
      <c r="AB7" s="1864"/>
      <c r="AC7" s="1864"/>
      <c r="AD7" s="1864"/>
    </row>
    <row r="8" spans="1:30" ht="13" x14ac:dyDescent="0.25">
      <c r="A8" s="1863"/>
      <c r="B8" s="1866"/>
      <c r="C8" s="1867"/>
      <c r="D8" s="1867"/>
      <c r="E8" s="1867"/>
      <c r="F8" s="1867"/>
      <c r="G8" s="1867"/>
      <c r="H8" s="1865"/>
      <c r="I8" s="1865"/>
      <c r="J8" s="1865"/>
      <c r="K8" s="1865"/>
      <c r="L8" s="1865"/>
      <c r="M8" s="1865"/>
      <c r="N8" s="1865"/>
      <c r="O8" s="1865"/>
      <c r="P8" s="1865"/>
      <c r="Q8" s="1865"/>
      <c r="R8" s="1865"/>
      <c r="S8" s="1865"/>
      <c r="T8" s="1865"/>
      <c r="U8" s="1865"/>
      <c r="V8" s="1865"/>
      <c r="W8" s="1865"/>
      <c r="X8" s="1865"/>
      <c r="Y8" s="1865"/>
      <c r="Z8" s="1865"/>
      <c r="AA8" s="1865"/>
      <c r="AB8" s="1864"/>
      <c r="AC8" s="1864"/>
      <c r="AD8" s="1864"/>
    </row>
    <row r="9" spans="1:30" x14ac:dyDescent="0.25">
      <c r="A9" s="1868" t="s">
        <v>729</v>
      </c>
      <c r="B9" s="1869">
        <v>2005</v>
      </c>
      <c r="C9" s="1870"/>
      <c r="D9" s="1870"/>
      <c r="E9" s="1870"/>
      <c r="F9" s="284"/>
      <c r="G9" s="284"/>
      <c r="H9" s="291"/>
      <c r="I9" s="291"/>
      <c r="J9" s="291"/>
      <c r="K9" s="291"/>
      <c r="L9" s="291"/>
      <c r="M9" s="291"/>
      <c r="N9" s="291"/>
      <c r="O9" s="291"/>
      <c r="P9" s="291"/>
      <c r="Q9" s="291"/>
      <c r="R9" s="291"/>
      <c r="S9" s="291"/>
      <c r="T9" s="291"/>
      <c r="U9" s="291"/>
      <c r="V9" s="291"/>
      <c r="W9" s="291"/>
      <c r="X9" s="291"/>
      <c r="Y9" s="291"/>
      <c r="Z9" s="291"/>
      <c r="AA9" s="291"/>
      <c r="AB9" s="284"/>
      <c r="AC9" s="284"/>
      <c r="AD9" s="284"/>
    </row>
    <row r="10" spans="1:30" x14ac:dyDescent="0.25">
      <c r="A10" s="1868" t="s">
        <v>730</v>
      </c>
      <c r="B10" s="1869" t="s">
        <v>712</v>
      </c>
      <c r="C10" s="1868"/>
      <c r="D10" s="1868"/>
      <c r="E10" s="1868"/>
      <c r="F10" s="284"/>
      <c r="G10" s="284"/>
      <c r="H10" s="1872">
        <f>+$F10</f>
        <v>0</v>
      </c>
      <c r="I10" s="291"/>
      <c r="J10" s="291"/>
      <c r="K10" s="291"/>
      <c r="L10" s="291"/>
      <c r="M10" s="291"/>
      <c r="N10" s="291"/>
      <c r="O10" s="291"/>
      <c r="P10" s="291"/>
      <c r="Q10" s="291"/>
      <c r="R10" s="291"/>
      <c r="S10" s="291"/>
      <c r="T10" s="291"/>
      <c r="U10" s="291"/>
      <c r="V10" s="291"/>
      <c r="W10" s="291"/>
      <c r="X10" s="291"/>
      <c r="Y10" s="291"/>
      <c r="Z10" s="291"/>
      <c r="AA10" s="291"/>
      <c r="AB10" s="284"/>
      <c r="AC10" s="284"/>
      <c r="AD10" s="284"/>
    </row>
    <row r="11" spans="1:30" x14ac:dyDescent="0.25">
      <c r="A11" s="1868" t="s">
        <v>730</v>
      </c>
      <c r="B11" s="1869" t="s">
        <v>713</v>
      </c>
      <c r="C11" s="1868"/>
      <c r="D11" s="1868"/>
      <c r="E11" s="1868"/>
      <c r="F11" s="284"/>
      <c r="G11" s="284"/>
      <c r="H11" s="292"/>
      <c r="I11" s="1872">
        <f>+$F11</f>
        <v>0</v>
      </c>
      <c r="J11" s="291"/>
      <c r="K11" s="291"/>
      <c r="L11" s="291"/>
      <c r="M11" s="291"/>
      <c r="N11" s="291"/>
      <c r="O11" s="291"/>
      <c r="P11" s="291"/>
      <c r="Q11" s="291"/>
      <c r="R11" s="291"/>
      <c r="S11" s="291"/>
      <c r="T11" s="291"/>
      <c r="U11" s="291"/>
      <c r="V11" s="291"/>
      <c r="W11" s="291"/>
      <c r="X11" s="291"/>
      <c r="Y11" s="291"/>
      <c r="Z11" s="291"/>
      <c r="AA11" s="291"/>
      <c r="AB11" s="284"/>
      <c r="AC11" s="284"/>
      <c r="AD11" s="284"/>
    </row>
    <row r="12" spans="1:30" x14ac:dyDescent="0.25">
      <c r="A12" s="1868" t="s">
        <v>730</v>
      </c>
      <c r="B12" s="1869" t="s">
        <v>714</v>
      </c>
      <c r="C12" s="1868"/>
      <c r="D12" s="1868"/>
      <c r="E12" s="1868"/>
      <c r="F12" s="284"/>
      <c r="G12" s="284"/>
      <c r="H12" s="292"/>
      <c r="I12" s="292"/>
      <c r="J12" s="1872">
        <f>+$F12</f>
        <v>0</v>
      </c>
      <c r="K12" s="291"/>
      <c r="L12" s="291"/>
      <c r="M12" s="291"/>
      <c r="N12" s="291"/>
      <c r="O12" s="291"/>
      <c r="P12" s="291"/>
      <c r="Q12" s="291"/>
      <c r="R12" s="291"/>
      <c r="S12" s="291"/>
      <c r="T12" s="291"/>
      <c r="U12" s="291"/>
      <c r="V12" s="291"/>
      <c r="W12" s="291"/>
      <c r="X12" s="291"/>
      <c r="Y12" s="291"/>
      <c r="Z12" s="291"/>
      <c r="AA12" s="291"/>
      <c r="AB12" s="284"/>
      <c r="AC12" s="284"/>
      <c r="AD12" s="284"/>
    </row>
    <row r="13" spans="1:30" x14ac:dyDescent="0.25">
      <c r="A13" s="1868" t="s">
        <v>730</v>
      </c>
      <c r="B13" s="1869" t="s">
        <v>715</v>
      </c>
      <c r="C13" s="1868"/>
      <c r="D13" s="1868"/>
      <c r="E13" s="1868"/>
      <c r="F13" s="284"/>
      <c r="G13" s="284"/>
      <c r="H13" s="292"/>
      <c r="I13" s="292"/>
      <c r="J13" s="292"/>
      <c r="K13" s="1872">
        <f>+$F13</f>
        <v>0</v>
      </c>
      <c r="L13" s="291"/>
      <c r="M13" s="291"/>
      <c r="N13" s="291"/>
      <c r="O13" s="291"/>
      <c r="P13" s="291"/>
      <c r="Q13" s="291"/>
      <c r="R13" s="291"/>
      <c r="S13" s="291"/>
      <c r="T13" s="291"/>
      <c r="U13" s="291"/>
      <c r="V13" s="291"/>
      <c r="W13" s="291"/>
      <c r="X13" s="291"/>
      <c r="Y13" s="291"/>
      <c r="Z13" s="291"/>
      <c r="AA13" s="291"/>
      <c r="AB13" s="284"/>
      <c r="AC13" s="284"/>
      <c r="AD13" s="284"/>
    </row>
    <row r="14" spans="1:30" x14ac:dyDescent="0.25">
      <c r="A14" s="1868" t="s">
        <v>730</v>
      </c>
      <c r="B14" s="1869" t="s">
        <v>716</v>
      </c>
      <c r="C14" s="1868"/>
      <c r="D14" s="1868"/>
      <c r="E14" s="1868"/>
      <c r="F14" s="284"/>
      <c r="G14" s="284"/>
      <c r="H14" s="292"/>
      <c r="I14" s="292"/>
      <c r="J14" s="292"/>
      <c r="K14" s="292"/>
      <c r="L14" s="1872">
        <f>+$F14</f>
        <v>0</v>
      </c>
      <c r="M14" s="291"/>
      <c r="N14" s="291"/>
      <c r="O14" s="291"/>
      <c r="P14" s="291"/>
      <c r="Q14" s="291"/>
      <c r="R14" s="291"/>
      <c r="S14" s="291"/>
      <c r="T14" s="291"/>
      <c r="U14" s="291"/>
      <c r="V14" s="291"/>
      <c r="W14" s="291"/>
      <c r="X14" s="291"/>
      <c r="Y14" s="291"/>
      <c r="Z14" s="291"/>
      <c r="AA14" s="291"/>
      <c r="AB14" s="284"/>
      <c r="AC14" s="284"/>
      <c r="AD14" s="284"/>
    </row>
    <row r="15" spans="1:30" x14ac:dyDescent="0.25">
      <c r="A15" s="1868" t="s">
        <v>730</v>
      </c>
      <c r="B15" s="1869" t="s">
        <v>717</v>
      </c>
      <c r="C15" s="1868"/>
      <c r="D15" s="1868"/>
      <c r="E15" s="1868"/>
      <c r="F15" s="284"/>
      <c r="G15" s="284"/>
      <c r="H15" s="292"/>
      <c r="I15" s="292"/>
      <c r="J15" s="292"/>
      <c r="K15" s="292"/>
      <c r="L15" s="292"/>
      <c r="M15" s="1872">
        <f>+$F15</f>
        <v>0</v>
      </c>
      <c r="N15" s="291"/>
      <c r="O15" s="291"/>
      <c r="P15" s="291"/>
      <c r="Q15" s="291"/>
      <c r="R15" s="291"/>
      <c r="S15" s="291"/>
      <c r="T15" s="291"/>
      <c r="U15" s="291"/>
      <c r="V15" s="291"/>
      <c r="W15" s="291"/>
      <c r="X15" s="291"/>
      <c r="Y15" s="291"/>
      <c r="Z15" s="291"/>
      <c r="AA15" s="291"/>
      <c r="AB15" s="284"/>
      <c r="AC15" s="284"/>
      <c r="AD15" s="284"/>
    </row>
    <row r="16" spans="1:30" ht="14" x14ac:dyDescent="0.3">
      <c r="A16" s="1868" t="s">
        <v>730</v>
      </c>
      <c r="B16" s="1869" t="s">
        <v>718</v>
      </c>
      <c r="C16" s="1868"/>
      <c r="D16" s="1868"/>
      <c r="E16" s="1868"/>
      <c r="F16" s="284"/>
      <c r="G16" s="1074"/>
      <c r="H16" s="292"/>
      <c r="I16" s="292"/>
      <c r="J16" s="292"/>
      <c r="K16" s="292"/>
      <c r="L16" s="292"/>
      <c r="M16" s="292"/>
      <c r="N16" s="1872">
        <f>+$F16</f>
        <v>0</v>
      </c>
      <c r="O16" s="291"/>
      <c r="P16" s="291"/>
      <c r="Q16" s="291"/>
      <c r="R16" s="291"/>
      <c r="S16" s="291"/>
      <c r="T16" s="291"/>
      <c r="U16" s="291"/>
      <c r="V16" s="291"/>
      <c r="W16" s="291"/>
      <c r="X16" s="291"/>
      <c r="Y16" s="291"/>
      <c r="Z16" s="291"/>
      <c r="AA16" s="291"/>
      <c r="AB16" s="284"/>
      <c r="AC16" s="284"/>
      <c r="AD16" s="284"/>
    </row>
    <row r="17" spans="1:34" x14ac:dyDescent="0.25">
      <c r="A17" s="1868" t="s">
        <v>730</v>
      </c>
      <c r="B17" s="1869" t="s">
        <v>719</v>
      </c>
      <c r="C17" s="1868"/>
      <c r="D17" s="1868"/>
      <c r="E17" s="1868"/>
      <c r="F17" s="284"/>
      <c r="G17" s="284"/>
      <c r="H17" s="292"/>
      <c r="I17" s="292"/>
      <c r="J17" s="292"/>
      <c r="K17" s="292"/>
      <c r="L17" s="292"/>
      <c r="M17" s="292"/>
      <c r="N17" s="292"/>
      <c r="O17" s="1872">
        <f>+$F17</f>
        <v>0</v>
      </c>
      <c r="P17" s="291"/>
      <c r="Q17" s="291"/>
      <c r="R17" s="291"/>
      <c r="S17" s="291"/>
      <c r="T17" s="291"/>
      <c r="U17" s="291"/>
      <c r="V17" s="291"/>
      <c r="W17" s="291"/>
      <c r="X17" s="291"/>
      <c r="Y17" s="291"/>
      <c r="Z17" s="291"/>
      <c r="AA17" s="291"/>
      <c r="AB17" s="284"/>
      <c r="AC17" s="284"/>
      <c r="AD17" s="284"/>
    </row>
    <row r="18" spans="1:34" x14ac:dyDescent="0.25">
      <c r="A18" s="1868" t="s">
        <v>730</v>
      </c>
      <c r="B18" s="1869" t="s">
        <v>720</v>
      </c>
      <c r="C18" s="1871">
        <f>43518264.05/10^7</f>
        <v>4.3518264049999997</v>
      </c>
      <c r="D18" s="1892">
        <v>0</v>
      </c>
      <c r="E18" s="1892">
        <v>0</v>
      </c>
      <c r="F18" s="1892">
        <v>0</v>
      </c>
      <c r="G18" s="1892"/>
      <c r="H18" s="292"/>
      <c r="I18" s="292"/>
      <c r="J18" s="292"/>
      <c r="K18" s="292"/>
      <c r="L18" s="292"/>
      <c r="M18" s="292"/>
      <c r="N18" s="292"/>
      <c r="O18" s="292"/>
      <c r="P18" s="1872">
        <f>+$F18</f>
        <v>0</v>
      </c>
      <c r="Q18" s="291"/>
      <c r="R18" s="291"/>
      <c r="S18" s="291"/>
      <c r="T18" s="291"/>
      <c r="U18" s="291"/>
      <c r="V18" s="291"/>
      <c r="W18" s="291"/>
      <c r="X18" s="291"/>
      <c r="Y18" s="291"/>
      <c r="Z18" s="291"/>
      <c r="AA18" s="291"/>
      <c r="AB18" s="284"/>
      <c r="AC18" s="284"/>
      <c r="AD18" s="284"/>
    </row>
    <row r="19" spans="1:34" x14ac:dyDescent="0.25">
      <c r="A19" s="1868" t="s">
        <v>730</v>
      </c>
      <c r="B19" s="1869" t="s">
        <v>721</v>
      </c>
      <c r="C19" s="1871">
        <f>+C18+D18-E18-F18</f>
        <v>4.3518264049999997</v>
      </c>
      <c r="D19" s="1892">
        <v>0</v>
      </c>
      <c r="E19" s="1892">
        <v>0</v>
      </c>
      <c r="F19" s="1892">
        <v>0</v>
      </c>
      <c r="G19" s="1892"/>
      <c r="H19" s="292"/>
      <c r="I19" s="292"/>
      <c r="J19" s="292"/>
      <c r="K19" s="292"/>
      <c r="L19" s="292"/>
      <c r="M19" s="292"/>
      <c r="N19" s="292"/>
      <c r="O19" s="292"/>
      <c r="P19" s="292"/>
      <c r="Q19" s="1872">
        <f>+$F19</f>
        <v>0</v>
      </c>
      <c r="R19" s="291"/>
      <c r="S19" s="291"/>
      <c r="T19" s="291"/>
      <c r="U19" s="291"/>
      <c r="V19" s="291"/>
      <c r="W19" s="291"/>
      <c r="X19" s="291"/>
      <c r="Y19" s="291"/>
      <c r="Z19" s="291"/>
      <c r="AA19" s="291"/>
      <c r="AB19" s="284"/>
      <c r="AC19" s="284"/>
      <c r="AD19" s="284"/>
    </row>
    <row r="20" spans="1:34" x14ac:dyDescent="0.25">
      <c r="A20" s="1868" t="s">
        <v>730</v>
      </c>
      <c r="B20" s="1869" t="s">
        <v>722</v>
      </c>
      <c r="C20" s="1871">
        <f t="shared" ref="C20:C29" si="0">+C19+D19-E19-F19</f>
        <v>4.3518264049999997</v>
      </c>
      <c r="D20" s="1892">
        <v>0</v>
      </c>
      <c r="E20" s="1892">
        <v>0</v>
      </c>
      <c r="F20" s="1892">
        <v>0</v>
      </c>
      <c r="G20" s="1892"/>
      <c r="H20" s="292"/>
      <c r="I20" s="292"/>
      <c r="J20" s="292"/>
      <c r="K20" s="292"/>
      <c r="L20" s="292"/>
      <c r="M20" s="292"/>
      <c r="N20" s="292"/>
      <c r="O20" s="292"/>
      <c r="P20" s="292"/>
      <c r="Q20" s="292"/>
      <c r="R20" s="1872">
        <f>+$F20</f>
        <v>0</v>
      </c>
      <c r="S20" s="291"/>
      <c r="T20" s="291"/>
      <c r="U20" s="291"/>
      <c r="V20" s="291"/>
      <c r="W20" s="291"/>
      <c r="X20" s="291"/>
      <c r="Y20" s="291"/>
      <c r="Z20" s="291"/>
      <c r="AA20" s="291"/>
      <c r="AB20" s="284"/>
      <c r="AC20" s="284"/>
      <c r="AD20" s="284"/>
    </row>
    <row r="21" spans="1:34" x14ac:dyDescent="0.25">
      <c r="A21" s="1868" t="s">
        <v>730</v>
      </c>
      <c r="B21" s="1869" t="s">
        <v>723</v>
      </c>
      <c r="C21" s="1871">
        <f t="shared" si="0"/>
        <v>4.3518264049999997</v>
      </c>
      <c r="D21" s="1892">
        <v>0</v>
      </c>
      <c r="E21" s="1892">
        <v>0</v>
      </c>
      <c r="F21" s="1892">
        <v>0</v>
      </c>
      <c r="G21" s="1892"/>
      <c r="H21" s="292"/>
      <c r="I21" s="292"/>
      <c r="J21" s="292"/>
      <c r="K21" s="292"/>
      <c r="L21" s="292"/>
      <c r="M21" s="292"/>
      <c r="N21" s="292"/>
      <c r="O21" s="292"/>
      <c r="P21" s="292"/>
      <c r="Q21" s="292"/>
      <c r="R21" s="292"/>
      <c r="S21" s="1872">
        <f>+$F21</f>
        <v>0</v>
      </c>
      <c r="T21" s="291"/>
      <c r="U21" s="291"/>
      <c r="V21" s="291"/>
      <c r="W21" s="291"/>
      <c r="X21" s="291"/>
      <c r="Y21" s="291"/>
      <c r="Z21" s="291"/>
      <c r="AA21" s="291"/>
      <c r="AB21" s="284"/>
      <c r="AC21" s="284"/>
      <c r="AD21" s="284"/>
    </row>
    <row r="22" spans="1:34" x14ac:dyDescent="0.25">
      <c r="A22" s="1868" t="s">
        <v>730</v>
      </c>
      <c r="B22" s="1869" t="s">
        <v>724</v>
      </c>
      <c r="C22" s="1871">
        <f t="shared" si="0"/>
        <v>4.3518264049999997</v>
      </c>
      <c r="D22" s="1892">
        <v>0</v>
      </c>
      <c r="E22" s="1892">
        <v>0</v>
      </c>
      <c r="F22" s="1892">
        <v>0</v>
      </c>
      <c r="G22" s="1892"/>
      <c r="H22" s="292"/>
      <c r="I22" s="292"/>
      <c r="J22" s="292"/>
      <c r="K22" s="292"/>
      <c r="L22" s="292"/>
      <c r="M22" s="292"/>
      <c r="N22" s="292"/>
      <c r="O22" s="292"/>
      <c r="P22" s="292"/>
      <c r="Q22" s="292"/>
      <c r="R22" s="292"/>
      <c r="S22" s="292"/>
      <c r="T22" s="1872">
        <f>+$F22</f>
        <v>0</v>
      </c>
      <c r="U22" s="291"/>
      <c r="V22" s="291"/>
      <c r="W22" s="291"/>
      <c r="X22" s="291"/>
      <c r="Y22" s="291"/>
      <c r="Z22" s="291"/>
      <c r="AA22" s="291"/>
      <c r="AB22" s="284"/>
      <c r="AC22" s="284"/>
      <c r="AD22" s="284"/>
    </row>
    <row r="23" spans="1:34" x14ac:dyDescent="0.25">
      <c r="A23" s="1868" t="s">
        <v>730</v>
      </c>
      <c r="B23" s="1869" t="s">
        <v>725</v>
      </c>
      <c r="C23" s="1871">
        <f t="shared" si="0"/>
        <v>4.3518264049999997</v>
      </c>
      <c r="D23" s="1892">
        <v>0</v>
      </c>
      <c r="E23" s="1892">
        <v>0</v>
      </c>
      <c r="F23" s="1892">
        <v>0</v>
      </c>
      <c r="G23" s="1892"/>
      <c r="H23" s="292"/>
      <c r="I23" s="292"/>
      <c r="J23" s="292"/>
      <c r="K23" s="292"/>
      <c r="L23" s="292"/>
      <c r="M23" s="292"/>
      <c r="N23" s="292"/>
      <c r="O23" s="292"/>
      <c r="P23" s="292"/>
      <c r="Q23" s="292"/>
      <c r="R23" s="292"/>
      <c r="S23" s="292"/>
      <c r="T23" s="292"/>
      <c r="U23" s="1872">
        <f>+$F23</f>
        <v>0</v>
      </c>
      <c r="V23" s="291"/>
      <c r="W23" s="291"/>
      <c r="X23" s="291"/>
      <c r="Y23" s="291"/>
      <c r="Z23" s="291"/>
      <c r="AA23" s="291"/>
      <c r="AB23" s="284"/>
      <c r="AC23" s="284"/>
      <c r="AD23" s="284"/>
    </row>
    <row r="24" spans="1:34" x14ac:dyDescent="0.25">
      <c r="A24" s="1868" t="s">
        <v>730</v>
      </c>
      <c r="B24" s="1869" t="s">
        <v>731</v>
      </c>
      <c r="C24" s="1871">
        <f t="shared" si="0"/>
        <v>4.3518264049999997</v>
      </c>
      <c r="D24" s="1892">
        <v>0</v>
      </c>
      <c r="E24" s="1892">
        <v>0</v>
      </c>
      <c r="F24" s="1892">
        <v>0</v>
      </c>
      <c r="G24" s="1892"/>
      <c r="H24" s="292"/>
      <c r="I24" s="292"/>
      <c r="J24" s="292"/>
      <c r="K24" s="292"/>
      <c r="L24" s="292"/>
      <c r="M24" s="292"/>
      <c r="N24" s="292"/>
      <c r="O24" s="292"/>
      <c r="P24" s="292"/>
      <c r="Q24" s="292"/>
      <c r="R24" s="292"/>
      <c r="S24" s="292"/>
      <c r="T24" s="292"/>
      <c r="U24" s="292"/>
      <c r="V24" s="1872">
        <f>+$F24</f>
        <v>0</v>
      </c>
      <c r="W24" s="291"/>
      <c r="X24" s="291"/>
      <c r="Y24" s="291"/>
      <c r="Z24" s="291"/>
      <c r="AA24" s="291"/>
      <c r="AB24" s="284"/>
      <c r="AC24" s="284"/>
      <c r="AD24" s="284"/>
    </row>
    <row r="25" spans="1:34" x14ac:dyDescent="0.25">
      <c r="A25" s="1868" t="s">
        <v>730</v>
      </c>
      <c r="B25" s="1869" t="s">
        <v>732</v>
      </c>
      <c r="C25" s="1871">
        <f t="shared" si="0"/>
        <v>4.3518264049999997</v>
      </c>
      <c r="D25" s="1892">
        <v>0</v>
      </c>
      <c r="E25" s="1892">
        <v>0</v>
      </c>
      <c r="F25" s="1892">
        <v>0</v>
      </c>
      <c r="G25" s="1892"/>
      <c r="H25" s="292"/>
      <c r="I25" s="292"/>
      <c r="J25" s="292"/>
      <c r="K25" s="292"/>
      <c r="L25" s="292"/>
      <c r="M25" s="292"/>
      <c r="N25" s="292"/>
      <c r="O25" s="292"/>
      <c r="P25" s="292"/>
      <c r="Q25" s="292"/>
      <c r="R25" s="292"/>
      <c r="S25" s="292"/>
      <c r="T25" s="292"/>
      <c r="U25" s="292"/>
      <c r="V25" s="292"/>
      <c r="W25" s="1872">
        <f>+$F25</f>
        <v>0</v>
      </c>
      <c r="X25" s="291"/>
      <c r="Y25" s="291"/>
      <c r="Z25" s="291"/>
      <c r="AA25" s="291"/>
      <c r="AB25" s="284"/>
      <c r="AC25" s="284"/>
      <c r="AD25" s="284"/>
    </row>
    <row r="26" spans="1:34" x14ac:dyDescent="0.25">
      <c r="A26" s="1868" t="s">
        <v>730</v>
      </c>
      <c r="B26" s="1869" t="s">
        <v>733</v>
      </c>
      <c r="C26" s="1871">
        <f t="shared" si="0"/>
        <v>4.3518264049999997</v>
      </c>
      <c r="D26" s="1892">
        <v>0</v>
      </c>
      <c r="E26" s="1892">
        <v>0</v>
      </c>
      <c r="F26" s="1892">
        <v>0</v>
      </c>
      <c r="G26" s="1892"/>
      <c r="H26" s="292"/>
      <c r="I26" s="292"/>
      <c r="J26" s="292"/>
      <c r="K26" s="292"/>
      <c r="L26" s="292"/>
      <c r="M26" s="292"/>
      <c r="N26" s="292"/>
      <c r="O26" s="292"/>
      <c r="P26" s="292"/>
      <c r="Q26" s="292"/>
      <c r="R26" s="292"/>
      <c r="S26" s="292"/>
      <c r="T26" s="292"/>
      <c r="U26" s="292"/>
      <c r="V26" s="292"/>
      <c r="W26" s="292"/>
      <c r="X26" s="1872">
        <f>+$F26</f>
        <v>0</v>
      </c>
      <c r="Y26" s="291"/>
      <c r="Z26" s="291"/>
      <c r="AA26" s="291"/>
      <c r="AB26" s="284"/>
      <c r="AC26" s="284"/>
      <c r="AD26" s="284"/>
    </row>
    <row r="27" spans="1:34" x14ac:dyDescent="0.25">
      <c r="A27" s="1868" t="s">
        <v>730</v>
      </c>
      <c r="B27" s="1869" t="s">
        <v>734</v>
      </c>
      <c r="C27" s="1871">
        <f t="shared" si="0"/>
        <v>4.3518264049999997</v>
      </c>
      <c r="D27" s="284">
        <f>'F5'!E36</f>
        <v>0</v>
      </c>
      <c r="E27" s="284">
        <f>'F5'!F36</f>
        <v>0</v>
      </c>
      <c r="F27" s="284"/>
      <c r="G27" s="284"/>
      <c r="H27" s="292"/>
      <c r="I27" s="292"/>
      <c r="J27" s="292"/>
      <c r="K27" s="292"/>
      <c r="L27" s="292"/>
      <c r="M27" s="292"/>
      <c r="N27" s="292"/>
      <c r="O27" s="292"/>
      <c r="P27" s="292"/>
      <c r="Q27" s="292"/>
      <c r="R27" s="292"/>
      <c r="S27" s="292"/>
      <c r="T27" s="292"/>
      <c r="U27" s="292"/>
      <c r="V27" s="292"/>
      <c r="W27" s="292"/>
      <c r="X27" s="292"/>
      <c r="Y27" s="1872">
        <f>+$F27</f>
        <v>0</v>
      </c>
      <c r="Z27" s="291"/>
      <c r="AA27" s="291"/>
      <c r="AB27" s="284"/>
      <c r="AC27" s="284"/>
      <c r="AD27" s="284"/>
    </row>
    <row r="28" spans="1:34" x14ac:dyDescent="0.25">
      <c r="A28" s="1868" t="s">
        <v>730</v>
      </c>
      <c r="B28" s="1869" t="s">
        <v>735</v>
      </c>
      <c r="C28" s="1871">
        <f t="shared" si="0"/>
        <v>4.3518264049999997</v>
      </c>
      <c r="D28" s="284">
        <f>'F5'!I36</f>
        <v>0</v>
      </c>
      <c r="E28" s="284">
        <f>'F5'!J36</f>
        <v>0</v>
      </c>
      <c r="F28" s="284"/>
      <c r="G28" s="284"/>
      <c r="H28" s="292"/>
      <c r="I28" s="292"/>
      <c r="J28" s="292"/>
      <c r="K28" s="292"/>
      <c r="L28" s="292"/>
      <c r="M28" s="292"/>
      <c r="N28" s="292"/>
      <c r="O28" s="292"/>
      <c r="P28" s="292"/>
      <c r="Q28" s="292"/>
      <c r="R28" s="292"/>
      <c r="S28" s="292"/>
      <c r="T28" s="292"/>
      <c r="U28" s="292"/>
      <c r="V28" s="292"/>
      <c r="W28" s="292"/>
      <c r="X28" s="292"/>
      <c r="Y28" s="292"/>
      <c r="Z28" s="1872">
        <f>+$F28</f>
        <v>0</v>
      </c>
      <c r="AA28" s="291"/>
      <c r="AB28" s="284"/>
      <c r="AC28" s="284"/>
      <c r="AD28" s="284"/>
    </row>
    <row r="29" spans="1:34" x14ac:dyDescent="0.25">
      <c r="A29" s="1868" t="s">
        <v>730</v>
      </c>
      <c r="B29" s="1869" t="s">
        <v>736</v>
      </c>
      <c r="C29" s="1871">
        <f t="shared" si="0"/>
        <v>4.3518264049999997</v>
      </c>
      <c r="D29" s="284">
        <f>'F5'!M36</f>
        <v>0</v>
      </c>
      <c r="E29" s="284">
        <f>'F5'!N36</f>
        <v>0</v>
      </c>
      <c r="F29" s="284"/>
      <c r="G29" s="284"/>
      <c r="H29" s="292"/>
      <c r="I29" s="292"/>
      <c r="J29" s="292"/>
      <c r="K29" s="292"/>
      <c r="L29" s="292"/>
      <c r="M29" s="292"/>
      <c r="N29" s="292"/>
      <c r="O29" s="292"/>
      <c r="P29" s="292"/>
      <c r="Q29" s="292"/>
      <c r="R29" s="292"/>
      <c r="S29" s="292"/>
      <c r="T29" s="292"/>
      <c r="U29" s="292"/>
      <c r="V29" s="292"/>
      <c r="W29" s="292"/>
      <c r="X29" s="292"/>
      <c r="Y29" s="292"/>
      <c r="Z29" s="292"/>
      <c r="AA29" s="1872">
        <f>+$F29</f>
        <v>0</v>
      </c>
      <c r="AB29" s="284"/>
      <c r="AC29" s="284"/>
      <c r="AD29" s="284"/>
    </row>
    <row r="30" spans="1:34" ht="13" x14ac:dyDescent="0.3">
      <c r="A30" s="1873"/>
      <c r="B30" s="1874" t="s">
        <v>145</v>
      </c>
      <c r="C30" s="1896">
        <f>C18+D30-E30</f>
        <v>4.3518264049999997</v>
      </c>
      <c r="D30" s="285">
        <f t="shared" ref="D30:F30" si="1">SUM(D9:D29)</f>
        <v>0</v>
      </c>
      <c r="E30" s="285">
        <f t="shared" si="1"/>
        <v>0</v>
      </c>
      <c r="F30" s="285">
        <f t="shared" si="1"/>
        <v>0</v>
      </c>
      <c r="G30" s="285"/>
      <c r="H30" s="285">
        <f t="shared" ref="H30:AA30" si="2">SUM(H9:H29)</f>
        <v>0</v>
      </c>
      <c r="I30" s="285">
        <f t="shared" si="2"/>
        <v>0</v>
      </c>
      <c r="J30" s="285">
        <f t="shared" si="2"/>
        <v>0</v>
      </c>
      <c r="K30" s="285">
        <f t="shared" si="2"/>
        <v>0</v>
      </c>
      <c r="L30" s="285">
        <f t="shared" si="2"/>
        <v>0</v>
      </c>
      <c r="M30" s="285">
        <f t="shared" si="2"/>
        <v>0</v>
      </c>
      <c r="N30" s="285">
        <f t="shared" si="2"/>
        <v>0</v>
      </c>
      <c r="O30" s="285">
        <f t="shared" si="2"/>
        <v>0</v>
      </c>
      <c r="P30" s="285">
        <f t="shared" si="2"/>
        <v>0</v>
      </c>
      <c r="Q30" s="285">
        <f t="shared" si="2"/>
        <v>0</v>
      </c>
      <c r="R30" s="285">
        <f t="shared" si="2"/>
        <v>0</v>
      </c>
      <c r="S30" s="285">
        <f t="shared" si="2"/>
        <v>0</v>
      </c>
      <c r="T30" s="285">
        <f t="shared" si="2"/>
        <v>0</v>
      </c>
      <c r="U30" s="285">
        <f t="shared" si="2"/>
        <v>0</v>
      </c>
      <c r="V30" s="285">
        <f t="shared" si="2"/>
        <v>0</v>
      </c>
      <c r="W30" s="285">
        <f t="shared" si="2"/>
        <v>0</v>
      </c>
      <c r="X30" s="285">
        <f t="shared" si="2"/>
        <v>0</v>
      </c>
      <c r="Y30" s="285">
        <f t="shared" si="2"/>
        <v>0</v>
      </c>
      <c r="Z30" s="285">
        <f t="shared" si="2"/>
        <v>0</v>
      </c>
      <c r="AA30" s="285">
        <f t="shared" si="2"/>
        <v>0</v>
      </c>
      <c r="AB30" s="285"/>
      <c r="AC30" s="285"/>
      <c r="AD30" s="285"/>
    </row>
    <row r="32" spans="1:34" s="1876" customFormat="1" ht="13" x14ac:dyDescent="0.3">
      <c r="A32" s="1860"/>
      <c r="B32" s="1861" t="s">
        <v>737</v>
      </c>
      <c r="C32" s="1860"/>
      <c r="D32" s="1860"/>
      <c r="E32" s="1860"/>
      <c r="F32" s="1860"/>
      <c r="G32" s="1860"/>
      <c r="H32" s="1862" t="s">
        <v>16</v>
      </c>
      <c r="I32" s="1860"/>
      <c r="J32" s="1875"/>
      <c r="K32" s="1860"/>
      <c r="L32" s="1875"/>
      <c r="M32" s="1875"/>
      <c r="N32" s="1860"/>
      <c r="O32" s="1860"/>
      <c r="P32" s="1860"/>
      <c r="Q32" s="1860"/>
      <c r="R32" s="1860"/>
      <c r="S32" s="1860"/>
      <c r="T32" s="1860"/>
      <c r="U32" s="1860"/>
      <c r="V32" s="1860"/>
      <c r="W32" s="1860"/>
      <c r="X32" s="1860"/>
      <c r="Y32" s="1860"/>
      <c r="Z32" s="1860"/>
      <c r="AA32" s="1860"/>
      <c r="AB32" s="1860"/>
      <c r="AC32" s="1860"/>
      <c r="AD32" s="1860"/>
      <c r="AF32" s="1877"/>
      <c r="AG32" s="1877"/>
      <c r="AH32" s="1878"/>
    </row>
    <row r="33" spans="1:32" ht="26" x14ac:dyDescent="0.35">
      <c r="A33" s="1879"/>
      <c r="B33" s="1880" t="s">
        <v>746</v>
      </c>
      <c r="C33" s="2498" t="s">
        <v>890</v>
      </c>
      <c r="D33" s="2498" t="s">
        <v>1946</v>
      </c>
      <c r="E33" s="2498" t="s">
        <v>1947</v>
      </c>
      <c r="F33" s="2498" t="s">
        <v>711</v>
      </c>
      <c r="G33" s="2498" t="s">
        <v>747</v>
      </c>
      <c r="H33" s="2500" t="s">
        <v>748</v>
      </c>
      <c r="I33" s="2500"/>
      <c r="J33" s="2500"/>
      <c r="K33" s="2500"/>
      <c r="L33" s="2500"/>
      <c r="M33" s="2500"/>
      <c r="N33" s="2500"/>
      <c r="O33" s="2500"/>
      <c r="P33" s="2500"/>
      <c r="Q33" s="2500"/>
      <c r="R33" s="2500"/>
      <c r="S33" s="2500"/>
      <c r="T33" s="2500"/>
      <c r="U33" s="2500"/>
      <c r="V33" s="2500"/>
      <c r="W33" s="2500"/>
      <c r="X33" s="2500"/>
      <c r="Y33" s="2500"/>
      <c r="Z33" s="2500"/>
      <c r="AA33" s="2500"/>
      <c r="AB33" s="1864" t="s">
        <v>726</v>
      </c>
      <c r="AC33" s="1864" t="s">
        <v>727</v>
      </c>
      <c r="AD33" s="1864" t="s">
        <v>728</v>
      </c>
    </row>
    <row r="34" spans="1:32" ht="14.5" x14ac:dyDescent="0.25">
      <c r="A34" s="1881"/>
      <c r="B34" s="1880"/>
      <c r="C34" s="2499"/>
      <c r="D34" s="2499"/>
      <c r="E34" s="2499"/>
      <c r="F34" s="2499"/>
      <c r="G34" s="2499"/>
      <c r="H34" s="1865" t="s">
        <v>712</v>
      </c>
      <c r="I34" s="1865" t="s">
        <v>713</v>
      </c>
      <c r="J34" s="1865" t="s">
        <v>714</v>
      </c>
      <c r="K34" s="1865" t="s">
        <v>715</v>
      </c>
      <c r="L34" s="1865" t="s">
        <v>716</v>
      </c>
      <c r="M34" s="1865" t="s">
        <v>717</v>
      </c>
      <c r="N34" s="1865" t="s">
        <v>718</v>
      </c>
      <c r="O34" s="1865" t="s">
        <v>719</v>
      </c>
      <c r="P34" s="1865" t="s">
        <v>720</v>
      </c>
      <c r="Q34" s="1865" t="s">
        <v>721</v>
      </c>
      <c r="R34" s="1865" t="s">
        <v>722</v>
      </c>
      <c r="S34" s="1865" t="s">
        <v>723</v>
      </c>
      <c r="T34" s="1865" t="s">
        <v>724</v>
      </c>
      <c r="U34" s="1865" t="s">
        <v>725</v>
      </c>
      <c r="V34" s="1865" t="s">
        <v>179</v>
      </c>
      <c r="W34" s="1865" t="s">
        <v>186</v>
      </c>
      <c r="X34" s="1865" t="s">
        <v>426</v>
      </c>
      <c r="Y34" s="1865" t="s">
        <v>427</v>
      </c>
      <c r="Z34" s="1865" t="s">
        <v>428</v>
      </c>
      <c r="AA34" s="1865" t="s">
        <v>429</v>
      </c>
      <c r="AB34" s="1864"/>
      <c r="AC34" s="1864"/>
      <c r="AD34" s="1864"/>
    </row>
    <row r="35" spans="1:32" x14ac:dyDescent="0.25">
      <c r="A35" s="1868" t="s">
        <v>729</v>
      </c>
      <c r="B35" s="1869">
        <v>2005</v>
      </c>
      <c r="C35" s="1868"/>
      <c r="D35" s="1868"/>
      <c r="E35" s="1868"/>
      <c r="F35" s="1868"/>
      <c r="G35" s="1882"/>
      <c r="H35" s="291"/>
      <c r="I35" s="291"/>
      <c r="J35" s="291"/>
      <c r="K35" s="291"/>
      <c r="L35" s="291"/>
      <c r="M35" s="291"/>
      <c r="N35" s="291"/>
      <c r="O35" s="291"/>
      <c r="P35" s="291"/>
      <c r="Q35" s="291"/>
      <c r="R35" s="291"/>
      <c r="S35" s="291"/>
      <c r="T35" s="291"/>
      <c r="U35" s="291"/>
      <c r="V35" s="291"/>
      <c r="W35" s="291"/>
      <c r="X35" s="291"/>
      <c r="Y35" s="291"/>
      <c r="Z35" s="291"/>
      <c r="AA35" s="291"/>
      <c r="AB35" s="284"/>
      <c r="AC35" s="284"/>
      <c r="AD35" s="1883"/>
      <c r="AF35" s="1875"/>
    </row>
    <row r="36" spans="1:32" x14ac:dyDescent="0.25">
      <c r="A36" s="1868" t="s">
        <v>730</v>
      </c>
      <c r="B36" s="1869" t="s">
        <v>712</v>
      </c>
      <c r="C36" s="1868"/>
      <c r="D36" s="1868"/>
      <c r="E36" s="1868"/>
      <c r="F36" s="1868"/>
      <c r="G36" s="1882"/>
      <c r="H36" s="1872">
        <f>+$F36</f>
        <v>0</v>
      </c>
      <c r="I36" s="291"/>
      <c r="J36" s="291"/>
      <c r="K36" s="291"/>
      <c r="L36" s="291"/>
      <c r="M36" s="291"/>
      <c r="N36" s="291"/>
      <c r="O36" s="291"/>
      <c r="P36" s="291"/>
      <c r="Q36" s="291"/>
      <c r="R36" s="291"/>
      <c r="S36" s="291"/>
      <c r="T36" s="291"/>
      <c r="U36" s="291"/>
      <c r="V36" s="291"/>
      <c r="W36" s="291"/>
      <c r="X36" s="291"/>
      <c r="Y36" s="291"/>
      <c r="Z36" s="291"/>
      <c r="AA36" s="291"/>
      <c r="AB36" s="284"/>
      <c r="AC36" s="284"/>
      <c r="AD36" s="1883"/>
    </row>
    <row r="37" spans="1:32" x14ac:dyDescent="0.25">
      <c r="A37" s="1868" t="s">
        <v>730</v>
      </c>
      <c r="B37" s="1869" t="s">
        <v>713</v>
      </c>
      <c r="C37" s="1868"/>
      <c r="D37" s="1868"/>
      <c r="E37" s="1868"/>
      <c r="F37" s="1868"/>
      <c r="G37" s="1882"/>
      <c r="H37" s="292"/>
      <c r="I37" s="1872">
        <f>+$F37</f>
        <v>0</v>
      </c>
      <c r="J37" s="291"/>
      <c r="K37" s="291"/>
      <c r="L37" s="291"/>
      <c r="M37" s="291"/>
      <c r="N37" s="291"/>
      <c r="O37" s="291"/>
      <c r="P37" s="291"/>
      <c r="Q37" s="291"/>
      <c r="R37" s="291"/>
      <c r="S37" s="291"/>
      <c r="T37" s="291"/>
      <c r="U37" s="291"/>
      <c r="V37" s="291"/>
      <c r="W37" s="291"/>
      <c r="X37" s="291"/>
      <c r="Y37" s="291"/>
      <c r="Z37" s="291"/>
      <c r="AA37" s="291"/>
      <c r="AB37" s="284"/>
      <c r="AC37" s="284"/>
      <c r="AD37" s="1883"/>
    </row>
    <row r="38" spans="1:32" x14ac:dyDescent="0.25">
      <c r="A38" s="1868" t="s">
        <v>730</v>
      </c>
      <c r="B38" s="1869" t="s">
        <v>714</v>
      </c>
      <c r="C38" s="1868"/>
      <c r="D38" s="1868"/>
      <c r="E38" s="1868"/>
      <c r="F38" s="1868"/>
      <c r="G38" s="1882"/>
      <c r="H38" s="292"/>
      <c r="I38" s="292"/>
      <c r="J38" s="1872">
        <f>+$F38</f>
        <v>0</v>
      </c>
      <c r="K38" s="291"/>
      <c r="L38" s="291"/>
      <c r="M38" s="291"/>
      <c r="N38" s="291"/>
      <c r="O38" s="291"/>
      <c r="P38" s="291"/>
      <c r="Q38" s="291"/>
      <c r="R38" s="291"/>
      <c r="S38" s="291"/>
      <c r="T38" s="291"/>
      <c r="U38" s="291"/>
      <c r="V38" s="291"/>
      <c r="W38" s="291"/>
      <c r="X38" s="291"/>
      <c r="Y38" s="291"/>
      <c r="Z38" s="291"/>
      <c r="AA38" s="291"/>
      <c r="AB38" s="284"/>
      <c r="AC38" s="284"/>
      <c r="AD38" s="1883"/>
    </row>
    <row r="39" spans="1:32" ht="13" x14ac:dyDescent="0.3">
      <c r="A39" s="1868" t="s">
        <v>730</v>
      </c>
      <c r="B39" s="1884" t="s">
        <v>715</v>
      </c>
      <c r="C39" s="1868"/>
      <c r="D39" s="1868"/>
      <c r="E39" s="1868"/>
      <c r="F39" s="1868"/>
      <c r="G39" s="1882"/>
      <c r="H39" s="292"/>
      <c r="I39" s="292"/>
      <c r="J39" s="292"/>
      <c r="K39" s="1872">
        <f>+$F39</f>
        <v>0</v>
      </c>
      <c r="L39" s="291"/>
      <c r="M39" s="291"/>
      <c r="N39" s="291"/>
      <c r="O39" s="291"/>
      <c r="P39" s="291"/>
      <c r="Q39" s="291"/>
      <c r="R39" s="291"/>
      <c r="S39" s="291"/>
      <c r="T39" s="291"/>
      <c r="U39" s="291"/>
      <c r="V39" s="291"/>
      <c r="W39" s="291"/>
      <c r="X39" s="291"/>
      <c r="Y39" s="291"/>
      <c r="Z39" s="291"/>
      <c r="AA39" s="291"/>
      <c r="AB39" s="284"/>
      <c r="AC39" s="284"/>
      <c r="AD39" s="1883"/>
    </row>
    <row r="40" spans="1:32" x14ac:dyDescent="0.25">
      <c r="A40" s="1868" t="s">
        <v>730</v>
      </c>
      <c r="B40" s="1869" t="s">
        <v>716</v>
      </c>
      <c r="C40" s="1868"/>
      <c r="D40" s="1868"/>
      <c r="E40" s="1868"/>
      <c r="F40" s="1868"/>
      <c r="G40" s="1882"/>
      <c r="H40" s="292"/>
      <c r="I40" s="292"/>
      <c r="J40" s="292"/>
      <c r="K40" s="292"/>
      <c r="L40" s="1872">
        <f>+$F40</f>
        <v>0</v>
      </c>
      <c r="M40" s="291"/>
      <c r="N40" s="291"/>
      <c r="O40" s="291"/>
      <c r="P40" s="291"/>
      <c r="Q40" s="291"/>
      <c r="R40" s="291"/>
      <c r="S40" s="291"/>
      <c r="T40" s="291"/>
      <c r="U40" s="291"/>
      <c r="V40" s="291"/>
      <c r="W40" s="291"/>
      <c r="X40" s="291"/>
      <c r="Y40" s="291"/>
      <c r="Z40" s="291"/>
      <c r="AA40" s="291"/>
      <c r="AB40" s="284"/>
      <c r="AC40" s="284"/>
      <c r="AD40" s="1883"/>
    </row>
    <row r="41" spans="1:32" x14ac:dyDescent="0.25">
      <c r="A41" s="1868" t="s">
        <v>730</v>
      </c>
      <c r="B41" s="1869" t="s">
        <v>717</v>
      </c>
      <c r="C41" s="1868"/>
      <c r="D41" s="1868"/>
      <c r="E41" s="1868"/>
      <c r="F41" s="1868"/>
      <c r="G41" s="1882"/>
      <c r="H41" s="292"/>
      <c r="I41" s="292"/>
      <c r="J41" s="292"/>
      <c r="K41" s="292"/>
      <c r="L41" s="292"/>
      <c r="M41" s="1872">
        <f>+$F41</f>
        <v>0</v>
      </c>
      <c r="N41" s="291"/>
      <c r="O41" s="291"/>
      <c r="P41" s="291"/>
      <c r="Q41" s="291"/>
      <c r="R41" s="291"/>
      <c r="S41" s="291"/>
      <c r="T41" s="291"/>
      <c r="U41" s="291"/>
      <c r="V41" s="291"/>
      <c r="W41" s="291"/>
      <c r="X41" s="291"/>
      <c r="Y41" s="291"/>
      <c r="Z41" s="291"/>
      <c r="AA41" s="291"/>
      <c r="AB41" s="284"/>
      <c r="AC41" s="284"/>
      <c r="AD41" s="1883"/>
    </row>
    <row r="42" spans="1:32" x14ac:dyDescent="0.25">
      <c r="A42" s="1868" t="s">
        <v>730</v>
      </c>
      <c r="B42" s="1869" t="s">
        <v>718</v>
      </c>
      <c r="C42" s="1868"/>
      <c r="D42" s="1868"/>
      <c r="E42" s="1868"/>
      <c r="F42" s="1868"/>
      <c r="G42" s="1882"/>
      <c r="H42" s="292"/>
      <c r="I42" s="292"/>
      <c r="J42" s="292"/>
      <c r="K42" s="292"/>
      <c r="L42" s="292"/>
      <c r="M42" s="292"/>
      <c r="N42" s="1872">
        <f>+$F42</f>
        <v>0</v>
      </c>
      <c r="O42" s="291"/>
      <c r="P42" s="291"/>
      <c r="Q42" s="291"/>
      <c r="R42" s="291"/>
      <c r="S42" s="291"/>
      <c r="T42" s="291"/>
      <c r="U42" s="291"/>
      <c r="V42" s="291"/>
      <c r="W42" s="291"/>
      <c r="X42" s="291"/>
      <c r="Y42" s="291"/>
      <c r="Z42" s="291"/>
      <c r="AA42" s="291"/>
      <c r="AB42" s="284"/>
      <c r="AC42" s="284"/>
      <c r="AD42" s="1883"/>
    </row>
    <row r="43" spans="1:32" x14ac:dyDescent="0.25">
      <c r="A43" s="1868" t="s">
        <v>730</v>
      </c>
      <c r="B43" s="1869" t="s">
        <v>719</v>
      </c>
      <c r="C43" s="1868"/>
      <c r="D43" s="1868"/>
      <c r="E43" s="1868"/>
      <c r="F43" s="1868"/>
      <c r="G43" s="1882"/>
      <c r="H43" s="292"/>
      <c r="I43" s="292"/>
      <c r="J43" s="292"/>
      <c r="K43" s="292"/>
      <c r="L43" s="292"/>
      <c r="M43" s="292"/>
      <c r="N43" s="292"/>
      <c r="O43" s="1872">
        <f>+$F43</f>
        <v>0</v>
      </c>
      <c r="P43" s="291"/>
      <c r="Q43" s="291"/>
      <c r="R43" s="291"/>
      <c r="S43" s="291"/>
      <c r="T43" s="291"/>
      <c r="U43" s="291"/>
      <c r="V43" s="291"/>
      <c r="W43" s="291"/>
      <c r="X43" s="291"/>
      <c r="Y43" s="291"/>
      <c r="Z43" s="291"/>
      <c r="AA43" s="291"/>
      <c r="AB43" s="284"/>
      <c r="AC43" s="284"/>
      <c r="AD43" s="1883"/>
    </row>
    <row r="44" spans="1:32" x14ac:dyDescent="0.25">
      <c r="A44" s="1868" t="s">
        <v>730</v>
      </c>
      <c r="B44" s="1869" t="s">
        <v>720</v>
      </c>
      <c r="C44" s="1892">
        <f>(1012324098.54-343067723.4)/(10^7)</f>
        <v>66.925637514000002</v>
      </c>
      <c r="D44" s="1892">
        <f>37249537.05/(10^7)</f>
        <v>3.7249537049999999</v>
      </c>
      <c r="E44" s="1892">
        <f>490773.59/(10^7)</f>
        <v>4.9077359000000001E-2</v>
      </c>
      <c r="F44" s="1892">
        <f>32827118.15/(10^7)</f>
        <v>3.2827118149999999</v>
      </c>
      <c r="G44" s="1882"/>
      <c r="H44" s="292"/>
      <c r="I44" s="292"/>
      <c r="J44" s="292"/>
      <c r="K44" s="292"/>
      <c r="L44" s="292"/>
      <c r="M44" s="292"/>
      <c r="N44" s="292"/>
      <c r="O44" s="292"/>
      <c r="P44" s="1872">
        <f>+$F44</f>
        <v>3.2827118149999999</v>
      </c>
      <c r="Q44" s="291"/>
      <c r="R44" s="291"/>
      <c r="S44" s="291"/>
      <c r="T44" s="291"/>
      <c r="U44" s="291"/>
      <c r="V44" s="291"/>
      <c r="W44" s="291"/>
      <c r="X44" s="291"/>
      <c r="Y44" s="291"/>
      <c r="Z44" s="291"/>
      <c r="AA44" s="291"/>
      <c r="AB44" s="284"/>
      <c r="AC44" s="284"/>
      <c r="AD44" s="1883"/>
    </row>
    <row r="45" spans="1:32" x14ac:dyDescent="0.25">
      <c r="A45" s="1868" t="s">
        <v>730</v>
      </c>
      <c r="B45" s="1869" t="s">
        <v>721</v>
      </c>
      <c r="C45" s="1892">
        <f>+C44+D44-E44-F44</f>
        <v>67.318802045000012</v>
      </c>
      <c r="D45" s="1892">
        <f>13995983.27/(10^7)</f>
        <v>1.3995983269999999</v>
      </c>
      <c r="E45" s="1892">
        <f t="shared" ref="E45:E50" si="3">0/(10^7)</f>
        <v>0</v>
      </c>
      <c r="F45" s="1892">
        <f>34038357.5/(10^7)</f>
        <v>3.4038357499999998</v>
      </c>
      <c r="G45" s="1882"/>
      <c r="H45" s="292"/>
      <c r="I45" s="292"/>
      <c r="J45" s="292"/>
      <c r="K45" s="292"/>
      <c r="L45" s="292"/>
      <c r="M45" s="292"/>
      <c r="N45" s="292"/>
      <c r="O45" s="292"/>
      <c r="P45" s="292"/>
      <c r="Q45" s="1872">
        <f>+$F45</f>
        <v>3.4038357499999998</v>
      </c>
      <c r="R45" s="291"/>
      <c r="S45" s="291"/>
      <c r="T45" s="291"/>
      <c r="U45" s="291"/>
      <c r="V45" s="291"/>
      <c r="W45" s="291"/>
      <c r="X45" s="291"/>
      <c r="Y45" s="291"/>
      <c r="Z45" s="291"/>
      <c r="AA45" s="291"/>
      <c r="AB45" s="284"/>
      <c r="AC45" s="284"/>
      <c r="AD45" s="1883"/>
    </row>
    <row r="46" spans="1:32" x14ac:dyDescent="0.25">
      <c r="A46" s="1868" t="s">
        <v>730</v>
      </c>
      <c r="B46" s="1869" t="s">
        <v>722</v>
      </c>
      <c r="C46" s="1892">
        <f t="shared" ref="C46:C55" si="4">+C45+D45-E45-F45</f>
        <v>65.31456462200002</v>
      </c>
      <c r="D46" s="1892">
        <f>37377037.31/(10^7)</f>
        <v>3.7377037310000003</v>
      </c>
      <c r="E46" s="1892">
        <f t="shared" si="3"/>
        <v>0</v>
      </c>
      <c r="F46" s="1892">
        <f>34487005.5/(10^7)</f>
        <v>3.4487005499999999</v>
      </c>
      <c r="G46" s="1882"/>
      <c r="H46" s="292"/>
      <c r="I46" s="292"/>
      <c r="J46" s="292"/>
      <c r="K46" s="292"/>
      <c r="L46" s="292"/>
      <c r="M46" s="292"/>
      <c r="N46" s="292"/>
      <c r="O46" s="292"/>
      <c r="P46" s="292"/>
      <c r="Q46" s="292"/>
      <c r="R46" s="1872">
        <f>+$F46</f>
        <v>3.4487005499999999</v>
      </c>
      <c r="S46" s="291"/>
      <c r="T46" s="291"/>
      <c r="U46" s="291"/>
      <c r="V46" s="291"/>
      <c r="W46" s="291"/>
      <c r="X46" s="291"/>
      <c r="Y46" s="291"/>
      <c r="Z46" s="291"/>
      <c r="AA46" s="291"/>
      <c r="AB46" s="284"/>
      <c r="AC46" s="284"/>
      <c r="AD46" s="1883"/>
    </row>
    <row r="47" spans="1:32" x14ac:dyDescent="0.25">
      <c r="A47" s="1868" t="s">
        <v>730</v>
      </c>
      <c r="B47" s="1869" t="s">
        <v>723</v>
      </c>
      <c r="C47" s="1892">
        <f t="shared" si="4"/>
        <v>65.603567803000018</v>
      </c>
      <c r="D47" s="1892">
        <f>18860880.22/(10^7)</f>
        <v>1.8860880219999998</v>
      </c>
      <c r="E47" s="1892">
        <f t="shared" si="3"/>
        <v>0</v>
      </c>
      <c r="F47" s="1892">
        <f>35702728.5/(10^7)</f>
        <v>3.5702728499999998</v>
      </c>
      <c r="G47" s="1882"/>
      <c r="H47" s="292"/>
      <c r="I47" s="292"/>
      <c r="J47" s="292"/>
      <c r="K47" s="292"/>
      <c r="L47" s="292"/>
      <c r="M47" s="292"/>
      <c r="N47" s="292"/>
      <c r="O47" s="292"/>
      <c r="P47" s="292"/>
      <c r="Q47" s="292"/>
      <c r="R47" s="292"/>
      <c r="S47" s="1872">
        <f>+$F47</f>
        <v>3.5702728499999998</v>
      </c>
      <c r="T47" s="291"/>
      <c r="U47" s="291"/>
      <c r="V47" s="291"/>
      <c r="W47" s="291"/>
      <c r="X47" s="291"/>
      <c r="Y47" s="291"/>
      <c r="Z47" s="291"/>
      <c r="AA47" s="291"/>
      <c r="AB47" s="284"/>
      <c r="AC47" s="284"/>
      <c r="AD47" s="1883"/>
    </row>
    <row r="48" spans="1:32" x14ac:dyDescent="0.25">
      <c r="A48" s="1868" t="s">
        <v>730</v>
      </c>
      <c r="B48" s="1869" t="s">
        <v>724</v>
      </c>
      <c r="C48" s="1892">
        <f t="shared" si="4"/>
        <v>63.919382975000012</v>
      </c>
      <c r="D48" s="1892">
        <f>46503288.09/(10^7)</f>
        <v>4.6503288090000003</v>
      </c>
      <c r="E48" s="1892">
        <f t="shared" si="3"/>
        <v>0</v>
      </c>
      <c r="F48" s="1892">
        <f>36282152.5/(10^7)</f>
        <v>3.6282152499999998</v>
      </c>
      <c r="G48" s="1882"/>
      <c r="H48" s="292"/>
      <c r="I48" s="292"/>
      <c r="J48" s="292"/>
      <c r="K48" s="292"/>
      <c r="L48" s="292"/>
      <c r="M48" s="292"/>
      <c r="N48" s="292"/>
      <c r="O48" s="292"/>
      <c r="P48" s="292"/>
      <c r="Q48" s="292"/>
      <c r="R48" s="292"/>
      <c r="S48" s="292"/>
      <c r="T48" s="1872">
        <f>+$F48</f>
        <v>3.6282152499999998</v>
      </c>
      <c r="U48" s="291"/>
      <c r="V48" s="291"/>
      <c r="W48" s="291"/>
      <c r="X48" s="291"/>
      <c r="Y48" s="291"/>
      <c r="Z48" s="291"/>
      <c r="AA48" s="291"/>
      <c r="AB48" s="284"/>
      <c r="AC48" s="284"/>
      <c r="AD48" s="1883"/>
    </row>
    <row r="49" spans="1:30" x14ac:dyDescent="0.25">
      <c r="A49" s="1868" t="s">
        <v>730</v>
      </c>
      <c r="B49" s="1869" t="s">
        <v>725</v>
      </c>
      <c r="C49" s="1892">
        <f t="shared" si="4"/>
        <v>64.941496534000009</v>
      </c>
      <c r="D49" s="1892">
        <f>28400894.98/(10^7)</f>
        <v>2.8400894980000002</v>
      </c>
      <c r="E49" s="1892">
        <f t="shared" si="3"/>
        <v>0</v>
      </c>
      <c r="F49" s="1892">
        <f>37569854.5/(10^7)</f>
        <v>3.7569854500000002</v>
      </c>
      <c r="G49" s="1882"/>
      <c r="H49" s="292"/>
      <c r="I49" s="292"/>
      <c r="J49" s="292"/>
      <c r="K49" s="292"/>
      <c r="L49" s="292"/>
      <c r="M49" s="292"/>
      <c r="N49" s="292"/>
      <c r="O49" s="292"/>
      <c r="P49" s="292"/>
      <c r="Q49" s="292"/>
      <c r="R49" s="292"/>
      <c r="S49" s="292"/>
      <c r="T49" s="292"/>
      <c r="U49" s="1872">
        <f>+$F49</f>
        <v>3.7569854500000002</v>
      </c>
      <c r="V49" s="291"/>
      <c r="W49" s="291"/>
      <c r="X49" s="291"/>
      <c r="Y49" s="291"/>
      <c r="Z49" s="291"/>
      <c r="AA49" s="291"/>
      <c r="AB49" s="284"/>
      <c r="AC49" s="284"/>
      <c r="AD49" s="1883"/>
    </row>
    <row r="50" spans="1:30" x14ac:dyDescent="0.25">
      <c r="A50" s="1868" t="s">
        <v>730</v>
      </c>
      <c r="B50" s="1869" t="s">
        <v>731</v>
      </c>
      <c r="C50" s="1892">
        <f t="shared" si="4"/>
        <v>64.024600582000005</v>
      </c>
      <c r="D50" s="1892">
        <f>28236185.36/(10^7)</f>
        <v>2.8236185360000001</v>
      </c>
      <c r="E50" s="1892">
        <f t="shared" si="3"/>
        <v>0</v>
      </c>
      <c r="F50" s="1892">
        <f>38254605/(10^7)</f>
        <v>3.8254605000000002</v>
      </c>
      <c r="G50" s="1886"/>
      <c r="H50" s="292"/>
      <c r="I50" s="292"/>
      <c r="J50" s="292"/>
      <c r="K50" s="292"/>
      <c r="L50" s="292"/>
      <c r="M50" s="292"/>
      <c r="N50" s="292"/>
      <c r="O50" s="292"/>
      <c r="P50" s="292"/>
      <c r="Q50" s="292"/>
      <c r="R50" s="292"/>
      <c r="S50" s="292"/>
      <c r="T50" s="292"/>
      <c r="U50" s="292"/>
      <c r="V50" s="1872">
        <f>+$F50</f>
        <v>3.8254605000000002</v>
      </c>
      <c r="W50" s="291"/>
      <c r="X50" s="291"/>
      <c r="Y50" s="291"/>
      <c r="Z50" s="291"/>
      <c r="AA50" s="291"/>
      <c r="AB50" s="284"/>
      <c r="AC50" s="284"/>
      <c r="AD50" s="1883"/>
    </row>
    <row r="51" spans="1:30" x14ac:dyDescent="0.25">
      <c r="A51" s="1868" t="s">
        <v>730</v>
      </c>
      <c r="B51" s="1869" t="s">
        <v>732</v>
      </c>
      <c r="C51" s="1892">
        <f t="shared" si="4"/>
        <v>63.022758618000005</v>
      </c>
      <c r="D51" s="1892">
        <f>10721874.98/(10^7)</f>
        <v>1.0721874980000001</v>
      </c>
      <c r="E51" s="1892">
        <f>42750741.74/(10^7)</f>
        <v>4.2750741740000002</v>
      </c>
      <c r="F51" s="1892">
        <f>39101375.5/(10^7)</f>
        <v>3.91013755</v>
      </c>
      <c r="G51" s="1886"/>
      <c r="H51" s="292"/>
      <c r="I51" s="292"/>
      <c r="J51" s="292"/>
      <c r="K51" s="292"/>
      <c r="L51" s="292"/>
      <c r="M51" s="292"/>
      <c r="N51" s="292"/>
      <c r="O51" s="292"/>
      <c r="P51" s="292"/>
      <c r="Q51" s="292"/>
      <c r="R51" s="292"/>
      <c r="S51" s="292"/>
      <c r="T51" s="292"/>
      <c r="U51" s="292"/>
      <c r="V51" s="292"/>
      <c r="W51" s="1872">
        <f>+$F51</f>
        <v>3.91013755</v>
      </c>
      <c r="X51" s="291"/>
      <c r="Y51" s="291"/>
      <c r="Z51" s="291"/>
      <c r="AA51" s="291"/>
      <c r="AB51" s="284"/>
      <c r="AC51" s="284"/>
      <c r="AD51" s="1883"/>
    </row>
    <row r="52" spans="1:30" x14ac:dyDescent="0.25">
      <c r="A52" s="1868" t="s">
        <v>730</v>
      </c>
      <c r="B52" s="1869" t="s">
        <v>733</v>
      </c>
      <c r="C52" s="1892">
        <f t="shared" si="4"/>
        <v>55.909734392000004</v>
      </c>
      <c r="D52" s="1892">
        <f>27310108.63/(10^7)</f>
        <v>2.7310108629999998</v>
      </c>
      <c r="E52" s="1892">
        <f>(44562.21-40106-2194040)/(10^7)</f>
        <v>-0.21895837900000001</v>
      </c>
      <c r="F52" s="1892">
        <f>37923424.5/(10^7)</f>
        <v>3.79234245</v>
      </c>
      <c r="G52" s="1886"/>
      <c r="H52" s="292"/>
      <c r="I52" s="292"/>
      <c r="J52" s="292"/>
      <c r="K52" s="292"/>
      <c r="L52" s="292"/>
      <c r="M52" s="292"/>
      <c r="N52" s="292"/>
      <c r="O52" s="292"/>
      <c r="P52" s="292"/>
      <c r="Q52" s="292"/>
      <c r="R52" s="292"/>
      <c r="S52" s="292"/>
      <c r="T52" s="292"/>
      <c r="U52" s="292"/>
      <c r="V52" s="292"/>
      <c r="W52" s="292"/>
      <c r="X52" s="1872">
        <f>+$F52</f>
        <v>3.79234245</v>
      </c>
      <c r="Y52" s="291"/>
      <c r="Z52" s="291"/>
      <c r="AA52" s="291"/>
      <c r="AB52" s="284"/>
      <c r="AC52" s="284"/>
      <c r="AD52" s="1883"/>
    </row>
    <row r="53" spans="1:30" x14ac:dyDescent="0.25">
      <c r="A53" s="1868" t="s">
        <v>730</v>
      </c>
      <c r="B53" s="1869" t="s">
        <v>734</v>
      </c>
      <c r="C53" s="1892">
        <f t="shared" si="4"/>
        <v>55.067361184000006</v>
      </c>
      <c r="D53" s="1892">
        <f>'F5'!E37</f>
        <v>3.1670783626219854</v>
      </c>
      <c r="E53" s="1892">
        <f>'F5'!F37</f>
        <v>4.4562209999999998E-3</v>
      </c>
      <c r="F53" s="1892">
        <f>'F5'!$E$80-'F5'!$F$80</f>
        <v>2.7800000000000002</v>
      </c>
      <c r="G53" s="1886"/>
      <c r="H53" s="292"/>
      <c r="I53" s="292"/>
      <c r="J53" s="292"/>
      <c r="K53" s="292"/>
      <c r="L53" s="292"/>
      <c r="M53" s="292"/>
      <c r="N53" s="292"/>
      <c r="O53" s="292"/>
      <c r="P53" s="292"/>
      <c r="Q53" s="292"/>
      <c r="R53" s="292"/>
      <c r="S53" s="292"/>
      <c r="T53" s="292"/>
      <c r="U53" s="292"/>
      <c r="V53" s="292"/>
      <c r="W53" s="292"/>
      <c r="X53" s="292"/>
      <c r="Y53" s="1872">
        <f>+$F53</f>
        <v>2.7800000000000002</v>
      </c>
      <c r="Z53" s="291"/>
      <c r="AA53" s="291"/>
      <c r="AB53" s="284"/>
      <c r="AC53" s="284"/>
      <c r="AD53" s="1883"/>
    </row>
    <row r="54" spans="1:30" x14ac:dyDescent="0.25">
      <c r="A54" s="1868" t="s">
        <v>730</v>
      </c>
      <c r="B54" s="1869" t="s">
        <v>735</v>
      </c>
      <c r="C54" s="1892">
        <f t="shared" si="4"/>
        <v>55.449983325621993</v>
      </c>
      <c r="D54" s="1892">
        <f>'F5'!I37</f>
        <v>21.212058806728496</v>
      </c>
      <c r="E54" s="1892">
        <f>'F5'!J37</f>
        <v>4.4562209999999998E-3</v>
      </c>
      <c r="F54" s="1892">
        <f>'F5'!$I$80-'F5'!$J$80</f>
        <v>3.3317040600978793</v>
      </c>
      <c r="G54" s="1886"/>
      <c r="H54" s="292"/>
      <c r="I54" s="292"/>
      <c r="J54" s="292"/>
      <c r="K54" s="292"/>
      <c r="L54" s="292"/>
      <c r="M54" s="292"/>
      <c r="N54" s="292"/>
      <c r="O54" s="292"/>
      <c r="P54" s="292"/>
      <c r="Q54" s="292"/>
      <c r="R54" s="292"/>
      <c r="S54" s="292"/>
      <c r="T54" s="292"/>
      <c r="U54" s="292"/>
      <c r="V54" s="292"/>
      <c r="W54" s="292"/>
      <c r="X54" s="292"/>
      <c r="Y54" s="292"/>
      <c r="Z54" s="1872">
        <f>+$F54</f>
        <v>3.3317040600978793</v>
      </c>
      <c r="AA54" s="291"/>
      <c r="AB54" s="284"/>
      <c r="AC54" s="284"/>
      <c r="AD54" s="1883"/>
    </row>
    <row r="55" spans="1:30" x14ac:dyDescent="0.25">
      <c r="A55" s="1868" t="s">
        <v>730</v>
      </c>
      <c r="B55" s="1869" t="s">
        <v>736</v>
      </c>
      <c r="C55" s="1892">
        <f t="shared" si="4"/>
        <v>73.325881851252618</v>
      </c>
      <c r="D55" s="1892">
        <f>'F5'!M37</f>
        <v>18.284361709414345</v>
      </c>
      <c r="E55" s="1892">
        <f>'F5'!N37</f>
        <v>4.4562209999999998E-3</v>
      </c>
      <c r="F55" s="1892">
        <f>'F5'!$M$80-'F5'!$N$80</f>
        <v>3.9934853615294883</v>
      </c>
      <c r="G55" s="1886"/>
      <c r="H55" s="292"/>
      <c r="I55" s="292"/>
      <c r="J55" s="292"/>
      <c r="K55" s="292"/>
      <c r="L55" s="292"/>
      <c r="M55" s="292"/>
      <c r="N55" s="292"/>
      <c r="O55" s="292"/>
      <c r="P55" s="292"/>
      <c r="Q55" s="292"/>
      <c r="R55" s="292"/>
      <c r="S55" s="292"/>
      <c r="T55" s="292"/>
      <c r="U55" s="292"/>
      <c r="V55" s="292"/>
      <c r="W55" s="292"/>
      <c r="X55" s="292"/>
      <c r="Y55" s="292"/>
      <c r="Z55" s="292"/>
      <c r="AA55" s="1872">
        <f>+$F55</f>
        <v>3.9934853615294883</v>
      </c>
      <c r="AB55" s="284"/>
      <c r="AC55" s="284"/>
      <c r="AD55" s="1883"/>
    </row>
    <row r="56" spans="1:30" ht="13" x14ac:dyDescent="0.3">
      <c r="A56" s="1873"/>
      <c r="B56" s="1874" t="s">
        <v>145</v>
      </c>
      <c r="C56" s="1896">
        <f>C44+D56-E56</f>
        <v>130.33615356476483</v>
      </c>
      <c r="D56" s="1896">
        <f t="shared" ref="D56:F56" si="5">SUM(D35:D55)</f>
        <v>67.529077867764826</v>
      </c>
      <c r="E56" s="1896">
        <f t="shared" si="5"/>
        <v>4.1185618169999998</v>
      </c>
      <c r="F56" s="1896">
        <f t="shared" si="5"/>
        <v>42.723851586627362</v>
      </c>
      <c r="G56" s="286"/>
      <c r="H56" s="285"/>
      <c r="I56" s="285"/>
      <c r="J56" s="285"/>
      <c r="K56" s="285"/>
      <c r="L56" s="285"/>
      <c r="M56" s="285"/>
      <c r="N56" s="285"/>
      <c r="O56" s="285"/>
      <c r="P56" s="285"/>
      <c r="Q56" s="285"/>
      <c r="R56" s="285"/>
      <c r="S56" s="285"/>
      <c r="T56" s="285"/>
      <c r="U56" s="285"/>
      <c r="V56" s="285"/>
      <c r="W56" s="285"/>
      <c r="X56" s="285"/>
      <c r="Y56" s="285"/>
      <c r="Z56" s="285"/>
      <c r="AA56" s="285"/>
      <c r="AB56" s="286"/>
      <c r="AC56" s="286"/>
      <c r="AD56" s="286"/>
    </row>
    <row r="57" spans="1:30" x14ac:dyDescent="0.25">
      <c r="C57" s="1888"/>
      <c r="D57" s="1888"/>
      <c r="E57" s="1888"/>
    </row>
    <row r="59" spans="1:30" s="1889" customFormat="1" x14ac:dyDescent="0.25">
      <c r="A59" s="1860"/>
      <c r="B59" s="1887"/>
      <c r="C59" s="1860"/>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row>
    <row r="60" spans="1:30" ht="13" x14ac:dyDescent="0.3">
      <c r="B60" s="1861" t="s">
        <v>1948</v>
      </c>
      <c r="H60" s="1862" t="s">
        <v>16</v>
      </c>
    </row>
    <row r="61" spans="1:30" ht="26" x14ac:dyDescent="0.35">
      <c r="A61" s="1863"/>
      <c r="B61" s="1880" t="s">
        <v>746</v>
      </c>
      <c r="C61" s="2498" t="s">
        <v>890</v>
      </c>
      <c r="D61" s="2498" t="s">
        <v>1946</v>
      </c>
      <c r="E61" s="2498" t="s">
        <v>1947</v>
      </c>
      <c r="F61" s="2498" t="s">
        <v>711</v>
      </c>
      <c r="G61" s="2498" t="s">
        <v>747</v>
      </c>
      <c r="H61" s="2500" t="s">
        <v>748</v>
      </c>
      <c r="I61" s="2500"/>
      <c r="J61" s="2500"/>
      <c r="K61" s="2500"/>
      <c r="L61" s="2500"/>
      <c r="M61" s="2500"/>
      <c r="N61" s="2500"/>
      <c r="O61" s="2500"/>
      <c r="P61" s="2500"/>
      <c r="Q61" s="2500"/>
      <c r="R61" s="2500"/>
      <c r="S61" s="2500"/>
      <c r="T61" s="2500"/>
      <c r="U61" s="2500"/>
      <c r="V61" s="2500"/>
      <c r="W61" s="2500"/>
      <c r="X61" s="2500"/>
      <c r="Y61" s="2500"/>
      <c r="Z61" s="2500"/>
      <c r="AA61" s="2500"/>
      <c r="AB61" s="1864" t="s">
        <v>726</v>
      </c>
      <c r="AC61" s="1864" t="s">
        <v>727</v>
      </c>
      <c r="AD61" s="1864" t="s">
        <v>728</v>
      </c>
    </row>
    <row r="62" spans="1:30" ht="13" x14ac:dyDescent="0.25">
      <c r="A62" s="1863"/>
      <c r="B62" s="1880"/>
      <c r="C62" s="2499"/>
      <c r="D62" s="2499"/>
      <c r="E62" s="2499"/>
      <c r="F62" s="2499"/>
      <c r="G62" s="2499"/>
      <c r="H62" s="1865" t="s">
        <v>712</v>
      </c>
      <c r="I62" s="1865" t="s">
        <v>713</v>
      </c>
      <c r="J62" s="1865" t="s">
        <v>714</v>
      </c>
      <c r="K62" s="1865" t="s">
        <v>715</v>
      </c>
      <c r="L62" s="1865" t="s">
        <v>716</v>
      </c>
      <c r="M62" s="1865" t="s">
        <v>717</v>
      </c>
      <c r="N62" s="1865" t="s">
        <v>718</v>
      </c>
      <c r="O62" s="1865" t="s">
        <v>719</v>
      </c>
      <c r="P62" s="1865" t="s">
        <v>720</v>
      </c>
      <c r="Q62" s="1865" t="s">
        <v>721</v>
      </c>
      <c r="R62" s="1865" t="s">
        <v>722</v>
      </c>
      <c r="S62" s="1865" t="s">
        <v>723</v>
      </c>
      <c r="T62" s="1865" t="s">
        <v>724</v>
      </c>
      <c r="U62" s="1865" t="s">
        <v>725</v>
      </c>
      <c r="V62" s="1865" t="s">
        <v>179</v>
      </c>
      <c r="W62" s="1865" t="s">
        <v>186</v>
      </c>
      <c r="X62" s="1865" t="s">
        <v>426</v>
      </c>
      <c r="Y62" s="1865" t="s">
        <v>427</v>
      </c>
      <c r="Z62" s="1865" t="s">
        <v>428</v>
      </c>
      <c r="AA62" s="1865" t="s">
        <v>429</v>
      </c>
      <c r="AB62" s="1864"/>
      <c r="AC62" s="1864"/>
      <c r="AD62" s="1864"/>
    </row>
    <row r="63" spans="1:30" x14ac:dyDescent="0.25">
      <c r="A63" s="1868" t="s">
        <v>729</v>
      </c>
      <c r="B63" s="1869">
        <v>2005</v>
      </c>
      <c r="C63" s="1890"/>
      <c r="D63" s="1890"/>
      <c r="E63" s="1890"/>
      <c r="F63" s="1890"/>
      <c r="G63" s="1882"/>
      <c r="H63" s="291"/>
      <c r="I63" s="291"/>
      <c r="J63" s="291"/>
      <c r="K63" s="291"/>
      <c r="L63" s="291"/>
      <c r="M63" s="291"/>
      <c r="N63" s="291"/>
      <c r="O63" s="291"/>
      <c r="P63" s="291"/>
      <c r="Q63" s="291"/>
      <c r="R63" s="291"/>
      <c r="S63" s="291"/>
      <c r="T63" s="291"/>
      <c r="U63" s="291"/>
      <c r="V63" s="291"/>
      <c r="W63" s="291"/>
      <c r="X63" s="291"/>
      <c r="Y63" s="291"/>
      <c r="Z63" s="291"/>
      <c r="AA63" s="291"/>
      <c r="AB63" s="1883"/>
      <c r="AC63" s="1883"/>
      <c r="AD63" s="1883"/>
    </row>
    <row r="64" spans="1:30" x14ac:dyDescent="0.25">
      <c r="A64" s="1868" t="s">
        <v>730</v>
      </c>
      <c r="B64" s="1869" t="s">
        <v>712</v>
      </c>
      <c r="C64" s="1890"/>
      <c r="D64" s="1890"/>
      <c r="E64" s="1890"/>
      <c r="F64" s="1890"/>
      <c r="G64" s="1882"/>
      <c r="H64" s="1872">
        <f>+$F64</f>
        <v>0</v>
      </c>
      <c r="I64" s="291"/>
      <c r="J64" s="291"/>
      <c r="K64" s="291"/>
      <c r="L64" s="291"/>
      <c r="M64" s="291"/>
      <c r="N64" s="291"/>
      <c r="O64" s="291"/>
      <c r="P64" s="291"/>
      <c r="Q64" s="291"/>
      <c r="R64" s="291"/>
      <c r="S64" s="291"/>
      <c r="T64" s="291"/>
      <c r="U64" s="291"/>
      <c r="V64" s="291"/>
      <c r="W64" s="291"/>
      <c r="X64" s="291"/>
      <c r="Y64" s="291"/>
      <c r="Z64" s="291"/>
      <c r="AA64" s="291"/>
      <c r="AB64" s="1883"/>
      <c r="AC64" s="1883"/>
      <c r="AD64" s="1883"/>
    </row>
    <row r="65" spans="1:30" x14ac:dyDescent="0.25">
      <c r="A65" s="1868" t="s">
        <v>730</v>
      </c>
      <c r="B65" s="1869" t="s">
        <v>713</v>
      </c>
      <c r="C65" s="1890"/>
      <c r="D65" s="1890"/>
      <c r="E65" s="1890"/>
      <c r="F65" s="1890"/>
      <c r="G65" s="1882"/>
      <c r="H65" s="292"/>
      <c r="I65" s="1872">
        <f>+$F65</f>
        <v>0</v>
      </c>
      <c r="J65" s="291"/>
      <c r="K65" s="291"/>
      <c r="L65" s="291"/>
      <c r="M65" s="291"/>
      <c r="N65" s="291"/>
      <c r="O65" s="291"/>
      <c r="P65" s="291"/>
      <c r="Q65" s="291"/>
      <c r="R65" s="291"/>
      <c r="S65" s="291"/>
      <c r="T65" s="291"/>
      <c r="U65" s="291"/>
      <c r="V65" s="291"/>
      <c r="W65" s="291"/>
      <c r="X65" s="291"/>
      <c r="Y65" s="291"/>
      <c r="Z65" s="291"/>
      <c r="AA65" s="291"/>
      <c r="AB65" s="1883"/>
      <c r="AC65" s="1883"/>
      <c r="AD65" s="1883"/>
    </row>
    <row r="66" spans="1:30" x14ac:dyDescent="0.25">
      <c r="A66" s="1868" t="s">
        <v>730</v>
      </c>
      <c r="B66" s="1869" t="s">
        <v>714</v>
      </c>
      <c r="C66" s="1890"/>
      <c r="D66" s="1890"/>
      <c r="E66" s="1890"/>
      <c r="F66" s="1890"/>
      <c r="G66" s="1894"/>
      <c r="H66" s="292"/>
      <c r="I66" s="292"/>
      <c r="J66" s="1872">
        <f>+$F66</f>
        <v>0</v>
      </c>
      <c r="K66" s="291"/>
      <c r="L66" s="291"/>
      <c r="M66" s="291"/>
      <c r="N66" s="291"/>
      <c r="O66" s="291"/>
      <c r="P66" s="291"/>
      <c r="Q66" s="291"/>
      <c r="R66" s="291"/>
      <c r="S66" s="291"/>
      <c r="T66" s="291"/>
      <c r="U66" s="291"/>
      <c r="V66" s="291"/>
      <c r="W66" s="291"/>
      <c r="X66" s="291"/>
      <c r="Y66" s="291"/>
      <c r="Z66" s="291"/>
      <c r="AA66" s="291"/>
      <c r="AB66" s="1883"/>
      <c r="AC66" s="1883"/>
      <c r="AD66" s="1883"/>
    </row>
    <row r="67" spans="1:30" x14ac:dyDescent="0.25">
      <c r="A67" s="1868" t="s">
        <v>730</v>
      </c>
      <c r="B67" s="1869" t="s">
        <v>715</v>
      </c>
      <c r="C67" s="1890"/>
      <c r="D67" s="1890"/>
      <c r="E67" s="1890"/>
      <c r="F67" s="1890"/>
      <c r="G67" s="1882"/>
      <c r="H67" s="292"/>
      <c r="I67" s="292"/>
      <c r="J67" s="292"/>
      <c r="K67" s="1872">
        <f>+$F67</f>
        <v>0</v>
      </c>
      <c r="L67" s="291"/>
      <c r="M67" s="291"/>
      <c r="N67" s="291"/>
      <c r="O67" s="291"/>
      <c r="P67" s="291"/>
      <c r="Q67" s="291"/>
      <c r="R67" s="291"/>
      <c r="S67" s="291"/>
      <c r="T67" s="291"/>
      <c r="U67" s="291"/>
      <c r="V67" s="291"/>
      <c r="W67" s="291"/>
      <c r="X67" s="291"/>
      <c r="Y67" s="291"/>
      <c r="Z67" s="291"/>
      <c r="AA67" s="291"/>
      <c r="AB67" s="1883"/>
      <c r="AC67" s="1883"/>
      <c r="AD67" s="1883"/>
    </row>
    <row r="68" spans="1:30" x14ac:dyDescent="0.25">
      <c r="A68" s="1868" t="s">
        <v>730</v>
      </c>
      <c r="B68" s="1869" t="s">
        <v>716</v>
      </c>
      <c r="C68" s="1890"/>
      <c r="D68" s="1890"/>
      <c r="E68" s="1890"/>
      <c r="F68" s="1890"/>
      <c r="G68" s="1882"/>
      <c r="H68" s="292"/>
      <c r="I68" s="292"/>
      <c r="J68" s="292"/>
      <c r="K68" s="292"/>
      <c r="L68" s="1872">
        <f>+$F68</f>
        <v>0</v>
      </c>
      <c r="M68" s="291"/>
      <c r="N68" s="291"/>
      <c r="O68" s="291"/>
      <c r="P68" s="291"/>
      <c r="Q68" s="291"/>
      <c r="R68" s="291"/>
      <c r="S68" s="291"/>
      <c r="T68" s="291"/>
      <c r="U68" s="291"/>
      <c r="V68" s="291"/>
      <c r="W68" s="291"/>
      <c r="X68" s="291"/>
      <c r="Y68" s="291"/>
      <c r="Z68" s="291"/>
      <c r="AA68" s="291"/>
      <c r="AB68" s="1883"/>
      <c r="AC68" s="1883"/>
      <c r="AD68" s="1883"/>
    </row>
    <row r="69" spans="1:30" x14ac:dyDescent="0.25">
      <c r="A69" s="1868" t="s">
        <v>730</v>
      </c>
      <c r="B69" s="1869" t="s">
        <v>717</v>
      </c>
      <c r="C69" s="1890"/>
      <c r="D69" s="1890"/>
      <c r="E69" s="1890"/>
      <c r="F69" s="1890"/>
      <c r="G69" s="1882"/>
      <c r="H69" s="292"/>
      <c r="I69" s="292"/>
      <c r="J69" s="292"/>
      <c r="K69" s="292"/>
      <c r="L69" s="292"/>
      <c r="M69" s="1872">
        <f>+$F69</f>
        <v>0</v>
      </c>
      <c r="N69" s="291"/>
      <c r="O69" s="291"/>
      <c r="P69" s="291"/>
      <c r="Q69" s="291"/>
      <c r="R69" s="291"/>
      <c r="S69" s="291"/>
      <c r="T69" s="291"/>
      <c r="U69" s="291"/>
      <c r="V69" s="291"/>
      <c r="W69" s="291"/>
      <c r="X69" s="291"/>
      <c r="Y69" s="291"/>
      <c r="Z69" s="291"/>
      <c r="AA69" s="291"/>
      <c r="AB69" s="1883"/>
      <c r="AC69" s="1883"/>
      <c r="AD69" s="1883"/>
    </row>
    <row r="70" spans="1:30" x14ac:dyDescent="0.25">
      <c r="A70" s="1868" t="s">
        <v>730</v>
      </c>
      <c r="B70" s="1869" t="s">
        <v>718</v>
      </c>
      <c r="C70" s="1890"/>
      <c r="D70" s="1890"/>
      <c r="E70" s="1890"/>
      <c r="F70" s="1890"/>
      <c r="G70" s="1882"/>
      <c r="H70" s="292"/>
      <c r="I70" s="292"/>
      <c r="J70" s="292"/>
      <c r="K70" s="292"/>
      <c r="L70" s="292"/>
      <c r="M70" s="292"/>
      <c r="N70" s="1872">
        <f>+$F70</f>
        <v>0</v>
      </c>
      <c r="O70" s="291"/>
      <c r="P70" s="291"/>
      <c r="Q70" s="291"/>
      <c r="R70" s="291"/>
      <c r="S70" s="291"/>
      <c r="T70" s="291"/>
      <c r="U70" s="291"/>
      <c r="V70" s="291"/>
      <c r="W70" s="291"/>
      <c r="X70" s="291"/>
      <c r="Y70" s="291"/>
      <c r="Z70" s="291"/>
      <c r="AA70" s="291"/>
      <c r="AB70" s="1883"/>
      <c r="AC70" s="1883"/>
      <c r="AD70" s="1883"/>
    </row>
    <row r="71" spans="1:30" x14ac:dyDescent="0.25">
      <c r="A71" s="1868" t="s">
        <v>730</v>
      </c>
      <c r="B71" s="1869" t="s">
        <v>719</v>
      </c>
      <c r="C71" s="1890"/>
      <c r="D71" s="1890"/>
      <c r="E71" s="1890"/>
      <c r="F71" s="1890"/>
      <c r="G71" s="1882"/>
      <c r="H71" s="292"/>
      <c r="I71" s="292"/>
      <c r="J71" s="292"/>
      <c r="K71" s="292"/>
      <c r="L71" s="292"/>
      <c r="M71" s="292"/>
      <c r="N71" s="292"/>
      <c r="O71" s="1872">
        <f>+$F71</f>
        <v>0</v>
      </c>
      <c r="P71" s="291"/>
      <c r="Q71" s="291"/>
      <c r="R71" s="291"/>
      <c r="S71" s="291"/>
      <c r="T71" s="291"/>
      <c r="U71" s="291"/>
      <c r="V71" s="291"/>
      <c r="W71" s="291"/>
      <c r="X71" s="291"/>
      <c r="Y71" s="291"/>
      <c r="Z71" s="291"/>
      <c r="AA71" s="291"/>
      <c r="AB71" s="1883"/>
      <c r="AC71" s="1883"/>
      <c r="AD71" s="1883"/>
    </row>
    <row r="72" spans="1:30" x14ac:dyDescent="0.25">
      <c r="A72" s="1868" t="s">
        <v>730</v>
      </c>
      <c r="B72" s="1869" t="s">
        <v>720</v>
      </c>
      <c r="C72" s="1893">
        <f>(1990547599-1020687033)/(10^7)</f>
        <v>96.986056599999998</v>
      </c>
      <c r="D72" s="1892">
        <f>99356823.64/(10^7)</f>
        <v>9.9356823639999998</v>
      </c>
      <c r="E72" s="1892">
        <f>(106578657.78-88514461)/(10^7)</f>
        <v>1.8064196780000001</v>
      </c>
      <c r="F72" s="1892">
        <f>148746394.8081/(10^7)</f>
        <v>14.874639480809998</v>
      </c>
      <c r="G72" s="1882"/>
      <c r="H72" s="292"/>
      <c r="I72" s="292"/>
      <c r="J72" s="292"/>
      <c r="K72" s="292"/>
      <c r="L72" s="292"/>
      <c r="M72" s="292"/>
      <c r="N72" s="292"/>
      <c r="O72" s="292"/>
      <c r="P72" s="1872">
        <f>+$F72</f>
        <v>14.874639480809998</v>
      </c>
      <c r="Q72" s="291"/>
      <c r="R72" s="291"/>
      <c r="S72" s="291"/>
      <c r="T72" s="291"/>
      <c r="U72" s="291"/>
      <c r="V72" s="291"/>
      <c r="W72" s="291"/>
      <c r="X72" s="291"/>
      <c r="Y72" s="291"/>
      <c r="Z72" s="291"/>
      <c r="AA72" s="291"/>
      <c r="AB72" s="1883"/>
      <c r="AC72" s="1883"/>
      <c r="AD72" s="1883"/>
    </row>
    <row r="73" spans="1:30" x14ac:dyDescent="0.25">
      <c r="A73" s="1868" t="s">
        <v>730</v>
      </c>
      <c r="B73" s="1869" t="s">
        <v>721</v>
      </c>
      <c r="C73" s="1892">
        <f>+C72+D72-E72-F72</f>
        <v>90.240679805189998</v>
      </c>
      <c r="D73" s="1892">
        <f>125941000.18/(10^7)</f>
        <v>12.594100018000001</v>
      </c>
      <c r="E73" s="1892">
        <f>(48887067.69-40741275)/(10^7)</f>
        <v>0.81457926899999977</v>
      </c>
      <c r="F73" s="1892">
        <f>123825379.2381/(10^7)</f>
        <v>12.38253792381</v>
      </c>
      <c r="G73" s="1882"/>
      <c r="H73" s="292"/>
      <c r="I73" s="292"/>
      <c r="J73" s="292"/>
      <c r="K73" s="292"/>
      <c r="L73" s="292"/>
      <c r="M73" s="292"/>
      <c r="N73" s="292"/>
      <c r="O73" s="292"/>
      <c r="P73" s="292"/>
      <c r="Q73" s="1872">
        <f>+$F73</f>
        <v>12.38253792381</v>
      </c>
      <c r="R73" s="291"/>
      <c r="S73" s="291"/>
      <c r="T73" s="291"/>
      <c r="U73" s="291"/>
      <c r="V73" s="291"/>
      <c r="W73" s="291"/>
      <c r="X73" s="291"/>
      <c r="Y73" s="291"/>
      <c r="Z73" s="291"/>
      <c r="AA73" s="291"/>
      <c r="AB73" s="1883"/>
      <c r="AC73" s="1883"/>
      <c r="AD73" s="1883"/>
    </row>
    <row r="74" spans="1:30" x14ac:dyDescent="0.25">
      <c r="A74" s="1868" t="s">
        <v>730</v>
      </c>
      <c r="B74" s="1869" t="s">
        <v>722</v>
      </c>
      <c r="C74" s="1892">
        <f t="shared" ref="C74:C83" si="6">+C73+D73-E73-F73</f>
        <v>89.637662630379992</v>
      </c>
      <c r="D74" s="1892">
        <f>75260854.28/(10^7)</f>
        <v>7.526085428</v>
      </c>
      <c r="E74" s="1892">
        <f>(48764910.13-39403800+11747969)/(10^7)</f>
        <v>2.1109079130000001</v>
      </c>
      <c r="F74" s="1892">
        <f>132029724.363/(10^7)</f>
        <v>13.202972436300001</v>
      </c>
      <c r="G74" s="1882"/>
      <c r="H74" s="292"/>
      <c r="I74" s="292"/>
      <c r="J74" s="292"/>
      <c r="K74" s="292"/>
      <c r="L74" s="292"/>
      <c r="M74" s="292"/>
      <c r="N74" s="292"/>
      <c r="O74" s="292"/>
      <c r="P74" s="292"/>
      <c r="Q74" s="292"/>
      <c r="R74" s="1872">
        <f>+$F74</f>
        <v>13.202972436300001</v>
      </c>
      <c r="S74" s="291"/>
      <c r="T74" s="291"/>
      <c r="U74" s="291"/>
      <c r="V74" s="291"/>
      <c r="W74" s="291"/>
      <c r="X74" s="291"/>
      <c r="Y74" s="291"/>
      <c r="Z74" s="291"/>
      <c r="AA74" s="291"/>
      <c r="AB74" s="1883"/>
      <c r="AC74" s="1883"/>
      <c r="AD74" s="1883"/>
    </row>
    <row r="75" spans="1:30" x14ac:dyDescent="0.25">
      <c r="A75" s="1868" t="s">
        <v>730</v>
      </c>
      <c r="B75" s="1869" t="s">
        <v>723</v>
      </c>
      <c r="C75" s="1892">
        <f t="shared" si="6"/>
        <v>81.849867709079987</v>
      </c>
      <c r="D75" s="1892">
        <f>94835726.87/(10^7)</f>
        <v>9.4835726870000006</v>
      </c>
      <c r="E75" s="1892">
        <f>(60039231.56-49168084+1285684)/(10^7)</f>
        <v>1.2156831560000003</v>
      </c>
      <c r="F75" s="1892">
        <f>137359276.0755/(10^7)</f>
        <v>13.735927607550002</v>
      </c>
      <c r="G75" s="1882"/>
      <c r="H75" s="292"/>
      <c r="I75" s="292"/>
      <c r="J75" s="292"/>
      <c r="K75" s="292"/>
      <c r="L75" s="292"/>
      <c r="M75" s="292"/>
      <c r="N75" s="292"/>
      <c r="O75" s="292"/>
      <c r="P75" s="292"/>
      <c r="Q75" s="292"/>
      <c r="R75" s="292"/>
      <c r="S75" s="1872">
        <f>+$F75</f>
        <v>13.735927607550002</v>
      </c>
      <c r="T75" s="291"/>
      <c r="U75" s="291"/>
      <c r="V75" s="291"/>
      <c r="W75" s="291"/>
      <c r="X75" s="291"/>
      <c r="Y75" s="291"/>
      <c r="Z75" s="291"/>
      <c r="AA75" s="291"/>
      <c r="AB75" s="1883"/>
      <c r="AC75" s="1883"/>
      <c r="AD75" s="1883"/>
    </row>
    <row r="76" spans="1:30" x14ac:dyDescent="0.25">
      <c r="A76" s="1868" t="s">
        <v>730</v>
      </c>
      <c r="B76" s="1869" t="s">
        <v>724</v>
      </c>
      <c r="C76" s="1892">
        <f t="shared" si="6"/>
        <v>76.38182963253</v>
      </c>
      <c r="D76" s="1892">
        <f>99067966.05/(10^7)</f>
        <v>9.9067966050000003</v>
      </c>
      <c r="E76" s="1892">
        <f>(292026069.28-255377226.5-12955026)/(10^7)</f>
        <v>2.3693816779999972</v>
      </c>
      <c r="F76" s="1892">
        <f>123986278.276025/(10^7)</f>
        <v>12.3986278276025</v>
      </c>
      <c r="G76" s="1882"/>
      <c r="H76" s="292"/>
      <c r="I76" s="292"/>
      <c r="J76" s="292"/>
      <c r="K76" s="292"/>
      <c r="L76" s="292"/>
      <c r="M76" s="292"/>
      <c r="N76" s="292"/>
      <c r="O76" s="292"/>
      <c r="P76" s="292"/>
      <c r="Q76" s="292"/>
      <c r="R76" s="292"/>
      <c r="S76" s="292"/>
      <c r="T76" s="1872">
        <f>+$F76</f>
        <v>12.3986278276025</v>
      </c>
      <c r="U76" s="291"/>
      <c r="V76" s="291"/>
      <c r="W76" s="291"/>
      <c r="X76" s="291"/>
      <c r="Y76" s="291"/>
      <c r="Z76" s="291"/>
      <c r="AA76" s="291"/>
      <c r="AB76" s="1883"/>
      <c r="AC76" s="1883"/>
      <c r="AD76" s="1883"/>
    </row>
    <row r="77" spans="1:30" x14ac:dyDescent="0.25">
      <c r="A77" s="1868" t="s">
        <v>730</v>
      </c>
      <c r="B77" s="1869" t="s">
        <v>725</v>
      </c>
      <c r="C77" s="1892">
        <f t="shared" si="6"/>
        <v>71.520616731927504</v>
      </c>
      <c r="D77" s="1892">
        <f>122832917.62/(10^7)</f>
        <v>12.283291762000001</v>
      </c>
      <c r="E77" s="1892">
        <f>(289411895.64-258421656)/(10^7)</f>
        <v>3.0990239639999984</v>
      </c>
      <c r="F77" s="1892">
        <f>102679699.65875/(10^7)</f>
        <v>10.267969965875</v>
      </c>
      <c r="G77" s="1882"/>
      <c r="H77" s="292"/>
      <c r="I77" s="292"/>
      <c r="J77" s="292"/>
      <c r="K77" s="292"/>
      <c r="L77" s="292"/>
      <c r="M77" s="292"/>
      <c r="N77" s="292"/>
      <c r="O77" s="292"/>
      <c r="P77" s="292"/>
      <c r="Q77" s="292"/>
      <c r="R77" s="292"/>
      <c r="S77" s="292"/>
      <c r="T77" s="292"/>
      <c r="U77" s="1872">
        <f>+$F77</f>
        <v>10.267969965875</v>
      </c>
      <c r="V77" s="291"/>
      <c r="W77" s="291"/>
      <c r="X77" s="291"/>
      <c r="Y77" s="291"/>
      <c r="Z77" s="291"/>
      <c r="AA77" s="291"/>
      <c r="AB77" s="1883"/>
      <c r="AC77" s="1883"/>
      <c r="AD77" s="1883"/>
    </row>
    <row r="78" spans="1:30" x14ac:dyDescent="0.25">
      <c r="A78" s="1868" t="s">
        <v>730</v>
      </c>
      <c r="B78" s="1869" t="s">
        <v>731</v>
      </c>
      <c r="C78" s="1892">
        <f t="shared" si="6"/>
        <v>70.436914564052515</v>
      </c>
      <c r="D78" s="1892">
        <f>116819516.12/(10^7)</f>
        <v>11.681951612000001</v>
      </c>
      <c r="E78" s="1892">
        <f>(151051314.32-135103663)/(10^7)</f>
        <v>1.5947651319999994</v>
      </c>
      <c r="F78" s="1892">
        <f>103522984.00815/(10^7)</f>
        <v>10.352298400815</v>
      </c>
      <c r="G78" s="1886"/>
      <c r="H78" s="292"/>
      <c r="I78" s="292"/>
      <c r="J78" s="292"/>
      <c r="K78" s="292"/>
      <c r="L78" s="292"/>
      <c r="M78" s="292"/>
      <c r="N78" s="292"/>
      <c r="O78" s="292"/>
      <c r="P78" s="292"/>
      <c r="Q78" s="292"/>
      <c r="R78" s="292"/>
      <c r="S78" s="292"/>
      <c r="T78" s="292"/>
      <c r="U78" s="292"/>
      <c r="V78" s="1872">
        <f>+$F78</f>
        <v>10.352298400815</v>
      </c>
      <c r="W78" s="291"/>
      <c r="X78" s="291"/>
      <c r="Y78" s="291"/>
      <c r="Z78" s="291"/>
      <c r="AA78" s="291"/>
      <c r="AB78" s="1883"/>
      <c r="AC78" s="1883"/>
      <c r="AD78" s="1883"/>
    </row>
    <row r="79" spans="1:30" x14ac:dyDescent="0.25">
      <c r="A79" s="1868" t="s">
        <v>730</v>
      </c>
      <c r="B79" s="1869" t="s">
        <v>732</v>
      </c>
      <c r="C79" s="1892">
        <f t="shared" si="6"/>
        <v>70.171802643237513</v>
      </c>
      <c r="D79" s="1892">
        <f>62960296.21/(10^7)</f>
        <v>6.2960296209999997</v>
      </c>
      <c r="E79" s="1892">
        <f>(188626103.86-165620134)/(10^7)</f>
        <v>2.3005969860000013</v>
      </c>
      <c r="F79" s="1892">
        <f>102589234.562775/(10^7)</f>
        <v>10.2589234562775</v>
      </c>
      <c r="G79" s="1886"/>
      <c r="H79" s="292"/>
      <c r="I79" s="292"/>
      <c r="J79" s="292"/>
      <c r="K79" s="292"/>
      <c r="L79" s="292"/>
      <c r="M79" s="292"/>
      <c r="N79" s="292"/>
      <c r="O79" s="292"/>
      <c r="P79" s="292"/>
      <c r="Q79" s="292"/>
      <c r="R79" s="292"/>
      <c r="S79" s="292"/>
      <c r="T79" s="292"/>
      <c r="U79" s="292"/>
      <c r="V79" s="292"/>
      <c r="W79" s="1872">
        <f>+$F79</f>
        <v>10.2589234562775</v>
      </c>
      <c r="X79" s="291"/>
      <c r="Y79" s="291"/>
      <c r="Z79" s="291"/>
      <c r="AA79" s="291"/>
      <c r="AB79" s="1883"/>
      <c r="AC79" s="1883"/>
      <c r="AD79" s="1883"/>
    </row>
    <row r="80" spans="1:30" x14ac:dyDescent="0.25">
      <c r="A80" s="1868" t="s">
        <v>730</v>
      </c>
      <c r="B80" s="1869" t="s">
        <v>733</v>
      </c>
      <c r="C80" s="1892">
        <f t="shared" si="6"/>
        <v>63.908311821960012</v>
      </c>
      <c r="D80" s="1892">
        <f>146156921.92/(10^7)</f>
        <v>14.615692191999999</v>
      </c>
      <c r="E80" s="1892">
        <f>(145819910.98-130316324)/(10^7)</f>
        <v>1.550358697999999</v>
      </c>
      <c r="F80" s="1892">
        <f>90500142.49005/(10^7)</f>
        <v>9.0500142490050006</v>
      </c>
      <c r="G80" s="1886"/>
      <c r="H80" s="292"/>
      <c r="I80" s="292"/>
      <c r="J80" s="292"/>
      <c r="K80" s="292"/>
      <c r="L80" s="292"/>
      <c r="M80" s="292"/>
      <c r="N80" s="292"/>
      <c r="O80" s="292"/>
      <c r="P80" s="292"/>
      <c r="Q80" s="292"/>
      <c r="R80" s="292"/>
      <c r="S80" s="292"/>
      <c r="T80" s="292"/>
      <c r="U80" s="292"/>
      <c r="V80" s="292"/>
      <c r="W80" s="292"/>
      <c r="X80" s="1872">
        <f>+$F80</f>
        <v>9.0500142490050006</v>
      </c>
      <c r="Y80" s="291"/>
      <c r="Z80" s="291"/>
      <c r="AA80" s="291"/>
      <c r="AB80" s="1883"/>
      <c r="AC80" s="1883"/>
      <c r="AD80" s="1883"/>
    </row>
    <row r="81" spans="1:30" x14ac:dyDescent="0.25">
      <c r="A81" s="1868" t="s">
        <v>730</v>
      </c>
      <c r="B81" s="1869" t="s">
        <v>734</v>
      </c>
      <c r="C81" s="1892">
        <f t="shared" si="6"/>
        <v>67.923631066955011</v>
      </c>
      <c r="D81" s="1892">
        <f>'F5'!E40</f>
        <v>16.949417200478674</v>
      </c>
      <c r="E81" s="1892">
        <f>'F5'!F40</f>
        <v>14.581991098</v>
      </c>
      <c r="F81" s="1892">
        <f>'F5'!$E$83-'F5'!$F$83</f>
        <v>-3.6363601553355132</v>
      </c>
      <c r="G81" s="1886"/>
      <c r="H81" s="292"/>
      <c r="I81" s="292"/>
      <c r="J81" s="292"/>
      <c r="K81" s="292"/>
      <c r="L81" s="292"/>
      <c r="M81" s="292"/>
      <c r="N81" s="292"/>
      <c r="O81" s="292"/>
      <c r="P81" s="292"/>
      <c r="Q81" s="292"/>
      <c r="R81" s="292"/>
      <c r="S81" s="292"/>
      <c r="T81" s="292"/>
      <c r="U81" s="292"/>
      <c r="V81" s="292"/>
      <c r="W81" s="292"/>
      <c r="X81" s="292"/>
      <c r="Y81" s="1872">
        <f>+$F81</f>
        <v>-3.6363601553355132</v>
      </c>
      <c r="Z81" s="291"/>
      <c r="AA81" s="291"/>
      <c r="AB81" s="1883"/>
      <c r="AC81" s="1883"/>
      <c r="AD81" s="1883"/>
    </row>
    <row r="82" spans="1:30" x14ac:dyDescent="0.25">
      <c r="A82" s="1868" t="s">
        <v>730</v>
      </c>
      <c r="B82" s="1869" t="s">
        <v>735</v>
      </c>
      <c r="C82" s="1892">
        <f t="shared" si="6"/>
        <v>73.927417324769195</v>
      </c>
      <c r="D82" s="1892">
        <f>'F5'!I40</f>
        <v>113.5216730471667</v>
      </c>
      <c r="E82" s="1892">
        <f>'F5'!J40</f>
        <v>14.581991098</v>
      </c>
      <c r="F82" s="1892">
        <f>'F5'!$I$83-'F5'!$J$83</f>
        <v>-2.0296399437946047</v>
      </c>
      <c r="G82" s="1886"/>
      <c r="H82" s="292"/>
      <c r="I82" s="292"/>
      <c r="J82" s="292"/>
      <c r="K82" s="292"/>
      <c r="L82" s="292"/>
      <c r="M82" s="292"/>
      <c r="N82" s="292"/>
      <c r="O82" s="292"/>
      <c r="P82" s="292"/>
      <c r="Q82" s="292"/>
      <c r="R82" s="292"/>
      <c r="S82" s="292"/>
      <c r="T82" s="292"/>
      <c r="U82" s="292"/>
      <c r="V82" s="292"/>
      <c r="W82" s="292"/>
      <c r="X82" s="292"/>
      <c r="Y82" s="292"/>
      <c r="Z82" s="1872">
        <f>+$F82</f>
        <v>-2.0296399437946047</v>
      </c>
      <c r="AA82" s="291"/>
      <c r="AB82" s="1883"/>
      <c r="AC82" s="1883"/>
      <c r="AD82" s="1883"/>
    </row>
    <row r="83" spans="1:30" x14ac:dyDescent="0.25">
      <c r="A83" s="1868" t="s">
        <v>730</v>
      </c>
      <c r="B83" s="1869" t="s">
        <v>736</v>
      </c>
      <c r="C83" s="1892">
        <f t="shared" si="6"/>
        <v>174.89673921773047</v>
      </c>
      <c r="D83" s="1892">
        <f>'F5'!M40</f>
        <v>97.853364954554223</v>
      </c>
      <c r="E83" s="1892">
        <f>'F5'!N40</f>
        <v>14.581991098</v>
      </c>
      <c r="F83" s="1892">
        <f>'F5'!$M$83-'F5'!$N$83</f>
        <v>0.30986036009448092</v>
      </c>
      <c r="G83" s="1886"/>
      <c r="H83" s="292"/>
      <c r="I83" s="292"/>
      <c r="J83" s="292"/>
      <c r="K83" s="292"/>
      <c r="L83" s="292"/>
      <c r="M83" s="292"/>
      <c r="N83" s="292"/>
      <c r="O83" s="292"/>
      <c r="P83" s="292"/>
      <c r="Q83" s="292"/>
      <c r="R83" s="292"/>
      <c r="S83" s="292"/>
      <c r="T83" s="292"/>
      <c r="U83" s="292"/>
      <c r="V83" s="292"/>
      <c r="W83" s="292"/>
      <c r="X83" s="292"/>
      <c r="Y83" s="292"/>
      <c r="Z83" s="292"/>
      <c r="AA83" s="1872">
        <f>+$F83</f>
        <v>0.30986036009448092</v>
      </c>
      <c r="AB83" s="1883"/>
      <c r="AC83" s="1883"/>
      <c r="AD83" s="1883"/>
    </row>
    <row r="84" spans="1:30" ht="13" x14ac:dyDescent="0.3">
      <c r="A84" s="1873"/>
      <c r="B84" s="1874" t="s">
        <v>145</v>
      </c>
      <c r="C84" s="1896">
        <f>C72+D84-E84</f>
        <v>359.02602432319964</v>
      </c>
      <c r="D84" s="1896">
        <f t="shared" ref="D84:F84" si="7">SUM(D63:D83)</f>
        <v>322.64765749119965</v>
      </c>
      <c r="E84" s="1896">
        <f t="shared" si="7"/>
        <v>60.607689768</v>
      </c>
      <c r="F84" s="1896">
        <f t="shared" si="7"/>
        <v>101.16777160900936</v>
      </c>
      <c r="G84" s="286"/>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row>
    <row r="88" spans="1:30" ht="13" x14ac:dyDescent="0.3">
      <c r="B88" s="1861" t="s">
        <v>1949</v>
      </c>
      <c r="H88" s="1862" t="s">
        <v>16</v>
      </c>
    </row>
    <row r="89" spans="1:30" ht="26" x14ac:dyDescent="0.35">
      <c r="A89" s="1863"/>
      <c r="B89" s="1880" t="s">
        <v>746</v>
      </c>
      <c r="C89" s="2498" t="s">
        <v>890</v>
      </c>
      <c r="D89" s="2498" t="s">
        <v>1946</v>
      </c>
      <c r="E89" s="2498" t="s">
        <v>1947</v>
      </c>
      <c r="F89" s="2498" t="s">
        <v>711</v>
      </c>
      <c r="G89" s="2498" t="s">
        <v>747</v>
      </c>
      <c r="H89" s="2500" t="s">
        <v>748</v>
      </c>
      <c r="I89" s="2500"/>
      <c r="J89" s="2500"/>
      <c r="K89" s="2500"/>
      <c r="L89" s="2500"/>
      <c r="M89" s="2500"/>
      <c r="N89" s="2500"/>
      <c r="O89" s="2500"/>
      <c r="P89" s="2500"/>
      <c r="Q89" s="2500"/>
      <c r="R89" s="2500"/>
      <c r="S89" s="2500"/>
      <c r="T89" s="2500"/>
      <c r="U89" s="2500"/>
      <c r="V89" s="2500"/>
      <c r="W89" s="2500"/>
      <c r="X89" s="2500"/>
      <c r="Y89" s="2500"/>
      <c r="Z89" s="2500"/>
      <c r="AA89" s="2500"/>
      <c r="AB89" s="1864" t="s">
        <v>726</v>
      </c>
      <c r="AC89" s="1864" t="s">
        <v>727</v>
      </c>
      <c r="AD89" s="1864" t="s">
        <v>728</v>
      </c>
    </row>
    <row r="90" spans="1:30" ht="13" x14ac:dyDescent="0.25">
      <c r="A90" s="1863"/>
      <c r="B90" s="1880"/>
      <c r="C90" s="2499"/>
      <c r="D90" s="2499"/>
      <c r="E90" s="2499"/>
      <c r="F90" s="2499"/>
      <c r="G90" s="2499"/>
      <c r="H90" s="1865" t="s">
        <v>712</v>
      </c>
      <c r="I90" s="1865" t="s">
        <v>713</v>
      </c>
      <c r="J90" s="1865" t="s">
        <v>714</v>
      </c>
      <c r="K90" s="1865" t="s">
        <v>715</v>
      </c>
      <c r="L90" s="1865" t="s">
        <v>716</v>
      </c>
      <c r="M90" s="1865" t="s">
        <v>717</v>
      </c>
      <c r="N90" s="1865" t="s">
        <v>718</v>
      </c>
      <c r="O90" s="1865" t="s">
        <v>719</v>
      </c>
      <c r="P90" s="1865" t="s">
        <v>720</v>
      </c>
      <c r="Q90" s="1865" t="s">
        <v>721</v>
      </c>
      <c r="R90" s="1865" t="s">
        <v>722</v>
      </c>
      <c r="S90" s="1865" t="s">
        <v>723</v>
      </c>
      <c r="T90" s="1865" t="s">
        <v>724</v>
      </c>
      <c r="U90" s="1865" t="s">
        <v>725</v>
      </c>
      <c r="V90" s="1865" t="s">
        <v>179</v>
      </c>
      <c r="W90" s="1865" t="s">
        <v>186</v>
      </c>
      <c r="X90" s="1865" t="s">
        <v>426</v>
      </c>
      <c r="Y90" s="1865" t="s">
        <v>427</v>
      </c>
      <c r="Z90" s="1865" t="s">
        <v>428</v>
      </c>
      <c r="AA90" s="1865" t="s">
        <v>429</v>
      </c>
      <c r="AB90" s="1864"/>
      <c r="AC90" s="1864"/>
      <c r="AD90" s="1864"/>
    </row>
    <row r="91" spans="1:30" x14ac:dyDescent="0.25">
      <c r="A91" s="1868" t="s">
        <v>729</v>
      </c>
      <c r="B91" s="1869">
        <v>2005</v>
      </c>
      <c r="C91" s="1868"/>
      <c r="D91" s="1868"/>
      <c r="E91" s="1868"/>
      <c r="F91" s="1868"/>
      <c r="G91" s="1882"/>
      <c r="H91" s="291"/>
      <c r="I91" s="291"/>
      <c r="J91" s="291"/>
      <c r="K91" s="291"/>
      <c r="L91" s="291"/>
      <c r="M91" s="291"/>
      <c r="N91" s="291"/>
      <c r="O91" s="291"/>
      <c r="P91" s="291"/>
      <c r="Q91" s="291"/>
      <c r="R91" s="291"/>
      <c r="S91" s="291"/>
      <c r="T91" s="291"/>
      <c r="U91" s="291"/>
      <c r="V91" s="291"/>
      <c r="W91" s="291"/>
      <c r="X91" s="291"/>
      <c r="Y91" s="291"/>
      <c r="Z91" s="291"/>
      <c r="AA91" s="291"/>
      <c r="AB91" s="1883"/>
      <c r="AC91" s="1883"/>
      <c r="AD91" s="1883"/>
    </row>
    <row r="92" spans="1:30" x14ac:dyDescent="0.25">
      <c r="A92" s="1868" t="s">
        <v>730</v>
      </c>
      <c r="B92" s="1869" t="s">
        <v>712</v>
      </c>
      <c r="C92" s="1868"/>
      <c r="D92" s="1868"/>
      <c r="E92" s="1868"/>
      <c r="F92" s="1868"/>
      <c r="G92" s="1882"/>
      <c r="H92" s="1872">
        <f>+$F92</f>
        <v>0</v>
      </c>
      <c r="I92" s="291"/>
      <c r="J92" s="291"/>
      <c r="K92" s="291"/>
      <c r="L92" s="291"/>
      <c r="M92" s="291"/>
      <c r="N92" s="291"/>
      <c r="O92" s="291"/>
      <c r="P92" s="291"/>
      <c r="Q92" s="291"/>
      <c r="R92" s="291"/>
      <c r="S92" s="291"/>
      <c r="T92" s="291"/>
      <c r="U92" s="291"/>
      <c r="V92" s="291"/>
      <c r="W92" s="291"/>
      <c r="X92" s="291"/>
      <c r="Y92" s="291"/>
      <c r="Z92" s="291"/>
      <c r="AA92" s="291"/>
      <c r="AB92" s="1883"/>
      <c r="AC92" s="1883"/>
      <c r="AD92" s="1883"/>
    </row>
    <row r="93" spans="1:30" x14ac:dyDescent="0.25">
      <c r="A93" s="1868" t="s">
        <v>730</v>
      </c>
      <c r="B93" s="1869" t="s">
        <v>713</v>
      </c>
      <c r="C93" s="1868"/>
      <c r="D93" s="1868"/>
      <c r="E93" s="1868"/>
      <c r="F93" s="1868"/>
      <c r="G93" s="1882"/>
      <c r="H93" s="292"/>
      <c r="I93" s="1872">
        <f>+$F93</f>
        <v>0</v>
      </c>
      <c r="J93" s="291"/>
      <c r="K93" s="291"/>
      <c r="L93" s="291"/>
      <c r="M93" s="291"/>
      <c r="N93" s="291"/>
      <c r="O93" s="291"/>
      <c r="P93" s="291"/>
      <c r="Q93" s="291"/>
      <c r="R93" s="291"/>
      <c r="S93" s="291"/>
      <c r="T93" s="291"/>
      <c r="U93" s="291"/>
      <c r="V93" s="291"/>
      <c r="W93" s="291"/>
      <c r="X93" s="291"/>
      <c r="Y93" s="291"/>
      <c r="Z93" s="291"/>
      <c r="AA93" s="291"/>
      <c r="AB93" s="1883"/>
      <c r="AC93" s="1883"/>
      <c r="AD93" s="1883"/>
    </row>
    <row r="94" spans="1:30" x14ac:dyDescent="0.25">
      <c r="A94" s="1868" t="s">
        <v>730</v>
      </c>
      <c r="B94" s="1869" t="s">
        <v>714</v>
      </c>
      <c r="C94" s="1868"/>
      <c r="D94" s="1868"/>
      <c r="E94" s="1868"/>
      <c r="F94" s="1868"/>
      <c r="G94" s="1882"/>
      <c r="H94" s="292"/>
      <c r="I94" s="292"/>
      <c r="J94" s="1872">
        <f>+$F94</f>
        <v>0</v>
      </c>
      <c r="K94" s="291"/>
      <c r="L94" s="291"/>
      <c r="M94" s="291"/>
      <c r="N94" s="291"/>
      <c r="O94" s="291"/>
      <c r="P94" s="291"/>
      <c r="Q94" s="291"/>
      <c r="R94" s="291"/>
      <c r="S94" s="291"/>
      <c r="T94" s="291"/>
      <c r="U94" s="291"/>
      <c r="V94" s="291"/>
      <c r="W94" s="291"/>
      <c r="X94" s="291"/>
      <c r="Y94" s="291"/>
      <c r="Z94" s="291"/>
      <c r="AA94" s="291"/>
      <c r="AB94" s="1883"/>
      <c r="AC94" s="1883"/>
      <c r="AD94" s="1883"/>
    </row>
    <row r="95" spans="1:30" x14ac:dyDescent="0.25">
      <c r="A95" s="1868" t="s">
        <v>730</v>
      </c>
      <c r="B95" s="1869" t="s">
        <v>715</v>
      </c>
      <c r="C95" s="1868"/>
      <c r="D95" s="1868"/>
      <c r="E95" s="1868"/>
      <c r="F95" s="1868"/>
      <c r="G95" s="1882"/>
      <c r="H95" s="292"/>
      <c r="I95" s="292"/>
      <c r="J95" s="292"/>
      <c r="K95" s="1872">
        <f>+$F95</f>
        <v>0</v>
      </c>
      <c r="L95" s="291"/>
      <c r="M95" s="291"/>
      <c r="N95" s="291"/>
      <c r="O95" s="291"/>
      <c r="P95" s="291"/>
      <c r="Q95" s="291"/>
      <c r="R95" s="291"/>
      <c r="S95" s="291"/>
      <c r="T95" s="291"/>
      <c r="U95" s="291"/>
      <c r="V95" s="291"/>
      <c r="W95" s="291"/>
      <c r="X95" s="291"/>
      <c r="Y95" s="291"/>
      <c r="Z95" s="291"/>
      <c r="AA95" s="291"/>
      <c r="AB95" s="1883"/>
      <c r="AC95" s="1883"/>
      <c r="AD95" s="1883"/>
    </row>
    <row r="96" spans="1:30" x14ac:dyDescent="0.25">
      <c r="A96" s="1868" t="s">
        <v>730</v>
      </c>
      <c r="B96" s="1869" t="s">
        <v>716</v>
      </c>
      <c r="C96" s="1868"/>
      <c r="D96" s="1868"/>
      <c r="E96" s="1868"/>
      <c r="F96" s="1868"/>
      <c r="G96" s="1882"/>
      <c r="H96" s="292"/>
      <c r="I96" s="292"/>
      <c r="J96" s="292"/>
      <c r="K96" s="292"/>
      <c r="L96" s="1872">
        <f>+$F96</f>
        <v>0</v>
      </c>
      <c r="M96" s="291"/>
      <c r="N96" s="291"/>
      <c r="O96" s="291"/>
      <c r="P96" s="291"/>
      <c r="Q96" s="291"/>
      <c r="R96" s="291"/>
      <c r="S96" s="291"/>
      <c r="T96" s="291"/>
      <c r="U96" s="291"/>
      <c r="V96" s="291"/>
      <c r="W96" s="291"/>
      <c r="X96" s="291"/>
      <c r="Y96" s="291"/>
      <c r="Z96" s="291"/>
      <c r="AA96" s="291"/>
      <c r="AB96" s="1883"/>
      <c r="AC96" s="1883"/>
      <c r="AD96" s="1883"/>
    </row>
    <row r="97" spans="1:30" x14ac:dyDescent="0.25">
      <c r="A97" s="1868" t="s">
        <v>730</v>
      </c>
      <c r="B97" s="1869" t="s">
        <v>717</v>
      </c>
      <c r="C97" s="1868"/>
      <c r="D97" s="1868"/>
      <c r="E97" s="1868"/>
      <c r="F97" s="1868"/>
      <c r="G97" s="1882"/>
      <c r="H97" s="292"/>
      <c r="I97" s="292"/>
      <c r="J97" s="292"/>
      <c r="K97" s="292"/>
      <c r="L97" s="292"/>
      <c r="M97" s="1872">
        <f>+$F97</f>
        <v>0</v>
      </c>
      <c r="N97" s="291"/>
      <c r="O97" s="291"/>
      <c r="P97" s="291"/>
      <c r="Q97" s="291"/>
      <c r="R97" s="291"/>
      <c r="S97" s="291"/>
      <c r="T97" s="291"/>
      <c r="U97" s="291"/>
      <c r="V97" s="291"/>
      <c r="W97" s="291"/>
      <c r="X97" s="291"/>
      <c r="Y97" s="291"/>
      <c r="Z97" s="291"/>
      <c r="AA97" s="291"/>
      <c r="AB97" s="1883"/>
      <c r="AC97" s="1883"/>
      <c r="AD97" s="1883"/>
    </row>
    <row r="98" spans="1:30" x14ac:dyDescent="0.25">
      <c r="A98" s="1868" t="s">
        <v>730</v>
      </c>
      <c r="B98" s="1869" t="s">
        <v>718</v>
      </c>
      <c r="C98" s="1868"/>
      <c r="D98" s="1868"/>
      <c r="E98" s="1868"/>
      <c r="F98" s="1868"/>
      <c r="G98" s="1882"/>
      <c r="H98" s="292"/>
      <c r="I98" s="292"/>
      <c r="J98" s="292"/>
      <c r="K98" s="292"/>
      <c r="L98" s="292"/>
      <c r="M98" s="292"/>
      <c r="N98" s="1872">
        <f>+$F98</f>
        <v>0</v>
      </c>
      <c r="O98" s="291"/>
      <c r="P98" s="291"/>
      <c r="Q98" s="291"/>
      <c r="R98" s="291"/>
      <c r="S98" s="291"/>
      <c r="T98" s="291"/>
      <c r="U98" s="291"/>
      <c r="V98" s="291"/>
      <c r="W98" s="291"/>
      <c r="X98" s="291"/>
      <c r="Y98" s="291"/>
      <c r="Z98" s="291"/>
      <c r="AA98" s="291"/>
      <c r="AB98" s="1883"/>
      <c r="AC98" s="1883"/>
      <c r="AD98" s="1883"/>
    </row>
    <row r="99" spans="1:30" x14ac:dyDescent="0.25">
      <c r="A99" s="1868" t="s">
        <v>730</v>
      </c>
      <c r="B99" s="1869" t="s">
        <v>719</v>
      </c>
      <c r="C99" s="1868"/>
      <c r="D99" s="1868"/>
      <c r="E99" s="1868"/>
      <c r="F99" s="1868"/>
      <c r="G99" s="1882"/>
      <c r="H99" s="292"/>
      <c r="I99" s="292"/>
      <c r="J99" s="292"/>
      <c r="K99" s="292"/>
      <c r="L99" s="292"/>
      <c r="M99" s="292"/>
      <c r="N99" s="292"/>
      <c r="O99" s="1872">
        <f>+$F99</f>
        <v>0</v>
      </c>
      <c r="P99" s="291"/>
      <c r="Q99" s="291"/>
      <c r="R99" s="291"/>
      <c r="S99" s="291"/>
      <c r="T99" s="291"/>
      <c r="U99" s="291"/>
      <c r="V99" s="291"/>
      <c r="W99" s="291"/>
      <c r="X99" s="291"/>
      <c r="Y99" s="291"/>
      <c r="Z99" s="291"/>
      <c r="AA99" s="291"/>
      <c r="AB99" s="1883"/>
      <c r="AC99" s="1883"/>
      <c r="AD99" s="1883"/>
    </row>
    <row r="100" spans="1:30" x14ac:dyDescent="0.25">
      <c r="A100" s="1868" t="s">
        <v>730</v>
      </c>
      <c r="B100" s="1869" t="s">
        <v>720</v>
      </c>
      <c r="C100" s="1892">
        <f>(448998666.74-307233511)/(10^7)</f>
        <v>14.176515574000002</v>
      </c>
      <c r="D100" s="1892">
        <f>5556337.82/(10^7)</f>
        <v>0.55563378200000002</v>
      </c>
      <c r="E100" s="1892">
        <f t="shared" ref="E100:E108" si="8">0/(10^7)</f>
        <v>0</v>
      </c>
      <c r="F100" s="1892">
        <f>14147343.0096/(10^7)</f>
        <v>1.41473430096</v>
      </c>
      <c r="G100" s="1882"/>
      <c r="H100" s="292"/>
      <c r="I100" s="292"/>
      <c r="J100" s="292"/>
      <c r="K100" s="292"/>
      <c r="L100" s="292"/>
      <c r="M100" s="292"/>
      <c r="N100" s="292"/>
      <c r="O100" s="292"/>
      <c r="P100" s="1872">
        <f>+$F100</f>
        <v>1.41473430096</v>
      </c>
      <c r="Q100" s="291"/>
      <c r="R100" s="291"/>
      <c r="S100" s="291"/>
      <c r="T100" s="291"/>
      <c r="U100" s="291"/>
      <c r="V100" s="291"/>
      <c r="W100" s="291"/>
      <c r="X100" s="291"/>
      <c r="Y100" s="291"/>
      <c r="Z100" s="291"/>
      <c r="AA100" s="291"/>
      <c r="AB100" s="1883"/>
      <c r="AC100" s="1883"/>
      <c r="AD100" s="1883"/>
    </row>
    <row r="101" spans="1:30" x14ac:dyDescent="0.25">
      <c r="A101" s="1868" t="s">
        <v>730</v>
      </c>
      <c r="B101" s="1869" t="s">
        <v>721</v>
      </c>
      <c r="C101" s="1892">
        <f>+C100+D100-E100-F100</f>
        <v>13.317415055040001</v>
      </c>
      <c r="D101" s="1892">
        <f>48578222.97/(10^7)</f>
        <v>4.8578222970000002</v>
      </c>
      <c r="E101" s="1892">
        <f t="shared" si="8"/>
        <v>0</v>
      </c>
      <c r="F101" s="1892">
        <f>13187222.316/(10^7)</f>
        <v>1.3187222316</v>
      </c>
      <c r="G101" s="1882"/>
      <c r="H101" s="292"/>
      <c r="I101" s="292"/>
      <c r="J101" s="292"/>
      <c r="K101" s="292"/>
      <c r="L101" s="292"/>
      <c r="M101" s="292"/>
      <c r="N101" s="292"/>
      <c r="O101" s="292"/>
      <c r="P101" s="292"/>
      <c r="Q101" s="1872">
        <f>+$F101</f>
        <v>1.3187222316</v>
      </c>
      <c r="R101" s="291"/>
      <c r="S101" s="291"/>
      <c r="T101" s="291"/>
      <c r="U101" s="291"/>
      <c r="V101" s="291"/>
      <c r="W101" s="291"/>
      <c r="X101" s="291"/>
      <c r="Y101" s="291"/>
      <c r="Z101" s="291"/>
      <c r="AA101" s="291"/>
      <c r="AB101" s="1883"/>
      <c r="AC101" s="1883"/>
      <c r="AD101" s="1883"/>
    </row>
    <row r="102" spans="1:30" x14ac:dyDescent="0.25">
      <c r="A102" s="1868" t="s">
        <v>730</v>
      </c>
      <c r="B102" s="1869" t="s">
        <v>722</v>
      </c>
      <c r="C102" s="1892">
        <f t="shared" ref="C102:C109" si="9">+C101+D101-E101-F101</f>
        <v>16.856515120440001</v>
      </c>
      <c r="D102" s="1892">
        <f>15569846.13/(10^7)</f>
        <v>1.556984613</v>
      </c>
      <c r="E102" s="1892">
        <f t="shared" si="8"/>
        <v>0</v>
      </c>
      <c r="F102" s="1892">
        <f>14310283.3104/(10^7)</f>
        <v>1.43102833104</v>
      </c>
      <c r="G102" s="1882"/>
      <c r="H102" s="292"/>
      <c r="I102" s="292"/>
      <c r="J102" s="292"/>
      <c r="K102" s="292"/>
      <c r="L102" s="292"/>
      <c r="M102" s="292"/>
      <c r="N102" s="292"/>
      <c r="O102" s="292"/>
      <c r="P102" s="292"/>
      <c r="Q102" s="292"/>
      <c r="R102" s="1872">
        <f>+$F102</f>
        <v>1.43102833104</v>
      </c>
      <c r="S102" s="291"/>
      <c r="T102" s="291"/>
      <c r="U102" s="291"/>
      <c r="V102" s="291"/>
      <c r="W102" s="291"/>
      <c r="X102" s="291"/>
      <c r="Y102" s="291"/>
      <c r="Z102" s="291"/>
      <c r="AA102" s="291"/>
      <c r="AB102" s="1883"/>
      <c r="AC102" s="1883"/>
      <c r="AD102" s="1883"/>
    </row>
    <row r="103" spans="1:30" x14ac:dyDescent="0.25">
      <c r="A103" s="1868" t="s">
        <v>730</v>
      </c>
      <c r="B103" s="1869" t="s">
        <v>723</v>
      </c>
      <c r="C103" s="1892">
        <f t="shared" si="9"/>
        <v>16.982471402400002</v>
      </c>
      <c r="D103" s="1892">
        <f>18235338.79/(10^7)</f>
        <v>1.823533879</v>
      </c>
      <c r="E103" s="1892">
        <f t="shared" si="8"/>
        <v>0</v>
      </c>
      <c r="F103" s="1892">
        <f>14314117.9488/(10^7)</f>
        <v>1.43141179488</v>
      </c>
      <c r="G103" s="1882"/>
      <c r="H103" s="292"/>
      <c r="I103" s="292"/>
      <c r="J103" s="292"/>
      <c r="K103" s="292"/>
      <c r="L103" s="292"/>
      <c r="M103" s="292"/>
      <c r="N103" s="292"/>
      <c r="O103" s="292"/>
      <c r="P103" s="292"/>
      <c r="Q103" s="292"/>
      <c r="R103" s="292"/>
      <c r="S103" s="1872">
        <f>+$F103</f>
        <v>1.43141179488</v>
      </c>
      <c r="T103" s="291"/>
      <c r="U103" s="291"/>
      <c r="V103" s="291"/>
      <c r="W103" s="291"/>
      <c r="X103" s="291"/>
      <c r="Y103" s="291"/>
      <c r="Z103" s="291"/>
      <c r="AA103" s="291"/>
      <c r="AB103" s="1883"/>
      <c r="AC103" s="1883"/>
      <c r="AD103" s="1883"/>
    </row>
    <row r="104" spans="1:30" x14ac:dyDescent="0.25">
      <c r="A104" s="1868" t="s">
        <v>730</v>
      </c>
      <c r="B104" s="1869" t="s">
        <v>724</v>
      </c>
      <c r="C104" s="1892">
        <f t="shared" si="9"/>
        <v>17.374593486520002</v>
      </c>
      <c r="D104" s="1892">
        <f>18077316.53/(10^7)</f>
        <v>1.807731653</v>
      </c>
      <c r="E104" s="1892">
        <f t="shared" si="8"/>
        <v>0</v>
      </c>
      <c r="F104" s="1892">
        <f>13482141.793712/(10^7)</f>
        <v>1.3482141793711999</v>
      </c>
      <c r="G104" s="1882"/>
      <c r="H104" s="292"/>
      <c r="I104" s="292"/>
      <c r="J104" s="292"/>
      <c r="K104" s="292"/>
      <c r="L104" s="292"/>
      <c r="M104" s="292"/>
      <c r="N104" s="292"/>
      <c r="O104" s="292"/>
      <c r="P104" s="292"/>
      <c r="Q104" s="292"/>
      <c r="R104" s="292"/>
      <c r="S104" s="292"/>
      <c r="T104" s="1872">
        <f>+$F104</f>
        <v>1.3482141793711999</v>
      </c>
      <c r="U104" s="291"/>
      <c r="V104" s="291"/>
      <c r="W104" s="291"/>
      <c r="X104" s="291"/>
      <c r="Y104" s="291"/>
      <c r="Z104" s="291"/>
      <c r="AA104" s="291"/>
      <c r="AB104" s="1883"/>
      <c r="AC104" s="1883"/>
      <c r="AD104" s="1883"/>
    </row>
    <row r="105" spans="1:30" x14ac:dyDescent="0.25">
      <c r="A105" s="1868" t="s">
        <v>730</v>
      </c>
      <c r="B105" s="1869" t="s">
        <v>725</v>
      </c>
      <c r="C105" s="1892">
        <f t="shared" si="9"/>
        <v>17.834110960148802</v>
      </c>
      <c r="D105" s="1892">
        <f>368275181.37/(10^7)</f>
        <v>36.827518136999998</v>
      </c>
      <c r="E105" s="1892">
        <f t="shared" si="8"/>
        <v>0</v>
      </c>
      <c r="F105" s="1892">
        <f>12513337.165696/(10^7)</f>
        <v>1.2513337165696001</v>
      </c>
      <c r="G105" s="1882"/>
      <c r="H105" s="292"/>
      <c r="I105" s="292"/>
      <c r="J105" s="292"/>
      <c r="K105" s="292"/>
      <c r="L105" s="292"/>
      <c r="M105" s="292"/>
      <c r="N105" s="292"/>
      <c r="O105" s="292"/>
      <c r="P105" s="292"/>
      <c r="Q105" s="292"/>
      <c r="R105" s="292"/>
      <c r="S105" s="292"/>
      <c r="T105" s="292"/>
      <c r="U105" s="1872">
        <f>+$F105</f>
        <v>1.2513337165696001</v>
      </c>
      <c r="V105" s="291"/>
      <c r="W105" s="291"/>
      <c r="X105" s="291"/>
      <c r="Y105" s="291"/>
      <c r="Z105" s="291"/>
      <c r="AA105" s="291"/>
      <c r="AB105" s="1883"/>
      <c r="AC105" s="1883"/>
      <c r="AD105" s="1883"/>
    </row>
    <row r="106" spans="1:30" x14ac:dyDescent="0.25">
      <c r="A106" s="1868" t="s">
        <v>730</v>
      </c>
      <c r="B106" s="1869" t="s">
        <v>731</v>
      </c>
      <c r="C106" s="1892">
        <f t="shared" si="9"/>
        <v>53.410295380579207</v>
      </c>
      <c r="D106" s="1892">
        <f>553887199.14/(10^7)</f>
        <v>55.388719913999999</v>
      </c>
      <c r="E106" s="1892">
        <f t="shared" si="8"/>
        <v>0</v>
      </c>
      <c r="F106" s="1892">
        <f>27174846.929232/(10^7)</f>
        <v>2.7174846929231999</v>
      </c>
      <c r="G106" s="1886"/>
      <c r="H106" s="292"/>
      <c r="I106" s="292"/>
      <c r="J106" s="292"/>
      <c r="K106" s="292"/>
      <c r="L106" s="292"/>
      <c r="M106" s="292"/>
      <c r="N106" s="292"/>
      <c r="O106" s="292"/>
      <c r="P106" s="292"/>
      <c r="Q106" s="292"/>
      <c r="R106" s="292"/>
      <c r="S106" s="292"/>
      <c r="T106" s="292"/>
      <c r="U106" s="292"/>
      <c r="V106" s="1872">
        <f>+$F106</f>
        <v>2.7174846929231999</v>
      </c>
      <c r="W106" s="291"/>
      <c r="X106" s="291"/>
      <c r="Y106" s="291"/>
      <c r="Z106" s="291"/>
      <c r="AA106" s="291"/>
      <c r="AB106" s="1883"/>
      <c r="AC106" s="1883"/>
      <c r="AD106" s="1883"/>
    </row>
    <row r="107" spans="1:30" x14ac:dyDescent="0.25">
      <c r="A107" s="1868" t="s">
        <v>730</v>
      </c>
      <c r="B107" s="1869" t="s">
        <v>732</v>
      </c>
      <c r="C107" s="1892">
        <f t="shared" si="9"/>
        <v>106.08153060165601</v>
      </c>
      <c r="D107" s="1892">
        <f>49874570.74/(10^7)</f>
        <v>4.9874570739999999</v>
      </c>
      <c r="E107" s="1892">
        <f t="shared" si="8"/>
        <v>0</v>
      </c>
      <c r="F107" s="1892">
        <f>45141536.591184/(10^7)</f>
        <v>4.5141536591184002</v>
      </c>
      <c r="G107" s="1886"/>
      <c r="H107" s="292"/>
      <c r="I107" s="292"/>
      <c r="J107" s="292"/>
      <c r="K107" s="292"/>
      <c r="L107" s="292"/>
      <c r="M107" s="292"/>
      <c r="N107" s="292"/>
      <c r="O107" s="292"/>
      <c r="P107" s="292"/>
      <c r="Q107" s="292"/>
      <c r="R107" s="292"/>
      <c r="S107" s="292"/>
      <c r="T107" s="292"/>
      <c r="U107" s="292"/>
      <c r="V107" s="292"/>
      <c r="W107" s="1872">
        <f>+$F107</f>
        <v>4.5141536591184002</v>
      </c>
      <c r="X107" s="291"/>
      <c r="Y107" s="291"/>
      <c r="Z107" s="291"/>
      <c r="AA107" s="291"/>
      <c r="AB107" s="1883"/>
      <c r="AC107" s="1883"/>
      <c r="AD107" s="1883"/>
    </row>
    <row r="108" spans="1:30" x14ac:dyDescent="0.25">
      <c r="A108" s="1868" t="s">
        <v>730</v>
      </c>
      <c r="B108" s="1869" t="s">
        <v>733</v>
      </c>
      <c r="C108" s="1892">
        <f t="shared" si="9"/>
        <v>106.55483401653761</v>
      </c>
      <c r="D108" s="1892">
        <v>9.5876542499999999</v>
      </c>
      <c r="E108" s="1892">
        <f t="shared" si="8"/>
        <v>0</v>
      </c>
      <c r="F108" s="1892">
        <f>47219267.868656/(10^7)</f>
        <v>4.7219267868656001</v>
      </c>
      <c r="G108" s="1886"/>
      <c r="H108" s="292"/>
      <c r="I108" s="292"/>
      <c r="J108" s="292"/>
      <c r="K108" s="292"/>
      <c r="L108" s="292"/>
      <c r="M108" s="292"/>
      <c r="N108" s="292"/>
      <c r="O108" s="292"/>
      <c r="P108" s="292"/>
      <c r="Q108" s="292"/>
      <c r="R108" s="292"/>
      <c r="S108" s="292"/>
      <c r="T108" s="292"/>
      <c r="U108" s="292"/>
      <c r="V108" s="292"/>
      <c r="W108" s="292"/>
      <c r="X108" s="1872">
        <f>+$F108</f>
        <v>4.7219267868656001</v>
      </c>
      <c r="Y108" s="291"/>
      <c r="Z108" s="291"/>
      <c r="AA108" s="291"/>
      <c r="AB108" s="1883"/>
      <c r="AC108" s="1883"/>
      <c r="AD108" s="1883"/>
    </row>
    <row r="109" spans="1:30" x14ac:dyDescent="0.25">
      <c r="A109" s="1868" t="s">
        <v>730</v>
      </c>
      <c r="B109" s="1869" t="s">
        <v>734</v>
      </c>
      <c r="C109" s="1892">
        <f t="shared" si="9"/>
        <v>111.42056147967202</v>
      </c>
      <c r="D109" s="284">
        <f>'F5'!E41</f>
        <v>11.118539561618626</v>
      </c>
      <c r="E109" s="284">
        <f>'F5'!F41</f>
        <v>0</v>
      </c>
      <c r="F109" s="1892">
        <f>'F5'!$E$84-'F5'!$F$84</f>
        <v>4.8992243167752898</v>
      </c>
      <c r="G109" s="1886"/>
      <c r="H109" s="292"/>
      <c r="I109" s="292"/>
      <c r="J109" s="292"/>
      <c r="K109" s="292"/>
      <c r="L109" s="292"/>
      <c r="M109" s="292"/>
      <c r="N109" s="292"/>
      <c r="O109" s="292"/>
      <c r="P109" s="292"/>
      <c r="Q109" s="292"/>
      <c r="R109" s="292"/>
      <c r="S109" s="292"/>
      <c r="T109" s="292"/>
      <c r="U109" s="292"/>
      <c r="V109" s="292"/>
      <c r="W109" s="292"/>
      <c r="X109" s="292"/>
      <c r="Y109" s="1872">
        <f>+$F109</f>
        <v>4.8992243167752898</v>
      </c>
      <c r="Z109" s="291"/>
      <c r="AA109" s="291"/>
      <c r="AB109" s="1883"/>
      <c r="AC109" s="1883"/>
      <c r="AD109" s="1883"/>
    </row>
    <row r="110" spans="1:30" x14ac:dyDescent="0.25">
      <c r="A110" s="1868" t="s">
        <v>730</v>
      </c>
      <c r="B110" s="1869" t="s">
        <v>735</v>
      </c>
      <c r="C110" s="284">
        <f>'F5'!I41</f>
        <v>74.468354749118561</v>
      </c>
      <c r="D110" s="284">
        <f>'F5'!I41</f>
        <v>74.468354749118561</v>
      </c>
      <c r="E110" s="284">
        <f>'F5'!J41</f>
        <v>0</v>
      </c>
      <c r="F110" s="1892">
        <f>'F5'!$I$84-'F5'!$J$84</f>
        <v>5.7372043608054648</v>
      </c>
      <c r="G110" s="1886"/>
      <c r="H110" s="292"/>
      <c r="I110" s="292"/>
      <c r="J110" s="292"/>
      <c r="K110" s="292"/>
      <c r="L110" s="292"/>
      <c r="M110" s="292"/>
      <c r="N110" s="292"/>
      <c r="O110" s="292"/>
      <c r="P110" s="292"/>
      <c r="Q110" s="292"/>
      <c r="R110" s="292"/>
      <c r="S110" s="292"/>
      <c r="T110" s="292"/>
      <c r="U110" s="292"/>
      <c r="V110" s="292"/>
      <c r="W110" s="292"/>
      <c r="X110" s="292"/>
      <c r="Y110" s="292"/>
      <c r="Z110" s="1872">
        <f>+$F110</f>
        <v>5.7372043608054648</v>
      </c>
      <c r="AA110" s="291"/>
      <c r="AB110" s="1883"/>
      <c r="AC110" s="1883"/>
      <c r="AD110" s="1883"/>
    </row>
    <row r="111" spans="1:30" x14ac:dyDescent="0.25">
      <c r="A111" s="1868" t="s">
        <v>730</v>
      </c>
      <c r="B111" s="1869" t="s">
        <v>736</v>
      </c>
      <c r="C111" s="284">
        <f>'F5'!M41</f>
        <v>64.190201740623294</v>
      </c>
      <c r="D111" s="284">
        <f>'F5'!M41</f>
        <v>64.190201740623294</v>
      </c>
      <c r="E111" s="284">
        <f>'F5'!N41</f>
        <v>0</v>
      </c>
      <c r="F111" s="1892">
        <f>'F5'!$M$84-'F5'!$N$84</f>
        <v>6.9573636353199939</v>
      </c>
      <c r="G111" s="1886"/>
      <c r="H111" s="292"/>
      <c r="I111" s="292"/>
      <c r="J111" s="292"/>
      <c r="K111" s="292"/>
      <c r="L111" s="292"/>
      <c r="M111" s="292"/>
      <c r="N111" s="292"/>
      <c r="O111" s="292"/>
      <c r="P111" s="292"/>
      <c r="Q111" s="292"/>
      <c r="R111" s="292"/>
      <c r="S111" s="292"/>
      <c r="T111" s="292"/>
      <c r="U111" s="292"/>
      <c r="V111" s="292"/>
      <c r="W111" s="292"/>
      <c r="X111" s="292"/>
      <c r="Y111" s="292"/>
      <c r="Z111" s="292"/>
      <c r="AA111" s="1872">
        <f>+$F111</f>
        <v>6.9573636353199939</v>
      </c>
      <c r="AB111" s="1883"/>
      <c r="AC111" s="1883"/>
      <c r="AD111" s="1883"/>
    </row>
    <row r="112" spans="1:30" ht="13" x14ac:dyDescent="0.3">
      <c r="A112" s="1873"/>
      <c r="B112" s="1874" t="s">
        <v>145</v>
      </c>
      <c r="C112" s="1896">
        <f>C100+D112-E112</f>
        <v>281.34666722436049</v>
      </c>
      <c r="D112" s="285">
        <f t="shared" ref="D112:F112" si="10">SUM(D91:D111)</f>
        <v>267.17015165036048</v>
      </c>
      <c r="E112" s="285">
        <f t="shared" si="10"/>
        <v>0</v>
      </c>
      <c r="F112" s="285">
        <f t="shared" si="10"/>
        <v>37.74280200622875</v>
      </c>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row>
    <row r="113" spans="1:30" x14ac:dyDescent="0.25">
      <c r="C113" s="1888"/>
      <c r="D113" s="1888"/>
      <c r="E113" s="1888"/>
    </row>
    <row r="115" spans="1:30" x14ac:dyDescent="0.25">
      <c r="H115" s="1875"/>
    </row>
    <row r="116" spans="1:30" ht="13" x14ac:dyDescent="0.3">
      <c r="B116" s="1861" t="s">
        <v>738</v>
      </c>
      <c r="H116" s="1862" t="s">
        <v>16</v>
      </c>
    </row>
    <row r="117" spans="1:30" ht="26" x14ac:dyDescent="0.35">
      <c r="A117" s="1863"/>
      <c r="B117" s="1880" t="s">
        <v>746</v>
      </c>
      <c r="C117" s="2498" t="s">
        <v>890</v>
      </c>
      <c r="D117" s="2498" t="s">
        <v>1946</v>
      </c>
      <c r="E117" s="2498" t="s">
        <v>1947</v>
      </c>
      <c r="F117" s="2498" t="s">
        <v>711</v>
      </c>
      <c r="G117" s="2498" t="s">
        <v>747</v>
      </c>
      <c r="H117" s="2500" t="s">
        <v>748</v>
      </c>
      <c r="I117" s="2500"/>
      <c r="J117" s="2500"/>
      <c r="K117" s="2500"/>
      <c r="L117" s="2500"/>
      <c r="M117" s="2500"/>
      <c r="N117" s="2500"/>
      <c r="O117" s="2500"/>
      <c r="P117" s="2500"/>
      <c r="Q117" s="2500"/>
      <c r="R117" s="2500"/>
      <c r="S117" s="2500"/>
      <c r="T117" s="2500"/>
      <c r="U117" s="2500"/>
      <c r="V117" s="2500"/>
      <c r="W117" s="2500"/>
      <c r="X117" s="2500"/>
      <c r="Y117" s="2500"/>
      <c r="Z117" s="2500"/>
      <c r="AA117" s="2500"/>
      <c r="AB117" s="1864" t="s">
        <v>726</v>
      </c>
      <c r="AC117" s="1864" t="s">
        <v>727</v>
      </c>
      <c r="AD117" s="1864" t="s">
        <v>728</v>
      </c>
    </row>
    <row r="118" spans="1:30" ht="13" x14ac:dyDescent="0.25">
      <c r="A118" s="1863"/>
      <c r="B118" s="1880"/>
      <c r="C118" s="2499"/>
      <c r="D118" s="2499"/>
      <c r="E118" s="2499"/>
      <c r="F118" s="2499"/>
      <c r="G118" s="2499"/>
      <c r="H118" s="1865" t="s">
        <v>712</v>
      </c>
      <c r="I118" s="1865" t="s">
        <v>713</v>
      </c>
      <c r="J118" s="1865" t="s">
        <v>714</v>
      </c>
      <c r="K118" s="1865" t="s">
        <v>715</v>
      </c>
      <c r="L118" s="1865" t="s">
        <v>716</v>
      </c>
      <c r="M118" s="1865" t="s">
        <v>717</v>
      </c>
      <c r="N118" s="1865" t="s">
        <v>718</v>
      </c>
      <c r="O118" s="1865" t="s">
        <v>719</v>
      </c>
      <c r="P118" s="1865" t="s">
        <v>720</v>
      </c>
      <c r="Q118" s="1865" t="s">
        <v>721</v>
      </c>
      <c r="R118" s="1865" t="s">
        <v>722</v>
      </c>
      <c r="S118" s="1865" t="s">
        <v>723</v>
      </c>
      <c r="T118" s="1865" t="s">
        <v>724</v>
      </c>
      <c r="U118" s="1865" t="s">
        <v>725</v>
      </c>
      <c r="V118" s="1865" t="s">
        <v>179</v>
      </c>
      <c r="W118" s="1865" t="s">
        <v>186</v>
      </c>
      <c r="X118" s="1865" t="s">
        <v>426</v>
      </c>
      <c r="Y118" s="1865" t="s">
        <v>427</v>
      </c>
      <c r="Z118" s="1865" t="s">
        <v>428</v>
      </c>
      <c r="AA118" s="1865" t="s">
        <v>429</v>
      </c>
      <c r="AB118" s="1864"/>
      <c r="AC118" s="1864"/>
      <c r="AD118" s="1864"/>
    </row>
    <row r="119" spans="1:30" x14ac:dyDescent="0.25">
      <c r="A119" s="1868" t="s">
        <v>729</v>
      </c>
      <c r="B119" s="1869">
        <v>2005</v>
      </c>
      <c r="C119" s="1868"/>
      <c r="D119" s="1868"/>
      <c r="E119" s="1868"/>
      <c r="F119" s="1868"/>
      <c r="G119" s="1882"/>
      <c r="H119" s="291"/>
      <c r="I119" s="291"/>
      <c r="J119" s="291"/>
      <c r="K119" s="291"/>
      <c r="L119" s="291"/>
      <c r="M119" s="291"/>
      <c r="N119" s="291"/>
      <c r="O119" s="291"/>
      <c r="P119" s="291"/>
      <c r="Q119" s="291"/>
      <c r="R119" s="291"/>
      <c r="S119" s="291"/>
      <c r="T119" s="291"/>
      <c r="U119" s="291"/>
      <c r="V119" s="291"/>
      <c r="W119" s="291"/>
      <c r="X119" s="291"/>
      <c r="Y119" s="291"/>
      <c r="Z119" s="291"/>
      <c r="AA119" s="291"/>
      <c r="AB119" s="1883"/>
      <c r="AC119" s="1883"/>
      <c r="AD119" s="1883"/>
    </row>
    <row r="120" spans="1:30" x14ac:dyDescent="0.25">
      <c r="A120" s="1868" t="s">
        <v>730</v>
      </c>
      <c r="B120" s="1869" t="s">
        <v>712</v>
      </c>
      <c r="C120" s="1868"/>
      <c r="D120" s="1868"/>
      <c r="E120" s="1868"/>
      <c r="F120" s="1868"/>
      <c r="G120" s="1882"/>
      <c r="H120" s="1872">
        <f>+$F120</f>
        <v>0</v>
      </c>
      <c r="I120" s="291"/>
      <c r="J120" s="291"/>
      <c r="K120" s="291"/>
      <c r="L120" s="291"/>
      <c r="M120" s="291"/>
      <c r="N120" s="291"/>
      <c r="O120" s="291"/>
      <c r="P120" s="291"/>
      <c r="Q120" s="291"/>
      <c r="R120" s="291"/>
      <c r="S120" s="291"/>
      <c r="T120" s="291"/>
      <c r="U120" s="291"/>
      <c r="V120" s="291"/>
      <c r="W120" s="291"/>
      <c r="X120" s="291"/>
      <c r="Y120" s="291"/>
      <c r="Z120" s="291"/>
      <c r="AA120" s="291"/>
      <c r="AB120" s="1883"/>
      <c r="AC120" s="1883"/>
      <c r="AD120" s="1883"/>
    </row>
    <row r="121" spans="1:30" x14ac:dyDescent="0.25">
      <c r="A121" s="1868" t="s">
        <v>730</v>
      </c>
      <c r="B121" s="1869" t="s">
        <v>713</v>
      </c>
      <c r="C121" s="1868"/>
      <c r="D121" s="1868"/>
      <c r="E121" s="1868"/>
      <c r="F121" s="1868"/>
      <c r="G121" s="1882"/>
      <c r="H121" s="292"/>
      <c r="I121" s="1872">
        <f>+$F121</f>
        <v>0</v>
      </c>
      <c r="J121" s="291"/>
      <c r="K121" s="291"/>
      <c r="L121" s="291"/>
      <c r="M121" s="291"/>
      <c r="N121" s="291"/>
      <c r="O121" s="291"/>
      <c r="P121" s="291"/>
      <c r="Q121" s="291"/>
      <c r="R121" s="291"/>
      <c r="S121" s="291"/>
      <c r="T121" s="291"/>
      <c r="U121" s="291"/>
      <c r="V121" s="291"/>
      <c r="W121" s="291"/>
      <c r="X121" s="291"/>
      <c r="Y121" s="291"/>
      <c r="Z121" s="291"/>
      <c r="AA121" s="291"/>
      <c r="AB121" s="1883"/>
      <c r="AC121" s="1883"/>
      <c r="AD121" s="1883"/>
    </row>
    <row r="122" spans="1:30" x14ac:dyDescent="0.25">
      <c r="A122" s="1868" t="s">
        <v>730</v>
      </c>
      <c r="B122" s="1869" t="s">
        <v>714</v>
      </c>
      <c r="C122" s="1868"/>
      <c r="D122" s="1868"/>
      <c r="E122" s="1868"/>
      <c r="F122" s="1868"/>
      <c r="G122" s="1882"/>
      <c r="H122" s="292"/>
      <c r="I122" s="292"/>
      <c r="J122" s="1872">
        <f>+$F122</f>
        <v>0</v>
      </c>
      <c r="K122" s="291"/>
      <c r="L122" s="291"/>
      <c r="M122" s="291"/>
      <c r="N122" s="291"/>
      <c r="O122" s="291"/>
      <c r="P122" s="291"/>
      <c r="Q122" s="291"/>
      <c r="R122" s="291"/>
      <c r="S122" s="291"/>
      <c r="T122" s="291"/>
      <c r="U122" s="291"/>
      <c r="V122" s="291"/>
      <c r="W122" s="291"/>
      <c r="X122" s="291"/>
      <c r="Y122" s="291"/>
      <c r="Z122" s="291"/>
      <c r="AA122" s="291"/>
      <c r="AB122" s="1883"/>
      <c r="AC122" s="1883"/>
      <c r="AD122" s="1883"/>
    </row>
    <row r="123" spans="1:30" x14ac:dyDescent="0.25">
      <c r="A123" s="1868" t="s">
        <v>730</v>
      </c>
      <c r="B123" s="1869" t="s">
        <v>715</v>
      </c>
      <c r="C123" s="1868"/>
      <c r="D123" s="1885"/>
      <c r="E123" s="1868"/>
      <c r="F123" s="1868"/>
      <c r="G123" s="1882"/>
      <c r="H123" s="292"/>
      <c r="I123" s="292"/>
      <c r="J123" s="292"/>
      <c r="K123" s="1872">
        <f>+$F123</f>
        <v>0</v>
      </c>
      <c r="L123" s="291"/>
      <c r="M123" s="291"/>
      <c r="N123" s="291"/>
      <c r="O123" s="291"/>
      <c r="P123" s="291"/>
      <c r="Q123" s="291"/>
      <c r="R123" s="291"/>
      <c r="S123" s="291"/>
      <c r="T123" s="291"/>
      <c r="U123" s="291"/>
      <c r="V123" s="291"/>
      <c r="W123" s="291"/>
      <c r="X123" s="291"/>
      <c r="Y123" s="291"/>
      <c r="Z123" s="291"/>
      <c r="AA123" s="291"/>
      <c r="AB123" s="1883"/>
      <c r="AC123" s="1883"/>
      <c r="AD123" s="1883"/>
    </row>
    <row r="124" spans="1:30" x14ac:dyDescent="0.25">
      <c r="A124" s="1868" t="s">
        <v>730</v>
      </c>
      <c r="B124" s="1869" t="s">
        <v>716</v>
      </c>
      <c r="C124" s="1868"/>
      <c r="D124" s="1885"/>
      <c r="E124" s="1868"/>
      <c r="F124" s="1868"/>
      <c r="G124" s="1882"/>
      <c r="H124" s="292"/>
      <c r="I124" s="292"/>
      <c r="J124" s="292"/>
      <c r="K124" s="292"/>
      <c r="L124" s="1872">
        <f>+$F124</f>
        <v>0</v>
      </c>
      <c r="M124" s="291"/>
      <c r="N124" s="291"/>
      <c r="O124" s="291"/>
      <c r="P124" s="291"/>
      <c r="Q124" s="291"/>
      <c r="R124" s="291"/>
      <c r="S124" s="291"/>
      <c r="T124" s="291"/>
      <c r="U124" s="291"/>
      <c r="V124" s="291"/>
      <c r="W124" s="291"/>
      <c r="X124" s="291"/>
      <c r="Y124" s="291"/>
      <c r="Z124" s="291"/>
      <c r="AA124" s="291"/>
      <c r="AB124" s="1883"/>
      <c r="AC124" s="1883"/>
      <c r="AD124" s="1883"/>
    </row>
    <row r="125" spans="1:30" x14ac:dyDescent="0.25">
      <c r="A125" s="1868" t="s">
        <v>730</v>
      </c>
      <c r="B125" s="1869" t="s">
        <v>717</v>
      </c>
      <c r="C125" s="1868"/>
      <c r="D125" s="1868"/>
      <c r="E125" s="1868"/>
      <c r="F125" s="1868"/>
      <c r="G125" s="1882"/>
      <c r="H125" s="292"/>
      <c r="I125" s="292"/>
      <c r="J125" s="292"/>
      <c r="K125" s="292"/>
      <c r="L125" s="292"/>
      <c r="M125" s="1872">
        <f>+$F125</f>
        <v>0</v>
      </c>
      <c r="N125" s="291"/>
      <c r="O125" s="291"/>
      <c r="P125" s="291"/>
      <c r="Q125" s="291"/>
      <c r="R125" s="291"/>
      <c r="S125" s="291"/>
      <c r="T125" s="291"/>
      <c r="U125" s="291"/>
      <c r="V125" s="291"/>
      <c r="W125" s="291"/>
      <c r="X125" s="291"/>
      <c r="Y125" s="291"/>
      <c r="Z125" s="291"/>
      <c r="AA125" s="291"/>
      <c r="AB125" s="1883"/>
      <c r="AC125" s="1883"/>
      <c r="AD125" s="1883"/>
    </row>
    <row r="126" spans="1:30" x14ac:dyDescent="0.25">
      <c r="A126" s="1868" t="s">
        <v>730</v>
      </c>
      <c r="B126" s="1869" t="s">
        <v>718</v>
      </c>
      <c r="C126" s="1868"/>
      <c r="D126" s="1868"/>
      <c r="E126" s="1868"/>
      <c r="F126" s="1868"/>
      <c r="G126" s="1882"/>
      <c r="H126" s="292"/>
      <c r="I126" s="292"/>
      <c r="J126" s="292"/>
      <c r="K126" s="292"/>
      <c r="L126" s="292"/>
      <c r="M126" s="292"/>
      <c r="N126" s="1872">
        <f>+$F126</f>
        <v>0</v>
      </c>
      <c r="O126" s="291"/>
      <c r="P126" s="291"/>
      <c r="Q126" s="291"/>
      <c r="R126" s="291"/>
      <c r="S126" s="291"/>
      <c r="T126" s="291"/>
      <c r="U126" s="291"/>
      <c r="V126" s="291"/>
      <c r="W126" s="291"/>
      <c r="X126" s="291"/>
      <c r="Y126" s="291"/>
      <c r="Z126" s="291"/>
      <c r="AA126" s="291"/>
      <c r="AB126" s="1883"/>
      <c r="AC126" s="1883"/>
      <c r="AD126" s="1883"/>
    </row>
    <row r="127" spans="1:30" x14ac:dyDescent="0.25">
      <c r="A127" s="1868" t="s">
        <v>730</v>
      </c>
      <c r="B127" s="1869" t="s">
        <v>719</v>
      </c>
      <c r="C127" s="1868"/>
      <c r="D127" s="1868"/>
      <c r="E127" s="1868"/>
      <c r="F127" s="1868"/>
      <c r="G127" s="1882"/>
      <c r="H127" s="292"/>
      <c r="I127" s="292"/>
      <c r="J127" s="292"/>
      <c r="K127" s="292"/>
      <c r="L127" s="292"/>
      <c r="M127" s="292"/>
      <c r="N127" s="292"/>
      <c r="O127" s="1872">
        <f>+$F127</f>
        <v>0</v>
      </c>
      <c r="P127" s="291"/>
      <c r="Q127" s="291"/>
      <c r="R127" s="291"/>
      <c r="S127" s="291"/>
      <c r="T127" s="291"/>
      <c r="U127" s="291"/>
      <c r="V127" s="291"/>
      <c r="W127" s="291"/>
      <c r="X127" s="291"/>
      <c r="Y127" s="291"/>
      <c r="Z127" s="291"/>
      <c r="AA127" s="291"/>
      <c r="AB127" s="1883"/>
      <c r="AC127" s="1883"/>
      <c r="AD127" s="1883"/>
    </row>
    <row r="128" spans="1:30" x14ac:dyDescent="0.25">
      <c r="A128" s="1868" t="s">
        <v>730</v>
      </c>
      <c r="B128" s="1869" t="s">
        <v>720</v>
      </c>
      <c r="C128" s="1893">
        <f>(5576030854.5+76209944.83)/(10^7)</f>
        <v>565.22407993299998</v>
      </c>
      <c r="D128" s="1892">
        <f>381152361.97/(10^7)</f>
        <v>38.115236197000002</v>
      </c>
      <c r="E128" s="1892">
        <f>(32248012.4+64049674+38102587.5)/(10^7)</f>
        <v>13.440027390000001</v>
      </c>
      <c r="F128" s="1892">
        <f>462515912.54/(10^7)</f>
        <v>46.251591254000004</v>
      </c>
      <c r="G128" s="1882"/>
      <c r="H128" s="292"/>
      <c r="I128" s="292"/>
      <c r="J128" s="292"/>
      <c r="K128" s="292"/>
      <c r="L128" s="292"/>
      <c r="M128" s="292"/>
      <c r="N128" s="292"/>
      <c r="O128" s="292"/>
      <c r="P128" s="1872">
        <f>+$F128</f>
        <v>46.251591254000004</v>
      </c>
      <c r="Q128" s="291"/>
      <c r="R128" s="291"/>
      <c r="S128" s="291"/>
      <c r="T128" s="291"/>
      <c r="U128" s="291"/>
      <c r="V128" s="291"/>
      <c r="W128" s="291"/>
      <c r="X128" s="291"/>
      <c r="Y128" s="291"/>
      <c r="Z128" s="291"/>
      <c r="AA128" s="291"/>
      <c r="AB128" s="1883"/>
      <c r="AC128" s="1883"/>
      <c r="AD128" s="1883"/>
    </row>
    <row r="129" spans="1:30" x14ac:dyDescent="0.25">
      <c r="A129" s="1868" t="s">
        <v>730</v>
      </c>
      <c r="B129" s="1869" t="s">
        <v>721</v>
      </c>
      <c r="C129" s="1895">
        <f>+C128+D128-E128-F128</f>
        <v>543.64769748600008</v>
      </c>
      <c r="D129" s="1892">
        <f>536838743.55/(10^7)</f>
        <v>53.683874355</v>
      </c>
      <c r="E129" s="1892">
        <f>(13956481.93-12560275+4771)/(10^7)</f>
        <v>0.14009779299999997</v>
      </c>
      <c r="F129" s="1892">
        <f>476488188/(10^7)</f>
        <v>47.648818800000001</v>
      </c>
      <c r="G129" s="1882"/>
      <c r="H129" s="292"/>
      <c r="I129" s="292"/>
      <c r="J129" s="292"/>
      <c r="K129" s="292"/>
      <c r="L129" s="292"/>
      <c r="M129" s="292"/>
      <c r="N129" s="292"/>
      <c r="O129" s="292"/>
      <c r="P129" s="292"/>
      <c r="Q129" s="1872">
        <f>+$F129</f>
        <v>47.648818800000001</v>
      </c>
      <c r="R129" s="291"/>
      <c r="S129" s="291"/>
      <c r="T129" s="291"/>
      <c r="U129" s="291"/>
      <c r="V129" s="291"/>
      <c r="W129" s="291"/>
      <c r="X129" s="291"/>
      <c r="Y129" s="291"/>
      <c r="Z129" s="291"/>
      <c r="AA129" s="291"/>
      <c r="AB129" s="1883"/>
      <c r="AC129" s="1883"/>
      <c r="AD129" s="1883"/>
    </row>
    <row r="130" spans="1:30" x14ac:dyDescent="0.25">
      <c r="A130" s="1868" t="s">
        <v>730</v>
      </c>
      <c r="B130" s="1869" t="s">
        <v>722</v>
      </c>
      <c r="C130" s="1895">
        <f t="shared" ref="C130:C139" si="11">+C129+D129-E129-F129</f>
        <v>549.54265524800019</v>
      </c>
      <c r="D130" s="1892">
        <f>449459626.58/(10^7)</f>
        <v>44.945962657999999</v>
      </c>
      <c r="E130" s="1892">
        <f>(33943651.01-26572102+510570)/(10^7)</f>
        <v>0.78821190099999983</v>
      </c>
      <c r="F130" s="1892">
        <f>491744290/(10^7)</f>
        <v>49.174429000000003</v>
      </c>
      <c r="G130" s="1882"/>
      <c r="H130" s="292"/>
      <c r="I130" s="292"/>
      <c r="J130" s="292"/>
      <c r="K130" s="292"/>
      <c r="L130" s="292"/>
      <c r="M130" s="292"/>
      <c r="N130" s="292"/>
      <c r="O130" s="292"/>
      <c r="P130" s="292"/>
      <c r="Q130" s="292"/>
      <c r="R130" s="1872">
        <f>+$F130</f>
        <v>49.174429000000003</v>
      </c>
      <c r="S130" s="291"/>
      <c r="T130" s="291"/>
      <c r="U130" s="291"/>
      <c r="V130" s="291"/>
      <c r="W130" s="291"/>
      <c r="X130" s="291"/>
      <c r="Y130" s="291"/>
      <c r="Z130" s="291"/>
      <c r="AA130" s="291"/>
      <c r="AB130" s="1883"/>
      <c r="AC130" s="1883"/>
      <c r="AD130" s="1883"/>
    </row>
    <row r="131" spans="1:30" x14ac:dyDescent="0.25">
      <c r="A131" s="1868" t="s">
        <v>730</v>
      </c>
      <c r="B131" s="1869" t="s">
        <v>723</v>
      </c>
      <c r="C131" s="1895">
        <f t="shared" si="11"/>
        <v>544.52597700500019</v>
      </c>
      <c r="D131" s="1892">
        <f>382090876.7/(10^7)</f>
        <v>38.209087669999995</v>
      </c>
      <c r="E131" s="1892">
        <f>(26770369.43-23286890+14465601)/(10^7)</f>
        <v>1.794908043</v>
      </c>
      <c r="F131" s="1892">
        <f>477900396.6108/(10^7)</f>
        <v>47.790039661080002</v>
      </c>
      <c r="G131" s="1882"/>
      <c r="H131" s="292"/>
      <c r="I131" s="292"/>
      <c r="J131" s="292"/>
      <c r="K131" s="292"/>
      <c r="L131" s="292"/>
      <c r="M131" s="292"/>
      <c r="N131" s="292"/>
      <c r="O131" s="292"/>
      <c r="P131" s="292"/>
      <c r="Q131" s="292"/>
      <c r="R131" s="292"/>
      <c r="S131" s="1872">
        <f>+$F131</f>
        <v>47.790039661080002</v>
      </c>
      <c r="T131" s="291"/>
      <c r="U131" s="291"/>
      <c r="V131" s="291"/>
      <c r="W131" s="291"/>
      <c r="X131" s="291"/>
      <c r="Y131" s="291"/>
      <c r="Z131" s="291"/>
      <c r="AA131" s="291"/>
      <c r="AB131" s="1883"/>
      <c r="AC131" s="1883"/>
      <c r="AD131" s="1883"/>
    </row>
    <row r="132" spans="1:30" x14ac:dyDescent="0.25">
      <c r="A132" s="1868" t="s">
        <v>730</v>
      </c>
      <c r="B132" s="1869" t="s">
        <v>724</v>
      </c>
      <c r="C132" s="1895">
        <f t="shared" si="11"/>
        <v>533.15011697092029</v>
      </c>
      <c r="D132" s="1892">
        <f>334981261.4/(10^7)</f>
        <v>33.498126139999997</v>
      </c>
      <c r="E132" s="1892">
        <f>(71908786.26-61510275+1529667)/(10^7)</f>
        <v>1.1928178260000006</v>
      </c>
      <c r="F132" s="1892">
        <f>480500195.919768/(10^7)</f>
        <v>48.050019591976799</v>
      </c>
      <c r="G132" s="1882"/>
      <c r="H132" s="292"/>
      <c r="I132" s="292"/>
      <c r="J132" s="292"/>
      <c r="K132" s="292"/>
      <c r="L132" s="292"/>
      <c r="M132" s="292"/>
      <c r="N132" s="292"/>
      <c r="O132" s="292"/>
      <c r="P132" s="292"/>
      <c r="Q132" s="292"/>
      <c r="R132" s="292"/>
      <c r="S132" s="292"/>
      <c r="T132" s="1872">
        <f>+$F132</f>
        <v>48.050019591976799</v>
      </c>
      <c r="U132" s="291"/>
      <c r="V132" s="291"/>
      <c r="W132" s="291"/>
      <c r="X132" s="291"/>
      <c r="Y132" s="291"/>
      <c r="Z132" s="291"/>
      <c r="AA132" s="291"/>
      <c r="AB132" s="1883"/>
      <c r="AC132" s="1883"/>
      <c r="AD132" s="1883"/>
    </row>
    <row r="133" spans="1:30" x14ac:dyDescent="0.25">
      <c r="A133" s="1868" t="s">
        <v>730</v>
      </c>
      <c r="B133" s="1869" t="s">
        <v>725</v>
      </c>
      <c r="C133" s="1895">
        <f t="shared" si="11"/>
        <v>517.40540569294342</v>
      </c>
      <c r="D133" s="1892">
        <f>484631258.19/(10^7)</f>
        <v>48.463125818999998</v>
      </c>
      <c r="E133" s="1892">
        <f>(63825872.34-55470174)/(10^7)</f>
        <v>0.8355698340000004</v>
      </c>
      <c r="F133" s="1892">
        <f>468418825.238844/(10^7)</f>
        <v>46.841882523884401</v>
      </c>
      <c r="G133" s="1882"/>
      <c r="H133" s="292"/>
      <c r="I133" s="292"/>
      <c r="J133" s="292"/>
      <c r="K133" s="292"/>
      <c r="L133" s="292"/>
      <c r="M133" s="292"/>
      <c r="N133" s="292"/>
      <c r="O133" s="292"/>
      <c r="P133" s="292"/>
      <c r="Q133" s="292"/>
      <c r="R133" s="292"/>
      <c r="S133" s="292"/>
      <c r="T133" s="292"/>
      <c r="U133" s="1872">
        <f>+$F133</f>
        <v>46.841882523884401</v>
      </c>
      <c r="V133" s="291"/>
      <c r="W133" s="291"/>
      <c r="X133" s="291"/>
      <c r="Y133" s="291"/>
      <c r="Z133" s="291"/>
      <c r="AA133" s="291"/>
      <c r="AB133" s="1883"/>
      <c r="AC133" s="1883"/>
      <c r="AD133" s="1883"/>
    </row>
    <row r="134" spans="1:30" x14ac:dyDescent="0.25">
      <c r="A134" s="1868" t="s">
        <v>730</v>
      </c>
      <c r="B134" s="1869" t="s">
        <v>731</v>
      </c>
      <c r="C134" s="1895">
        <f t="shared" si="11"/>
        <v>518.19107915405903</v>
      </c>
      <c r="D134" s="1892">
        <f>780695087.03/(10^7)</f>
        <v>78.069508702999997</v>
      </c>
      <c r="E134" s="1892">
        <f>(11203681.08-10082984)/(10^7)</f>
        <v>0.112069708</v>
      </c>
      <c r="F134" s="1892">
        <f>402937814.129228/(10^7)</f>
        <v>40.293781412922797</v>
      </c>
      <c r="G134" s="1886"/>
      <c r="H134" s="292"/>
      <c r="I134" s="292"/>
      <c r="J134" s="292"/>
      <c r="K134" s="292"/>
      <c r="L134" s="292"/>
      <c r="M134" s="292"/>
      <c r="N134" s="292"/>
      <c r="O134" s="292"/>
      <c r="P134" s="292"/>
      <c r="Q134" s="292"/>
      <c r="R134" s="292"/>
      <c r="S134" s="292"/>
      <c r="T134" s="292"/>
      <c r="U134" s="292"/>
      <c r="V134" s="1872">
        <f>+$F134</f>
        <v>40.293781412922797</v>
      </c>
      <c r="W134" s="291"/>
      <c r="X134" s="291"/>
      <c r="Y134" s="291"/>
      <c r="Z134" s="291"/>
      <c r="AA134" s="291"/>
      <c r="AB134" s="1883"/>
      <c r="AC134" s="1883"/>
      <c r="AD134" s="1883"/>
    </row>
    <row r="135" spans="1:30" x14ac:dyDescent="0.25">
      <c r="A135" s="1868" t="s">
        <v>730</v>
      </c>
      <c r="B135" s="1869" t="s">
        <v>732</v>
      </c>
      <c r="C135" s="1895">
        <f t="shared" si="11"/>
        <v>555.85473673613615</v>
      </c>
      <c r="D135" s="1892">
        <f>377734388.49/(10^7)</f>
        <v>37.773438849000001</v>
      </c>
      <c r="E135" s="1892">
        <f>(42225625.78-36518249)/(10^7)</f>
        <v>0.57073767800000008</v>
      </c>
      <c r="F135" s="1892">
        <f>409644078.780892/(10^7)</f>
        <v>40.964407878089204</v>
      </c>
      <c r="G135" s="1886"/>
      <c r="H135" s="292"/>
      <c r="I135" s="292"/>
      <c r="J135" s="292"/>
      <c r="K135" s="292"/>
      <c r="L135" s="292"/>
      <c r="M135" s="292"/>
      <c r="N135" s="292"/>
      <c r="O135" s="292"/>
      <c r="P135" s="292"/>
      <c r="Q135" s="292"/>
      <c r="R135" s="292"/>
      <c r="S135" s="292"/>
      <c r="T135" s="292"/>
      <c r="U135" s="292"/>
      <c r="V135" s="292"/>
      <c r="W135" s="1872">
        <f>+$F135</f>
        <v>40.964407878089204</v>
      </c>
      <c r="X135" s="291"/>
      <c r="Y135" s="291"/>
      <c r="Z135" s="291"/>
      <c r="AA135" s="291"/>
      <c r="AB135" s="1883"/>
      <c r="AC135" s="1883"/>
      <c r="AD135" s="1883"/>
    </row>
    <row r="136" spans="1:30" x14ac:dyDescent="0.25">
      <c r="A136" s="1868" t="s">
        <v>730</v>
      </c>
      <c r="B136" s="1869" t="s">
        <v>733</v>
      </c>
      <c r="C136" s="1895">
        <f t="shared" si="11"/>
        <v>552.09303002904699</v>
      </c>
      <c r="D136" s="1892">
        <f>359658025.69/(10^7)</f>
        <v>35.965802568999997</v>
      </c>
      <c r="E136" s="1892">
        <f>(31743146.94-27121683)/(10^7)</f>
        <v>0.46214639400000013</v>
      </c>
      <c r="F136" s="1892">
        <f>413774605.883548/(10^7)</f>
        <v>41.377460588354801</v>
      </c>
      <c r="G136" s="1886"/>
      <c r="H136" s="292"/>
      <c r="I136" s="292"/>
      <c r="J136" s="292"/>
      <c r="K136" s="292"/>
      <c r="L136" s="292"/>
      <c r="M136" s="292"/>
      <c r="N136" s="292"/>
      <c r="O136" s="292"/>
      <c r="P136" s="292"/>
      <c r="Q136" s="292"/>
      <c r="R136" s="292"/>
      <c r="S136" s="292"/>
      <c r="T136" s="292"/>
      <c r="U136" s="292"/>
      <c r="V136" s="292"/>
      <c r="W136" s="292"/>
      <c r="X136" s="1872">
        <f>+$F136</f>
        <v>41.377460588354801</v>
      </c>
      <c r="Y136" s="291"/>
      <c r="Z136" s="291"/>
      <c r="AA136" s="291"/>
      <c r="AB136" s="1883"/>
      <c r="AC136" s="1883"/>
      <c r="AD136" s="1883"/>
    </row>
    <row r="137" spans="1:30" x14ac:dyDescent="0.25">
      <c r="A137" s="1868" t="s">
        <v>730</v>
      </c>
      <c r="B137" s="1869" t="s">
        <v>734</v>
      </c>
      <c r="C137" s="1892">
        <f t="shared" si="11"/>
        <v>546.21922561569215</v>
      </c>
      <c r="D137" s="284">
        <f>'F5'!E38</f>
        <v>41.708554386886789</v>
      </c>
      <c r="E137" s="284">
        <f>'F5'!F38</f>
        <v>3.1743146939999995</v>
      </c>
      <c r="F137" s="1892">
        <f>'F5'!$E$81-'F5'!$F$81</f>
        <v>40.241250472068117</v>
      </c>
      <c r="G137" s="1886"/>
      <c r="H137" s="292"/>
      <c r="I137" s="292"/>
      <c r="J137" s="292"/>
      <c r="K137" s="292"/>
      <c r="L137" s="292"/>
      <c r="M137" s="292"/>
      <c r="N137" s="292"/>
      <c r="O137" s="292"/>
      <c r="P137" s="292"/>
      <c r="Q137" s="292"/>
      <c r="R137" s="292"/>
      <c r="S137" s="292"/>
      <c r="T137" s="292"/>
      <c r="U137" s="292"/>
      <c r="V137" s="292"/>
      <c r="W137" s="292"/>
      <c r="X137" s="292"/>
      <c r="Y137" s="1872">
        <f>+$F137</f>
        <v>40.241250472068117</v>
      </c>
      <c r="Z137" s="291"/>
      <c r="AA137" s="291"/>
      <c r="AB137" s="1883"/>
      <c r="AC137" s="1883"/>
      <c r="AD137" s="1883"/>
    </row>
    <row r="138" spans="1:30" x14ac:dyDescent="0.25">
      <c r="A138" s="1868" t="s">
        <v>730</v>
      </c>
      <c r="B138" s="1869" t="s">
        <v>735</v>
      </c>
      <c r="C138" s="1892">
        <f t="shared" si="11"/>
        <v>544.51221483651079</v>
      </c>
      <c r="D138" s="284">
        <f>'F5'!I38</f>
        <v>279.35030558126891</v>
      </c>
      <c r="E138" s="284">
        <f>'F5'!J38</f>
        <v>3.1743146939999995</v>
      </c>
      <c r="F138" s="1892">
        <f>'F5'!$I$81-'F5'!$J$81</f>
        <v>47.587778908925884</v>
      </c>
      <c r="G138" s="1886"/>
      <c r="H138" s="292"/>
      <c r="I138" s="292"/>
      <c r="J138" s="292"/>
      <c r="K138" s="292"/>
      <c r="L138" s="292"/>
      <c r="M138" s="292"/>
      <c r="N138" s="292"/>
      <c r="O138" s="292"/>
      <c r="P138" s="292"/>
      <c r="Q138" s="292"/>
      <c r="R138" s="292"/>
      <c r="S138" s="292"/>
      <c r="T138" s="292"/>
      <c r="U138" s="292"/>
      <c r="V138" s="292"/>
      <c r="W138" s="292"/>
      <c r="X138" s="292"/>
      <c r="Y138" s="292"/>
      <c r="Z138" s="1872">
        <f>+$F138</f>
        <v>47.587778908925884</v>
      </c>
      <c r="AA138" s="291"/>
      <c r="AB138" s="1883"/>
      <c r="AC138" s="1883"/>
      <c r="AD138" s="1883"/>
    </row>
    <row r="139" spans="1:30" x14ac:dyDescent="0.25">
      <c r="A139" s="1868" t="s">
        <v>730</v>
      </c>
      <c r="B139" s="1869" t="s">
        <v>736</v>
      </c>
      <c r="C139" s="1892">
        <f t="shared" si="11"/>
        <v>773.10042681485379</v>
      </c>
      <c r="D139" s="284">
        <f>'F5'!M38</f>
        <v>240.7942612936358</v>
      </c>
      <c r="E139" s="284">
        <f>'F5'!N38</f>
        <v>3.1743146939999995</v>
      </c>
      <c r="F139" s="1892">
        <f>'F5'!$M$81-'F5'!$N$81</f>
        <v>58.284853226597747</v>
      </c>
      <c r="G139" s="1886"/>
      <c r="H139" s="292"/>
      <c r="I139" s="292"/>
      <c r="J139" s="292"/>
      <c r="K139" s="292"/>
      <c r="L139" s="292"/>
      <c r="M139" s="292"/>
      <c r="N139" s="292"/>
      <c r="O139" s="292"/>
      <c r="P139" s="292"/>
      <c r="Q139" s="292"/>
      <c r="R139" s="292"/>
      <c r="S139" s="292"/>
      <c r="T139" s="292"/>
      <c r="U139" s="292"/>
      <c r="V139" s="292"/>
      <c r="W139" s="292"/>
      <c r="X139" s="292"/>
      <c r="Y139" s="292"/>
      <c r="Z139" s="292"/>
      <c r="AA139" s="1872">
        <f>+$F139</f>
        <v>58.284853226597747</v>
      </c>
      <c r="AB139" s="1883"/>
      <c r="AC139" s="1883"/>
      <c r="AD139" s="1883"/>
    </row>
    <row r="140" spans="1:30" ht="13" x14ac:dyDescent="0.3">
      <c r="A140" s="1873"/>
      <c r="B140" s="1874" t="s">
        <v>145</v>
      </c>
      <c r="C140" s="1896">
        <f>C128+D140-E140</f>
        <v>1506.9418335057915</v>
      </c>
      <c r="D140" s="285">
        <f t="shared" ref="D140:F140" si="12">SUM(D119:D139)</f>
        <v>970.5772842217915</v>
      </c>
      <c r="E140" s="285">
        <f t="shared" si="12"/>
        <v>28.859530649000007</v>
      </c>
      <c r="F140" s="285">
        <f t="shared" si="12"/>
        <v>554.50631331789975</v>
      </c>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row>
    <row r="141" spans="1:30" x14ac:dyDescent="0.25">
      <c r="C141" s="1888"/>
      <c r="D141" s="1888"/>
      <c r="E141" s="1888"/>
    </row>
    <row r="144" spans="1:30" ht="13" x14ac:dyDescent="0.3">
      <c r="B144" s="1861" t="s">
        <v>739</v>
      </c>
      <c r="H144" s="1862" t="s">
        <v>16</v>
      </c>
    </row>
    <row r="145" spans="1:30" ht="26" x14ac:dyDescent="0.35">
      <c r="A145" s="1863"/>
      <c r="B145" s="1880" t="s">
        <v>746</v>
      </c>
      <c r="C145" s="2498" t="s">
        <v>890</v>
      </c>
      <c r="D145" s="2498" t="s">
        <v>1946</v>
      </c>
      <c r="E145" s="2498" t="s">
        <v>1947</v>
      </c>
      <c r="F145" s="2498" t="s">
        <v>711</v>
      </c>
      <c r="G145" s="2498" t="s">
        <v>747</v>
      </c>
      <c r="H145" s="2500" t="s">
        <v>748</v>
      </c>
      <c r="I145" s="2500"/>
      <c r="J145" s="2500"/>
      <c r="K145" s="2500"/>
      <c r="L145" s="2500"/>
      <c r="M145" s="2500"/>
      <c r="N145" s="2500"/>
      <c r="O145" s="2500"/>
      <c r="P145" s="2500"/>
      <c r="Q145" s="2500"/>
      <c r="R145" s="2500"/>
      <c r="S145" s="2500"/>
      <c r="T145" s="2500"/>
      <c r="U145" s="2500"/>
      <c r="V145" s="2500"/>
      <c r="W145" s="2500"/>
      <c r="X145" s="2500"/>
      <c r="Y145" s="2500"/>
      <c r="Z145" s="2500"/>
      <c r="AA145" s="2500"/>
      <c r="AB145" s="1864" t="s">
        <v>726</v>
      </c>
      <c r="AC145" s="1864" t="s">
        <v>727</v>
      </c>
      <c r="AD145" s="1864" t="s">
        <v>728</v>
      </c>
    </row>
    <row r="146" spans="1:30" ht="13" x14ac:dyDescent="0.25">
      <c r="A146" s="1863"/>
      <c r="B146" s="1880"/>
      <c r="C146" s="2499"/>
      <c r="D146" s="2499"/>
      <c r="E146" s="2499"/>
      <c r="F146" s="2499"/>
      <c r="G146" s="2499"/>
      <c r="H146" s="1865" t="s">
        <v>712</v>
      </c>
      <c r="I146" s="1865" t="s">
        <v>713</v>
      </c>
      <c r="J146" s="1865" t="s">
        <v>714</v>
      </c>
      <c r="K146" s="1865" t="s">
        <v>715</v>
      </c>
      <c r="L146" s="1865" t="s">
        <v>716</v>
      </c>
      <c r="M146" s="1865" t="s">
        <v>717</v>
      </c>
      <c r="N146" s="1865" t="s">
        <v>718</v>
      </c>
      <c r="O146" s="1865" t="s">
        <v>719</v>
      </c>
      <c r="P146" s="1865" t="s">
        <v>720</v>
      </c>
      <c r="Q146" s="1865" t="s">
        <v>721</v>
      </c>
      <c r="R146" s="1865" t="s">
        <v>722</v>
      </c>
      <c r="S146" s="1865" t="s">
        <v>723</v>
      </c>
      <c r="T146" s="1865" t="s">
        <v>724</v>
      </c>
      <c r="U146" s="1865" t="s">
        <v>725</v>
      </c>
      <c r="V146" s="1865" t="s">
        <v>179</v>
      </c>
      <c r="W146" s="1865" t="s">
        <v>186</v>
      </c>
      <c r="X146" s="1865" t="s">
        <v>426</v>
      </c>
      <c r="Y146" s="1865" t="s">
        <v>427</v>
      </c>
      <c r="Z146" s="1865" t="s">
        <v>428</v>
      </c>
      <c r="AA146" s="1865" t="s">
        <v>429</v>
      </c>
      <c r="AB146" s="1864"/>
      <c r="AC146" s="1864"/>
      <c r="AD146" s="1864"/>
    </row>
    <row r="147" spans="1:30" x14ac:dyDescent="0.25">
      <c r="A147" s="1868" t="s">
        <v>729</v>
      </c>
      <c r="B147" s="1869">
        <v>2005</v>
      </c>
      <c r="C147" s="1868"/>
      <c r="D147" s="1868"/>
      <c r="E147" s="1868"/>
      <c r="F147" s="1868"/>
      <c r="G147" s="1882"/>
      <c r="H147" s="291"/>
      <c r="I147" s="291"/>
      <c r="J147" s="291"/>
      <c r="K147" s="291"/>
      <c r="L147" s="291"/>
      <c r="M147" s="291"/>
      <c r="N147" s="291"/>
      <c r="O147" s="291"/>
      <c r="P147" s="291"/>
      <c r="Q147" s="291"/>
      <c r="R147" s="291"/>
      <c r="S147" s="291"/>
      <c r="T147" s="291"/>
      <c r="U147" s="291"/>
      <c r="V147" s="291"/>
      <c r="W147" s="291"/>
      <c r="X147" s="291"/>
      <c r="Y147" s="291"/>
      <c r="Z147" s="291"/>
      <c r="AA147" s="291"/>
      <c r="AB147" s="1883"/>
      <c r="AC147" s="1883"/>
      <c r="AD147" s="1883"/>
    </row>
    <row r="148" spans="1:30" x14ac:dyDescent="0.25">
      <c r="A148" s="1868" t="s">
        <v>730</v>
      </c>
      <c r="B148" s="1869" t="s">
        <v>712</v>
      </c>
      <c r="C148" s="1868"/>
      <c r="D148" s="1868"/>
      <c r="E148" s="1868"/>
      <c r="F148" s="1868"/>
      <c r="G148" s="1882"/>
      <c r="H148" s="1872">
        <f>+$F148</f>
        <v>0</v>
      </c>
      <c r="I148" s="291"/>
      <c r="J148" s="291"/>
      <c r="K148" s="291"/>
      <c r="L148" s="291"/>
      <c r="M148" s="291"/>
      <c r="N148" s="291"/>
      <c r="O148" s="291"/>
      <c r="P148" s="291"/>
      <c r="Q148" s="291"/>
      <c r="R148" s="291"/>
      <c r="S148" s="291"/>
      <c r="T148" s="291"/>
      <c r="U148" s="291"/>
      <c r="V148" s="291"/>
      <c r="W148" s="291"/>
      <c r="X148" s="291"/>
      <c r="Y148" s="291"/>
      <c r="Z148" s="291"/>
      <c r="AA148" s="291"/>
      <c r="AB148" s="1883"/>
      <c r="AC148" s="1883"/>
      <c r="AD148" s="1883"/>
    </row>
    <row r="149" spans="1:30" x14ac:dyDescent="0.25">
      <c r="A149" s="1868" t="s">
        <v>730</v>
      </c>
      <c r="B149" s="1869" t="s">
        <v>713</v>
      </c>
      <c r="C149" s="1868"/>
      <c r="D149" s="1868"/>
      <c r="E149" s="1868"/>
      <c r="F149" s="1868"/>
      <c r="G149" s="1882"/>
      <c r="H149" s="292"/>
      <c r="I149" s="1872">
        <f>+$F149</f>
        <v>0</v>
      </c>
      <c r="J149" s="291"/>
      <c r="K149" s="291"/>
      <c r="L149" s="291"/>
      <c r="M149" s="291"/>
      <c r="N149" s="291"/>
      <c r="O149" s="291"/>
      <c r="P149" s="291"/>
      <c r="Q149" s="291"/>
      <c r="R149" s="291"/>
      <c r="S149" s="291"/>
      <c r="T149" s="291"/>
      <c r="U149" s="291"/>
      <c r="V149" s="291"/>
      <c r="W149" s="291"/>
      <c r="X149" s="291"/>
      <c r="Y149" s="291"/>
      <c r="Z149" s="291"/>
      <c r="AA149" s="291"/>
      <c r="AB149" s="1883"/>
      <c r="AC149" s="1883"/>
      <c r="AD149" s="1883"/>
    </row>
    <row r="150" spans="1:30" x14ac:dyDescent="0.25">
      <c r="A150" s="1868" t="s">
        <v>730</v>
      </c>
      <c r="B150" s="1869" t="s">
        <v>714</v>
      </c>
      <c r="C150" s="1868"/>
      <c r="D150" s="1868"/>
      <c r="E150" s="1868"/>
      <c r="F150" s="1868"/>
      <c r="G150" s="1882"/>
      <c r="H150" s="292"/>
      <c r="I150" s="292"/>
      <c r="J150" s="1872">
        <f>+$F150</f>
        <v>0</v>
      </c>
      <c r="K150" s="291"/>
      <c r="L150" s="291"/>
      <c r="M150" s="291"/>
      <c r="N150" s="291"/>
      <c r="O150" s="291"/>
      <c r="P150" s="291"/>
      <c r="Q150" s="291"/>
      <c r="R150" s="291"/>
      <c r="S150" s="291"/>
      <c r="T150" s="291"/>
      <c r="U150" s="291"/>
      <c r="V150" s="291"/>
      <c r="W150" s="291"/>
      <c r="X150" s="291"/>
      <c r="Y150" s="291"/>
      <c r="Z150" s="291"/>
      <c r="AA150" s="291"/>
      <c r="AB150" s="1883"/>
      <c r="AC150" s="1883"/>
      <c r="AD150" s="1883"/>
    </row>
    <row r="151" spans="1:30" x14ac:dyDescent="0.25">
      <c r="A151" s="1868" t="s">
        <v>730</v>
      </c>
      <c r="B151" s="1869" t="s">
        <v>715</v>
      </c>
      <c r="C151" s="1868"/>
      <c r="D151" s="1868"/>
      <c r="E151" s="1868"/>
      <c r="F151" s="1868"/>
      <c r="G151" s="1882"/>
      <c r="H151" s="292"/>
      <c r="I151" s="292"/>
      <c r="J151" s="292"/>
      <c r="K151" s="1872">
        <f>+$F151</f>
        <v>0</v>
      </c>
      <c r="L151" s="291"/>
      <c r="M151" s="291"/>
      <c r="N151" s="291"/>
      <c r="O151" s="291"/>
      <c r="P151" s="291"/>
      <c r="Q151" s="291"/>
      <c r="R151" s="291"/>
      <c r="S151" s="291"/>
      <c r="T151" s="291"/>
      <c r="U151" s="291"/>
      <c r="V151" s="291"/>
      <c r="W151" s="291"/>
      <c r="X151" s="291"/>
      <c r="Y151" s="291"/>
      <c r="Z151" s="291"/>
      <c r="AA151" s="291"/>
      <c r="AB151" s="1883"/>
      <c r="AC151" s="1883"/>
      <c r="AD151" s="1883"/>
    </row>
    <row r="152" spans="1:30" x14ac:dyDescent="0.25">
      <c r="A152" s="1868" t="s">
        <v>730</v>
      </c>
      <c r="B152" s="1869" t="s">
        <v>716</v>
      </c>
      <c r="C152" s="1885"/>
      <c r="D152" s="1868"/>
      <c r="E152" s="1868"/>
      <c r="F152" s="1868"/>
      <c r="G152" s="1882"/>
      <c r="H152" s="292"/>
      <c r="I152" s="292"/>
      <c r="J152" s="292"/>
      <c r="K152" s="292"/>
      <c r="L152" s="1872">
        <f>+$F152</f>
        <v>0</v>
      </c>
      <c r="M152" s="291"/>
      <c r="N152" s="291"/>
      <c r="O152" s="291"/>
      <c r="P152" s="291"/>
      <c r="Q152" s="291"/>
      <c r="R152" s="291"/>
      <c r="S152" s="291"/>
      <c r="T152" s="291"/>
      <c r="U152" s="291"/>
      <c r="V152" s="291"/>
      <c r="W152" s="291"/>
      <c r="X152" s="291"/>
      <c r="Y152" s="291"/>
      <c r="Z152" s="291"/>
      <c r="AA152" s="291"/>
      <c r="AB152" s="1883"/>
      <c r="AC152" s="1883"/>
      <c r="AD152" s="1883"/>
    </row>
    <row r="153" spans="1:30" x14ac:dyDescent="0.25">
      <c r="A153" s="1868" t="s">
        <v>730</v>
      </c>
      <c r="B153" s="1869" t="s">
        <v>717</v>
      </c>
      <c r="C153" s="1868"/>
      <c r="D153" s="1868"/>
      <c r="E153" s="1868"/>
      <c r="F153" s="1868"/>
      <c r="G153" s="1882"/>
      <c r="H153" s="292"/>
      <c r="I153" s="292"/>
      <c r="J153" s="292"/>
      <c r="K153" s="292"/>
      <c r="L153" s="292"/>
      <c r="M153" s="1872">
        <f>+$F153</f>
        <v>0</v>
      </c>
      <c r="N153" s="291"/>
      <c r="O153" s="291"/>
      <c r="P153" s="291"/>
      <c r="Q153" s="291"/>
      <c r="R153" s="291"/>
      <c r="S153" s="291"/>
      <c r="T153" s="291"/>
      <c r="U153" s="291"/>
      <c r="V153" s="291"/>
      <c r="W153" s="291"/>
      <c r="X153" s="291"/>
      <c r="Y153" s="291"/>
      <c r="Z153" s="291"/>
      <c r="AA153" s="291"/>
      <c r="AB153" s="1883"/>
      <c r="AC153" s="1883"/>
      <c r="AD153" s="1883"/>
    </row>
    <row r="154" spans="1:30" x14ac:dyDescent="0.25">
      <c r="A154" s="1868" t="s">
        <v>730</v>
      </c>
      <c r="B154" s="1869" t="s">
        <v>718</v>
      </c>
      <c r="C154" s="1885"/>
      <c r="D154" s="1885"/>
      <c r="E154" s="1868"/>
      <c r="F154" s="1868"/>
      <c r="G154" s="1882"/>
      <c r="H154" s="292"/>
      <c r="I154" s="292"/>
      <c r="J154" s="292"/>
      <c r="K154" s="292"/>
      <c r="L154" s="292"/>
      <c r="M154" s="292"/>
      <c r="N154" s="1872">
        <f>+$F154</f>
        <v>0</v>
      </c>
      <c r="O154" s="291"/>
      <c r="P154" s="291"/>
      <c r="Q154" s="291"/>
      <c r="R154" s="291"/>
      <c r="S154" s="291"/>
      <c r="T154" s="291"/>
      <c r="U154" s="291"/>
      <c r="V154" s="291"/>
      <c r="W154" s="291"/>
      <c r="X154" s="291"/>
      <c r="Y154" s="291"/>
      <c r="Z154" s="291"/>
      <c r="AA154" s="291"/>
      <c r="AB154" s="1883"/>
      <c r="AC154" s="1883"/>
      <c r="AD154" s="1883"/>
    </row>
    <row r="155" spans="1:30" x14ac:dyDescent="0.25">
      <c r="A155" s="1868" t="s">
        <v>730</v>
      </c>
      <c r="B155" s="1869" t="s">
        <v>719</v>
      </c>
      <c r="C155" s="1868"/>
      <c r="D155" s="1885"/>
      <c r="E155" s="1868"/>
      <c r="F155" s="1868"/>
      <c r="G155" s="1882"/>
      <c r="H155" s="292"/>
      <c r="I155" s="292"/>
      <c r="J155" s="292"/>
      <c r="K155" s="292"/>
      <c r="L155" s="292"/>
      <c r="M155" s="292"/>
      <c r="N155" s="292"/>
      <c r="O155" s="1872">
        <f>+$F155</f>
        <v>0</v>
      </c>
      <c r="P155" s="291"/>
      <c r="Q155" s="291"/>
      <c r="R155" s="291"/>
      <c r="S155" s="291"/>
      <c r="T155" s="291"/>
      <c r="U155" s="291"/>
      <c r="V155" s="291"/>
      <c r="W155" s="291"/>
      <c r="X155" s="291"/>
      <c r="Y155" s="291"/>
      <c r="Z155" s="291"/>
      <c r="AA155" s="291"/>
      <c r="AB155" s="1883"/>
      <c r="AC155" s="1883"/>
      <c r="AD155" s="1883"/>
    </row>
    <row r="156" spans="1:30" x14ac:dyDescent="0.25">
      <c r="A156" s="1868" t="s">
        <v>730</v>
      </c>
      <c r="B156" s="1869" t="s">
        <v>720</v>
      </c>
      <c r="C156" s="1893">
        <f>(4760147139+14870604.79)/(10^7)</f>
        <v>477.50177437899998</v>
      </c>
      <c r="D156" s="1892">
        <f>470892441.4/(10^7)</f>
        <v>47.089244139999998</v>
      </c>
      <c r="E156" s="1892">
        <f>(47385159+4868231+2567071)/(10^7)</f>
        <v>5.4820460999999998</v>
      </c>
      <c r="F156" s="1892">
        <f>287408938.0947/(10^7)</f>
        <v>28.740893809469998</v>
      </c>
      <c r="G156" s="1882"/>
      <c r="H156" s="292"/>
      <c r="I156" s="292"/>
      <c r="J156" s="292"/>
      <c r="K156" s="292"/>
      <c r="L156" s="292"/>
      <c r="M156" s="292"/>
      <c r="N156" s="292"/>
      <c r="O156" s="292"/>
      <c r="P156" s="1872">
        <f>+$F156</f>
        <v>28.740893809469998</v>
      </c>
      <c r="Q156" s="291"/>
      <c r="R156" s="291"/>
      <c r="S156" s="291"/>
      <c r="T156" s="291"/>
      <c r="U156" s="291"/>
      <c r="V156" s="291"/>
      <c r="W156" s="291"/>
      <c r="X156" s="291"/>
      <c r="Y156" s="291"/>
      <c r="Z156" s="291"/>
      <c r="AA156" s="291"/>
      <c r="AB156" s="1883"/>
      <c r="AC156" s="1883"/>
      <c r="AD156" s="1883"/>
    </row>
    <row r="157" spans="1:30" x14ac:dyDescent="0.25">
      <c r="A157" s="1868" t="s">
        <v>730</v>
      </c>
      <c r="B157" s="1869" t="s">
        <v>721</v>
      </c>
      <c r="C157" s="1895">
        <f>+C156+D156-E156-F156</f>
        <v>490.3680786095299</v>
      </c>
      <c r="D157" s="1892">
        <f>776000414.31/(10^7)</f>
        <v>77.600041430999994</v>
      </c>
      <c r="E157" s="1892">
        <f>(8288679-7446117+66832)/(10^7)</f>
        <v>9.0939400000000004E-2</v>
      </c>
      <c r="F157" s="1892">
        <f>305288702.5562/(10^7)</f>
        <v>30.528870255620003</v>
      </c>
      <c r="G157" s="1882"/>
      <c r="H157" s="292"/>
      <c r="I157" s="292"/>
      <c r="J157" s="292"/>
      <c r="K157" s="292"/>
      <c r="L157" s="292"/>
      <c r="M157" s="292"/>
      <c r="N157" s="292"/>
      <c r="O157" s="292"/>
      <c r="P157" s="292"/>
      <c r="Q157" s="1872">
        <f>+$F157</f>
        <v>30.528870255620003</v>
      </c>
      <c r="R157" s="291"/>
      <c r="S157" s="291"/>
      <c r="T157" s="291"/>
      <c r="U157" s="291"/>
      <c r="V157" s="291"/>
      <c r="W157" s="291"/>
      <c r="X157" s="291"/>
      <c r="Y157" s="291"/>
      <c r="Z157" s="291"/>
      <c r="AA157" s="291"/>
      <c r="AB157" s="1883"/>
      <c r="AC157" s="1883"/>
      <c r="AD157" s="1883"/>
    </row>
    <row r="158" spans="1:30" x14ac:dyDescent="0.25">
      <c r="A158" s="1868" t="s">
        <v>730</v>
      </c>
      <c r="B158" s="1869" t="s">
        <v>722</v>
      </c>
      <c r="C158" s="1895">
        <f t="shared" ref="C158:C167" si="13">+C157+D157-E157-F157</f>
        <v>537.34831038490995</v>
      </c>
      <c r="D158" s="1892">
        <f>647102492.66/(10^7)</f>
        <v>64.710249265999991</v>
      </c>
      <c r="E158" s="1892">
        <f>(9772582-8360658)/(10^7)</f>
        <v>0.1411924</v>
      </c>
      <c r="F158" s="1892">
        <f>340532786.4524/(10^7)</f>
        <v>34.053278645240006</v>
      </c>
      <c r="G158" s="1882"/>
      <c r="H158" s="292"/>
      <c r="I158" s="292"/>
      <c r="J158" s="292"/>
      <c r="K158" s="292"/>
      <c r="L158" s="292"/>
      <c r="M158" s="292"/>
      <c r="N158" s="292"/>
      <c r="O158" s="292"/>
      <c r="P158" s="292"/>
      <c r="Q158" s="292"/>
      <c r="R158" s="1872">
        <f>+$F158</f>
        <v>34.053278645240006</v>
      </c>
      <c r="S158" s="291"/>
      <c r="T158" s="291"/>
      <c r="U158" s="291"/>
      <c r="V158" s="291"/>
      <c r="W158" s="291"/>
      <c r="X158" s="291"/>
      <c r="Y158" s="291"/>
      <c r="Z158" s="291"/>
      <c r="AA158" s="291"/>
      <c r="AB158" s="1883"/>
      <c r="AC158" s="1883"/>
      <c r="AD158" s="1883"/>
    </row>
    <row r="159" spans="1:30" x14ac:dyDescent="0.25">
      <c r="A159" s="1868" t="s">
        <v>730</v>
      </c>
      <c r="B159" s="1869" t="s">
        <v>723</v>
      </c>
      <c r="C159" s="1895">
        <f t="shared" si="13"/>
        <v>567.86408860566996</v>
      </c>
      <c r="D159" s="1892">
        <f>630769518.01/(10^7)</f>
        <v>63.076951801</v>
      </c>
      <c r="E159" s="1892">
        <f>(8509721-7462564+179820)/(10^7)</f>
        <v>0.12269770000000001</v>
      </c>
      <c r="F159" s="1892">
        <f>365477741.9265/(10^7)</f>
        <v>36.547774192650003</v>
      </c>
      <c r="G159" s="1882"/>
      <c r="H159" s="292"/>
      <c r="I159" s="292"/>
      <c r="J159" s="292"/>
      <c r="K159" s="292"/>
      <c r="L159" s="292"/>
      <c r="M159" s="292"/>
      <c r="N159" s="292"/>
      <c r="O159" s="292"/>
      <c r="P159" s="292"/>
      <c r="Q159" s="292"/>
      <c r="R159" s="292"/>
      <c r="S159" s="1872">
        <f>+$F159</f>
        <v>36.547774192650003</v>
      </c>
      <c r="T159" s="291"/>
      <c r="U159" s="291"/>
      <c r="V159" s="291"/>
      <c r="W159" s="291"/>
      <c r="X159" s="291"/>
      <c r="Y159" s="291"/>
      <c r="Z159" s="291"/>
      <c r="AA159" s="291"/>
      <c r="AB159" s="1883"/>
      <c r="AC159" s="1883"/>
      <c r="AD159" s="1883"/>
    </row>
    <row r="160" spans="1:30" x14ac:dyDescent="0.25">
      <c r="A160" s="1868" t="s">
        <v>730</v>
      </c>
      <c r="B160" s="1869" t="s">
        <v>724</v>
      </c>
      <c r="C160" s="1895">
        <f t="shared" si="13"/>
        <v>594.27056851401994</v>
      </c>
      <c r="D160" s="1892">
        <f>450346080.95/(10^7)</f>
        <v>45.034608094999996</v>
      </c>
      <c r="E160" s="1892">
        <f>(13172322-11739638)/(10^7)</f>
        <v>0.14326839999999999</v>
      </c>
      <c r="F160" s="1892">
        <f>388204097.098364/(10^7)</f>
        <v>38.820409709836397</v>
      </c>
      <c r="G160" s="1882"/>
      <c r="H160" s="292"/>
      <c r="I160" s="292"/>
      <c r="J160" s="292"/>
      <c r="K160" s="292"/>
      <c r="L160" s="292"/>
      <c r="M160" s="292"/>
      <c r="N160" s="292"/>
      <c r="O160" s="292"/>
      <c r="P160" s="292"/>
      <c r="Q160" s="292"/>
      <c r="R160" s="292"/>
      <c r="S160" s="292"/>
      <c r="T160" s="1872">
        <f>+$F160</f>
        <v>38.820409709836397</v>
      </c>
      <c r="U160" s="291"/>
      <c r="V160" s="291"/>
      <c r="W160" s="291"/>
      <c r="X160" s="291"/>
      <c r="Y160" s="291"/>
      <c r="Z160" s="291"/>
      <c r="AA160" s="291"/>
      <c r="AB160" s="1883"/>
      <c r="AC160" s="1883"/>
      <c r="AD160" s="1883"/>
    </row>
    <row r="161" spans="1:30" x14ac:dyDescent="0.25">
      <c r="A161" s="1868" t="s">
        <v>730</v>
      </c>
      <c r="B161" s="1869" t="s">
        <v>725</v>
      </c>
      <c r="C161" s="1895">
        <f t="shared" si="13"/>
        <v>600.34149849918344</v>
      </c>
      <c r="D161" s="1892">
        <f>892911393.8/(10^7)</f>
        <v>89.29113937999999</v>
      </c>
      <c r="E161" s="1892">
        <f>(12785224-11463976)/(10^7)</f>
        <v>0.13212479999999999</v>
      </c>
      <c r="F161" s="1892">
        <f>401171675.282324/(10^7)</f>
        <v>40.1171675282324</v>
      </c>
      <c r="G161" s="1882"/>
      <c r="H161" s="292"/>
      <c r="I161" s="292"/>
      <c r="J161" s="292"/>
      <c r="K161" s="292"/>
      <c r="L161" s="292"/>
      <c r="M161" s="292"/>
      <c r="N161" s="292"/>
      <c r="O161" s="292"/>
      <c r="P161" s="292"/>
      <c r="Q161" s="292"/>
      <c r="R161" s="292"/>
      <c r="S161" s="292"/>
      <c r="T161" s="292"/>
      <c r="U161" s="1872">
        <f>+$F161</f>
        <v>40.1171675282324</v>
      </c>
      <c r="V161" s="291"/>
      <c r="W161" s="291"/>
      <c r="X161" s="291"/>
      <c r="Y161" s="291"/>
      <c r="Z161" s="291"/>
      <c r="AA161" s="291"/>
      <c r="AB161" s="1883"/>
      <c r="AC161" s="1883"/>
      <c r="AD161" s="1883"/>
    </row>
    <row r="162" spans="1:30" x14ac:dyDescent="0.25">
      <c r="A162" s="1868" t="s">
        <v>730</v>
      </c>
      <c r="B162" s="1869" t="s">
        <v>731</v>
      </c>
      <c r="C162" s="1895">
        <f t="shared" si="13"/>
        <v>649.38334555095105</v>
      </c>
      <c r="D162" s="1892">
        <f>897690012.74/(10^7)</f>
        <v>89.769001274000004</v>
      </c>
      <c r="E162" s="1892">
        <f>(12469660-11222694)/(10^7)</f>
        <v>0.1246966</v>
      </c>
      <c r="F162" s="1892">
        <f>430810650.64864/(10^7)</f>
        <v>43.081065064863999</v>
      </c>
      <c r="G162" s="1882"/>
      <c r="H162" s="292"/>
      <c r="I162" s="292"/>
      <c r="J162" s="292"/>
      <c r="K162" s="292"/>
      <c r="L162" s="292"/>
      <c r="M162" s="292"/>
      <c r="N162" s="292"/>
      <c r="O162" s="292"/>
      <c r="P162" s="292"/>
      <c r="Q162" s="292"/>
      <c r="R162" s="292"/>
      <c r="S162" s="292"/>
      <c r="T162" s="292"/>
      <c r="U162" s="292"/>
      <c r="V162" s="1872">
        <f>+$F162</f>
        <v>43.081065064863999</v>
      </c>
      <c r="W162" s="291"/>
      <c r="X162" s="291"/>
      <c r="Y162" s="291"/>
      <c r="Z162" s="291"/>
      <c r="AA162" s="291"/>
      <c r="AB162" s="1883"/>
      <c r="AC162" s="1883"/>
      <c r="AD162" s="1883"/>
    </row>
    <row r="163" spans="1:30" x14ac:dyDescent="0.25">
      <c r="A163" s="1868" t="s">
        <v>730</v>
      </c>
      <c r="B163" s="1869" t="s">
        <v>732</v>
      </c>
      <c r="C163" s="1895">
        <f t="shared" si="13"/>
        <v>695.94658516008712</v>
      </c>
      <c r="D163" s="1892">
        <f>786480503.22/(10^7)</f>
        <v>78.648050322000003</v>
      </c>
      <c r="E163" s="1892">
        <f>(35003141.27-13106268)/(10^7)</f>
        <v>2.1896873270000001</v>
      </c>
      <c r="F163" s="1892">
        <f>445995737.313552/(10^7)</f>
        <v>44.5995737313552</v>
      </c>
      <c r="G163" s="1882"/>
      <c r="H163" s="292"/>
      <c r="I163" s="292"/>
      <c r="J163" s="292"/>
      <c r="K163" s="292"/>
      <c r="L163" s="292"/>
      <c r="M163" s="292"/>
      <c r="N163" s="292"/>
      <c r="O163" s="292"/>
      <c r="P163" s="292"/>
      <c r="Q163" s="292"/>
      <c r="R163" s="292"/>
      <c r="S163" s="292"/>
      <c r="T163" s="292"/>
      <c r="U163" s="292"/>
      <c r="V163" s="292"/>
      <c r="W163" s="1872">
        <f>+$F163</f>
        <v>44.5995737313552</v>
      </c>
      <c r="X163" s="291"/>
      <c r="Y163" s="291"/>
      <c r="Z163" s="291"/>
      <c r="AA163" s="291"/>
      <c r="AB163" s="1883"/>
      <c r="AC163" s="1883"/>
      <c r="AD163" s="1883"/>
    </row>
    <row r="164" spans="1:30" x14ac:dyDescent="0.25">
      <c r="A164" s="1868" t="s">
        <v>730</v>
      </c>
      <c r="B164" s="1869" t="s">
        <v>733</v>
      </c>
      <c r="C164" s="1895">
        <f t="shared" si="13"/>
        <v>727.80537442373191</v>
      </c>
      <c r="D164" s="1892">
        <f>(550337665.52+1608018)/(10^7)</f>
        <v>55.194568351999997</v>
      </c>
      <c r="E164" s="1892">
        <f>(13665804-12286175)/(10^7)</f>
        <v>0.1379629</v>
      </c>
      <c r="F164" s="1892">
        <f>452575393.378112/(10^7)</f>
        <v>45.257539337811203</v>
      </c>
      <c r="G164" s="1882"/>
      <c r="H164" s="292"/>
      <c r="I164" s="292"/>
      <c r="J164" s="292"/>
      <c r="K164" s="292"/>
      <c r="L164" s="292"/>
      <c r="M164" s="292"/>
      <c r="N164" s="292"/>
      <c r="O164" s="292"/>
      <c r="P164" s="292"/>
      <c r="Q164" s="292"/>
      <c r="R164" s="292"/>
      <c r="S164" s="292"/>
      <c r="T164" s="292"/>
      <c r="U164" s="292"/>
      <c r="V164" s="292"/>
      <c r="W164" s="292"/>
      <c r="X164" s="1872">
        <f>+$F164</f>
        <v>45.257539337811203</v>
      </c>
      <c r="Y164" s="291"/>
      <c r="Z164" s="291"/>
      <c r="AA164" s="291"/>
      <c r="AB164" s="1883"/>
      <c r="AC164" s="1883"/>
      <c r="AD164" s="1883"/>
    </row>
    <row r="165" spans="1:30" x14ac:dyDescent="0.25">
      <c r="A165" s="1868" t="s">
        <v>730</v>
      </c>
      <c r="B165" s="1869" t="s">
        <v>734</v>
      </c>
      <c r="C165" s="1892">
        <f t="shared" si="13"/>
        <v>737.60444053792071</v>
      </c>
      <c r="D165" s="1892">
        <f>'F5'!E39</f>
        <v>63.821149019145743</v>
      </c>
      <c r="E165" s="1892">
        <f>'F5'!F39</f>
        <v>1.3665803999999999</v>
      </c>
      <c r="F165" s="1892">
        <f>'F5'!$E$82-'F5'!$F$82</f>
        <v>45.908578935857967</v>
      </c>
      <c r="G165" s="1882"/>
      <c r="H165" s="292"/>
      <c r="I165" s="292"/>
      <c r="J165" s="292"/>
      <c r="K165" s="292"/>
      <c r="L165" s="292"/>
      <c r="M165" s="292"/>
      <c r="N165" s="292"/>
      <c r="O165" s="292"/>
      <c r="P165" s="292"/>
      <c r="Q165" s="292"/>
      <c r="R165" s="292"/>
      <c r="S165" s="292"/>
      <c r="T165" s="292"/>
      <c r="U165" s="292"/>
      <c r="V165" s="292"/>
      <c r="W165" s="292"/>
      <c r="X165" s="292"/>
      <c r="Y165" s="1872">
        <f>+$F165</f>
        <v>45.908578935857967</v>
      </c>
      <c r="Z165" s="291"/>
      <c r="AA165" s="291"/>
      <c r="AB165" s="1883"/>
      <c r="AC165" s="1883"/>
      <c r="AD165" s="1883"/>
    </row>
    <row r="166" spans="1:30" x14ac:dyDescent="0.25">
      <c r="A166" s="1868" t="s">
        <v>730</v>
      </c>
      <c r="B166" s="1869" t="s">
        <v>735</v>
      </c>
      <c r="C166" s="1892">
        <f t="shared" si="13"/>
        <v>754.15043022120858</v>
      </c>
      <c r="D166" s="284">
        <f>'F5'!I39</f>
        <v>427.45325852509876</v>
      </c>
      <c r="E166" s="284">
        <f>'F5'!J39</f>
        <v>1.3665803999999999</v>
      </c>
      <c r="F166" s="1892">
        <f>'F5'!$I$82-'F5'!$J$82</f>
        <v>53.943955375011726</v>
      </c>
      <c r="G166" s="1882"/>
      <c r="H166" s="292"/>
      <c r="I166" s="292"/>
      <c r="J166" s="292"/>
      <c r="K166" s="292"/>
      <c r="L166" s="292"/>
      <c r="M166" s="292"/>
      <c r="N166" s="292"/>
      <c r="O166" s="292"/>
      <c r="P166" s="292"/>
      <c r="Q166" s="292"/>
      <c r="R166" s="292"/>
      <c r="S166" s="292"/>
      <c r="T166" s="292"/>
      <c r="U166" s="292"/>
      <c r="V166" s="292"/>
      <c r="W166" s="292"/>
      <c r="X166" s="292"/>
      <c r="Y166" s="292"/>
      <c r="Z166" s="1872">
        <f>+$F166</f>
        <v>53.943955375011726</v>
      </c>
      <c r="AA166" s="291"/>
      <c r="AB166" s="1883"/>
      <c r="AC166" s="1883"/>
      <c r="AD166" s="1883"/>
    </row>
    <row r="167" spans="1:30" x14ac:dyDescent="0.25">
      <c r="A167" s="1868" t="s">
        <v>730</v>
      </c>
      <c r="B167" s="1869" t="s">
        <v>736</v>
      </c>
      <c r="C167" s="1892">
        <f t="shared" si="13"/>
        <v>1126.2931529712957</v>
      </c>
      <c r="D167" s="284">
        <f>'F5'!M39</f>
        <v>368.45598364367879</v>
      </c>
      <c r="E167" s="284">
        <f>'F5'!N39</f>
        <v>1.3665803999999999</v>
      </c>
      <c r="F167" s="1892">
        <f>'F5'!$M$82-'F5'!$N$82</f>
        <v>65.644041977665879</v>
      </c>
      <c r="G167" s="1882"/>
      <c r="H167" s="292"/>
      <c r="I167" s="292"/>
      <c r="J167" s="292"/>
      <c r="K167" s="292"/>
      <c r="L167" s="292"/>
      <c r="M167" s="292"/>
      <c r="N167" s="292"/>
      <c r="O167" s="292"/>
      <c r="P167" s="292"/>
      <c r="Q167" s="292"/>
      <c r="R167" s="292"/>
      <c r="S167" s="292"/>
      <c r="T167" s="292"/>
      <c r="U167" s="292"/>
      <c r="V167" s="292"/>
      <c r="W167" s="292"/>
      <c r="X167" s="292"/>
      <c r="Y167" s="292"/>
      <c r="Z167" s="292"/>
      <c r="AA167" s="1872">
        <f>+$F167</f>
        <v>65.644041977665879</v>
      </c>
      <c r="AB167" s="1883"/>
      <c r="AC167" s="1883"/>
      <c r="AD167" s="1883"/>
    </row>
    <row r="168" spans="1:30" ht="13" x14ac:dyDescent="0.3">
      <c r="A168" s="1873" t="s">
        <v>740</v>
      </c>
      <c r="B168" s="1874" t="s">
        <v>145</v>
      </c>
      <c r="C168" s="1896">
        <f>C156+D168-E168</f>
        <v>1934.9816628009235</v>
      </c>
      <c r="D168" s="285">
        <f t="shared" ref="D168:F168" si="14">SUM(D147:D167)</f>
        <v>1470.1442452489234</v>
      </c>
      <c r="E168" s="285">
        <f t="shared" si="14"/>
        <v>12.664356826999999</v>
      </c>
      <c r="F168" s="285">
        <f t="shared" si="14"/>
        <v>507.2431485636148</v>
      </c>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row>
    <row r="169" spans="1:30" x14ac:dyDescent="0.25">
      <c r="C169" s="1888"/>
      <c r="D169" s="1888"/>
      <c r="E169" s="1888"/>
    </row>
    <row r="170" spans="1:30" x14ac:dyDescent="0.25">
      <c r="C170" s="1875"/>
      <c r="D170" s="1875"/>
      <c r="E170" s="1875"/>
    </row>
    <row r="172" spans="1:30" ht="13" x14ac:dyDescent="0.3">
      <c r="B172" s="1861" t="s">
        <v>741</v>
      </c>
      <c r="H172" s="1862" t="s">
        <v>16</v>
      </c>
    </row>
    <row r="173" spans="1:30" ht="26" x14ac:dyDescent="0.35">
      <c r="A173" s="1863"/>
      <c r="B173" s="1880" t="s">
        <v>746</v>
      </c>
      <c r="C173" s="2498" t="s">
        <v>890</v>
      </c>
      <c r="D173" s="2498" t="s">
        <v>1946</v>
      </c>
      <c r="E173" s="2498" t="s">
        <v>1947</v>
      </c>
      <c r="F173" s="2498" t="s">
        <v>711</v>
      </c>
      <c r="G173" s="2498" t="s">
        <v>747</v>
      </c>
      <c r="H173" s="2500" t="s">
        <v>748</v>
      </c>
      <c r="I173" s="2500"/>
      <c r="J173" s="2500"/>
      <c r="K173" s="2500"/>
      <c r="L173" s="2500"/>
      <c r="M173" s="2500"/>
      <c r="N173" s="2500"/>
      <c r="O173" s="2500"/>
      <c r="P173" s="2500"/>
      <c r="Q173" s="2500"/>
      <c r="R173" s="2500"/>
      <c r="S173" s="2500"/>
      <c r="T173" s="2500"/>
      <c r="U173" s="2500"/>
      <c r="V173" s="2500"/>
      <c r="W173" s="2500"/>
      <c r="X173" s="2500"/>
      <c r="Y173" s="2500"/>
      <c r="Z173" s="2500"/>
      <c r="AA173" s="2500"/>
      <c r="AB173" s="1864" t="s">
        <v>726</v>
      </c>
      <c r="AC173" s="1864" t="s">
        <v>727</v>
      </c>
      <c r="AD173" s="1864" t="s">
        <v>728</v>
      </c>
    </row>
    <row r="174" spans="1:30" ht="13" x14ac:dyDescent="0.25">
      <c r="A174" s="1863"/>
      <c r="B174" s="1880"/>
      <c r="C174" s="2499"/>
      <c r="D174" s="2499"/>
      <c r="E174" s="2499"/>
      <c r="F174" s="2499"/>
      <c r="G174" s="2499"/>
      <c r="H174" s="1865" t="s">
        <v>712</v>
      </c>
      <c r="I174" s="1865" t="s">
        <v>713</v>
      </c>
      <c r="J174" s="1865" t="s">
        <v>714</v>
      </c>
      <c r="K174" s="1865" t="s">
        <v>715</v>
      </c>
      <c r="L174" s="1865" t="s">
        <v>716</v>
      </c>
      <c r="M174" s="1865" t="s">
        <v>717</v>
      </c>
      <c r="N174" s="1865" t="s">
        <v>718</v>
      </c>
      <c r="O174" s="1865" t="s">
        <v>719</v>
      </c>
      <c r="P174" s="1865" t="s">
        <v>720</v>
      </c>
      <c r="Q174" s="1865" t="s">
        <v>721</v>
      </c>
      <c r="R174" s="1865" t="s">
        <v>722</v>
      </c>
      <c r="S174" s="1865" t="s">
        <v>723</v>
      </c>
      <c r="T174" s="1865" t="s">
        <v>724</v>
      </c>
      <c r="U174" s="1865" t="s">
        <v>725</v>
      </c>
      <c r="V174" s="1865" t="s">
        <v>179</v>
      </c>
      <c r="W174" s="1865" t="s">
        <v>186</v>
      </c>
      <c r="X174" s="1865" t="s">
        <v>426</v>
      </c>
      <c r="Y174" s="1865" t="s">
        <v>427</v>
      </c>
      <c r="Z174" s="1865" t="s">
        <v>428</v>
      </c>
      <c r="AA174" s="1865" t="s">
        <v>429</v>
      </c>
      <c r="AB174" s="1864"/>
      <c r="AC174" s="1864"/>
      <c r="AD174" s="1864"/>
    </row>
    <row r="175" spans="1:30" x14ac:dyDescent="0.25">
      <c r="A175" s="1868" t="s">
        <v>729</v>
      </c>
      <c r="B175" s="1869">
        <v>2005</v>
      </c>
      <c r="C175" s="1868"/>
      <c r="D175" s="1868"/>
      <c r="E175" s="1868"/>
      <c r="F175" s="1868"/>
      <c r="G175" s="1882"/>
      <c r="H175" s="291"/>
      <c r="I175" s="291"/>
      <c r="J175" s="291"/>
      <c r="K175" s="291"/>
      <c r="L175" s="291"/>
      <c r="M175" s="291"/>
      <c r="N175" s="291"/>
      <c r="O175" s="291"/>
      <c r="P175" s="291"/>
      <c r="Q175" s="291"/>
      <c r="R175" s="291"/>
      <c r="S175" s="291"/>
      <c r="T175" s="291"/>
      <c r="U175" s="291"/>
      <c r="V175" s="291"/>
      <c r="W175" s="291"/>
      <c r="X175" s="291"/>
      <c r="Y175" s="291"/>
      <c r="Z175" s="291"/>
      <c r="AA175" s="291"/>
      <c r="AB175" s="1883"/>
      <c r="AC175" s="1883"/>
      <c r="AD175" s="1883"/>
    </row>
    <row r="176" spans="1:30" x14ac:dyDescent="0.25">
      <c r="A176" s="1868" t="s">
        <v>730</v>
      </c>
      <c r="B176" s="1869" t="s">
        <v>712</v>
      </c>
      <c r="C176" s="1868"/>
      <c r="D176" s="1868"/>
      <c r="E176" s="1868"/>
      <c r="F176" s="1868"/>
      <c r="G176" s="1882"/>
      <c r="H176" s="1872">
        <f>+$F176</f>
        <v>0</v>
      </c>
      <c r="I176" s="291"/>
      <c r="J176" s="291"/>
      <c r="K176" s="291"/>
      <c r="L176" s="291"/>
      <c r="M176" s="291"/>
      <c r="N176" s="291"/>
      <c r="O176" s="291"/>
      <c r="P176" s="291"/>
      <c r="Q176" s="291"/>
      <c r="R176" s="291"/>
      <c r="S176" s="291"/>
      <c r="T176" s="291"/>
      <c r="U176" s="291"/>
      <c r="V176" s="291"/>
      <c r="W176" s="291"/>
      <c r="X176" s="291"/>
      <c r="Y176" s="291"/>
      <c r="Z176" s="291"/>
      <c r="AA176" s="291"/>
      <c r="AB176" s="1883"/>
      <c r="AC176" s="1883"/>
      <c r="AD176" s="1883"/>
    </row>
    <row r="177" spans="1:30" x14ac:dyDescent="0.25">
      <c r="A177" s="1868" t="s">
        <v>730</v>
      </c>
      <c r="B177" s="1869" t="s">
        <v>713</v>
      </c>
      <c r="C177" s="1868"/>
      <c r="D177" s="1868"/>
      <c r="E177" s="1868"/>
      <c r="F177" s="1868"/>
      <c r="G177" s="1882"/>
      <c r="H177" s="292"/>
      <c r="I177" s="1872">
        <f>+$F177</f>
        <v>0</v>
      </c>
      <c r="J177" s="291"/>
      <c r="K177" s="291"/>
      <c r="L177" s="291"/>
      <c r="M177" s="291"/>
      <c r="N177" s="291"/>
      <c r="O177" s="291"/>
      <c r="P177" s="291"/>
      <c r="Q177" s="291"/>
      <c r="R177" s="291"/>
      <c r="S177" s="291"/>
      <c r="T177" s="291"/>
      <c r="U177" s="291"/>
      <c r="V177" s="291"/>
      <c r="W177" s="291"/>
      <c r="X177" s="291"/>
      <c r="Y177" s="291"/>
      <c r="Z177" s="291"/>
      <c r="AA177" s="291"/>
      <c r="AB177" s="1883"/>
      <c r="AC177" s="1883"/>
      <c r="AD177" s="1883"/>
    </row>
    <row r="178" spans="1:30" x14ac:dyDescent="0.25">
      <c r="A178" s="1868" t="s">
        <v>730</v>
      </c>
      <c r="B178" s="1869" t="s">
        <v>714</v>
      </c>
      <c r="C178" s="1868"/>
      <c r="D178" s="1868"/>
      <c r="E178" s="1868"/>
      <c r="F178" s="1868"/>
      <c r="G178" s="1882"/>
      <c r="H178" s="292"/>
      <c r="I178" s="292"/>
      <c r="J178" s="1872">
        <f>+$F178</f>
        <v>0</v>
      </c>
      <c r="K178" s="291"/>
      <c r="L178" s="291"/>
      <c r="M178" s="291"/>
      <c r="N178" s="291"/>
      <c r="O178" s="291"/>
      <c r="P178" s="291"/>
      <c r="Q178" s="291"/>
      <c r="R178" s="291"/>
      <c r="S178" s="291"/>
      <c r="T178" s="291"/>
      <c r="U178" s="291"/>
      <c r="V178" s="291"/>
      <c r="W178" s="291"/>
      <c r="X178" s="291"/>
      <c r="Y178" s="291"/>
      <c r="Z178" s="291"/>
      <c r="AA178" s="291"/>
      <c r="AB178" s="1883"/>
      <c r="AC178" s="1883"/>
      <c r="AD178" s="1883"/>
    </row>
    <row r="179" spans="1:30" x14ac:dyDescent="0.25">
      <c r="A179" s="1868" t="s">
        <v>730</v>
      </c>
      <c r="B179" s="1869" t="s">
        <v>715</v>
      </c>
      <c r="C179" s="1868"/>
      <c r="D179" s="1868"/>
      <c r="E179" s="1868"/>
      <c r="F179" s="1868"/>
      <c r="G179" s="1882"/>
      <c r="H179" s="292"/>
      <c r="I179" s="292"/>
      <c r="J179" s="292"/>
      <c r="K179" s="1872">
        <f>+$F179</f>
        <v>0</v>
      </c>
      <c r="L179" s="291"/>
      <c r="M179" s="291"/>
      <c r="N179" s="291"/>
      <c r="O179" s="291"/>
      <c r="P179" s="291"/>
      <c r="Q179" s="291"/>
      <c r="R179" s="291"/>
      <c r="S179" s="291"/>
      <c r="T179" s="291"/>
      <c r="U179" s="291"/>
      <c r="V179" s="291"/>
      <c r="W179" s="291"/>
      <c r="X179" s="291"/>
      <c r="Y179" s="291"/>
      <c r="Z179" s="291"/>
      <c r="AA179" s="291"/>
      <c r="AB179" s="1883"/>
      <c r="AC179" s="1883"/>
      <c r="AD179" s="1883"/>
    </row>
    <row r="180" spans="1:30" x14ac:dyDescent="0.25">
      <c r="A180" s="1868" t="s">
        <v>730</v>
      </c>
      <c r="B180" s="1869" t="s">
        <v>716</v>
      </c>
      <c r="C180" s="1868"/>
      <c r="D180" s="1868"/>
      <c r="E180" s="1868"/>
      <c r="F180" s="1868"/>
      <c r="G180" s="1882"/>
      <c r="H180" s="292"/>
      <c r="I180" s="292"/>
      <c r="J180" s="292"/>
      <c r="K180" s="292"/>
      <c r="L180" s="1872">
        <f>+$F180</f>
        <v>0</v>
      </c>
      <c r="M180" s="291"/>
      <c r="N180" s="291"/>
      <c r="O180" s="291"/>
      <c r="P180" s="291"/>
      <c r="Q180" s="291"/>
      <c r="R180" s="291"/>
      <c r="S180" s="291"/>
      <c r="T180" s="291"/>
      <c r="U180" s="291"/>
      <c r="V180" s="291"/>
      <c r="W180" s="291"/>
      <c r="X180" s="291"/>
      <c r="Y180" s="291"/>
      <c r="Z180" s="291"/>
      <c r="AA180" s="291"/>
      <c r="AB180" s="1883"/>
      <c r="AC180" s="1883"/>
      <c r="AD180" s="1883"/>
    </row>
    <row r="181" spans="1:30" x14ac:dyDescent="0.25">
      <c r="A181" s="1868" t="s">
        <v>730</v>
      </c>
      <c r="B181" s="1869" t="s">
        <v>717</v>
      </c>
      <c r="C181" s="1868"/>
      <c r="D181" s="1868"/>
      <c r="E181" s="1868"/>
      <c r="F181" s="1868"/>
      <c r="G181" s="1882"/>
      <c r="H181" s="292"/>
      <c r="I181" s="292"/>
      <c r="J181" s="292"/>
      <c r="K181" s="292"/>
      <c r="L181" s="292"/>
      <c r="M181" s="1872">
        <f>+$F181</f>
        <v>0</v>
      </c>
      <c r="N181" s="291"/>
      <c r="O181" s="291"/>
      <c r="P181" s="291"/>
      <c r="Q181" s="291"/>
      <c r="R181" s="291"/>
      <c r="S181" s="291"/>
      <c r="T181" s="291"/>
      <c r="U181" s="291"/>
      <c r="V181" s="291"/>
      <c r="W181" s="291"/>
      <c r="X181" s="291"/>
      <c r="Y181" s="291"/>
      <c r="Z181" s="291"/>
      <c r="AA181" s="291"/>
      <c r="AB181" s="1883"/>
      <c r="AC181" s="1883"/>
      <c r="AD181" s="1883"/>
    </row>
    <row r="182" spans="1:30" x14ac:dyDescent="0.25">
      <c r="A182" s="1868" t="s">
        <v>730</v>
      </c>
      <c r="B182" s="1869" t="s">
        <v>718</v>
      </c>
      <c r="C182" s="1868"/>
      <c r="D182" s="1868"/>
      <c r="E182" s="1868"/>
      <c r="F182" s="1868"/>
      <c r="G182" s="1882"/>
      <c r="H182" s="292"/>
      <c r="I182" s="292"/>
      <c r="J182" s="292"/>
      <c r="K182" s="292"/>
      <c r="L182" s="292"/>
      <c r="M182" s="292"/>
      <c r="N182" s="1872">
        <f>+$F182</f>
        <v>0</v>
      </c>
      <c r="O182" s="291"/>
      <c r="P182" s="291"/>
      <c r="Q182" s="291"/>
      <c r="R182" s="291"/>
      <c r="S182" s="291"/>
      <c r="T182" s="291"/>
      <c r="U182" s="291"/>
      <c r="V182" s="291"/>
      <c r="W182" s="291"/>
      <c r="X182" s="291"/>
      <c r="Y182" s="291"/>
      <c r="Z182" s="291"/>
      <c r="AA182" s="291"/>
      <c r="AB182" s="1883"/>
      <c r="AC182" s="1883"/>
      <c r="AD182" s="1883"/>
    </row>
    <row r="183" spans="1:30" x14ac:dyDescent="0.25">
      <c r="A183" s="1868" t="s">
        <v>730</v>
      </c>
      <c r="B183" s="1869" t="s">
        <v>719</v>
      </c>
      <c r="C183" s="1868"/>
      <c r="D183" s="1868"/>
      <c r="E183" s="1868"/>
      <c r="F183" s="1868"/>
      <c r="G183" s="1882"/>
      <c r="H183" s="292"/>
      <c r="I183" s="292"/>
      <c r="J183" s="292"/>
      <c r="K183" s="292"/>
      <c r="L183" s="292"/>
      <c r="M183" s="292"/>
      <c r="N183" s="292"/>
      <c r="O183" s="1872">
        <f>+$F183</f>
        <v>0</v>
      </c>
      <c r="P183" s="291"/>
      <c r="Q183" s="291"/>
      <c r="R183" s="291"/>
      <c r="S183" s="291"/>
      <c r="T183" s="291"/>
      <c r="U183" s="291"/>
      <c r="V183" s="291"/>
      <c r="W183" s="291"/>
      <c r="X183" s="291"/>
      <c r="Y183" s="291"/>
      <c r="Z183" s="291"/>
      <c r="AA183" s="291"/>
      <c r="AB183" s="1883"/>
      <c r="AC183" s="1883"/>
      <c r="AD183" s="1883"/>
    </row>
    <row r="184" spans="1:30" x14ac:dyDescent="0.25">
      <c r="A184" s="1868" t="s">
        <v>730</v>
      </c>
      <c r="B184" s="1869" t="s">
        <v>720</v>
      </c>
      <c r="C184" s="1893">
        <f>65548951/(10^7)</f>
        <v>6.5548951000000004</v>
      </c>
      <c r="D184" s="1892">
        <f>402703/(10^7)</f>
        <v>4.0270300000000002E-2</v>
      </c>
      <c r="E184" s="1892">
        <f>3448389.5/(10^7)</f>
        <v>0.34483894999999998</v>
      </c>
      <c r="F184" s="1892">
        <f>7745034/(10^7)</f>
        <v>0.77450339999999995</v>
      </c>
      <c r="G184" s="1882"/>
      <c r="H184" s="292"/>
      <c r="I184" s="292"/>
      <c r="J184" s="292"/>
      <c r="K184" s="292"/>
      <c r="L184" s="292"/>
      <c r="M184" s="292"/>
      <c r="N184" s="292"/>
      <c r="O184" s="292"/>
      <c r="P184" s="1872">
        <f>+$F184</f>
        <v>0.77450339999999995</v>
      </c>
      <c r="Q184" s="291"/>
      <c r="R184" s="291"/>
      <c r="S184" s="291"/>
      <c r="T184" s="291"/>
      <c r="U184" s="291"/>
      <c r="V184" s="291"/>
      <c r="W184" s="291"/>
      <c r="X184" s="291"/>
      <c r="Y184" s="291"/>
      <c r="Z184" s="291"/>
      <c r="AA184" s="291"/>
      <c r="AB184" s="1883"/>
      <c r="AC184" s="1883"/>
      <c r="AD184" s="1883"/>
    </row>
    <row r="185" spans="1:30" x14ac:dyDescent="0.25">
      <c r="A185" s="1868" t="s">
        <v>730</v>
      </c>
      <c r="B185" s="1869" t="s">
        <v>721</v>
      </c>
      <c r="C185" s="1895">
        <f>+C184+D184-E184-F184</f>
        <v>5.4758230500000007</v>
      </c>
      <c r="D185" s="1892">
        <f>4325118/(10^7)</f>
        <v>0.4325118</v>
      </c>
      <c r="E185" s="1892">
        <f>3390112/(10^7)</f>
        <v>0.33901120000000001</v>
      </c>
      <c r="F185" s="1892">
        <f>(120095103-112328524)/(10^7)</f>
        <v>0.77665790000000001</v>
      </c>
      <c r="G185" s="1882"/>
      <c r="H185" s="292"/>
      <c r="I185" s="292"/>
      <c r="J185" s="292"/>
      <c r="K185" s="292"/>
      <c r="L185" s="292"/>
      <c r="M185" s="292"/>
      <c r="N185" s="292"/>
      <c r="O185" s="292"/>
      <c r="P185" s="292"/>
      <c r="Q185" s="1872">
        <f>+$F185</f>
        <v>0.77665790000000001</v>
      </c>
      <c r="R185" s="291"/>
      <c r="S185" s="291"/>
      <c r="T185" s="291"/>
      <c r="U185" s="291"/>
      <c r="V185" s="291"/>
      <c r="W185" s="291"/>
      <c r="X185" s="291"/>
      <c r="Y185" s="291"/>
      <c r="Z185" s="291"/>
      <c r="AA185" s="291"/>
      <c r="AB185" s="1883"/>
      <c r="AC185" s="1883"/>
      <c r="AD185" s="1883"/>
    </row>
    <row r="186" spans="1:30" x14ac:dyDescent="0.25">
      <c r="A186" s="1868" t="s">
        <v>730</v>
      </c>
      <c r="B186" s="1869" t="s">
        <v>722</v>
      </c>
      <c r="C186" s="1895">
        <f t="shared" ref="C186:C193" si="15">+C185+D185-E185-F185</f>
        <v>4.7926657500000012</v>
      </c>
      <c r="D186" s="1892">
        <f>1304090/(10^7)</f>
        <v>0.130409</v>
      </c>
      <c r="E186" s="1892">
        <f>(1203831.6-2472910.26)/(10^7)</f>
        <v>-0.12690786599999998</v>
      </c>
      <c r="F186" s="1892">
        <f>(130713644.5-120095103)/(10^7)</f>
        <v>1.0618541500000001</v>
      </c>
      <c r="G186" s="1882"/>
      <c r="H186" s="292"/>
      <c r="I186" s="292"/>
      <c r="J186" s="292"/>
      <c r="K186" s="292"/>
      <c r="L186" s="292"/>
      <c r="M186" s="292"/>
      <c r="N186" s="292"/>
      <c r="O186" s="292"/>
      <c r="P186" s="292"/>
      <c r="Q186" s="292"/>
      <c r="R186" s="1872">
        <f>+$F186</f>
        <v>1.0618541500000001</v>
      </c>
      <c r="S186" s="291"/>
      <c r="T186" s="291"/>
      <c r="U186" s="291"/>
      <c r="V186" s="291"/>
      <c r="W186" s="291"/>
      <c r="X186" s="291"/>
      <c r="Y186" s="291"/>
      <c r="Z186" s="291"/>
      <c r="AA186" s="291"/>
      <c r="AB186" s="1883"/>
      <c r="AC186" s="1883"/>
      <c r="AD186" s="1883"/>
    </row>
    <row r="187" spans="1:30" x14ac:dyDescent="0.25">
      <c r="A187" s="1868" t="s">
        <v>730</v>
      </c>
      <c r="B187" s="1869" t="s">
        <v>723</v>
      </c>
      <c r="C187" s="1895">
        <f t="shared" si="15"/>
        <v>3.9881284660000009</v>
      </c>
      <c r="D187" s="1892">
        <f>10357651/(10^7)</f>
        <v>1.0357651000000001</v>
      </c>
      <c r="E187" s="1892">
        <f>(246335.5+446468.2)/(10^7)</f>
        <v>6.9280369999999994E-2</v>
      </c>
      <c r="F187" s="1892">
        <f>(138789579.5-130713644.5)/(10^7)</f>
        <v>0.80759349999999996</v>
      </c>
      <c r="G187" s="1882"/>
      <c r="H187" s="292"/>
      <c r="I187" s="292"/>
      <c r="J187" s="292"/>
      <c r="K187" s="292"/>
      <c r="L187" s="292"/>
      <c r="M187" s="292"/>
      <c r="N187" s="292"/>
      <c r="O187" s="292"/>
      <c r="P187" s="292"/>
      <c r="Q187" s="292"/>
      <c r="R187" s="292"/>
      <c r="S187" s="1872">
        <f>+$F187</f>
        <v>0.80759349999999996</v>
      </c>
      <c r="T187" s="291"/>
      <c r="U187" s="291"/>
      <c r="V187" s="291"/>
      <c r="W187" s="291"/>
      <c r="X187" s="291"/>
      <c r="Y187" s="291"/>
      <c r="Z187" s="291"/>
      <c r="AA187" s="291"/>
      <c r="AB187" s="1883"/>
      <c r="AC187" s="1883"/>
      <c r="AD187" s="1883"/>
    </row>
    <row r="188" spans="1:30" x14ac:dyDescent="0.25">
      <c r="A188" s="1868" t="s">
        <v>730</v>
      </c>
      <c r="B188" s="1869" t="s">
        <v>724</v>
      </c>
      <c r="C188" s="1895">
        <f t="shared" si="15"/>
        <v>4.1470196960000001</v>
      </c>
      <c r="D188" s="1892">
        <f>2061074/(10^7)</f>
        <v>0.2061074</v>
      </c>
      <c r="E188" s="1892">
        <f>1464357/(10^7)</f>
        <v>0.1464357</v>
      </c>
      <c r="F188" s="1892">
        <f>(139873171-138789579.5)/(10^7)</f>
        <v>0.10835915</v>
      </c>
      <c r="G188" s="1882"/>
      <c r="H188" s="292"/>
      <c r="I188" s="292"/>
      <c r="J188" s="292"/>
      <c r="K188" s="292"/>
      <c r="L188" s="292"/>
      <c r="M188" s="292"/>
      <c r="N188" s="292"/>
      <c r="O188" s="292"/>
      <c r="P188" s="292"/>
      <c r="Q188" s="292"/>
      <c r="R188" s="292"/>
      <c r="S188" s="292"/>
      <c r="T188" s="1872">
        <f>+$F188</f>
        <v>0.10835915</v>
      </c>
      <c r="U188" s="291"/>
      <c r="V188" s="291"/>
      <c r="W188" s="291"/>
      <c r="X188" s="291"/>
      <c r="Y188" s="291"/>
      <c r="Z188" s="291"/>
      <c r="AA188" s="291"/>
      <c r="AB188" s="1883"/>
      <c r="AC188" s="1883"/>
      <c r="AD188" s="1883"/>
    </row>
    <row r="189" spans="1:30" x14ac:dyDescent="0.25">
      <c r="A189" s="1868" t="s">
        <v>730</v>
      </c>
      <c r="B189" s="1869" t="s">
        <v>725</v>
      </c>
      <c r="C189" s="1895">
        <f t="shared" si="15"/>
        <v>4.098332246</v>
      </c>
      <c r="D189" s="1892">
        <f>2800000/(10^7)</f>
        <v>0.28000000000000003</v>
      </c>
      <c r="E189" s="1892">
        <f>19841425.11/(10^7)</f>
        <v>1.9841425109999999</v>
      </c>
      <c r="F189" s="1892">
        <f>(125402210.5-139873171)/(10^7)</f>
        <v>-1.4470960500000001</v>
      </c>
      <c r="G189" s="1882"/>
      <c r="H189" s="292"/>
      <c r="I189" s="292"/>
      <c r="J189" s="292"/>
      <c r="K189" s="292"/>
      <c r="L189" s="292"/>
      <c r="M189" s="292"/>
      <c r="N189" s="292"/>
      <c r="O189" s="292"/>
      <c r="P189" s="292"/>
      <c r="Q189" s="292"/>
      <c r="R189" s="292"/>
      <c r="S189" s="292"/>
      <c r="T189" s="292"/>
      <c r="U189" s="1872">
        <f>+$F189</f>
        <v>-1.4470960500000001</v>
      </c>
      <c r="V189" s="291"/>
      <c r="W189" s="291"/>
      <c r="X189" s="291"/>
      <c r="Y189" s="291"/>
      <c r="Z189" s="291"/>
      <c r="AA189" s="291"/>
      <c r="AB189" s="1883"/>
      <c r="AC189" s="1883"/>
      <c r="AD189" s="1883"/>
    </row>
    <row r="190" spans="1:30" x14ac:dyDescent="0.25">
      <c r="A190" s="1868" t="s">
        <v>730</v>
      </c>
      <c r="B190" s="1869" t="s">
        <v>731</v>
      </c>
      <c r="C190" s="1895">
        <f t="shared" si="15"/>
        <v>3.8412857850000002</v>
      </c>
      <c r="D190" s="1892">
        <f>3999995/(10^7)</f>
        <v>0.39999950000000001</v>
      </c>
      <c r="E190" s="1892">
        <f>13083398.86/(10^7)</f>
        <v>1.308339886</v>
      </c>
      <c r="F190" s="1892">
        <f>(117322955.77-125402210.5)/(10^7)</f>
        <v>-0.80792547300000039</v>
      </c>
      <c r="G190" s="1886"/>
      <c r="H190" s="292"/>
      <c r="I190" s="292"/>
      <c r="J190" s="292"/>
      <c r="K190" s="292"/>
      <c r="L190" s="292"/>
      <c r="M190" s="292"/>
      <c r="N190" s="292"/>
      <c r="O190" s="292"/>
      <c r="P190" s="292"/>
      <c r="Q190" s="292"/>
      <c r="R190" s="292"/>
      <c r="S190" s="292"/>
      <c r="T190" s="292"/>
      <c r="U190" s="292"/>
      <c r="V190" s="1872">
        <f>+$F190</f>
        <v>-0.80792547300000039</v>
      </c>
      <c r="W190" s="291"/>
      <c r="X190" s="291"/>
      <c r="Y190" s="291"/>
      <c r="Z190" s="291"/>
      <c r="AA190" s="291"/>
      <c r="AB190" s="1883"/>
      <c r="AC190" s="1883"/>
      <c r="AD190" s="1883"/>
    </row>
    <row r="191" spans="1:30" x14ac:dyDescent="0.25">
      <c r="A191" s="1868" t="s">
        <v>730</v>
      </c>
      <c r="B191" s="1869" t="s">
        <v>732</v>
      </c>
      <c r="C191" s="1895">
        <f t="shared" si="15"/>
        <v>3.7408708720000008</v>
      </c>
      <c r="D191" s="1892">
        <f>3065818/(10^7)</f>
        <v>0.30658180000000002</v>
      </c>
      <c r="E191" s="1892">
        <f>0/(10^7)</f>
        <v>0</v>
      </c>
      <c r="F191" s="1892">
        <f>(120158134-117322955.77)/(10^7)</f>
        <v>0.28351782300000039</v>
      </c>
      <c r="G191" s="1886"/>
      <c r="H191" s="292"/>
      <c r="I191" s="292"/>
      <c r="J191" s="292"/>
      <c r="K191" s="292"/>
      <c r="L191" s="292"/>
      <c r="M191" s="292"/>
      <c r="N191" s="292"/>
      <c r="O191" s="292"/>
      <c r="P191" s="292"/>
      <c r="Q191" s="292"/>
      <c r="R191" s="292"/>
      <c r="S191" s="292"/>
      <c r="T191" s="292"/>
      <c r="U191" s="292"/>
      <c r="V191" s="292"/>
      <c r="W191" s="1872">
        <f>+$F191</f>
        <v>0.28351782300000039</v>
      </c>
      <c r="X191" s="291"/>
      <c r="Y191" s="291"/>
      <c r="Z191" s="291"/>
      <c r="AA191" s="291"/>
      <c r="AB191" s="1883"/>
      <c r="AC191" s="1883"/>
      <c r="AD191" s="1883"/>
    </row>
    <row r="192" spans="1:30" x14ac:dyDescent="0.25">
      <c r="A192" s="1868" t="s">
        <v>730</v>
      </c>
      <c r="B192" s="1869" t="s">
        <v>733</v>
      </c>
      <c r="C192" s="1895">
        <f t="shared" si="15"/>
        <v>3.763934849</v>
      </c>
      <c r="D192" s="1892">
        <f>489890/(10^7)</f>
        <v>4.8988999999999998E-2</v>
      </c>
      <c r="E192" s="1892">
        <f>372864.9/(10^7)</f>
        <v>3.7286490000000005E-2</v>
      </c>
      <c r="F192" s="1892">
        <f>(123002638-120158134)/(10^7)</f>
        <v>0.28445039999999999</v>
      </c>
      <c r="G192" s="1886"/>
      <c r="H192" s="292"/>
      <c r="I192" s="292"/>
      <c r="J192" s="292"/>
      <c r="K192" s="292"/>
      <c r="L192" s="292"/>
      <c r="M192" s="292"/>
      <c r="N192" s="292"/>
      <c r="O192" s="292"/>
      <c r="P192" s="292"/>
      <c r="Q192" s="292"/>
      <c r="R192" s="292"/>
      <c r="S192" s="292"/>
      <c r="T192" s="292"/>
      <c r="U192" s="292"/>
      <c r="V192" s="292"/>
      <c r="W192" s="292"/>
      <c r="X192" s="1872">
        <f>+$F192</f>
        <v>0.28445039999999999</v>
      </c>
      <c r="Y192" s="291"/>
      <c r="Z192" s="291"/>
      <c r="AA192" s="291"/>
      <c r="AB192" s="1883"/>
      <c r="AC192" s="1883"/>
      <c r="AD192" s="1883"/>
    </row>
    <row r="193" spans="1:30" x14ac:dyDescent="0.25">
      <c r="A193" s="1868" t="s">
        <v>730</v>
      </c>
      <c r="B193" s="1869" t="s">
        <v>734</v>
      </c>
      <c r="C193" s="1892">
        <f t="shared" si="15"/>
        <v>3.4911869590000002</v>
      </c>
      <c r="D193" s="284">
        <f>'F5'!E43</f>
        <v>0</v>
      </c>
      <c r="E193" s="284">
        <f>'F5'!F43</f>
        <v>0</v>
      </c>
      <c r="F193" s="1892">
        <f>'F5'!$E$86-'F5'!$F$86</f>
        <v>0.29063195099514433</v>
      </c>
      <c r="G193" s="1886"/>
      <c r="H193" s="292"/>
      <c r="I193" s="292"/>
      <c r="J193" s="292"/>
      <c r="K193" s="292"/>
      <c r="L193" s="292"/>
      <c r="M193" s="292"/>
      <c r="N193" s="292"/>
      <c r="O193" s="292"/>
      <c r="P193" s="292"/>
      <c r="Q193" s="292"/>
      <c r="R193" s="292"/>
      <c r="S193" s="292"/>
      <c r="T193" s="292"/>
      <c r="U193" s="292"/>
      <c r="V193" s="292"/>
      <c r="W193" s="292"/>
      <c r="X193" s="292"/>
      <c r="Y193" s="1872">
        <f>+$F193</f>
        <v>0.29063195099514433</v>
      </c>
      <c r="Z193" s="291"/>
      <c r="AA193" s="291"/>
      <c r="AB193" s="1883"/>
      <c r="AC193" s="1883"/>
      <c r="AD193" s="1883"/>
    </row>
    <row r="194" spans="1:30" x14ac:dyDescent="0.25">
      <c r="A194" s="1868" t="s">
        <v>730</v>
      </c>
      <c r="B194" s="1869" t="s">
        <v>735</v>
      </c>
      <c r="C194" s="284"/>
      <c r="D194" s="284">
        <f>'F5'!I43</f>
        <v>0</v>
      </c>
      <c r="E194" s="284">
        <f>'F5'!J43</f>
        <v>0</v>
      </c>
      <c r="F194" s="1892">
        <f>'F5'!$I$86-'F5'!$J$86</f>
        <v>0.3403426315732056</v>
      </c>
      <c r="G194" s="1886"/>
      <c r="H194" s="292"/>
      <c r="I194" s="292"/>
      <c r="J194" s="292"/>
      <c r="K194" s="292"/>
      <c r="L194" s="292"/>
      <c r="M194" s="292"/>
      <c r="N194" s="292"/>
      <c r="O194" s="292"/>
      <c r="P194" s="292"/>
      <c r="Q194" s="292"/>
      <c r="R194" s="292"/>
      <c r="S194" s="292"/>
      <c r="T194" s="292"/>
      <c r="U194" s="292"/>
      <c r="V194" s="292"/>
      <c r="W194" s="292"/>
      <c r="X194" s="292"/>
      <c r="Y194" s="292"/>
      <c r="Z194" s="1872">
        <f>+$F194</f>
        <v>0.3403426315732056</v>
      </c>
      <c r="AA194" s="291"/>
      <c r="AB194" s="1883"/>
      <c r="AC194" s="1883"/>
      <c r="AD194" s="1883"/>
    </row>
    <row r="195" spans="1:30" x14ac:dyDescent="0.25">
      <c r="A195" s="1868" t="s">
        <v>730</v>
      </c>
      <c r="B195" s="1869" t="s">
        <v>736</v>
      </c>
      <c r="C195" s="284"/>
      <c r="D195" s="284">
        <f>'F5'!M43</f>
        <v>0</v>
      </c>
      <c r="E195" s="284">
        <f>'F5'!N43</f>
        <v>0</v>
      </c>
      <c r="F195" s="1892">
        <f>'F5'!$M$86-'F5'!$N$86</f>
        <v>0.41272496141728782</v>
      </c>
      <c r="G195" s="1886"/>
      <c r="H195" s="292"/>
      <c r="I195" s="292"/>
      <c r="J195" s="292"/>
      <c r="K195" s="292"/>
      <c r="L195" s="292"/>
      <c r="M195" s="292"/>
      <c r="N195" s="292"/>
      <c r="O195" s="292"/>
      <c r="P195" s="292"/>
      <c r="Q195" s="292"/>
      <c r="R195" s="292"/>
      <c r="S195" s="292"/>
      <c r="T195" s="292"/>
      <c r="U195" s="292"/>
      <c r="V195" s="292"/>
      <c r="W195" s="292"/>
      <c r="X195" s="292"/>
      <c r="Y195" s="292"/>
      <c r="Z195" s="292"/>
      <c r="AA195" s="1872">
        <f>+$F195</f>
        <v>0.41272496141728782</v>
      </c>
      <c r="AB195" s="1883"/>
      <c r="AC195" s="1883"/>
      <c r="AD195" s="1883"/>
    </row>
    <row r="196" spans="1:30" ht="13" x14ac:dyDescent="0.3">
      <c r="A196" s="1873"/>
      <c r="B196" s="1874" t="s">
        <v>145</v>
      </c>
      <c r="C196" s="1896">
        <f>C184+D196-E196</f>
        <v>5.3331017590000016</v>
      </c>
      <c r="D196" s="285">
        <f t="shared" ref="D196:F196" si="16">SUM(D175:D195)</f>
        <v>2.8806338999999999</v>
      </c>
      <c r="E196" s="285">
        <f t="shared" si="16"/>
        <v>4.1024272409999991</v>
      </c>
      <c r="F196" s="285">
        <f t="shared" si="16"/>
        <v>2.8856143439856368</v>
      </c>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row>
    <row r="197" spans="1:30" x14ac:dyDescent="0.25">
      <c r="C197" s="1888"/>
      <c r="D197" s="1888"/>
      <c r="E197" s="1888"/>
    </row>
    <row r="200" spans="1:30" ht="13" x14ac:dyDescent="0.3">
      <c r="B200" s="1861" t="s">
        <v>1950</v>
      </c>
      <c r="H200" s="1862" t="s">
        <v>16</v>
      </c>
    </row>
    <row r="201" spans="1:30" ht="26" x14ac:dyDescent="0.35">
      <c r="A201" s="1863"/>
      <c r="B201" s="1880" t="s">
        <v>746</v>
      </c>
      <c r="C201" s="2498" t="s">
        <v>890</v>
      </c>
      <c r="D201" s="2498" t="s">
        <v>1946</v>
      </c>
      <c r="E201" s="2498" t="s">
        <v>1947</v>
      </c>
      <c r="F201" s="2498" t="s">
        <v>711</v>
      </c>
      <c r="G201" s="2498" t="s">
        <v>747</v>
      </c>
      <c r="H201" s="2500" t="s">
        <v>748</v>
      </c>
      <c r="I201" s="2500"/>
      <c r="J201" s="2500"/>
      <c r="K201" s="2500"/>
      <c r="L201" s="2500"/>
      <c r="M201" s="2500"/>
      <c r="N201" s="2500"/>
      <c r="O201" s="2500"/>
      <c r="P201" s="2500"/>
      <c r="Q201" s="2500"/>
      <c r="R201" s="2500"/>
      <c r="S201" s="2500"/>
      <c r="T201" s="2500"/>
      <c r="U201" s="2500"/>
      <c r="V201" s="2500"/>
      <c r="W201" s="2500"/>
      <c r="X201" s="2500"/>
      <c r="Y201" s="2500"/>
      <c r="Z201" s="2500"/>
      <c r="AA201" s="2500"/>
      <c r="AB201" s="1864" t="s">
        <v>726</v>
      </c>
      <c r="AC201" s="1864" t="s">
        <v>727</v>
      </c>
      <c r="AD201" s="1864" t="s">
        <v>728</v>
      </c>
    </row>
    <row r="202" spans="1:30" ht="13" x14ac:dyDescent="0.25">
      <c r="A202" s="1863"/>
      <c r="B202" s="1880"/>
      <c r="C202" s="2499"/>
      <c r="D202" s="2499"/>
      <c r="E202" s="2499"/>
      <c r="F202" s="2499"/>
      <c r="G202" s="2499"/>
      <c r="H202" s="1865" t="s">
        <v>712</v>
      </c>
      <c r="I202" s="1865" t="s">
        <v>713</v>
      </c>
      <c r="J202" s="1865" t="s">
        <v>714</v>
      </c>
      <c r="K202" s="1865" t="s">
        <v>715</v>
      </c>
      <c r="L202" s="1865" t="s">
        <v>716</v>
      </c>
      <c r="M202" s="1865" t="s">
        <v>717</v>
      </c>
      <c r="N202" s="1865" t="s">
        <v>718</v>
      </c>
      <c r="O202" s="1865" t="s">
        <v>719</v>
      </c>
      <c r="P202" s="1865" t="s">
        <v>720</v>
      </c>
      <c r="Q202" s="1865" t="s">
        <v>721</v>
      </c>
      <c r="R202" s="1865" t="s">
        <v>722</v>
      </c>
      <c r="S202" s="1865" t="s">
        <v>723</v>
      </c>
      <c r="T202" s="1865" t="s">
        <v>724</v>
      </c>
      <c r="U202" s="1865" t="s">
        <v>725</v>
      </c>
      <c r="V202" s="1865" t="s">
        <v>179</v>
      </c>
      <c r="W202" s="1865" t="s">
        <v>186</v>
      </c>
      <c r="X202" s="1865" t="s">
        <v>426</v>
      </c>
      <c r="Y202" s="1865" t="s">
        <v>427</v>
      </c>
      <c r="Z202" s="1865" t="s">
        <v>428</v>
      </c>
      <c r="AA202" s="1865" t="s">
        <v>429</v>
      </c>
      <c r="AB202" s="1864"/>
      <c r="AC202" s="1864"/>
      <c r="AD202" s="1864"/>
    </row>
    <row r="203" spans="1:30" x14ac:dyDescent="0.25">
      <c r="A203" s="1868" t="s">
        <v>729</v>
      </c>
      <c r="B203" s="1869">
        <v>2005</v>
      </c>
      <c r="C203" s="1868"/>
      <c r="D203" s="1868"/>
      <c r="E203" s="1868"/>
      <c r="F203" s="1868"/>
      <c r="G203" s="1882"/>
      <c r="H203" s="291"/>
      <c r="I203" s="291"/>
      <c r="J203" s="291"/>
      <c r="K203" s="291"/>
      <c r="L203" s="291"/>
      <c r="M203" s="291"/>
      <c r="N203" s="291"/>
      <c r="O203" s="291"/>
      <c r="P203" s="291"/>
      <c r="Q203" s="291"/>
      <c r="R203" s="291"/>
      <c r="S203" s="291"/>
      <c r="T203" s="291"/>
      <c r="U203" s="291"/>
      <c r="V203" s="291"/>
      <c r="W203" s="291"/>
      <c r="X203" s="291"/>
      <c r="Y203" s="291"/>
      <c r="Z203" s="291"/>
      <c r="AA203" s="291"/>
      <c r="AB203" s="1883"/>
      <c r="AC203" s="1883"/>
      <c r="AD203" s="1883"/>
    </row>
    <row r="204" spans="1:30" x14ac:dyDescent="0.25">
      <c r="A204" s="1868" t="s">
        <v>730</v>
      </c>
      <c r="B204" s="1869" t="s">
        <v>712</v>
      </c>
      <c r="C204" s="1868"/>
      <c r="D204" s="1868"/>
      <c r="E204" s="1868"/>
      <c r="F204" s="1868"/>
      <c r="G204" s="1882"/>
      <c r="H204" s="1872">
        <f>+$F204</f>
        <v>0</v>
      </c>
      <c r="I204" s="291"/>
      <c r="J204" s="291"/>
      <c r="K204" s="291"/>
      <c r="L204" s="291"/>
      <c r="M204" s="291"/>
      <c r="N204" s="291"/>
      <c r="O204" s="291"/>
      <c r="P204" s="291"/>
      <c r="Q204" s="291"/>
      <c r="R204" s="291"/>
      <c r="S204" s="291"/>
      <c r="T204" s="291"/>
      <c r="U204" s="291"/>
      <c r="V204" s="291"/>
      <c r="W204" s="291"/>
      <c r="X204" s="291"/>
      <c r="Y204" s="291"/>
      <c r="Z204" s="291"/>
      <c r="AA204" s="291"/>
      <c r="AB204" s="1883"/>
      <c r="AC204" s="1883"/>
      <c r="AD204" s="1883"/>
    </row>
    <row r="205" spans="1:30" x14ac:dyDescent="0.25">
      <c r="A205" s="1868" t="s">
        <v>730</v>
      </c>
      <c r="B205" s="1869" t="s">
        <v>713</v>
      </c>
      <c r="C205" s="1868"/>
      <c r="D205" s="1868"/>
      <c r="E205" s="1868"/>
      <c r="F205" s="1868"/>
      <c r="G205" s="1882"/>
      <c r="H205" s="292"/>
      <c r="I205" s="1872">
        <f>+$F205</f>
        <v>0</v>
      </c>
      <c r="J205" s="291"/>
      <c r="K205" s="291"/>
      <c r="L205" s="291"/>
      <c r="M205" s="291"/>
      <c r="N205" s="291"/>
      <c r="O205" s="291"/>
      <c r="P205" s="291"/>
      <c r="Q205" s="291"/>
      <c r="R205" s="291"/>
      <c r="S205" s="291"/>
      <c r="T205" s="291"/>
      <c r="U205" s="291"/>
      <c r="V205" s="291"/>
      <c r="W205" s="291"/>
      <c r="X205" s="291"/>
      <c r="Y205" s="291"/>
      <c r="Z205" s="291"/>
      <c r="AA205" s="291"/>
      <c r="AB205" s="1883"/>
      <c r="AC205" s="1883"/>
      <c r="AD205" s="1883"/>
    </row>
    <row r="206" spans="1:30" x14ac:dyDescent="0.25">
      <c r="A206" s="1868" t="s">
        <v>730</v>
      </c>
      <c r="B206" s="1869" t="s">
        <v>714</v>
      </c>
      <c r="C206" s="1868"/>
      <c r="D206" s="1868"/>
      <c r="E206" s="1868"/>
      <c r="F206" s="1868"/>
      <c r="G206" s="1882"/>
      <c r="H206" s="292"/>
      <c r="I206" s="292"/>
      <c r="J206" s="1872">
        <f>+$F206</f>
        <v>0</v>
      </c>
      <c r="K206" s="291"/>
      <c r="L206" s="291"/>
      <c r="M206" s="291"/>
      <c r="N206" s="291"/>
      <c r="O206" s="291"/>
      <c r="P206" s="291"/>
      <c r="Q206" s="291"/>
      <c r="R206" s="291"/>
      <c r="S206" s="291"/>
      <c r="T206" s="291"/>
      <c r="U206" s="291"/>
      <c r="V206" s="291"/>
      <c r="W206" s="291"/>
      <c r="X206" s="291"/>
      <c r="Y206" s="291"/>
      <c r="Z206" s="291"/>
      <c r="AA206" s="291"/>
      <c r="AB206" s="1883"/>
      <c r="AC206" s="1883"/>
      <c r="AD206" s="1883"/>
    </row>
    <row r="207" spans="1:30" x14ac:dyDescent="0.25">
      <c r="A207" s="1868" t="s">
        <v>730</v>
      </c>
      <c r="B207" s="1869" t="s">
        <v>715</v>
      </c>
      <c r="C207" s="1868"/>
      <c r="D207" s="1868"/>
      <c r="E207" s="1868"/>
      <c r="F207" s="1868"/>
      <c r="G207" s="1882"/>
      <c r="H207" s="292"/>
      <c r="I207" s="292"/>
      <c r="J207" s="292"/>
      <c r="K207" s="1872">
        <f>+$F207</f>
        <v>0</v>
      </c>
      <c r="L207" s="291"/>
      <c r="M207" s="291"/>
      <c r="N207" s="291"/>
      <c r="O207" s="291"/>
      <c r="P207" s="291"/>
      <c r="Q207" s="291"/>
      <c r="R207" s="291"/>
      <c r="S207" s="291"/>
      <c r="T207" s="291"/>
      <c r="U207" s="291"/>
      <c r="V207" s="291"/>
      <c r="W207" s="291"/>
      <c r="X207" s="291"/>
      <c r="Y207" s="291"/>
      <c r="Z207" s="291"/>
      <c r="AA207" s="291"/>
      <c r="AB207" s="1883"/>
      <c r="AC207" s="1883"/>
      <c r="AD207" s="1883"/>
    </row>
    <row r="208" spans="1:30" x14ac:dyDescent="0.25">
      <c r="A208" s="1868" t="s">
        <v>730</v>
      </c>
      <c r="B208" s="1869" t="s">
        <v>716</v>
      </c>
      <c r="C208" s="1868"/>
      <c r="D208" s="1868"/>
      <c r="E208" s="1868"/>
      <c r="F208" s="1868"/>
      <c r="G208" s="1882"/>
      <c r="H208" s="292"/>
      <c r="I208" s="292"/>
      <c r="J208" s="292"/>
      <c r="K208" s="292"/>
      <c r="L208" s="1872">
        <f>+$F208</f>
        <v>0</v>
      </c>
      <c r="M208" s="291"/>
      <c r="N208" s="291"/>
      <c r="O208" s="291"/>
      <c r="P208" s="291"/>
      <c r="Q208" s="291"/>
      <c r="R208" s="291"/>
      <c r="S208" s="291"/>
      <c r="T208" s="291"/>
      <c r="U208" s="291"/>
      <c r="V208" s="291"/>
      <c r="W208" s="291"/>
      <c r="X208" s="291"/>
      <c r="Y208" s="291"/>
      <c r="Z208" s="291"/>
      <c r="AA208" s="291"/>
      <c r="AB208" s="1883"/>
      <c r="AC208" s="1883"/>
      <c r="AD208" s="1883"/>
    </row>
    <row r="209" spans="1:30" x14ac:dyDescent="0.25">
      <c r="A209" s="1868" t="s">
        <v>730</v>
      </c>
      <c r="B209" s="1869" t="s">
        <v>717</v>
      </c>
      <c r="C209" s="1868"/>
      <c r="D209" s="1868"/>
      <c r="E209" s="1868"/>
      <c r="F209" s="1868"/>
      <c r="G209" s="1882"/>
      <c r="H209" s="292"/>
      <c r="I209" s="292"/>
      <c r="J209" s="292"/>
      <c r="K209" s="292"/>
      <c r="L209" s="292"/>
      <c r="M209" s="1872">
        <f>+$F209</f>
        <v>0</v>
      </c>
      <c r="N209" s="291"/>
      <c r="O209" s="291"/>
      <c r="P209" s="291"/>
      <c r="Q209" s="291"/>
      <c r="R209" s="291"/>
      <c r="S209" s="291"/>
      <c r="T209" s="291"/>
      <c r="U209" s="291"/>
      <c r="V209" s="291"/>
      <c r="W209" s="291"/>
      <c r="X209" s="291"/>
      <c r="Y209" s="291"/>
      <c r="Z209" s="291"/>
      <c r="AA209" s="291"/>
      <c r="AB209" s="1883"/>
      <c r="AC209" s="1883"/>
      <c r="AD209" s="1883"/>
    </row>
    <row r="210" spans="1:30" x14ac:dyDescent="0.25">
      <c r="A210" s="1868" t="s">
        <v>730</v>
      </c>
      <c r="B210" s="1869" t="s">
        <v>718</v>
      </c>
      <c r="C210" s="1868"/>
      <c r="D210" s="1868"/>
      <c r="E210" s="1868"/>
      <c r="F210" s="1868"/>
      <c r="G210" s="1882"/>
      <c r="H210" s="292"/>
      <c r="I210" s="292"/>
      <c r="J210" s="292"/>
      <c r="K210" s="292"/>
      <c r="L210" s="292"/>
      <c r="M210" s="292"/>
      <c r="N210" s="1872">
        <f>+$F210</f>
        <v>0</v>
      </c>
      <c r="O210" s="291"/>
      <c r="P210" s="291"/>
      <c r="Q210" s="291"/>
      <c r="R210" s="291"/>
      <c r="S210" s="291"/>
      <c r="T210" s="291"/>
      <c r="U210" s="291"/>
      <c r="V210" s="291"/>
      <c r="W210" s="291"/>
      <c r="X210" s="291"/>
      <c r="Y210" s="291"/>
      <c r="Z210" s="291"/>
      <c r="AA210" s="291"/>
      <c r="AB210" s="1883"/>
      <c r="AC210" s="1883"/>
      <c r="AD210" s="1883"/>
    </row>
    <row r="211" spans="1:30" x14ac:dyDescent="0.25">
      <c r="A211" s="1868" t="s">
        <v>730</v>
      </c>
      <c r="B211" s="1869" t="s">
        <v>719</v>
      </c>
      <c r="C211" s="1868"/>
      <c r="D211" s="1868"/>
      <c r="E211" s="1868"/>
      <c r="F211" s="1868"/>
      <c r="G211" s="1882"/>
      <c r="H211" s="292"/>
      <c r="I211" s="292"/>
      <c r="J211" s="292"/>
      <c r="K211" s="292"/>
      <c r="L211" s="292"/>
      <c r="M211" s="292"/>
      <c r="N211" s="292"/>
      <c r="O211" s="1872">
        <f>+$F211</f>
        <v>0</v>
      </c>
      <c r="P211" s="291"/>
      <c r="Q211" s="291"/>
      <c r="R211" s="291"/>
      <c r="S211" s="291"/>
      <c r="T211" s="291"/>
      <c r="U211" s="291"/>
      <c r="V211" s="291"/>
      <c r="W211" s="291"/>
      <c r="X211" s="291"/>
      <c r="Y211" s="291"/>
      <c r="Z211" s="291"/>
      <c r="AA211" s="291"/>
      <c r="AB211" s="1883"/>
      <c r="AC211" s="1883"/>
      <c r="AD211" s="1883"/>
    </row>
    <row r="212" spans="1:30" x14ac:dyDescent="0.25">
      <c r="A212" s="1868" t="s">
        <v>730</v>
      </c>
      <c r="B212" s="1869" t="s">
        <v>720</v>
      </c>
      <c r="C212" s="1892">
        <f>42910260.5/(10^7)</f>
        <v>4.2910260500000001</v>
      </c>
      <c r="D212" s="1892">
        <f>17506307.3/(10^7)</f>
        <v>1.7506307300000001</v>
      </c>
      <c r="E212" s="1892">
        <f>2877003.04/(10^7)</f>
        <v>0.28770030400000002</v>
      </c>
      <c r="F212" s="1892">
        <f>17594099.5/(10^7)</f>
        <v>1.75940995</v>
      </c>
      <c r="G212" s="1882"/>
      <c r="H212" s="292"/>
      <c r="I212" s="292"/>
      <c r="J212" s="292"/>
      <c r="K212" s="292"/>
      <c r="L212" s="292"/>
      <c r="M212" s="292"/>
      <c r="N212" s="292"/>
      <c r="O212" s="292"/>
      <c r="P212" s="1872">
        <f>+$F212</f>
        <v>1.75940995</v>
      </c>
      <c r="Q212" s="291"/>
      <c r="R212" s="291"/>
      <c r="S212" s="291"/>
      <c r="T212" s="291"/>
      <c r="U212" s="291"/>
      <c r="V212" s="291"/>
      <c r="W212" s="291"/>
      <c r="X212" s="291"/>
      <c r="Y212" s="291"/>
      <c r="Z212" s="291"/>
      <c r="AA212" s="291"/>
      <c r="AB212" s="1883"/>
      <c r="AC212" s="1883"/>
      <c r="AD212" s="1883"/>
    </row>
    <row r="213" spans="1:30" x14ac:dyDescent="0.25">
      <c r="A213" s="1868" t="s">
        <v>730</v>
      </c>
      <c r="B213" s="1869" t="s">
        <v>721</v>
      </c>
      <c r="C213" s="1892">
        <f>+C212+D212-E212-F212</f>
        <v>3.9945465259999997</v>
      </c>
      <c r="D213" s="1892">
        <f>4004192/(10^7)</f>
        <v>0.40041919999999998</v>
      </c>
      <c r="E213" s="1892">
        <f>(9822726.91-394704)/(10^7)</f>
        <v>0.94280229100000001</v>
      </c>
      <c r="F213" s="1892">
        <f>11002630.5/(10^7)</f>
        <v>1.1002630499999999</v>
      </c>
      <c r="G213" s="1882"/>
      <c r="H213" s="292"/>
      <c r="I213" s="292"/>
      <c r="J213" s="292"/>
      <c r="K213" s="292"/>
      <c r="L213" s="292"/>
      <c r="M213" s="292"/>
      <c r="N213" s="292"/>
      <c r="O213" s="292"/>
      <c r="P213" s="292"/>
      <c r="Q213" s="1872">
        <f>+$F213</f>
        <v>1.1002630499999999</v>
      </c>
      <c r="R213" s="291"/>
      <c r="S213" s="291"/>
      <c r="T213" s="291"/>
      <c r="U213" s="291"/>
      <c r="V213" s="291"/>
      <c r="W213" s="291"/>
      <c r="X213" s="291"/>
      <c r="Y213" s="291"/>
      <c r="Z213" s="291"/>
      <c r="AA213" s="291"/>
      <c r="AB213" s="1883"/>
      <c r="AC213" s="1883"/>
      <c r="AD213" s="1883"/>
    </row>
    <row r="214" spans="1:30" x14ac:dyDescent="0.25">
      <c r="A214" s="1868" t="s">
        <v>730</v>
      </c>
      <c r="B214" s="1869" t="s">
        <v>722</v>
      </c>
      <c r="C214" s="1892">
        <f t="shared" ref="C214:C220" si="17">+C213+D213-E213-F213</f>
        <v>2.3519003849999995</v>
      </c>
      <c r="D214" s="1892">
        <f>5781298.72/(10^7)</f>
        <v>0.57812987199999999</v>
      </c>
      <c r="E214" s="1892">
        <f>(8539580.2-49851)/(10^7)</f>
        <v>0.84897291999999991</v>
      </c>
      <c r="F214" s="1892">
        <f>5458760.5/(10^7)</f>
        <v>0.54587604999999995</v>
      </c>
      <c r="G214" s="1882"/>
      <c r="H214" s="292"/>
      <c r="I214" s="292"/>
      <c r="J214" s="292"/>
      <c r="K214" s="292"/>
      <c r="L214" s="292"/>
      <c r="M214" s="292"/>
      <c r="N214" s="292"/>
      <c r="O214" s="292"/>
      <c r="P214" s="292"/>
      <c r="Q214" s="292"/>
      <c r="R214" s="1872">
        <f>+$F214</f>
        <v>0.54587604999999995</v>
      </c>
      <c r="S214" s="291"/>
      <c r="T214" s="291"/>
      <c r="U214" s="291"/>
      <c r="V214" s="291"/>
      <c r="W214" s="291"/>
      <c r="X214" s="291"/>
      <c r="Y214" s="291"/>
      <c r="Z214" s="291"/>
      <c r="AA214" s="291"/>
      <c r="AB214" s="1883"/>
      <c r="AC214" s="1883"/>
      <c r="AD214" s="1883"/>
    </row>
    <row r="215" spans="1:30" x14ac:dyDescent="0.25">
      <c r="A215" s="1868" t="s">
        <v>730</v>
      </c>
      <c r="B215" s="1869" t="s">
        <v>723</v>
      </c>
      <c r="C215" s="1892">
        <f t="shared" si="17"/>
        <v>1.5351812869999995</v>
      </c>
      <c r="D215" s="1892">
        <f>27260920.57/(10^7)</f>
        <v>2.7260920570000002</v>
      </c>
      <c r="E215" s="1892">
        <f>(31626570.36+8174.52)/(10^7)</f>
        <v>3.1634744879999999</v>
      </c>
      <c r="F215" s="1892">
        <f>(235549052.5-254112701.5)/(10^7)</f>
        <v>-1.8563649</v>
      </c>
      <c r="G215" s="1882"/>
      <c r="H215" s="292"/>
      <c r="I215" s="292"/>
      <c r="J215" s="292"/>
      <c r="K215" s="292"/>
      <c r="L215" s="292"/>
      <c r="M215" s="292"/>
      <c r="N215" s="292"/>
      <c r="O215" s="292"/>
      <c r="P215" s="292"/>
      <c r="Q215" s="292"/>
      <c r="R215" s="292"/>
      <c r="S215" s="1872">
        <f>+$F215</f>
        <v>-1.8563649</v>
      </c>
      <c r="T215" s="291"/>
      <c r="U215" s="291"/>
      <c r="V215" s="291"/>
      <c r="W215" s="291"/>
      <c r="X215" s="291"/>
      <c r="Y215" s="291"/>
      <c r="Z215" s="291"/>
      <c r="AA215" s="291"/>
      <c r="AB215" s="1883"/>
      <c r="AC215" s="1883"/>
      <c r="AD215" s="1883"/>
    </row>
    <row r="216" spans="1:30" x14ac:dyDescent="0.25">
      <c r="A216" s="1868" t="s">
        <v>730</v>
      </c>
      <c r="B216" s="1869" t="s">
        <v>724</v>
      </c>
      <c r="C216" s="1892">
        <f t="shared" si="17"/>
        <v>2.9541637559999994</v>
      </c>
      <c r="D216" s="1892">
        <f>7505853.62/(10^7)</f>
        <v>0.75058536200000003</v>
      </c>
      <c r="E216" s="1892">
        <f>(9298609.93-12115.57)/(10^7)</f>
        <v>0.92864943599999994</v>
      </c>
      <c r="F216" s="1892">
        <f>(240308958-235549052.5)/(10^7)</f>
        <v>0.47599055000000001</v>
      </c>
      <c r="G216" s="1882"/>
      <c r="H216" s="292"/>
      <c r="I216" s="292"/>
      <c r="J216" s="292"/>
      <c r="K216" s="292"/>
      <c r="L216" s="292"/>
      <c r="M216" s="292"/>
      <c r="N216" s="292"/>
      <c r="O216" s="292"/>
      <c r="P216" s="292"/>
      <c r="Q216" s="292"/>
      <c r="R216" s="292"/>
      <c r="S216" s="292"/>
      <c r="T216" s="1872">
        <f>+$F216</f>
        <v>0.47599055000000001</v>
      </c>
      <c r="U216" s="291"/>
      <c r="V216" s="291"/>
      <c r="W216" s="291"/>
      <c r="X216" s="291"/>
      <c r="Y216" s="291"/>
      <c r="Z216" s="291"/>
      <c r="AA216" s="291"/>
      <c r="AB216" s="1883"/>
      <c r="AC216" s="1883"/>
      <c r="AD216" s="1883"/>
    </row>
    <row r="217" spans="1:30" x14ac:dyDescent="0.25">
      <c r="A217" s="1868" t="s">
        <v>730</v>
      </c>
      <c r="B217" s="1869" t="s">
        <v>725</v>
      </c>
      <c r="C217" s="1892">
        <f t="shared" si="17"/>
        <v>2.3001091319999998</v>
      </c>
      <c r="D217" s="1892">
        <f>23781506.99/(10^7)</f>
        <v>2.3781506989999999</v>
      </c>
      <c r="E217" s="1892">
        <f>(2989535.22+336986.78)/(10^7)</f>
        <v>0.33265220000000001</v>
      </c>
      <c r="F217" s="1892">
        <f>(249608584.5-240308958)/(10^7)</f>
        <v>0.92996265</v>
      </c>
      <c r="G217" s="1882"/>
      <c r="H217" s="292"/>
      <c r="I217" s="292"/>
      <c r="J217" s="292"/>
      <c r="K217" s="292"/>
      <c r="L217" s="292"/>
      <c r="M217" s="292"/>
      <c r="N217" s="292"/>
      <c r="O217" s="292"/>
      <c r="P217" s="292"/>
      <c r="Q217" s="292"/>
      <c r="R217" s="292"/>
      <c r="S217" s="292"/>
      <c r="T217" s="292"/>
      <c r="U217" s="1872">
        <f>+$F217</f>
        <v>0.92996265</v>
      </c>
      <c r="V217" s="291"/>
      <c r="W217" s="291"/>
      <c r="X217" s="291"/>
      <c r="Y217" s="291"/>
      <c r="Z217" s="291"/>
      <c r="AA217" s="291"/>
      <c r="AB217" s="1883"/>
      <c r="AC217" s="1883"/>
      <c r="AD217" s="1883"/>
    </row>
    <row r="218" spans="1:30" x14ac:dyDescent="0.25">
      <c r="A218" s="1868" t="s">
        <v>730</v>
      </c>
      <c r="B218" s="1869" t="s">
        <v>731</v>
      </c>
      <c r="C218" s="1892">
        <f t="shared" si="17"/>
        <v>3.4156449809999998</v>
      </c>
      <c r="D218" s="1892">
        <f>10300403.63/(10^7)</f>
        <v>1.0300403630000001</v>
      </c>
      <c r="E218" s="1892">
        <f>2696211.08/(10^7)</f>
        <v>0.269621108</v>
      </c>
      <c r="F218" s="1892">
        <f>(260354429.84-249608584.5)/(10^7)</f>
        <v>1.0745845340000004</v>
      </c>
      <c r="G218" s="1886"/>
      <c r="H218" s="292"/>
      <c r="I218" s="292"/>
      <c r="J218" s="292"/>
      <c r="K218" s="292"/>
      <c r="L218" s="292"/>
      <c r="M218" s="292"/>
      <c r="N218" s="292"/>
      <c r="O218" s="292"/>
      <c r="P218" s="292"/>
      <c r="Q218" s="292"/>
      <c r="R218" s="292"/>
      <c r="S218" s="292"/>
      <c r="T218" s="292"/>
      <c r="U218" s="292"/>
      <c r="V218" s="1872">
        <f>+$F218</f>
        <v>1.0745845340000004</v>
      </c>
      <c r="W218" s="291"/>
      <c r="X218" s="291"/>
      <c r="Y218" s="291"/>
      <c r="Z218" s="291"/>
      <c r="AA218" s="291"/>
      <c r="AB218" s="1883"/>
      <c r="AC218" s="1883"/>
      <c r="AD218" s="1883"/>
    </row>
    <row r="219" spans="1:30" x14ac:dyDescent="0.25">
      <c r="A219" s="1868" t="s">
        <v>730</v>
      </c>
      <c r="B219" s="1869" t="s">
        <v>732</v>
      </c>
      <c r="C219" s="1892">
        <f t="shared" si="17"/>
        <v>3.1014797019999998</v>
      </c>
      <c r="D219" s="1892">
        <f>11825138.5/(10^7)</f>
        <v>1.1825138500000001</v>
      </c>
      <c r="E219" s="1892">
        <f>3653903.38/(10^7)</f>
        <v>0.36539033799999998</v>
      </c>
      <c r="F219" s="1892">
        <f>(269106403-260354429.84)/(10^7)</f>
        <v>0.87519731599999961</v>
      </c>
      <c r="G219" s="1886"/>
      <c r="H219" s="292"/>
      <c r="I219" s="292"/>
      <c r="J219" s="292"/>
      <c r="K219" s="292"/>
      <c r="L219" s="292"/>
      <c r="M219" s="292"/>
      <c r="N219" s="292"/>
      <c r="O219" s="292"/>
      <c r="P219" s="292"/>
      <c r="Q219" s="292"/>
      <c r="R219" s="292"/>
      <c r="S219" s="292"/>
      <c r="T219" s="292"/>
      <c r="U219" s="292"/>
      <c r="V219" s="292"/>
      <c r="W219" s="1872">
        <f>+$F219</f>
        <v>0.87519731599999961</v>
      </c>
      <c r="X219" s="291"/>
      <c r="Y219" s="291"/>
      <c r="Z219" s="291"/>
      <c r="AA219" s="291"/>
      <c r="AB219" s="1883"/>
      <c r="AC219" s="1883"/>
      <c r="AD219" s="1883"/>
    </row>
    <row r="220" spans="1:30" x14ac:dyDescent="0.25">
      <c r="A220" s="1868" t="s">
        <v>730</v>
      </c>
      <c r="B220" s="1869" t="s">
        <v>733</v>
      </c>
      <c r="C220" s="1892">
        <f t="shared" si="17"/>
        <v>3.0434058980000005</v>
      </c>
      <c r="D220" s="1892">
        <f>9237799.44/(10^7)</f>
        <v>0.92377994399999996</v>
      </c>
      <c r="E220" s="1892">
        <f>3891512.72/(10^7)</f>
        <v>0.38915127200000005</v>
      </c>
      <c r="F220" s="1892">
        <f>(278753967.5-269106403)/(10^7)</f>
        <v>0.96475644999999999</v>
      </c>
      <c r="G220" s="1886"/>
      <c r="H220" s="292"/>
      <c r="I220" s="292"/>
      <c r="J220" s="292"/>
      <c r="K220" s="292"/>
      <c r="L220" s="292"/>
      <c r="M220" s="292"/>
      <c r="N220" s="292"/>
      <c r="O220" s="292"/>
      <c r="P220" s="292"/>
      <c r="Q220" s="292"/>
      <c r="R220" s="292"/>
      <c r="S220" s="292"/>
      <c r="T220" s="292"/>
      <c r="U220" s="292"/>
      <c r="V220" s="292"/>
      <c r="W220" s="292"/>
      <c r="X220" s="1872">
        <f>+$F220</f>
        <v>0.96475644999999999</v>
      </c>
      <c r="Y220" s="291"/>
      <c r="Z220" s="291"/>
      <c r="AA220" s="291"/>
      <c r="AB220" s="1883"/>
      <c r="AC220" s="1883"/>
      <c r="AD220" s="1883"/>
    </row>
    <row r="221" spans="1:30" x14ac:dyDescent="0.25">
      <c r="A221" s="1868" t="s">
        <v>730</v>
      </c>
      <c r="B221" s="1869" t="s">
        <v>734</v>
      </c>
      <c r="C221" s="1892">
        <f>+C220+D220-E220-F220</f>
        <v>2.6132781200000008</v>
      </c>
      <c r="D221" s="1892">
        <f>'F5'!E45</f>
        <v>0.73085907805571959</v>
      </c>
      <c r="E221" s="1892">
        <f>'F5'!F45</f>
        <v>0.31862361699999997</v>
      </c>
      <c r="F221" s="1892">
        <f>'F5'!$E$86-'F5'!$F$86</f>
        <v>0.29063195099514433</v>
      </c>
      <c r="G221" s="1886"/>
      <c r="H221" s="292"/>
      <c r="I221" s="292"/>
      <c r="J221" s="292"/>
      <c r="K221" s="292"/>
      <c r="L221" s="292"/>
      <c r="M221" s="292"/>
      <c r="N221" s="292"/>
      <c r="O221" s="292"/>
      <c r="P221" s="292"/>
      <c r="Q221" s="292"/>
      <c r="R221" s="292"/>
      <c r="S221" s="292"/>
      <c r="T221" s="292"/>
      <c r="U221" s="292"/>
      <c r="V221" s="292"/>
      <c r="W221" s="292"/>
      <c r="X221" s="292"/>
      <c r="Y221" s="1872">
        <f>+$F221</f>
        <v>0.29063195099514433</v>
      </c>
      <c r="Z221" s="291"/>
      <c r="AA221" s="291"/>
      <c r="AB221" s="1883"/>
      <c r="AC221" s="1883"/>
      <c r="AD221" s="1883"/>
    </row>
    <row r="222" spans="1:30" x14ac:dyDescent="0.25">
      <c r="A222" s="1868" t="s">
        <v>730</v>
      </c>
      <c r="B222" s="1869" t="s">
        <v>735</v>
      </c>
      <c r="C222" s="284"/>
      <c r="D222" s="1892">
        <f>'F5'!I45</f>
        <v>4.8950559373954139</v>
      </c>
      <c r="E222" s="1892">
        <f>'F5'!J45</f>
        <v>0.31862361699999997</v>
      </c>
      <c r="F222" s="1892">
        <f>'F5'!$I$86-'F5'!$J$86</f>
        <v>0.3403426315732056</v>
      </c>
      <c r="G222" s="1886"/>
      <c r="H222" s="292"/>
      <c r="I222" s="292"/>
      <c r="J222" s="292"/>
      <c r="K222" s="292"/>
      <c r="L222" s="292"/>
      <c r="M222" s="292"/>
      <c r="N222" s="292"/>
      <c r="O222" s="292"/>
      <c r="P222" s="292"/>
      <c r="Q222" s="292"/>
      <c r="R222" s="292"/>
      <c r="S222" s="292"/>
      <c r="T222" s="292"/>
      <c r="U222" s="292"/>
      <c r="V222" s="292"/>
      <c r="W222" s="292"/>
      <c r="X222" s="292"/>
      <c r="Y222" s="292"/>
      <c r="Z222" s="1872">
        <f>+$F222</f>
        <v>0.3403426315732056</v>
      </c>
      <c r="AA222" s="291"/>
      <c r="AB222" s="1883"/>
      <c r="AC222" s="1883"/>
      <c r="AD222" s="1883"/>
    </row>
    <row r="223" spans="1:30" x14ac:dyDescent="0.25">
      <c r="A223" s="1868" t="s">
        <v>730</v>
      </c>
      <c r="B223" s="1869" t="s">
        <v>736</v>
      </c>
      <c r="C223" s="284"/>
      <c r="D223" s="1892">
        <f>'F5'!M45</f>
        <v>4.2194382998204576</v>
      </c>
      <c r="E223" s="1892">
        <f>'F5'!N45</f>
        <v>0.31862361699999997</v>
      </c>
      <c r="F223" s="1892">
        <f>'F5'!$M$86-'F5'!$N$86</f>
        <v>0.41272496141728782</v>
      </c>
      <c r="G223" s="1886"/>
      <c r="H223" s="292"/>
      <c r="I223" s="292"/>
      <c r="J223" s="292"/>
      <c r="K223" s="292"/>
      <c r="L223" s="292"/>
      <c r="M223" s="292"/>
      <c r="N223" s="292"/>
      <c r="O223" s="292"/>
      <c r="P223" s="292"/>
      <c r="Q223" s="292"/>
      <c r="R223" s="292"/>
      <c r="S223" s="292"/>
      <c r="T223" s="292"/>
      <c r="U223" s="292"/>
      <c r="V223" s="292"/>
      <c r="W223" s="292"/>
      <c r="X223" s="292"/>
      <c r="Y223" s="292"/>
      <c r="Z223" s="292"/>
      <c r="AA223" s="1872">
        <f>+$F223</f>
        <v>0.41272496141728782</v>
      </c>
      <c r="AB223" s="1883"/>
      <c r="AC223" s="1883"/>
      <c r="AD223" s="1883"/>
    </row>
    <row r="224" spans="1:30" ht="13" x14ac:dyDescent="0.3">
      <c r="A224" s="1873"/>
      <c r="B224" s="1874" t="s">
        <v>145</v>
      </c>
      <c r="C224" s="1896">
        <f>C212+D224-E224</f>
        <v>17.372436234271589</v>
      </c>
      <c r="D224" s="1896">
        <f t="shared" ref="D224:F224" si="18">SUM(D203:D223)</f>
        <v>21.565695392271589</v>
      </c>
      <c r="E224" s="1896">
        <f t="shared" si="18"/>
        <v>8.4842852079999993</v>
      </c>
      <c r="F224" s="1896">
        <f t="shared" si="18"/>
        <v>6.9133751939856385</v>
      </c>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row>
    <row r="225" spans="1:30" x14ac:dyDescent="0.25">
      <c r="C225" s="1888"/>
      <c r="D225" s="1888"/>
      <c r="E225" s="1888"/>
    </row>
    <row r="228" spans="1:30" ht="13" x14ac:dyDescent="0.3">
      <c r="B228" s="1861" t="s">
        <v>1951</v>
      </c>
      <c r="H228" s="1862" t="s">
        <v>16</v>
      </c>
    </row>
    <row r="229" spans="1:30" ht="26" x14ac:dyDescent="0.35">
      <c r="A229" s="1863"/>
      <c r="B229" s="1880" t="s">
        <v>746</v>
      </c>
      <c r="C229" s="2498" t="s">
        <v>890</v>
      </c>
      <c r="D229" s="2498" t="s">
        <v>1946</v>
      </c>
      <c r="E229" s="2498" t="s">
        <v>1947</v>
      </c>
      <c r="F229" s="2498" t="s">
        <v>711</v>
      </c>
      <c r="G229" s="2498" t="s">
        <v>747</v>
      </c>
      <c r="H229" s="2500" t="s">
        <v>748</v>
      </c>
      <c r="I229" s="2500"/>
      <c r="J229" s="2500"/>
      <c r="K229" s="2500"/>
      <c r="L229" s="2500"/>
      <c r="M229" s="2500"/>
      <c r="N229" s="2500"/>
      <c r="O229" s="2500"/>
      <c r="P229" s="2500"/>
      <c r="Q229" s="2500"/>
      <c r="R229" s="2500"/>
      <c r="S229" s="2500"/>
      <c r="T229" s="2500"/>
      <c r="U229" s="2500"/>
      <c r="V229" s="2500"/>
      <c r="W229" s="2500"/>
      <c r="X229" s="2500"/>
      <c r="Y229" s="2500"/>
      <c r="Z229" s="2500"/>
      <c r="AA229" s="2500"/>
      <c r="AB229" s="1864" t="s">
        <v>726</v>
      </c>
      <c r="AC229" s="1864" t="s">
        <v>727</v>
      </c>
      <c r="AD229" s="1864" t="s">
        <v>728</v>
      </c>
    </row>
    <row r="230" spans="1:30" ht="13" x14ac:dyDescent="0.25">
      <c r="A230" s="1863"/>
      <c r="B230" s="1880"/>
      <c r="C230" s="2499"/>
      <c r="D230" s="2499"/>
      <c r="E230" s="2499"/>
      <c r="F230" s="2499"/>
      <c r="G230" s="2499"/>
      <c r="H230" s="1865" t="s">
        <v>712</v>
      </c>
      <c r="I230" s="1865" t="s">
        <v>713</v>
      </c>
      <c r="J230" s="1865" t="s">
        <v>714</v>
      </c>
      <c r="K230" s="1865" t="s">
        <v>715</v>
      </c>
      <c r="L230" s="1865" t="s">
        <v>716</v>
      </c>
      <c r="M230" s="1865" t="s">
        <v>717</v>
      </c>
      <c r="N230" s="1865" t="s">
        <v>718</v>
      </c>
      <c r="O230" s="1865" t="s">
        <v>719</v>
      </c>
      <c r="P230" s="1865" t="s">
        <v>720</v>
      </c>
      <c r="Q230" s="1865" t="s">
        <v>721</v>
      </c>
      <c r="R230" s="1865" t="s">
        <v>722</v>
      </c>
      <c r="S230" s="1865" t="s">
        <v>723</v>
      </c>
      <c r="T230" s="1865" t="s">
        <v>724</v>
      </c>
      <c r="U230" s="1865" t="s">
        <v>725</v>
      </c>
      <c r="V230" s="1865" t="s">
        <v>179</v>
      </c>
      <c r="W230" s="1865" t="s">
        <v>186</v>
      </c>
      <c r="X230" s="1865" t="s">
        <v>426</v>
      </c>
      <c r="Y230" s="1865" t="s">
        <v>427</v>
      </c>
      <c r="Z230" s="1865" t="s">
        <v>428</v>
      </c>
      <c r="AA230" s="1865" t="s">
        <v>429</v>
      </c>
      <c r="AB230" s="1864"/>
      <c r="AC230" s="1864"/>
      <c r="AD230" s="1864"/>
    </row>
    <row r="231" spans="1:30" x14ac:dyDescent="0.25">
      <c r="A231" s="1868" t="s">
        <v>729</v>
      </c>
      <c r="B231" s="1869">
        <v>2005</v>
      </c>
      <c r="C231" s="1868"/>
      <c r="D231" s="1868"/>
      <c r="E231" s="1868"/>
      <c r="F231" s="1868"/>
      <c r="G231" s="1882"/>
      <c r="H231" s="291"/>
      <c r="I231" s="291"/>
      <c r="J231" s="291"/>
      <c r="K231" s="291"/>
      <c r="L231" s="291"/>
      <c r="M231" s="291"/>
      <c r="N231" s="291"/>
      <c r="O231" s="291"/>
      <c r="P231" s="291"/>
      <c r="Q231" s="291"/>
      <c r="R231" s="291"/>
      <c r="S231" s="291"/>
      <c r="T231" s="291"/>
      <c r="U231" s="291"/>
      <c r="V231" s="291"/>
      <c r="W231" s="291"/>
      <c r="X231" s="291"/>
      <c r="Y231" s="291"/>
      <c r="Z231" s="291"/>
      <c r="AA231" s="291"/>
      <c r="AB231" s="1883"/>
      <c r="AC231" s="1883"/>
      <c r="AD231" s="1883"/>
    </row>
    <row r="232" spans="1:30" x14ac:dyDescent="0.25">
      <c r="A232" s="1868" t="s">
        <v>730</v>
      </c>
      <c r="B232" s="1869" t="s">
        <v>712</v>
      </c>
      <c r="C232" s="1868"/>
      <c r="D232" s="1868"/>
      <c r="E232" s="1868"/>
      <c r="F232" s="1868"/>
      <c r="G232" s="1882"/>
      <c r="H232" s="1872">
        <f>+$F232</f>
        <v>0</v>
      </c>
      <c r="I232" s="291"/>
      <c r="J232" s="291"/>
      <c r="K232" s="291"/>
      <c r="L232" s="291"/>
      <c r="M232" s="291"/>
      <c r="N232" s="291"/>
      <c r="O232" s="291"/>
      <c r="P232" s="291"/>
      <c r="Q232" s="291"/>
      <c r="R232" s="291"/>
      <c r="S232" s="291"/>
      <c r="T232" s="291"/>
      <c r="U232" s="291"/>
      <c r="V232" s="291"/>
      <c r="W232" s="291"/>
      <c r="X232" s="291"/>
      <c r="Y232" s="291"/>
      <c r="Z232" s="291"/>
      <c r="AA232" s="291"/>
      <c r="AB232" s="1883"/>
      <c r="AC232" s="1883"/>
      <c r="AD232" s="1883"/>
    </row>
    <row r="233" spans="1:30" x14ac:dyDescent="0.25">
      <c r="A233" s="1868" t="s">
        <v>730</v>
      </c>
      <c r="B233" s="1869" t="s">
        <v>713</v>
      </c>
      <c r="C233" s="1868"/>
      <c r="D233" s="1868"/>
      <c r="E233" s="1868"/>
      <c r="F233" s="1868"/>
      <c r="G233" s="1882"/>
      <c r="H233" s="292"/>
      <c r="I233" s="1872">
        <f>+$F233</f>
        <v>0</v>
      </c>
      <c r="J233" s="291"/>
      <c r="K233" s="291"/>
      <c r="L233" s="291"/>
      <c r="M233" s="291"/>
      <c r="N233" s="291"/>
      <c r="O233" s="291"/>
      <c r="P233" s="291"/>
      <c r="Q233" s="291"/>
      <c r="R233" s="291"/>
      <c r="S233" s="291"/>
      <c r="T233" s="291"/>
      <c r="U233" s="291"/>
      <c r="V233" s="291"/>
      <c r="W233" s="291"/>
      <c r="X233" s="291"/>
      <c r="Y233" s="291"/>
      <c r="Z233" s="291"/>
      <c r="AA233" s="291"/>
      <c r="AB233" s="1883"/>
      <c r="AC233" s="1883"/>
      <c r="AD233" s="1883"/>
    </row>
    <row r="234" spans="1:30" x14ac:dyDescent="0.25">
      <c r="A234" s="1868" t="s">
        <v>730</v>
      </c>
      <c r="B234" s="1869" t="s">
        <v>714</v>
      </c>
      <c r="C234" s="1868"/>
      <c r="D234" s="1868"/>
      <c r="E234" s="1868"/>
      <c r="F234" s="1868"/>
      <c r="G234" s="1882"/>
      <c r="H234" s="292"/>
      <c r="I234" s="292"/>
      <c r="J234" s="1872">
        <f>+$F234</f>
        <v>0</v>
      </c>
      <c r="K234" s="291"/>
      <c r="L234" s="291"/>
      <c r="M234" s="291"/>
      <c r="N234" s="291"/>
      <c r="O234" s="291"/>
      <c r="P234" s="291"/>
      <c r="Q234" s="291"/>
      <c r="R234" s="291"/>
      <c r="S234" s="291"/>
      <c r="T234" s="291"/>
      <c r="U234" s="291"/>
      <c r="V234" s="291"/>
      <c r="W234" s="291"/>
      <c r="X234" s="291"/>
      <c r="Y234" s="291"/>
      <c r="Z234" s="291"/>
      <c r="AA234" s="291"/>
      <c r="AB234" s="1883"/>
      <c r="AC234" s="1883"/>
      <c r="AD234" s="1883"/>
    </row>
    <row r="235" spans="1:30" x14ac:dyDescent="0.25">
      <c r="A235" s="1868" t="s">
        <v>730</v>
      </c>
      <c r="B235" s="1869" t="s">
        <v>715</v>
      </c>
      <c r="C235" s="1868"/>
      <c r="D235" s="1868"/>
      <c r="E235" s="1868"/>
      <c r="F235" s="1868"/>
      <c r="G235" s="1882"/>
      <c r="H235" s="292"/>
      <c r="I235" s="292"/>
      <c r="J235" s="292"/>
      <c r="K235" s="1872">
        <f>+$F235</f>
        <v>0</v>
      </c>
      <c r="L235" s="291"/>
      <c r="M235" s="291"/>
      <c r="N235" s="291"/>
      <c r="O235" s="291"/>
      <c r="P235" s="291"/>
      <c r="Q235" s="291"/>
      <c r="R235" s="291"/>
      <c r="S235" s="291"/>
      <c r="T235" s="291"/>
      <c r="U235" s="291"/>
      <c r="V235" s="291"/>
      <c r="W235" s="291"/>
      <c r="X235" s="291"/>
      <c r="Y235" s="291"/>
      <c r="Z235" s="291"/>
      <c r="AA235" s="291"/>
      <c r="AB235" s="1883"/>
      <c r="AC235" s="1883"/>
      <c r="AD235" s="1883"/>
    </row>
    <row r="236" spans="1:30" x14ac:dyDescent="0.25">
      <c r="A236" s="1868" t="s">
        <v>730</v>
      </c>
      <c r="B236" s="1869" t="s">
        <v>716</v>
      </c>
      <c r="C236" s="1868"/>
      <c r="D236" s="1868"/>
      <c r="E236" s="1868"/>
      <c r="F236" s="1868"/>
      <c r="G236" s="1882"/>
      <c r="H236" s="292"/>
      <c r="I236" s="292"/>
      <c r="J236" s="292"/>
      <c r="K236" s="292"/>
      <c r="L236" s="1872">
        <f>+$F236</f>
        <v>0</v>
      </c>
      <c r="M236" s="291"/>
      <c r="N236" s="291"/>
      <c r="O236" s="291"/>
      <c r="P236" s="291"/>
      <c r="Q236" s="291"/>
      <c r="R236" s="291"/>
      <c r="S236" s="291"/>
      <c r="T236" s="291"/>
      <c r="U236" s="291"/>
      <c r="V236" s="291"/>
      <c r="W236" s="291"/>
      <c r="X236" s="291"/>
      <c r="Y236" s="291"/>
      <c r="Z236" s="291"/>
      <c r="AA236" s="291"/>
      <c r="AB236" s="1883"/>
      <c r="AC236" s="1883"/>
      <c r="AD236" s="1883"/>
    </row>
    <row r="237" spans="1:30" x14ac:dyDescent="0.25">
      <c r="A237" s="1868" t="s">
        <v>730</v>
      </c>
      <c r="B237" s="1869" t="s">
        <v>717</v>
      </c>
      <c r="C237" s="1868"/>
      <c r="D237" s="1868"/>
      <c r="E237" s="1868"/>
      <c r="F237" s="1868"/>
      <c r="G237" s="1882"/>
      <c r="H237" s="292"/>
      <c r="I237" s="292"/>
      <c r="J237" s="292"/>
      <c r="K237" s="292"/>
      <c r="L237" s="292"/>
      <c r="M237" s="1872">
        <f>+$F237</f>
        <v>0</v>
      </c>
      <c r="N237" s="291"/>
      <c r="O237" s="291"/>
      <c r="P237" s="291"/>
      <c r="Q237" s="291"/>
      <c r="R237" s="291"/>
      <c r="S237" s="291"/>
      <c r="T237" s="291"/>
      <c r="U237" s="291"/>
      <c r="V237" s="291"/>
      <c r="W237" s="291"/>
      <c r="X237" s="291"/>
      <c r="Y237" s="291"/>
      <c r="Z237" s="291"/>
      <c r="AA237" s="291"/>
      <c r="AB237" s="1883"/>
      <c r="AC237" s="1883"/>
      <c r="AD237" s="1883"/>
    </row>
    <row r="238" spans="1:30" x14ac:dyDescent="0.25">
      <c r="A238" s="1868" t="s">
        <v>730</v>
      </c>
      <c r="B238" s="1869" t="s">
        <v>718</v>
      </c>
      <c r="C238" s="1868"/>
      <c r="D238" s="1868"/>
      <c r="E238" s="1868"/>
      <c r="F238" s="1868"/>
      <c r="G238" s="1882"/>
      <c r="H238" s="292"/>
      <c r="I238" s="292"/>
      <c r="J238" s="292"/>
      <c r="K238" s="292"/>
      <c r="L238" s="292"/>
      <c r="M238" s="292"/>
      <c r="N238" s="1872">
        <f>+$F238</f>
        <v>0</v>
      </c>
      <c r="O238" s="291"/>
      <c r="P238" s="291"/>
      <c r="Q238" s="291"/>
      <c r="R238" s="291"/>
      <c r="S238" s="291"/>
      <c r="T238" s="291"/>
      <c r="U238" s="291"/>
      <c r="V238" s="291"/>
      <c r="W238" s="291"/>
      <c r="X238" s="291"/>
      <c r="Y238" s="291"/>
      <c r="Z238" s="291"/>
      <c r="AA238" s="291"/>
      <c r="AB238" s="1883"/>
      <c r="AC238" s="1883"/>
      <c r="AD238" s="1883"/>
    </row>
    <row r="239" spans="1:30" x14ac:dyDescent="0.25">
      <c r="A239" s="1868" t="s">
        <v>730</v>
      </c>
      <c r="B239" s="1869" t="s">
        <v>719</v>
      </c>
      <c r="C239" s="1868"/>
      <c r="D239" s="1868"/>
      <c r="E239" s="1868"/>
      <c r="F239" s="1868"/>
      <c r="G239" s="1882"/>
      <c r="H239" s="292"/>
      <c r="I239" s="292"/>
      <c r="J239" s="292"/>
      <c r="K239" s="292"/>
      <c r="L239" s="292"/>
      <c r="M239" s="292"/>
      <c r="N239" s="292"/>
      <c r="O239" s="1872">
        <f>+$F239</f>
        <v>0</v>
      </c>
      <c r="P239" s="291"/>
      <c r="Q239" s="291"/>
      <c r="R239" s="291"/>
      <c r="S239" s="291"/>
      <c r="T239" s="291"/>
      <c r="U239" s="291"/>
      <c r="V239" s="291"/>
      <c r="W239" s="291"/>
      <c r="X239" s="291"/>
      <c r="Y239" s="291"/>
      <c r="Z239" s="291"/>
      <c r="AA239" s="291"/>
      <c r="AB239" s="1883"/>
      <c r="AC239" s="1883"/>
      <c r="AD239" s="1883"/>
    </row>
    <row r="240" spans="1:30" x14ac:dyDescent="0.25">
      <c r="A240" s="1868" t="s">
        <v>730</v>
      </c>
      <c r="B240" s="1869" t="s">
        <v>720</v>
      </c>
      <c r="C240" s="1892">
        <f>161352376/(10^7)</f>
        <v>16.1352376</v>
      </c>
      <c r="D240" s="1892">
        <f>2889062/(10^7)</f>
        <v>0.2889062</v>
      </c>
      <c r="E240" s="1892">
        <f>740402.54/(10^7)</f>
        <v>7.4040254E-2</v>
      </c>
      <c r="F240" s="1892">
        <f>(107162595.5-95583015)/(10^7)</f>
        <v>1.15795805</v>
      </c>
      <c r="G240" s="1882"/>
      <c r="H240" s="292"/>
      <c r="I240" s="292"/>
      <c r="J240" s="292"/>
      <c r="K240" s="292"/>
      <c r="L240" s="292"/>
      <c r="M240" s="292"/>
      <c r="N240" s="292"/>
      <c r="O240" s="292"/>
      <c r="P240" s="1872">
        <f>+$F240</f>
        <v>1.15795805</v>
      </c>
      <c r="Q240" s="291"/>
      <c r="R240" s="291"/>
      <c r="S240" s="291"/>
      <c r="T240" s="291"/>
      <c r="U240" s="291"/>
      <c r="V240" s="291"/>
      <c r="W240" s="291"/>
      <c r="X240" s="291"/>
      <c r="Y240" s="291"/>
      <c r="Z240" s="291"/>
      <c r="AA240" s="291"/>
      <c r="AB240" s="1883"/>
      <c r="AC240" s="1883"/>
      <c r="AD240" s="1883"/>
    </row>
    <row r="241" spans="1:30" x14ac:dyDescent="0.25">
      <c r="A241" s="1868" t="s">
        <v>730</v>
      </c>
      <c r="B241" s="1869" t="s">
        <v>721</v>
      </c>
      <c r="C241" s="1892">
        <f>+C240+D240-E240-F240</f>
        <v>15.192145496</v>
      </c>
      <c r="D241" s="1892">
        <f>1797954/(10^7)</f>
        <v>0.17979539999999999</v>
      </c>
      <c r="E241" s="1892">
        <f>(3771080.52-958209.5)/(10^7)</f>
        <v>0.28128710200000001</v>
      </c>
      <c r="F241" s="1892">
        <f>(116195399-107162595.5)/(10^7)</f>
        <v>0.90328034999999995</v>
      </c>
      <c r="G241" s="1882"/>
      <c r="H241" s="292"/>
      <c r="I241" s="292"/>
      <c r="J241" s="292"/>
      <c r="K241" s="292"/>
      <c r="L241" s="292"/>
      <c r="M241" s="292"/>
      <c r="N241" s="292"/>
      <c r="O241" s="292"/>
      <c r="P241" s="292"/>
      <c r="Q241" s="1872">
        <f>+$F241</f>
        <v>0.90328034999999995</v>
      </c>
      <c r="R241" s="291"/>
      <c r="S241" s="291"/>
      <c r="T241" s="291"/>
      <c r="U241" s="291"/>
      <c r="V241" s="291"/>
      <c r="W241" s="291"/>
      <c r="X241" s="291"/>
      <c r="Y241" s="291"/>
      <c r="Z241" s="291"/>
      <c r="AA241" s="291"/>
      <c r="AB241" s="1883"/>
      <c r="AC241" s="1883"/>
      <c r="AD241" s="1883"/>
    </row>
    <row r="242" spans="1:30" x14ac:dyDescent="0.25">
      <c r="A242" s="1868" t="s">
        <v>730</v>
      </c>
      <c r="B242" s="1869" t="s">
        <v>722</v>
      </c>
      <c r="C242" s="1892">
        <f t="shared" ref="C242:C251" si="19">+C241+D241-E241-F241</f>
        <v>14.187373444</v>
      </c>
      <c r="D242" s="1892">
        <f>5292383.64/(10^7)</f>
        <v>0.52923836400000002</v>
      </c>
      <c r="E242" s="1892">
        <f>9940653.55/(10^7)</f>
        <v>0.99406535500000004</v>
      </c>
      <c r="F242" s="1892">
        <f>(120105999-116195399)/(10^7)</f>
        <v>0.39106000000000002</v>
      </c>
      <c r="G242" s="1882"/>
      <c r="H242" s="292"/>
      <c r="I242" s="292"/>
      <c r="J242" s="292"/>
      <c r="K242" s="292"/>
      <c r="L242" s="292"/>
      <c r="M242" s="292"/>
      <c r="N242" s="292"/>
      <c r="O242" s="292"/>
      <c r="P242" s="292"/>
      <c r="Q242" s="292"/>
      <c r="R242" s="1872">
        <f>+$F242</f>
        <v>0.39106000000000002</v>
      </c>
      <c r="S242" s="291"/>
      <c r="T242" s="291"/>
      <c r="U242" s="291"/>
      <c r="V242" s="291"/>
      <c r="W242" s="291"/>
      <c r="X242" s="291"/>
      <c r="Y242" s="291"/>
      <c r="Z242" s="291"/>
      <c r="AA242" s="291"/>
      <c r="AB242" s="1883"/>
      <c r="AC242" s="1883"/>
      <c r="AD242" s="1883"/>
    </row>
    <row r="243" spans="1:30" x14ac:dyDescent="0.25">
      <c r="A243" s="1868" t="s">
        <v>730</v>
      </c>
      <c r="B243" s="1869" t="s">
        <v>723</v>
      </c>
      <c r="C243" s="1892">
        <f t="shared" si="19"/>
        <v>13.331486453</v>
      </c>
      <c r="D243" s="1892">
        <f>41842236/(10^7)</f>
        <v>4.1842236000000002</v>
      </c>
      <c r="E243" s="1892">
        <f>387744.15/(10^7)</f>
        <v>3.8774415E-2</v>
      </c>
      <c r="F243" s="1892">
        <f>(131433351-120105999)/(10^7)</f>
        <v>1.1327351999999999</v>
      </c>
      <c r="G243" s="1882"/>
      <c r="H243" s="292"/>
      <c r="I243" s="292"/>
      <c r="J243" s="292"/>
      <c r="K243" s="292"/>
      <c r="L243" s="292"/>
      <c r="M243" s="292"/>
      <c r="N243" s="292"/>
      <c r="O243" s="292"/>
      <c r="P243" s="292"/>
      <c r="Q243" s="292"/>
      <c r="R243" s="292"/>
      <c r="S243" s="1872">
        <f>+$F243</f>
        <v>1.1327351999999999</v>
      </c>
      <c r="T243" s="291"/>
      <c r="U243" s="291"/>
      <c r="V243" s="291"/>
      <c r="W243" s="291"/>
      <c r="X243" s="291"/>
      <c r="Y243" s="291"/>
      <c r="Z243" s="291"/>
      <c r="AA243" s="291"/>
      <c r="AB243" s="1883"/>
      <c r="AC243" s="1883"/>
      <c r="AD243" s="1883"/>
    </row>
    <row r="244" spans="1:30" x14ac:dyDescent="0.25">
      <c r="A244" s="1868" t="s">
        <v>730</v>
      </c>
      <c r="B244" s="1869" t="s">
        <v>724</v>
      </c>
      <c r="C244" s="1892">
        <f t="shared" si="19"/>
        <v>16.344200438000001</v>
      </c>
      <c r="D244" s="1892">
        <f>2058268/(10^7)</f>
        <v>0.2058268</v>
      </c>
      <c r="E244" s="1892">
        <f>4582.37/(10^7)</f>
        <v>4.5823700000000001E-4</v>
      </c>
      <c r="F244" s="1892">
        <f>(142369035.5-131433351)/(10^7)</f>
        <v>1.09356845</v>
      </c>
      <c r="G244" s="1882"/>
      <c r="H244" s="292"/>
      <c r="I244" s="292"/>
      <c r="J244" s="292"/>
      <c r="K244" s="292"/>
      <c r="L244" s="292"/>
      <c r="M244" s="292"/>
      <c r="N244" s="292"/>
      <c r="O244" s="292"/>
      <c r="P244" s="292"/>
      <c r="Q244" s="292"/>
      <c r="R244" s="292"/>
      <c r="S244" s="292"/>
      <c r="T244" s="1872">
        <f>+$F244</f>
        <v>1.09356845</v>
      </c>
      <c r="U244" s="291"/>
      <c r="V244" s="291"/>
      <c r="W244" s="291"/>
      <c r="X244" s="291"/>
      <c r="Y244" s="291"/>
      <c r="Z244" s="291"/>
      <c r="AA244" s="291"/>
      <c r="AB244" s="1883"/>
      <c r="AC244" s="1883"/>
      <c r="AD244" s="1883"/>
    </row>
    <row r="245" spans="1:30" x14ac:dyDescent="0.25">
      <c r="A245" s="1868" t="s">
        <v>730</v>
      </c>
      <c r="B245" s="1869" t="s">
        <v>725</v>
      </c>
      <c r="C245" s="1892">
        <f t="shared" si="19"/>
        <v>15.456000551000002</v>
      </c>
      <c r="D245" s="1892">
        <f>21249317/(10^7)</f>
        <v>2.1249316999999999</v>
      </c>
      <c r="E245" s="1892">
        <f>5812183.14/(10^7)</f>
        <v>0.58121831400000001</v>
      </c>
      <c r="F245" s="1892">
        <f>(149103760-142369035.5)/(10^7)</f>
        <v>0.67347245</v>
      </c>
      <c r="G245" s="1882"/>
      <c r="H245" s="292"/>
      <c r="I245" s="292"/>
      <c r="J245" s="292"/>
      <c r="K245" s="292"/>
      <c r="L245" s="292"/>
      <c r="M245" s="292"/>
      <c r="N245" s="292"/>
      <c r="O245" s="292"/>
      <c r="P245" s="292"/>
      <c r="Q245" s="292"/>
      <c r="R245" s="292"/>
      <c r="S245" s="292"/>
      <c r="T245" s="292"/>
      <c r="U245" s="1872">
        <f>+$F245</f>
        <v>0.67347245</v>
      </c>
      <c r="V245" s="291"/>
      <c r="W245" s="291"/>
      <c r="X245" s="291"/>
      <c r="Y245" s="291"/>
      <c r="Z245" s="291"/>
      <c r="AA245" s="291"/>
      <c r="AB245" s="1883"/>
      <c r="AC245" s="1883"/>
      <c r="AD245" s="1883"/>
    </row>
    <row r="246" spans="1:30" x14ac:dyDescent="0.25">
      <c r="A246" s="1868" t="s">
        <v>730</v>
      </c>
      <c r="B246" s="1869" t="s">
        <v>731</v>
      </c>
      <c r="C246" s="1892">
        <f t="shared" si="19"/>
        <v>16.326241487000004</v>
      </c>
      <c r="D246" s="1892">
        <f>73164290.42/(10^7)</f>
        <v>7.3164290420000002</v>
      </c>
      <c r="E246" s="1892">
        <f>5239188.92/(10^7)</f>
        <v>0.52391889199999997</v>
      </c>
      <c r="F246" s="1892">
        <f>(157463607.68-149103760)/(10^7)</f>
        <v>0.83598476800000077</v>
      </c>
      <c r="G246" s="1886"/>
      <c r="H246" s="292"/>
      <c r="I246" s="292"/>
      <c r="J246" s="292"/>
      <c r="K246" s="292"/>
      <c r="L246" s="292"/>
      <c r="M246" s="292"/>
      <c r="N246" s="292"/>
      <c r="O246" s="292"/>
      <c r="P246" s="292"/>
      <c r="Q246" s="292"/>
      <c r="R246" s="292"/>
      <c r="S246" s="292"/>
      <c r="T246" s="292"/>
      <c r="U246" s="292"/>
      <c r="V246" s="1872">
        <f>+$F246</f>
        <v>0.83598476800000077</v>
      </c>
      <c r="W246" s="291"/>
      <c r="X246" s="291"/>
      <c r="Y246" s="291"/>
      <c r="Z246" s="291"/>
      <c r="AA246" s="291"/>
      <c r="AB246" s="1883"/>
      <c r="AC246" s="1883"/>
      <c r="AD246" s="1883"/>
    </row>
    <row r="247" spans="1:30" x14ac:dyDescent="0.25">
      <c r="A247" s="1868" t="s">
        <v>730</v>
      </c>
      <c r="B247" s="1869" t="s">
        <v>732</v>
      </c>
      <c r="C247" s="1892">
        <f t="shared" si="19"/>
        <v>22.282766869000003</v>
      </c>
      <c r="D247" s="1892">
        <f>60388527.92/(10^7)</f>
        <v>6.0388527920000001</v>
      </c>
      <c r="E247" s="1892">
        <f>-1287122.82/(10^7)</f>
        <v>-0.12871228200000001</v>
      </c>
      <c r="F247" s="1892">
        <f>(171294444-157463607.68)/(10^7)</f>
        <v>1.3830836319999993</v>
      </c>
      <c r="G247" s="1886"/>
      <c r="H247" s="292"/>
      <c r="I247" s="292"/>
      <c r="J247" s="292"/>
      <c r="K247" s="292"/>
      <c r="L247" s="292"/>
      <c r="M247" s="292"/>
      <c r="N247" s="292"/>
      <c r="O247" s="292"/>
      <c r="P247" s="292"/>
      <c r="Q247" s="292"/>
      <c r="R247" s="292"/>
      <c r="S247" s="292"/>
      <c r="T247" s="292"/>
      <c r="U247" s="292"/>
      <c r="V247" s="292"/>
      <c r="W247" s="1872">
        <f>+$F247</f>
        <v>1.3830836319999993</v>
      </c>
      <c r="X247" s="291"/>
      <c r="Y247" s="291"/>
      <c r="Z247" s="291"/>
      <c r="AA247" s="291"/>
      <c r="AB247" s="1883"/>
      <c r="AC247" s="1883"/>
      <c r="AD247" s="1883"/>
    </row>
    <row r="248" spans="1:30" x14ac:dyDescent="0.25">
      <c r="A248" s="1868" t="s">
        <v>730</v>
      </c>
      <c r="B248" s="1869" t="s">
        <v>733</v>
      </c>
      <c r="C248" s="1892">
        <f t="shared" si="19"/>
        <v>27.067248311000004</v>
      </c>
      <c r="D248" s="1892">
        <f>47747685/(10^7)</f>
        <v>4.7747685000000004</v>
      </c>
      <c r="E248" s="1892">
        <f>396071.26/(10^7)</f>
        <v>3.9607125999999999E-2</v>
      </c>
      <c r="F248" s="1892">
        <f>(188297874.5-171294444)/(10^7)</f>
        <v>1.7003430500000001</v>
      </c>
      <c r="G248" s="1886"/>
      <c r="H248" s="292"/>
      <c r="I248" s="292"/>
      <c r="J248" s="292"/>
      <c r="K248" s="292"/>
      <c r="L248" s="292"/>
      <c r="M248" s="292"/>
      <c r="N248" s="292"/>
      <c r="O248" s="292"/>
      <c r="P248" s="292"/>
      <c r="Q248" s="292"/>
      <c r="R248" s="292"/>
      <c r="S248" s="292"/>
      <c r="T248" s="292"/>
      <c r="U248" s="292"/>
      <c r="V248" s="292"/>
      <c r="W248" s="292"/>
      <c r="X248" s="1872">
        <f>+$F248</f>
        <v>1.7003430500000001</v>
      </c>
      <c r="Y248" s="291"/>
      <c r="Z248" s="291"/>
      <c r="AA248" s="291"/>
      <c r="AB248" s="1883"/>
      <c r="AC248" s="1883"/>
      <c r="AD248" s="1883"/>
    </row>
    <row r="249" spans="1:30" x14ac:dyDescent="0.25">
      <c r="A249" s="1868" t="s">
        <v>730</v>
      </c>
      <c r="B249" s="1869" t="s">
        <v>734</v>
      </c>
      <c r="C249" s="1892">
        <f t="shared" si="19"/>
        <v>30.102066635000003</v>
      </c>
      <c r="D249" s="1892">
        <f>'F5'!E44</f>
        <v>5.5364374226257285</v>
      </c>
      <c r="E249" s="1892">
        <f>'F5'!F44</f>
        <v>3.9607125999999999E-2</v>
      </c>
      <c r="F249" s="1892"/>
      <c r="G249" s="1886"/>
      <c r="H249" s="292"/>
      <c r="I249" s="292"/>
      <c r="J249" s="292"/>
      <c r="K249" s="292"/>
      <c r="L249" s="292"/>
      <c r="M249" s="292"/>
      <c r="N249" s="292"/>
      <c r="O249" s="292"/>
      <c r="P249" s="292"/>
      <c r="Q249" s="292"/>
      <c r="R249" s="292"/>
      <c r="S249" s="292"/>
      <c r="T249" s="292"/>
      <c r="U249" s="292"/>
      <c r="V249" s="292"/>
      <c r="W249" s="292"/>
      <c r="X249" s="292"/>
      <c r="Y249" s="1872">
        <f>+$F249</f>
        <v>0</v>
      </c>
      <c r="Z249" s="291"/>
      <c r="AA249" s="291"/>
      <c r="AB249" s="1883"/>
      <c r="AC249" s="1883"/>
      <c r="AD249" s="1883"/>
    </row>
    <row r="250" spans="1:30" x14ac:dyDescent="0.25">
      <c r="A250" s="1868" t="s">
        <v>730</v>
      </c>
      <c r="B250" s="1869" t="s">
        <v>735</v>
      </c>
      <c r="C250" s="1892">
        <f t="shared" si="19"/>
        <v>35.598896931625731</v>
      </c>
      <c r="D250" s="1892">
        <f>'F5'!I44</f>
        <v>37.081253679900357</v>
      </c>
      <c r="E250" s="1892">
        <f>'F5'!J44</f>
        <v>3.9607125999999999E-2</v>
      </c>
      <c r="F250" s="284"/>
      <c r="G250" s="1886"/>
      <c r="H250" s="292"/>
      <c r="I250" s="292"/>
      <c r="J250" s="292"/>
      <c r="K250" s="292"/>
      <c r="L250" s="292"/>
      <c r="M250" s="292"/>
      <c r="N250" s="292"/>
      <c r="O250" s="292"/>
      <c r="P250" s="292"/>
      <c r="Q250" s="292"/>
      <c r="R250" s="292"/>
      <c r="S250" s="292"/>
      <c r="T250" s="292"/>
      <c r="U250" s="292"/>
      <c r="V250" s="292"/>
      <c r="W250" s="292"/>
      <c r="X250" s="292"/>
      <c r="Y250" s="292"/>
      <c r="Z250" s="1872">
        <f>+$F250</f>
        <v>0</v>
      </c>
      <c r="AA250" s="291"/>
      <c r="AB250" s="1883"/>
      <c r="AC250" s="1883"/>
      <c r="AD250" s="1883"/>
    </row>
    <row r="251" spans="1:30" x14ac:dyDescent="0.25">
      <c r="A251" s="1868" t="s">
        <v>730</v>
      </c>
      <c r="B251" s="1869" t="s">
        <v>736</v>
      </c>
      <c r="C251" s="1892">
        <f t="shared" si="19"/>
        <v>72.640543485526081</v>
      </c>
      <c r="D251" s="1892">
        <f>'F5'!M44</f>
        <v>31.963283767004505</v>
      </c>
      <c r="E251" s="1892">
        <f>'F5'!N44</f>
        <v>3.9607125999999999E-2</v>
      </c>
      <c r="F251" s="284"/>
      <c r="G251" s="1886"/>
      <c r="H251" s="292"/>
      <c r="I251" s="292"/>
      <c r="J251" s="292"/>
      <c r="K251" s="292"/>
      <c r="L251" s="292"/>
      <c r="M251" s="292"/>
      <c r="N251" s="292"/>
      <c r="O251" s="292"/>
      <c r="P251" s="292"/>
      <c r="Q251" s="292"/>
      <c r="R251" s="292"/>
      <c r="S251" s="292"/>
      <c r="T251" s="292"/>
      <c r="U251" s="292"/>
      <c r="V251" s="292"/>
      <c r="W251" s="292"/>
      <c r="X251" s="292"/>
      <c r="Y251" s="292"/>
      <c r="Z251" s="292"/>
      <c r="AA251" s="1872">
        <f>+$F251</f>
        <v>0</v>
      </c>
      <c r="AB251" s="1883"/>
      <c r="AC251" s="1883"/>
      <c r="AD251" s="1883"/>
    </row>
    <row r="252" spans="1:30" ht="13" x14ac:dyDescent="0.3">
      <c r="A252" s="1873"/>
      <c r="B252" s="1874" t="s">
        <v>145</v>
      </c>
      <c r="C252" s="1896">
        <f>C240+D252-E252</f>
        <v>113.83570607653057</v>
      </c>
      <c r="D252" s="1896">
        <f t="shared" ref="D252:F252" si="20">SUM(D231:D251)</f>
        <v>100.22394726753058</v>
      </c>
      <c r="E252" s="1896">
        <f t="shared" si="20"/>
        <v>2.5234787910000001</v>
      </c>
      <c r="F252" s="285">
        <f t="shared" si="20"/>
        <v>9.2714859499999989</v>
      </c>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row>
    <row r="253" spans="1:30" x14ac:dyDescent="0.25">
      <c r="C253" s="1888"/>
      <c r="D253" s="1888"/>
      <c r="E253" s="1888"/>
    </row>
    <row r="256" spans="1:30" ht="13" x14ac:dyDescent="0.3">
      <c r="B256" s="1861" t="s">
        <v>1952</v>
      </c>
      <c r="H256" s="1862" t="s">
        <v>16</v>
      </c>
    </row>
    <row r="257" spans="1:30" ht="26" x14ac:dyDescent="0.35">
      <c r="A257" s="1863"/>
      <c r="B257" s="1880" t="s">
        <v>746</v>
      </c>
      <c r="C257" s="2498" t="s">
        <v>890</v>
      </c>
      <c r="D257" s="2498" t="s">
        <v>1946</v>
      </c>
      <c r="E257" s="2498" t="s">
        <v>1947</v>
      </c>
      <c r="F257" s="2498" t="s">
        <v>711</v>
      </c>
      <c r="G257" s="2498" t="s">
        <v>747</v>
      </c>
      <c r="H257" s="2500" t="s">
        <v>748</v>
      </c>
      <c r="I257" s="2500"/>
      <c r="J257" s="2500"/>
      <c r="K257" s="2500"/>
      <c r="L257" s="2500"/>
      <c r="M257" s="2500"/>
      <c r="N257" s="2500"/>
      <c r="O257" s="2500"/>
      <c r="P257" s="2500"/>
      <c r="Q257" s="2500"/>
      <c r="R257" s="2500"/>
      <c r="S257" s="2500"/>
      <c r="T257" s="2500"/>
      <c r="U257" s="2500"/>
      <c r="V257" s="2500"/>
      <c r="W257" s="2500"/>
      <c r="X257" s="2500"/>
      <c r="Y257" s="2500"/>
      <c r="Z257" s="2500"/>
      <c r="AA257" s="2500"/>
      <c r="AB257" s="1864" t="s">
        <v>726</v>
      </c>
      <c r="AC257" s="1864" t="s">
        <v>727</v>
      </c>
      <c r="AD257" s="1864" t="s">
        <v>728</v>
      </c>
    </row>
    <row r="258" spans="1:30" ht="13" x14ac:dyDescent="0.25">
      <c r="A258" s="1863"/>
      <c r="B258" s="1880"/>
      <c r="C258" s="2499"/>
      <c r="D258" s="2499"/>
      <c r="E258" s="2499"/>
      <c r="F258" s="2499"/>
      <c r="G258" s="2499"/>
      <c r="H258" s="1865" t="s">
        <v>712</v>
      </c>
      <c r="I258" s="1865" t="s">
        <v>713</v>
      </c>
      <c r="J258" s="1865" t="s">
        <v>714</v>
      </c>
      <c r="K258" s="1865" t="s">
        <v>715</v>
      </c>
      <c r="L258" s="1865" t="s">
        <v>716</v>
      </c>
      <c r="M258" s="1865" t="s">
        <v>717</v>
      </c>
      <c r="N258" s="1865" t="s">
        <v>718</v>
      </c>
      <c r="O258" s="1865" t="s">
        <v>719</v>
      </c>
      <c r="P258" s="1865" t="s">
        <v>720</v>
      </c>
      <c r="Q258" s="1865" t="s">
        <v>721</v>
      </c>
      <c r="R258" s="1865" t="s">
        <v>722</v>
      </c>
      <c r="S258" s="1865" t="s">
        <v>723</v>
      </c>
      <c r="T258" s="1865" t="s">
        <v>724</v>
      </c>
      <c r="U258" s="1865" t="s">
        <v>725</v>
      </c>
      <c r="V258" s="1865" t="s">
        <v>179</v>
      </c>
      <c r="W258" s="1865" t="s">
        <v>186</v>
      </c>
      <c r="X258" s="1865" t="s">
        <v>426</v>
      </c>
      <c r="Y258" s="1865" t="s">
        <v>427</v>
      </c>
      <c r="Z258" s="1865" t="s">
        <v>428</v>
      </c>
      <c r="AA258" s="1865" t="s">
        <v>429</v>
      </c>
      <c r="AB258" s="1864"/>
      <c r="AC258" s="1864"/>
      <c r="AD258" s="1864"/>
    </row>
    <row r="259" spans="1:30" x14ac:dyDescent="0.25">
      <c r="A259" s="1868" t="s">
        <v>729</v>
      </c>
      <c r="B259" s="1869">
        <v>2005</v>
      </c>
      <c r="C259" s="1891"/>
      <c r="D259" s="1891"/>
      <c r="E259" s="1891"/>
      <c r="F259" s="1891"/>
      <c r="G259" s="1882"/>
      <c r="H259" s="291"/>
      <c r="I259" s="291"/>
      <c r="J259" s="291"/>
      <c r="K259" s="291"/>
      <c r="L259" s="291"/>
      <c r="M259" s="291"/>
      <c r="N259" s="291"/>
      <c r="O259" s="291"/>
      <c r="P259" s="291"/>
      <c r="Q259" s="291"/>
      <c r="R259" s="291"/>
      <c r="S259" s="291"/>
      <c r="T259" s="291"/>
      <c r="U259" s="291"/>
      <c r="V259" s="291"/>
      <c r="W259" s="291"/>
      <c r="X259" s="291"/>
      <c r="Y259" s="291"/>
      <c r="Z259" s="291"/>
      <c r="AA259" s="291"/>
      <c r="AB259" s="1883"/>
      <c r="AC259" s="1883"/>
      <c r="AD259" s="1883"/>
    </row>
    <row r="260" spans="1:30" x14ac:dyDescent="0.25">
      <c r="A260" s="1868" t="s">
        <v>730</v>
      </c>
      <c r="B260" s="1869" t="s">
        <v>712</v>
      </c>
      <c r="C260" s="1891"/>
      <c r="D260" s="1891"/>
      <c r="E260" s="1891"/>
      <c r="F260" s="1891"/>
      <c r="G260" s="1882"/>
      <c r="H260" s="1872">
        <f>+$F260</f>
        <v>0</v>
      </c>
      <c r="I260" s="291"/>
      <c r="J260" s="291"/>
      <c r="K260" s="291"/>
      <c r="L260" s="291"/>
      <c r="M260" s="291"/>
      <c r="N260" s="291"/>
      <c r="O260" s="291"/>
      <c r="P260" s="291"/>
      <c r="Q260" s="291"/>
      <c r="R260" s="291"/>
      <c r="S260" s="291"/>
      <c r="T260" s="291"/>
      <c r="U260" s="291"/>
      <c r="V260" s="291"/>
      <c r="W260" s="291"/>
      <c r="X260" s="291"/>
      <c r="Y260" s="291"/>
      <c r="Z260" s="291"/>
      <c r="AA260" s="291"/>
      <c r="AB260" s="1883"/>
      <c r="AC260" s="1883"/>
      <c r="AD260" s="1883"/>
    </row>
    <row r="261" spans="1:30" x14ac:dyDescent="0.25">
      <c r="A261" s="1868" t="s">
        <v>730</v>
      </c>
      <c r="B261" s="1869" t="s">
        <v>713</v>
      </c>
      <c r="C261" s="1891"/>
      <c r="D261" s="1891"/>
      <c r="E261" s="1891"/>
      <c r="F261" s="1891"/>
      <c r="G261" s="1882"/>
      <c r="H261" s="292"/>
      <c r="I261" s="1872">
        <f>+$F261</f>
        <v>0</v>
      </c>
      <c r="J261" s="291"/>
      <c r="K261" s="291"/>
      <c r="L261" s="291"/>
      <c r="M261" s="291"/>
      <c r="N261" s="291"/>
      <c r="O261" s="291"/>
      <c r="P261" s="291"/>
      <c r="Q261" s="291"/>
      <c r="R261" s="291"/>
      <c r="S261" s="291"/>
      <c r="T261" s="291"/>
      <c r="U261" s="291"/>
      <c r="V261" s="291"/>
      <c r="W261" s="291"/>
      <c r="X261" s="291"/>
      <c r="Y261" s="291"/>
      <c r="Z261" s="291"/>
      <c r="AA261" s="291"/>
      <c r="AB261" s="1883"/>
      <c r="AC261" s="1883"/>
      <c r="AD261" s="1883"/>
    </row>
    <row r="262" spans="1:30" x14ac:dyDescent="0.25">
      <c r="A262" s="1868" t="s">
        <v>730</v>
      </c>
      <c r="B262" s="1869" t="s">
        <v>714</v>
      </c>
      <c r="C262" s="1891"/>
      <c r="D262" s="1891"/>
      <c r="E262" s="1891"/>
      <c r="F262" s="1891"/>
      <c r="G262" s="1882"/>
      <c r="H262" s="292"/>
      <c r="I262" s="292"/>
      <c r="J262" s="1872">
        <f>+$F262</f>
        <v>0</v>
      </c>
      <c r="K262" s="291"/>
      <c r="L262" s="291"/>
      <c r="M262" s="291"/>
      <c r="N262" s="291"/>
      <c r="O262" s="291"/>
      <c r="P262" s="291"/>
      <c r="Q262" s="291"/>
      <c r="R262" s="291"/>
      <c r="S262" s="291"/>
      <c r="T262" s="291"/>
      <c r="U262" s="291"/>
      <c r="V262" s="291"/>
      <c r="W262" s="291"/>
      <c r="X262" s="291"/>
      <c r="Y262" s="291"/>
      <c r="Z262" s="291"/>
      <c r="AA262" s="291"/>
      <c r="AB262" s="1883"/>
      <c r="AC262" s="1883"/>
      <c r="AD262" s="1883"/>
    </row>
    <row r="263" spans="1:30" x14ac:dyDescent="0.25">
      <c r="A263" s="1868" t="s">
        <v>730</v>
      </c>
      <c r="B263" s="1869" t="s">
        <v>715</v>
      </c>
      <c r="C263" s="1891"/>
      <c r="D263" s="1891"/>
      <c r="E263" s="1891"/>
      <c r="F263" s="1891"/>
      <c r="G263" s="1882"/>
      <c r="H263" s="292"/>
      <c r="I263" s="292"/>
      <c r="J263" s="292"/>
      <c r="K263" s="1872">
        <f>+$F263</f>
        <v>0</v>
      </c>
      <c r="L263" s="291"/>
      <c r="M263" s="291"/>
      <c r="N263" s="291"/>
      <c r="O263" s="291"/>
      <c r="P263" s="291"/>
      <c r="Q263" s="291"/>
      <c r="R263" s="291"/>
      <c r="S263" s="291"/>
      <c r="T263" s="291"/>
      <c r="U263" s="291"/>
      <c r="V263" s="291"/>
      <c r="W263" s="291"/>
      <c r="X263" s="291"/>
      <c r="Y263" s="291"/>
      <c r="Z263" s="291"/>
      <c r="AA263" s="291"/>
      <c r="AB263" s="1883"/>
      <c r="AC263" s="1883"/>
      <c r="AD263" s="1883"/>
    </row>
    <row r="264" spans="1:30" x14ac:dyDescent="0.25">
      <c r="A264" s="1868" t="s">
        <v>730</v>
      </c>
      <c r="B264" s="1869" t="s">
        <v>716</v>
      </c>
      <c r="C264" s="1891"/>
      <c r="D264" s="1891"/>
      <c r="E264" s="1891"/>
      <c r="F264" s="1891"/>
      <c r="G264" s="1882"/>
      <c r="H264" s="292"/>
      <c r="I264" s="292"/>
      <c r="J264" s="292"/>
      <c r="K264" s="292"/>
      <c r="L264" s="1872">
        <f>+$F264</f>
        <v>0</v>
      </c>
      <c r="M264" s="291"/>
      <c r="N264" s="291"/>
      <c r="O264" s="291"/>
      <c r="P264" s="291"/>
      <c r="Q264" s="291"/>
      <c r="R264" s="291"/>
      <c r="S264" s="291"/>
      <c r="T264" s="291"/>
      <c r="U264" s="291"/>
      <c r="V264" s="291"/>
      <c r="W264" s="291"/>
      <c r="X264" s="291"/>
      <c r="Y264" s="291"/>
      <c r="Z264" s="291"/>
      <c r="AA264" s="291"/>
      <c r="AB264" s="1883"/>
      <c r="AC264" s="1883"/>
      <c r="AD264" s="1883"/>
    </row>
    <row r="265" spans="1:30" x14ac:dyDescent="0.25">
      <c r="A265" s="1868" t="s">
        <v>730</v>
      </c>
      <c r="B265" s="1869" t="s">
        <v>717</v>
      </c>
      <c r="C265" s="1891"/>
      <c r="D265" s="1891"/>
      <c r="E265" s="1891"/>
      <c r="F265" s="1891"/>
      <c r="G265" s="1882"/>
      <c r="H265" s="292"/>
      <c r="I265" s="292"/>
      <c r="J265" s="292"/>
      <c r="K265" s="292"/>
      <c r="L265" s="292"/>
      <c r="M265" s="1872">
        <f>+$F265</f>
        <v>0</v>
      </c>
      <c r="N265" s="291"/>
      <c r="O265" s="291"/>
      <c r="P265" s="291"/>
      <c r="Q265" s="291"/>
      <c r="R265" s="291"/>
      <c r="S265" s="291"/>
      <c r="T265" s="291"/>
      <c r="U265" s="291"/>
      <c r="V265" s="291"/>
      <c r="W265" s="291"/>
      <c r="X265" s="291"/>
      <c r="Y265" s="291"/>
      <c r="Z265" s="291"/>
      <c r="AA265" s="291"/>
      <c r="AB265" s="1883"/>
      <c r="AC265" s="1883"/>
      <c r="AD265" s="1883"/>
    </row>
    <row r="266" spans="1:30" x14ac:dyDescent="0.25">
      <c r="A266" s="1868" t="s">
        <v>730</v>
      </c>
      <c r="B266" s="1869" t="s">
        <v>718</v>
      </c>
      <c r="C266" s="1891"/>
      <c r="D266" s="1891"/>
      <c r="E266" s="1891"/>
      <c r="F266" s="1891"/>
      <c r="G266" s="1882"/>
      <c r="H266" s="292"/>
      <c r="I266" s="292"/>
      <c r="J266" s="292"/>
      <c r="K266" s="292"/>
      <c r="L266" s="292"/>
      <c r="M266" s="292"/>
      <c r="N266" s="1872">
        <f>+$F266</f>
        <v>0</v>
      </c>
      <c r="O266" s="291"/>
      <c r="P266" s="291"/>
      <c r="Q266" s="291"/>
      <c r="R266" s="291"/>
      <c r="S266" s="291"/>
      <c r="T266" s="291"/>
      <c r="U266" s="291"/>
      <c r="V266" s="291"/>
      <c r="W266" s="291"/>
      <c r="X266" s="291"/>
      <c r="Y266" s="291"/>
      <c r="Z266" s="291"/>
      <c r="AA266" s="291"/>
      <c r="AB266" s="1883"/>
      <c r="AC266" s="1883"/>
      <c r="AD266" s="1883"/>
    </row>
    <row r="267" spans="1:30" x14ac:dyDescent="0.25">
      <c r="A267" s="1868" t="s">
        <v>730</v>
      </c>
      <c r="B267" s="1869" t="s">
        <v>719</v>
      </c>
      <c r="C267" s="1891"/>
      <c r="D267" s="1891"/>
      <c r="E267" s="1891"/>
      <c r="F267" s="1891"/>
      <c r="G267" s="1882"/>
      <c r="H267" s="292"/>
      <c r="I267" s="292"/>
      <c r="J267" s="292"/>
      <c r="K267" s="292"/>
      <c r="L267" s="292"/>
      <c r="M267" s="292"/>
      <c r="N267" s="292"/>
      <c r="O267" s="1872">
        <f>+$F267</f>
        <v>0</v>
      </c>
      <c r="P267" s="291"/>
      <c r="Q267" s="291"/>
      <c r="R267" s="291"/>
      <c r="S267" s="291"/>
      <c r="T267" s="291"/>
      <c r="U267" s="291"/>
      <c r="V267" s="291"/>
      <c r="W267" s="291"/>
      <c r="X267" s="291"/>
      <c r="Y267" s="291"/>
      <c r="Z267" s="291"/>
      <c r="AA267" s="291"/>
      <c r="AB267" s="1883"/>
      <c r="AC267" s="1883"/>
      <c r="AD267" s="1883"/>
    </row>
    <row r="268" spans="1:30" x14ac:dyDescent="0.25">
      <c r="A268" s="1868" t="s">
        <v>730</v>
      </c>
      <c r="B268" s="1869" t="s">
        <v>720</v>
      </c>
      <c r="C268" s="1892">
        <f>76322/(10^7)</f>
        <v>7.6321999999999996E-3</v>
      </c>
      <c r="D268" s="1892">
        <f t="shared" ref="D268:D276" si="21">0/(10^7)</f>
        <v>0</v>
      </c>
      <c r="E268" s="1892">
        <f>12988.42/(10^7)</f>
        <v>1.2988419999999999E-3</v>
      </c>
      <c r="F268" s="1892">
        <f>(344906-356595)/(10^7)</f>
        <v>-1.1689000000000001E-3</v>
      </c>
      <c r="G268" s="1882"/>
      <c r="H268" s="292"/>
      <c r="I268" s="292"/>
      <c r="J268" s="292"/>
      <c r="K268" s="292"/>
      <c r="L268" s="292"/>
      <c r="M268" s="292"/>
      <c r="N268" s="292"/>
      <c r="O268" s="292"/>
      <c r="P268" s="1872">
        <f>+$F268</f>
        <v>-1.1689000000000001E-3</v>
      </c>
      <c r="Q268" s="291"/>
      <c r="R268" s="291"/>
      <c r="S268" s="291"/>
      <c r="T268" s="291"/>
      <c r="U268" s="291"/>
      <c r="V268" s="291"/>
      <c r="W268" s="291"/>
      <c r="X268" s="291"/>
      <c r="Y268" s="291"/>
      <c r="Z268" s="291"/>
      <c r="AA268" s="291"/>
      <c r="AB268" s="1883"/>
      <c r="AC268" s="1883"/>
      <c r="AD268" s="1883"/>
    </row>
    <row r="269" spans="1:30" x14ac:dyDescent="0.25">
      <c r="A269" s="1868" t="s">
        <v>730</v>
      </c>
      <c r="B269" s="1869" t="s">
        <v>721</v>
      </c>
      <c r="C269" s="1892">
        <f>+C268+D268-E268-F268</f>
        <v>7.5022579999999995E-3</v>
      </c>
      <c r="D269" s="1892">
        <f t="shared" si="21"/>
        <v>0</v>
      </c>
      <c r="E269" s="1892">
        <f t="shared" ref="E269:E276" si="22">0/(10^7)</f>
        <v>0</v>
      </c>
      <c r="F269" s="1892">
        <f>(344906-344906)/(10^7)</f>
        <v>0</v>
      </c>
      <c r="G269" s="1882"/>
      <c r="H269" s="292"/>
      <c r="I269" s="292"/>
      <c r="J269" s="292"/>
      <c r="K269" s="292"/>
      <c r="L269" s="292"/>
      <c r="M269" s="292"/>
      <c r="N269" s="292"/>
      <c r="O269" s="292"/>
      <c r="P269" s="292"/>
      <c r="Q269" s="1872">
        <f>+$F269</f>
        <v>0</v>
      </c>
      <c r="R269" s="291"/>
      <c r="S269" s="291"/>
      <c r="T269" s="291"/>
      <c r="U269" s="291"/>
      <c r="V269" s="291"/>
      <c r="W269" s="291"/>
      <c r="X269" s="291"/>
      <c r="Y269" s="291"/>
      <c r="Z269" s="291"/>
      <c r="AA269" s="291"/>
      <c r="AB269" s="1883"/>
      <c r="AC269" s="1883"/>
      <c r="AD269" s="1883"/>
    </row>
    <row r="270" spans="1:30" x14ac:dyDescent="0.25">
      <c r="A270" s="1868" t="s">
        <v>730</v>
      </c>
      <c r="B270" s="1869" t="s">
        <v>722</v>
      </c>
      <c r="C270" s="1892">
        <f t="shared" ref="C270:C279" si="23">+C269+D269-E269-F269</f>
        <v>7.5022579999999995E-3</v>
      </c>
      <c r="D270" s="1892">
        <f t="shared" si="21"/>
        <v>0</v>
      </c>
      <c r="E270" s="1892">
        <f t="shared" si="22"/>
        <v>0</v>
      </c>
      <c r="F270" s="1892">
        <f t="shared" ref="F270:F276" si="24">0/(10^7)</f>
        <v>0</v>
      </c>
      <c r="G270" s="1882"/>
      <c r="H270" s="292"/>
      <c r="I270" s="292"/>
      <c r="J270" s="292"/>
      <c r="K270" s="292"/>
      <c r="L270" s="292"/>
      <c r="M270" s="292"/>
      <c r="N270" s="292"/>
      <c r="O270" s="292"/>
      <c r="P270" s="292"/>
      <c r="Q270" s="292"/>
      <c r="R270" s="1872">
        <f>+$F270</f>
        <v>0</v>
      </c>
      <c r="S270" s="291"/>
      <c r="T270" s="291"/>
      <c r="U270" s="291"/>
      <c r="V270" s="291"/>
      <c r="W270" s="291"/>
      <c r="X270" s="291"/>
      <c r="Y270" s="291"/>
      <c r="Z270" s="291"/>
      <c r="AA270" s="291"/>
      <c r="AB270" s="1883"/>
      <c r="AC270" s="1883"/>
      <c r="AD270" s="1883"/>
    </row>
    <row r="271" spans="1:30" x14ac:dyDescent="0.25">
      <c r="A271" s="1868" t="s">
        <v>730</v>
      </c>
      <c r="B271" s="1869" t="s">
        <v>723</v>
      </c>
      <c r="C271" s="1892">
        <f t="shared" si="23"/>
        <v>7.5022579999999995E-3</v>
      </c>
      <c r="D271" s="1892">
        <f t="shared" si="21"/>
        <v>0</v>
      </c>
      <c r="E271" s="1892">
        <f t="shared" si="22"/>
        <v>0</v>
      </c>
      <c r="F271" s="1892">
        <f t="shared" si="24"/>
        <v>0</v>
      </c>
      <c r="G271" s="1882"/>
      <c r="H271" s="292"/>
      <c r="I271" s="292"/>
      <c r="J271" s="292"/>
      <c r="K271" s="292"/>
      <c r="L271" s="292"/>
      <c r="M271" s="292"/>
      <c r="N271" s="292"/>
      <c r="O271" s="292"/>
      <c r="P271" s="292"/>
      <c r="Q271" s="292"/>
      <c r="R271" s="292"/>
      <c r="S271" s="1872">
        <f>+$F271</f>
        <v>0</v>
      </c>
      <c r="T271" s="291"/>
      <c r="U271" s="291"/>
      <c r="V271" s="291"/>
      <c r="W271" s="291"/>
      <c r="X271" s="291"/>
      <c r="Y271" s="291"/>
      <c r="Z271" s="291"/>
      <c r="AA271" s="291"/>
      <c r="AB271" s="1883"/>
      <c r="AC271" s="1883"/>
      <c r="AD271" s="1883"/>
    </row>
    <row r="272" spans="1:30" x14ac:dyDescent="0.25">
      <c r="A272" s="1868" t="s">
        <v>730</v>
      </c>
      <c r="B272" s="1869" t="s">
        <v>724</v>
      </c>
      <c r="C272" s="1892">
        <f t="shared" si="23"/>
        <v>7.5022579999999995E-3</v>
      </c>
      <c r="D272" s="1892">
        <f t="shared" si="21"/>
        <v>0</v>
      </c>
      <c r="E272" s="1892">
        <f t="shared" si="22"/>
        <v>0</v>
      </c>
      <c r="F272" s="1892">
        <f t="shared" si="24"/>
        <v>0</v>
      </c>
      <c r="G272" s="1882"/>
      <c r="H272" s="292"/>
      <c r="I272" s="292"/>
      <c r="J272" s="292"/>
      <c r="K272" s="292"/>
      <c r="L272" s="292"/>
      <c r="M272" s="292"/>
      <c r="N272" s="292"/>
      <c r="O272" s="292"/>
      <c r="P272" s="292"/>
      <c r="Q272" s="292"/>
      <c r="R272" s="292"/>
      <c r="S272" s="292"/>
      <c r="T272" s="1872">
        <f>+$F272</f>
        <v>0</v>
      </c>
      <c r="U272" s="291"/>
      <c r="V272" s="291"/>
      <c r="W272" s="291"/>
      <c r="X272" s="291"/>
      <c r="Y272" s="291"/>
      <c r="Z272" s="291"/>
      <c r="AA272" s="291"/>
      <c r="AB272" s="1883"/>
      <c r="AC272" s="1883"/>
      <c r="AD272" s="1883"/>
    </row>
    <row r="273" spans="1:30" x14ac:dyDescent="0.25">
      <c r="A273" s="1868" t="s">
        <v>730</v>
      </c>
      <c r="B273" s="1869" t="s">
        <v>725</v>
      </c>
      <c r="C273" s="1892">
        <f t="shared" si="23"/>
        <v>7.5022579999999995E-3</v>
      </c>
      <c r="D273" s="1892">
        <f t="shared" si="21"/>
        <v>0</v>
      </c>
      <c r="E273" s="1892">
        <f t="shared" si="22"/>
        <v>0</v>
      </c>
      <c r="F273" s="1892">
        <f t="shared" si="24"/>
        <v>0</v>
      </c>
      <c r="G273" s="1882"/>
      <c r="H273" s="292"/>
      <c r="I273" s="292"/>
      <c r="J273" s="292"/>
      <c r="K273" s="292"/>
      <c r="L273" s="292"/>
      <c r="M273" s="292"/>
      <c r="N273" s="292"/>
      <c r="O273" s="292"/>
      <c r="P273" s="292"/>
      <c r="Q273" s="292"/>
      <c r="R273" s="292"/>
      <c r="S273" s="292"/>
      <c r="T273" s="292"/>
      <c r="U273" s="1872">
        <f>+$F273</f>
        <v>0</v>
      </c>
      <c r="V273" s="291"/>
      <c r="W273" s="291"/>
      <c r="X273" s="291"/>
      <c r="Y273" s="291"/>
      <c r="Z273" s="291"/>
      <c r="AA273" s="291"/>
      <c r="AB273" s="1883"/>
      <c r="AC273" s="1883"/>
      <c r="AD273" s="1883"/>
    </row>
    <row r="274" spans="1:30" x14ac:dyDescent="0.25">
      <c r="A274" s="1868" t="s">
        <v>730</v>
      </c>
      <c r="B274" s="1869" t="s">
        <v>731</v>
      </c>
      <c r="C274" s="1892">
        <f t="shared" si="23"/>
        <v>7.5022579999999995E-3</v>
      </c>
      <c r="D274" s="1892">
        <f t="shared" si="21"/>
        <v>0</v>
      </c>
      <c r="E274" s="1892">
        <f t="shared" si="22"/>
        <v>0</v>
      </c>
      <c r="F274" s="1892">
        <f t="shared" si="24"/>
        <v>0</v>
      </c>
      <c r="G274" s="1882"/>
      <c r="H274" s="292"/>
      <c r="I274" s="292"/>
      <c r="J274" s="292"/>
      <c r="K274" s="292"/>
      <c r="L274" s="292"/>
      <c r="M274" s="292"/>
      <c r="N274" s="292"/>
      <c r="O274" s="292"/>
      <c r="P274" s="292"/>
      <c r="Q274" s="292"/>
      <c r="R274" s="292"/>
      <c r="S274" s="292"/>
      <c r="T274" s="292"/>
      <c r="U274" s="292"/>
      <c r="V274" s="1872">
        <f>+$F274</f>
        <v>0</v>
      </c>
      <c r="W274" s="291"/>
      <c r="X274" s="291"/>
      <c r="Y274" s="291"/>
      <c r="Z274" s="291"/>
      <c r="AA274" s="291"/>
      <c r="AB274" s="1883"/>
      <c r="AC274" s="1883"/>
      <c r="AD274" s="1883"/>
    </row>
    <row r="275" spans="1:30" x14ac:dyDescent="0.25">
      <c r="A275" s="1868" t="s">
        <v>730</v>
      </c>
      <c r="B275" s="1869" t="s">
        <v>732</v>
      </c>
      <c r="C275" s="1892">
        <f t="shared" si="23"/>
        <v>7.5022579999999995E-3</v>
      </c>
      <c r="D275" s="1892">
        <f t="shared" si="21"/>
        <v>0</v>
      </c>
      <c r="E275" s="1892">
        <f t="shared" si="22"/>
        <v>0</v>
      </c>
      <c r="F275" s="1892">
        <f t="shared" si="24"/>
        <v>0</v>
      </c>
      <c r="G275" s="1882"/>
      <c r="H275" s="292"/>
      <c r="I275" s="292"/>
      <c r="J275" s="292"/>
      <c r="K275" s="292"/>
      <c r="L275" s="292"/>
      <c r="M275" s="292"/>
      <c r="N275" s="292"/>
      <c r="O275" s="292"/>
      <c r="P275" s="292"/>
      <c r="Q275" s="292"/>
      <c r="R275" s="292"/>
      <c r="S275" s="292"/>
      <c r="T275" s="292"/>
      <c r="U275" s="292"/>
      <c r="V275" s="292"/>
      <c r="W275" s="1872">
        <f>+$F275</f>
        <v>0</v>
      </c>
      <c r="X275" s="291"/>
      <c r="Y275" s="291"/>
      <c r="Z275" s="291"/>
      <c r="AA275" s="291"/>
      <c r="AB275" s="1883"/>
      <c r="AC275" s="1883"/>
      <c r="AD275" s="1883"/>
    </row>
    <row r="276" spans="1:30" x14ac:dyDescent="0.25">
      <c r="A276" s="1868" t="s">
        <v>730</v>
      </c>
      <c r="B276" s="1869" t="s">
        <v>733</v>
      </c>
      <c r="C276" s="1892">
        <f t="shared" si="23"/>
        <v>7.5022579999999995E-3</v>
      </c>
      <c r="D276" s="1892">
        <f t="shared" si="21"/>
        <v>0</v>
      </c>
      <c r="E276" s="1892">
        <f t="shared" si="22"/>
        <v>0</v>
      </c>
      <c r="F276" s="1892">
        <f t="shared" si="24"/>
        <v>0</v>
      </c>
      <c r="G276" s="1882"/>
      <c r="H276" s="292"/>
      <c r="I276" s="292"/>
      <c r="J276" s="292"/>
      <c r="K276" s="292"/>
      <c r="L276" s="292"/>
      <c r="M276" s="292"/>
      <c r="N276" s="292"/>
      <c r="O276" s="292"/>
      <c r="P276" s="292"/>
      <c r="Q276" s="292"/>
      <c r="R276" s="292"/>
      <c r="S276" s="292"/>
      <c r="T276" s="292"/>
      <c r="U276" s="292"/>
      <c r="V276" s="292"/>
      <c r="W276" s="292"/>
      <c r="X276" s="1872">
        <f>+$F276</f>
        <v>0</v>
      </c>
      <c r="Y276" s="291"/>
      <c r="Z276" s="291"/>
      <c r="AA276" s="291"/>
      <c r="AB276" s="1883"/>
      <c r="AC276" s="1883"/>
      <c r="AD276" s="1883"/>
    </row>
    <row r="277" spans="1:30" x14ac:dyDescent="0.25">
      <c r="A277" s="1868" t="s">
        <v>730</v>
      </c>
      <c r="B277" s="1869" t="s">
        <v>734</v>
      </c>
      <c r="C277" s="1892">
        <f t="shared" si="23"/>
        <v>7.5022579999999995E-3</v>
      </c>
      <c r="D277" s="1892">
        <f>'F5'!E42</f>
        <v>0</v>
      </c>
      <c r="E277" s="1892">
        <f>'F5'!F42</f>
        <v>0</v>
      </c>
      <c r="F277" s="1892">
        <f>'F5'!$E$85-'F5'!$F$85</f>
        <v>0</v>
      </c>
      <c r="G277" s="1882"/>
      <c r="H277" s="292"/>
      <c r="I277" s="292"/>
      <c r="J277" s="292"/>
      <c r="K277" s="292"/>
      <c r="L277" s="292"/>
      <c r="M277" s="292"/>
      <c r="N277" s="292"/>
      <c r="O277" s="292"/>
      <c r="P277" s="292"/>
      <c r="Q277" s="292"/>
      <c r="R277" s="292"/>
      <c r="S277" s="292"/>
      <c r="T277" s="292"/>
      <c r="U277" s="292"/>
      <c r="V277" s="292"/>
      <c r="W277" s="292"/>
      <c r="X277" s="292"/>
      <c r="Y277" s="1872">
        <f>+$F277</f>
        <v>0</v>
      </c>
      <c r="Z277" s="291"/>
      <c r="AA277" s="291"/>
      <c r="AB277" s="1883"/>
      <c r="AC277" s="1883"/>
      <c r="AD277" s="1883"/>
    </row>
    <row r="278" spans="1:30" x14ac:dyDescent="0.25">
      <c r="A278" s="1868" t="s">
        <v>730</v>
      </c>
      <c r="B278" s="1869" t="s">
        <v>735</v>
      </c>
      <c r="C278" s="1892">
        <f t="shared" si="23"/>
        <v>7.5022579999999995E-3</v>
      </c>
      <c r="D278" s="1891">
        <f>'F5'!I42</f>
        <v>0</v>
      </c>
      <c r="E278" s="1891">
        <f>'F5'!J42</f>
        <v>0</v>
      </c>
      <c r="F278" s="1892">
        <f>'F5'!$I$85-'F5'!$J$85</f>
        <v>0</v>
      </c>
      <c r="G278" s="1882"/>
      <c r="H278" s="292"/>
      <c r="I278" s="292"/>
      <c r="J278" s="292"/>
      <c r="K278" s="292"/>
      <c r="L278" s="292"/>
      <c r="M278" s="292"/>
      <c r="N278" s="292"/>
      <c r="O278" s="292"/>
      <c r="P278" s="292"/>
      <c r="Q278" s="292"/>
      <c r="R278" s="292"/>
      <c r="S278" s="292"/>
      <c r="T278" s="292"/>
      <c r="U278" s="292"/>
      <c r="V278" s="292"/>
      <c r="W278" s="292"/>
      <c r="X278" s="292"/>
      <c r="Y278" s="292"/>
      <c r="Z278" s="1872">
        <f>+$F278</f>
        <v>0</v>
      </c>
      <c r="AA278" s="291"/>
      <c r="AB278" s="1883"/>
      <c r="AC278" s="1883"/>
      <c r="AD278" s="1883"/>
    </row>
    <row r="279" spans="1:30" x14ac:dyDescent="0.25">
      <c r="A279" s="1868" t="s">
        <v>730</v>
      </c>
      <c r="B279" s="1869" t="s">
        <v>736</v>
      </c>
      <c r="C279" s="1892">
        <f t="shared" si="23"/>
        <v>7.5022579999999995E-3</v>
      </c>
      <c r="D279" s="1891">
        <f>'F5'!M42</f>
        <v>0</v>
      </c>
      <c r="E279" s="1891">
        <f>'F5'!N42</f>
        <v>0</v>
      </c>
      <c r="F279" s="1892">
        <f>'F5'!$M$85-'F5'!$N$85</f>
        <v>0</v>
      </c>
      <c r="G279" s="1882"/>
      <c r="H279" s="292"/>
      <c r="I279" s="292"/>
      <c r="J279" s="292"/>
      <c r="K279" s="292"/>
      <c r="L279" s="292"/>
      <c r="M279" s="292"/>
      <c r="N279" s="292"/>
      <c r="O279" s="292"/>
      <c r="P279" s="292"/>
      <c r="Q279" s="292"/>
      <c r="R279" s="292"/>
      <c r="S279" s="292"/>
      <c r="T279" s="292"/>
      <c r="U279" s="292"/>
      <c r="V279" s="292"/>
      <c r="W279" s="292"/>
      <c r="X279" s="292"/>
      <c r="Y279" s="292"/>
      <c r="Z279" s="292"/>
      <c r="AA279" s="1872">
        <f>+$F279</f>
        <v>0</v>
      </c>
      <c r="AB279" s="1883"/>
      <c r="AC279" s="1883"/>
      <c r="AD279" s="1883"/>
    </row>
    <row r="280" spans="1:30" ht="13" x14ac:dyDescent="0.3">
      <c r="A280" s="1873"/>
      <c r="B280" s="1874" t="s">
        <v>145</v>
      </c>
      <c r="C280" s="1896">
        <f>C268+D280-E280</f>
        <v>6.3333579999999999E-3</v>
      </c>
      <c r="D280" s="285">
        <f t="shared" ref="D280:F280" si="25">SUM(D259:D279)</f>
        <v>0</v>
      </c>
      <c r="E280" s="285">
        <f t="shared" si="25"/>
        <v>1.2988419999999999E-3</v>
      </c>
      <c r="F280" s="285">
        <f t="shared" si="25"/>
        <v>-1.1689000000000001E-3</v>
      </c>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row>
    <row r="284" spans="1:30" ht="13" x14ac:dyDescent="0.3">
      <c r="B284" s="1861" t="s">
        <v>145</v>
      </c>
      <c r="H284" s="1862" t="s">
        <v>16</v>
      </c>
    </row>
    <row r="285" spans="1:30" ht="26" x14ac:dyDescent="0.35">
      <c r="A285" s="1863"/>
      <c r="B285" s="1880" t="s">
        <v>746</v>
      </c>
      <c r="C285" s="2498" t="s">
        <v>890</v>
      </c>
      <c r="D285" s="2498" t="s">
        <v>1946</v>
      </c>
      <c r="E285" s="2498" t="s">
        <v>1947</v>
      </c>
      <c r="F285" s="2498" t="s">
        <v>711</v>
      </c>
      <c r="G285" s="2498" t="s">
        <v>747</v>
      </c>
      <c r="H285" s="2500" t="s">
        <v>748</v>
      </c>
      <c r="I285" s="2500"/>
      <c r="J285" s="2500"/>
      <c r="K285" s="2500"/>
      <c r="L285" s="2500"/>
      <c r="M285" s="2500"/>
      <c r="N285" s="2500"/>
      <c r="O285" s="2500"/>
      <c r="P285" s="2500"/>
      <c r="Q285" s="2500"/>
      <c r="R285" s="2500"/>
      <c r="S285" s="2500"/>
      <c r="T285" s="2500"/>
      <c r="U285" s="2500"/>
      <c r="V285" s="2500"/>
      <c r="W285" s="2500"/>
      <c r="X285" s="2500"/>
      <c r="Y285" s="2500"/>
      <c r="Z285" s="2500"/>
      <c r="AA285" s="2500"/>
      <c r="AB285" s="1864" t="s">
        <v>726</v>
      </c>
      <c r="AC285" s="1864" t="s">
        <v>727</v>
      </c>
      <c r="AD285" s="1864" t="s">
        <v>728</v>
      </c>
    </row>
    <row r="286" spans="1:30" ht="13" x14ac:dyDescent="0.25">
      <c r="A286" s="1863"/>
      <c r="B286" s="1880"/>
      <c r="C286" s="2499"/>
      <c r="D286" s="2499"/>
      <c r="E286" s="2499"/>
      <c r="F286" s="2499"/>
      <c r="G286" s="2499"/>
      <c r="H286" s="1865" t="s">
        <v>712</v>
      </c>
      <c r="I286" s="1865" t="s">
        <v>713</v>
      </c>
      <c r="J286" s="1865" t="s">
        <v>714</v>
      </c>
      <c r="K286" s="1865" t="s">
        <v>715</v>
      </c>
      <c r="L286" s="1865" t="s">
        <v>716</v>
      </c>
      <c r="M286" s="1865" t="s">
        <v>717</v>
      </c>
      <c r="N286" s="1865" t="s">
        <v>718</v>
      </c>
      <c r="O286" s="1865" t="s">
        <v>719</v>
      </c>
      <c r="P286" s="1865" t="s">
        <v>720</v>
      </c>
      <c r="Q286" s="1865" t="s">
        <v>721</v>
      </c>
      <c r="R286" s="1865" t="s">
        <v>722</v>
      </c>
      <c r="S286" s="1865" t="s">
        <v>723</v>
      </c>
      <c r="T286" s="1865" t="s">
        <v>724</v>
      </c>
      <c r="U286" s="1865" t="s">
        <v>725</v>
      </c>
      <c r="V286" s="1865" t="s">
        <v>179</v>
      </c>
      <c r="W286" s="1865" t="s">
        <v>186</v>
      </c>
      <c r="X286" s="1865" t="s">
        <v>426</v>
      </c>
      <c r="Y286" s="1865" t="s">
        <v>427</v>
      </c>
      <c r="Z286" s="1865" t="s">
        <v>428</v>
      </c>
      <c r="AA286" s="1865" t="s">
        <v>429</v>
      </c>
      <c r="AB286" s="1864"/>
      <c r="AC286" s="1864"/>
      <c r="AD286" s="1864"/>
    </row>
    <row r="287" spans="1:30" x14ac:dyDescent="0.25">
      <c r="A287" s="1868" t="s">
        <v>729</v>
      </c>
      <c r="B287" s="1869">
        <v>2005</v>
      </c>
      <c r="C287" s="1891"/>
      <c r="D287" s="1891"/>
      <c r="E287" s="1891"/>
      <c r="F287" s="1891"/>
      <c r="G287" s="1882"/>
      <c r="H287" s="291"/>
      <c r="I287" s="291"/>
      <c r="J287" s="291"/>
      <c r="K287" s="291"/>
      <c r="L287" s="291"/>
      <c r="M287" s="291"/>
      <c r="N287" s="291"/>
      <c r="O287" s="291"/>
      <c r="P287" s="291"/>
      <c r="Q287" s="291"/>
      <c r="R287" s="291"/>
      <c r="S287" s="291"/>
      <c r="T287" s="291"/>
      <c r="U287" s="291"/>
      <c r="V287" s="291"/>
      <c r="W287" s="291"/>
      <c r="X287" s="291"/>
      <c r="Y287" s="291"/>
      <c r="Z287" s="291"/>
      <c r="AA287" s="291"/>
      <c r="AB287" s="1883"/>
      <c r="AC287" s="1883"/>
      <c r="AD287" s="1883"/>
    </row>
    <row r="288" spans="1:30" x14ac:dyDescent="0.25">
      <c r="A288" s="1868" t="s">
        <v>730</v>
      </c>
      <c r="B288" s="1869" t="s">
        <v>712</v>
      </c>
      <c r="C288" s="1891"/>
      <c r="D288" s="1891"/>
      <c r="E288" s="1891"/>
      <c r="F288" s="1891"/>
      <c r="G288" s="1882"/>
      <c r="H288" s="1872">
        <f>+$F288</f>
        <v>0</v>
      </c>
      <c r="I288" s="291"/>
      <c r="J288" s="291"/>
      <c r="K288" s="291"/>
      <c r="L288" s="291"/>
      <c r="M288" s="291"/>
      <c r="N288" s="291"/>
      <c r="O288" s="291"/>
      <c r="P288" s="291"/>
      <c r="Q288" s="291"/>
      <c r="R288" s="291"/>
      <c r="S288" s="291"/>
      <c r="T288" s="291"/>
      <c r="U288" s="291"/>
      <c r="V288" s="291"/>
      <c r="W288" s="291"/>
      <c r="X288" s="291"/>
      <c r="Y288" s="291"/>
      <c r="Z288" s="291"/>
      <c r="AA288" s="291"/>
      <c r="AB288" s="1883"/>
      <c r="AC288" s="1883"/>
      <c r="AD288" s="1883"/>
    </row>
    <row r="289" spans="1:30" x14ac:dyDescent="0.25">
      <c r="A289" s="1868" t="s">
        <v>730</v>
      </c>
      <c r="B289" s="1869" t="s">
        <v>713</v>
      </c>
      <c r="C289" s="1891"/>
      <c r="D289" s="1891"/>
      <c r="E289" s="1891"/>
      <c r="F289" s="1891"/>
      <c r="G289" s="1882"/>
      <c r="H289" s="292"/>
      <c r="I289" s="1872">
        <f>+$F289</f>
        <v>0</v>
      </c>
      <c r="J289" s="291"/>
      <c r="K289" s="291"/>
      <c r="L289" s="291"/>
      <c r="M289" s="291"/>
      <c r="N289" s="291"/>
      <c r="O289" s="291"/>
      <c r="P289" s="291"/>
      <c r="Q289" s="291"/>
      <c r="R289" s="291"/>
      <c r="S289" s="291"/>
      <c r="T289" s="291"/>
      <c r="U289" s="291"/>
      <c r="V289" s="291"/>
      <c r="W289" s="291"/>
      <c r="X289" s="291"/>
      <c r="Y289" s="291"/>
      <c r="Z289" s="291"/>
      <c r="AA289" s="291"/>
      <c r="AB289" s="1883"/>
      <c r="AC289" s="1883"/>
      <c r="AD289" s="1883"/>
    </row>
    <row r="290" spans="1:30" x14ac:dyDescent="0.25">
      <c r="A290" s="1868" t="s">
        <v>730</v>
      </c>
      <c r="B290" s="1869" t="s">
        <v>714</v>
      </c>
      <c r="C290" s="1891"/>
      <c r="D290" s="1891"/>
      <c r="E290" s="1891"/>
      <c r="F290" s="1891"/>
      <c r="G290" s="1882"/>
      <c r="H290" s="292"/>
      <c r="I290" s="292"/>
      <c r="J290" s="1872">
        <f>+$F290</f>
        <v>0</v>
      </c>
      <c r="K290" s="291"/>
      <c r="L290" s="291"/>
      <c r="M290" s="291"/>
      <c r="N290" s="291"/>
      <c r="O290" s="291"/>
      <c r="P290" s="291"/>
      <c r="Q290" s="291"/>
      <c r="R290" s="291"/>
      <c r="S290" s="291"/>
      <c r="T290" s="291"/>
      <c r="U290" s="291"/>
      <c r="V290" s="291"/>
      <c r="W290" s="291"/>
      <c r="X290" s="291"/>
      <c r="Y290" s="291"/>
      <c r="Z290" s="291"/>
      <c r="AA290" s="291"/>
      <c r="AB290" s="1883"/>
      <c r="AC290" s="1883"/>
      <c r="AD290" s="1883"/>
    </row>
    <row r="291" spans="1:30" x14ac:dyDescent="0.25">
      <c r="A291" s="1868" t="s">
        <v>730</v>
      </c>
      <c r="B291" s="1869" t="s">
        <v>715</v>
      </c>
      <c r="C291" s="1891"/>
      <c r="D291" s="1891"/>
      <c r="E291" s="1891"/>
      <c r="F291" s="1891"/>
      <c r="G291" s="1882"/>
      <c r="H291" s="292"/>
      <c r="I291" s="292"/>
      <c r="J291" s="292"/>
      <c r="K291" s="1872">
        <f>+$F291</f>
        <v>0</v>
      </c>
      <c r="L291" s="291"/>
      <c r="M291" s="291"/>
      <c r="N291" s="291"/>
      <c r="O291" s="291"/>
      <c r="P291" s="291"/>
      <c r="Q291" s="291"/>
      <c r="R291" s="291"/>
      <c r="S291" s="291"/>
      <c r="T291" s="291"/>
      <c r="U291" s="291"/>
      <c r="V291" s="291"/>
      <c r="W291" s="291"/>
      <c r="X291" s="291"/>
      <c r="Y291" s="291"/>
      <c r="Z291" s="291"/>
      <c r="AA291" s="291"/>
      <c r="AB291" s="1883"/>
      <c r="AC291" s="1883"/>
      <c r="AD291" s="1883"/>
    </row>
    <row r="292" spans="1:30" x14ac:dyDescent="0.25">
      <c r="A292" s="1868" t="s">
        <v>730</v>
      </c>
      <c r="B292" s="1869" t="s">
        <v>716</v>
      </c>
      <c r="C292" s="1891"/>
      <c r="D292" s="1891"/>
      <c r="E292" s="1891"/>
      <c r="F292" s="1891"/>
      <c r="G292" s="1882"/>
      <c r="H292" s="292"/>
      <c r="I292" s="292"/>
      <c r="J292" s="292"/>
      <c r="K292" s="292"/>
      <c r="L292" s="1872">
        <f>+$F292</f>
        <v>0</v>
      </c>
      <c r="M292" s="291"/>
      <c r="N292" s="291"/>
      <c r="O292" s="291"/>
      <c r="P292" s="291"/>
      <c r="Q292" s="291"/>
      <c r="R292" s="291"/>
      <c r="S292" s="291"/>
      <c r="T292" s="291"/>
      <c r="U292" s="291"/>
      <c r="V292" s="291"/>
      <c r="W292" s="291"/>
      <c r="X292" s="291"/>
      <c r="Y292" s="291"/>
      <c r="Z292" s="291"/>
      <c r="AA292" s="291"/>
      <c r="AB292" s="1883"/>
      <c r="AC292" s="1883"/>
      <c r="AD292" s="1883"/>
    </row>
    <row r="293" spans="1:30" x14ac:dyDescent="0.25">
      <c r="A293" s="1868" t="s">
        <v>730</v>
      </c>
      <c r="B293" s="1869" t="s">
        <v>717</v>
      </c>
      <c r="C293" s="1891"/>
      <c r="D293" s="1891"/>
      <c r="E293" s="1891"/>
      <c r="F293" s="1891"/>
      <c r="G293" s="1882"/>
      <c r="H293" s="292"/>
      <c r="I293" s="292"/>
      <c r="J293" s="292"/>
      <c r="K293" s="292"/>
      <c r="L293" s="292"/>
      <c r="M293" s="1872">
        <f>+$F293</f>
        <v>0</v>
      </c>
      <c r="N293" s="291"/>
      <c r="O293" s="291"/>
      <c r="P293" s="291"/>
      <c r="Q293" s="291"/>
      <c r="R293" s="291"/>
      <c r="S293" s="291"/>
      <c r="T293" s="291"/>
      <c r="U293" s="291"/>
      <c r="V293" s="291"/>
      <c r="W293" s="291"/>
      <c r="X293" s="291"/>
      <c r="Y293" s="291"/>
      <c r="Z293" s="291"/>
      <c r="AA293" s="291"/>
      <c r="AB293" s="1883"/>
      <c r="AC293" s="1883"/>
      <c r="AD293" s="1883"/>
    </row>
    <row r="294" spans="1:30" x14ac:dyDescent="0.25">
      <c r="A294" s="1868" t="s">
        <v>730</v>
      </c>
      <c r="B294" s="1869" t="s">
        <v>718</v>
      </c>
      <c r="C294" s="1891"/>
      <c r="D294" s="1891"/>
      <c r="E294" s="1891"/>
      <c r="F294" s="1891"/>
      <c r="G294" s="1882"/>
      <c r="H294" s="292"/>
      <c r="I294" s="292"/>
      <c r="J294" s="292"/>
      <c r="K294" s="292"/>
      <c r="L294" s="292"/>
      <c r="M294" s="292"/>
      <c r="N294" s="1872">
        <f>+$F294</f>
        <v>0</v>
      </c>
      <c r="O294" s="291"/>
      <c r="P294" s="291"/>
      <c r="Q294" s="291"/>
      <c r="R294" s="291"/>
      <c r="S294" s="291"/>
      <c r="T294" s="291"/>
      <c r="U294" s="291"/>
      <c r="V294" s="291"/>
      <c r="W294" s="291"/>
      <c r="X294" s="291"/>
      <c r="Y294" s="291"/>
      <c r="Z294" s="291"/>
      <c r="AA294" s="291"/>
      <c r="AB294" s="1883"/>
      <c r="AC294" s="1883"/>
      <c r="AD294" s="1883"/>
    </row>
    <row r="295" spans="1:30" x14ac:dyDescent="0.25">
      <c r="A295" s="1868" t="s">
        <v>730</v>
      </c>
      <c r="B295" s="1869" t="s">
        <v>719</v>
      </c>
      <c r="C295" s="1891"/>
      <c r="D295" s="1891"/>
      <c r="E295" s="1891"/>
      <c r="F295" s="1891"/>
      <c r="G295" s="1882"/>
      <c r="H295" s="292"/>
      <c r="I295" s="292"/>
      <c r="J295" s="292"/>
      <c r="K295" s="292"/>
      <c r="L295" s="292"/>
      <c r="M295" s="292"/>
      <c r="N295" s="292"/>
      <c r="O295" s="1872">
        <f>+$F295</f>
        <v>0</v>
      </c>
      <c r="P295" s="291"/>
      <c r="Q295" s="291"/>
      <c r="R295" s="291"/>
      <c r="S295" s="291"/>
      <c r="T295" s="291"/>
      <c r="U295" s="291"/>
      <c r="V295" s="291"/>
      <c r="W295" s="291"/>
      <c r="X295" s="291"/>
      <c r="Y295" s="291"/>
      <c r="Z295" s="291"/>
      <c r="AA295" s="291"/>
      <c r="AB295" s="1883"/>
      <c r="AC295" s="1883"/>
      <c r="AD295" s="1883"/>
    </row>
    <row r="296" spans="1:30" x14ac:dyDescent="0.25">
      <c r="A296" s="1868" t="s">
        <v>730</v>
      </c>
      <c r="B296" s="1869" t="s">
        <v>720</v>
      </c>
      <c r="C296" s="1892">
        <f t="shared" ref="C296:F305" si="26">+C268+C240+C212+C184+C156+C128+C100+C72+C44+C18</f>
        <v>1252.1546813550001</v>
      </c>
      <c r="D296" s="1892">
        <f t="shared" si="26"/>
        <v>101.50055741800001</v>
      </c>
      <c r="E296" s="1892">
        <f t="shared" si="26"/>
        <v>21.485448877000003</v>
      </c>
      <c r="F296" s="1892">
        <f t="shared" si="26"/>
        <v>98.255273160240009</v>
      </c>
      <c r="G296" s="1882"/>
      <c r="H296" s="292"/>
      <c r="I296" s="292"/>
      <c r="J296" s="292"/>
      <c r="K296" s="292"/>
      <c r="L296" s="292"/>
      <c r="M296" s="292"/>
      <c r="N296" s="292"/>
      <c r="O296" s="292"/>
      <c r="P296" s="1872">
        <f>+$F296</f>
        <v>98.255273160240009</v>
      </c>
      <c r="Q296" s="291"/>
      <c r="R296" s="291"/>
      <c r="S296" s="291"/>
      <c r="T296" s="291"/>
      <c r="U296" s="291"/>
      <c r="V296" s="291"/>
      <c r="W296" s="291"/>
      <c r="X296" s="291"/>
      <c r="Y296" s="291"/>
      <c r="Z296" s="291"/>
      <c r="AA296" s="291"/>
      <c r="AB296" s="1883"/>
      <c r="AC296" s="1883"/>
      <c r="AD296" s="1883"/>
    </row>
    <row r="297" spans="1:30" x14ac:dyDescent="0.25">
      <c r="A297" s="1868" t="s">
        <v>730</v>
      </c>
      <c r="B297" s="1869" t="s">
        <v>721</v>
      </c>
      <c r="C297" s="1892">
        <f t="shared" si="26"/>
        <v>1233.9145167357601</v>
      </c>
      <c r="D297" s="1892">
        <f t="shared" si="26"/>
        <v>151.14816282800001</v>
      </c>
      <c r="E297" s="1892">
        <f t="shared" si="26"/>
        <v>2.6087170549999996</v>
      </c>
      <c r="F297" s="1892">
        <f t="shared" si="26"/>
        <v>98.062986261030019</v>
      </c>
      <c r="G297" s="1882"/>
      <c r="H297" s="292"/>
      <c r="I297" s="292"/>
      <c r="J297" s="292"/>
      <c r="K297" s="292"/>
      <c r="L297" s="292"/>
      <c r="M297" s="292"/>
      <c r="N297" s="292"/>
      <c r="O297" s="292"/>
      <c r="P297" s="292"/>
      <c r="Q297" s="1872">
        <f>+$F297</f>
        <v>98.062986261030019</v>
      </c>
      <c r="R297" s="291"/>
      <c r="S297" s="291"/>
      <c r="T297" s="291"/>
      <c r="U297" s="291"/>
      <c r="V297" s="291"/>
      <c r="W297" s="291"/>
      <c r="X297" s="291"/>
      <c r="Y297" s="291"/>
      <c r="Z297" s="291"/>
      <c r="AA297" s="291"/>
      <c r="AB297" s="1883"/>
      <c r="AC297" s="1883"/>
      <c r="AD297" s="1883"/>
    </row>
    <row r="298" spans="1:30" x14ac:dyDescent="0.25">
      <c r="A298" s="1868" t="s">
        <v>730</v>
      </c>
      <c r="B298" s="1869" t="s">
        <v>722</v>
      </c>
      <c r="C298" s="1892">
        <f t="shared" si="26"/>
        <v>1284.3909762477301</v>
      </c>
      <c r="D298" s="1892">
        <f t="shared" si="26"/>
        <v>123.71476293199999</v>
      </c>
      <c r="E298" s="1892">
        <f t="shared" si="26"/>
        <v>4.7564426229999999</v>
      </c>
      <c r="F298" s="1892">
        <f t="shared" si="26"/>
        <v>103.30919916258</v>
      </c>
      <c r="G298" s="1882"/>
      <c r="H298" s="292"/>
      <c r="I298" s="292"/>
      <c r="J298" s="292"/>
      <c r="K298" s="292"/>
      <c r="L298" s="292"/>
      <c r="M298" s="292"/>
      <c r="N298" s="292"/>
      <c r="O298" s="292"/>
      <c r="P298" s="292"/>
      <c r="Q298" s="292"/>
      <c r="R298" s="1872">
        <f>+$F298</f>
        <v>103.30919916258</v>
      </c>
      <c r="S298" s="291"/>
      <c r="T298" s="291"/>
      <c r="U298" s="291"/>
      <c r="V298" s="291"/>
      <c r="W298" s="291"/>
      <c r="X298" s="291"/>
      <c r="Y298" s="291"/>
      <c r="Z298" s="291"/>
      <c r="AA298" s="291"/>
      <c r="AB298" s="1883"/>
      <c r="AC298" s="1883"/>
      <c r="AD298" s="1883"/>
    </row>
    <row r="299" spans="1:30" x14ac:dyDescent="0.25">
      <c r="A299" s="1868" t="s">
        <v>730</v>
      </c>
      <c r="B299" s="1869" t="s">
        <v>723</v>
      </c>
      <c r="C299" s="1892">
        <f t="shared" si="26"/>
        <v>1300.0400973941503</v>
      </c>
      <c r="D299" s="1892">
        <f t="shared" si="26"/>
        <v>122.42531481599998</v>
      </c>
      <c r="E299" s="1892">
        <f t="shared" si="26"/>
        <v>6.4048181720000006</v>
      </c>
      <c r="F299" s="1892">
        <f t="shared" si="26"/>
        <v>103.15938990616</v>
      </c>
      <c r="G299" s="1882"/>
      <c r="H299" s="292"/>
      <c r="I299" s="292"/>
      <c r="J299" s="292"/>
      <c r="K299" s="292"/>
      <c r="L299" s="292"/>
      <c r="M299" s="292"/>
      <c r="N299" s="292"/>
      <c r="O299" s="292"/>
      <c r="P299" s="292"/>
      <c r="Q299" s="292"/>
      <c r="R299" s="292"/>
      <c r="S299" s="1872">
        <f>+$F299</f>
        <v>103.15938990616</v>
      </c>
      <c r="T299" s="291"/>
      <c r="U299" s="291"/>
      <c r="V299" s="291"/>
      <c r="W299" s="291"/>
      <c r="X299" s="291"/>
      <c r="Y299" s="291"/>
      <c r="Z299" s="291"/>
      <c r="AA299" s="291"/>
      <c r="AB299" s="1883"/>
      <c r="AC299" s="1883"/>
      <c r="AD299" s="1883"/>
    </row>
    <row r="300" spans="1:30" x14ac:dyDescent="0.25">
      <c r="A300" s="1868" t="s">
        <v>730</v>
      </c>
      <c r="B300" s="1869" t="s">
        <v>724</v>
      </c>
      <c r="C300" s="1892">
        <f t="shared" si="26"/>
        <v>1312.9012041319904</v>
      </c>
      <c r="D300" s="1892">
        <f t="shared" si="26"/>
        <v>96.060110863999995</v>
      </c>
      <c r="E300" s="1892">
        <f t="shared" si="26"/>
        <v>4.7810112769999975</v>
      </c>
      <c r="F300" s="1892">
        <f t="shared" si="26"/>
        <v>105.92340470878688</v>
      </c>
      <c r="G300" s="1882"/>
      <c r="H300" s="292"/>
      <c r="I300" s="292"/>
      <c r="J300" s="292"/>
      <c r="K300" s="292"/>
      <c r="L300" s="292"/>
      <c r="M300" s="292"/>
      <c r="N300" s="292"/>
      <c r="O300" s="292"/>
      <c r="P300" s="292"/>
      <c r="Q300" s="292"/>
      <c r="R300" s="292"/>
      <c r="S300" s="292"/>
      <c r="T300" s="1872">
        <f>+$F300</f>
        <v>105.92340470878688</v>
      </c>
      <c r="U300" s="291"/>
      <c r="V300" s="291"/>
      <c r="W300" s="291"/>
      <c r="X300" s="291"/>
      <c r="Y300" s="291"/>
      <c r="Z300" s="291"/>
      <c r="AA300" s="291"/>
      <c r="AB300" s="1883"/>
      <c r="AC300" s="1883"/>
      <c r="AD300" s="1883"/>
    </row>
    <row r="301" spans="1:30" x14ac:dyDescent="0.25">
      <c r="A301" s="1868" t="s">
        <v>730</v>
      </c>
      <c r="B301" s="1869" t="s">
        <v>725</v>
      </c>
      <c r="C301" s="1892">
        <f t="shared" si="26"/>
        <v>1298.2568990102031</v>
      </c>
      <c r="D301" s="1892">
        <f t="shared" si="26"/>
        <v>194.488246995</v>
      </c>
      <c r="E301" s="1892">
        <f t="shared" si="26"/>
        <v>6.9647316229999987</v>
      </c>
      <c r="F301" s="1892">
        <f t="shared" si="26"/>
        <v>102.39167823456141</v>
      </c>
      <c r="G301" s="1882"/>
      <c r="H301" s="292"/>
      <c r="I301" s="292"/>
      <c r="J301" s="292"/>
      <c r="K301" s="292"/>
      <c r="L301" s="292"/>
      <c r="M301" s="292"/>
      <c r="N301" s="292"/>
      <c r="O301" s="292"/>
      <c r="P301" s="292"/>
      <c r="Q301" s="292"/>
      <c r="R301" s="292"/>
      <c r="S301" s="292"/>
      <c r="T301" s="292"/>
      <c r="U301" s="1872">
        <f>+$F301</f>
        <v>102.39167823456141</v>
      </c>
      <c r="V301" s="291"/>
      <c r="W301" s="291"/>
      <c r="X301" s="291"/>
      <c r="Y301" s="291"/>
      <c r="Z301" s="291"/>
      <c r="AA301" s="291"/>
      <c r="AB301" s="1883"/>
      <c r="AC301" s="1883"/>
      <c r="AD301" s="1883"/>
    </row>
    <row r="302" spans="1:30" x14ac:dyDescent="0.25">
      <c r="A302" s="1868" t="s">
        <v>730</v>
      </c>
      <c r="B302" s="1869" t="s">
        <v>731</v>
      </c>
      <c r="C302" s="1892">
        <f t="shared" si="26"/>
        <v>1383.3887361476418</v>
      </c>
      <c r="D302" s="1892">
        <f t="shared" si="26"/>
        <v>246.47926894400001</v>
      </c>
      <c r="E302" s="1892">
        <f t="shared" si="26"/>
        <v>3.933411325999999</v>
      </c>
      <c r="F302" s="1892">
        <f t="shared" si="26"/>
        <v>101.37273390052499</v>
      </c>
      <c r="G302" s="1882"/>
      <c r="H302" s="292"/>
      <c r="I302" s="292"/>
      <c r="J302" s="292"/>
      <c r="K302" s="292"/>
      <c r="L302" s="292"/>
      <c r="M302" s="292"/>
      <c r="N302" s="292"/>
      <c r="O302" s="292"/>
      <c r="P302" s="292"/>
      <c r="Q302" s="292"/>
      <c r="R302" s="292"/>
      <c r="S302" s="292"/>
      <c r="T302" s="292"/>
      <c r="U302" s="292"/>
      <c r="V302" s="1872">
        <f>+$F302</f>
        <v>101.37273390052499</v>
      </c>
      <c r="W302" s="291"/>
      <c r="X302" s="291"/>
      <c r="Y302" s="291"/>
      <c r="Z302" s="291"/>
      <c r="AA302" s="291"/>
      <c r="AB302" s="1883"/>
      <c r="AC302" s="1883"/>
      <c r="AD302" s="1883"/>
    </row>
    <row r="303" spans="1:30" x14ac:dyDescent="0.25">
      <c r="A303" s="1868" t="s">
        <v>730</v>
      </c>
      <c r="B303" s="1869" t="s">
        <v>732</v>
      </c>
      <c r="C303" s="1892">
        <f t="shared" si="26"/>
        <v>1524.5618598651165</v>
      </c>
      <c r="D303" s="1892">
        <f t="shared" si="26"/>
        <v>136.30511180600001</v>
      </c>
      <c r="E303" s="1892">
        <f t="shared" si="26"/>
        <v>9.5727742210000013</v>
      </c>
      <c r="F303" s="1892">
        <f t="shared" si="26"/>
        <v>106.78899504584031</v>
      </c>
      <c r="G303" s="1882"/>
      <c r="H303" s="292"/>
      <c r="I303" s="292"/>
      <c r="J303" s="292"/>
      <c r="K303" s="292"/>
      <c r="L303" s="292"/>
      <c r="M303" s="292"/>
      <c r="N303" s="292"/>
      <c r="O303" s="292"/>
      <c r="P303" s="292"/>
      <c r="Q303" s="292"/>
      <c r="R303" s="292"/>
      <c r="S303" s="292"/>
      <c r="T303" s="292"/>
      <c r="U303" s="292"/>
      <c r="V303" s="292"/>
      <c r="W303" s="1872">
        <f>+$F303</f>
        <v>106.78899504584031</v>
      </c>
      <c r="X303" s="291"/>
      <c r="Y303" s="291"/>
      <c r="Z303" s="291"/>
      <c r="AA303" s="291"/>
      <c r="AB303" s="1883"/>
      <c r="AC303" s="1883"/>
      <c r="AD303" s="1883"/>
    </row>
    <row r="304" spans="1:30" x14ac:dyDescent="0.25">
      <c r="A304" s="1868" t="s">
        <v>730</v>
      </c>
      <c r="B304" s="1869" t="s">
        <v>733</v>
      </c>
      <c r="C304" s="1892">
        <f t="shared" si="26"/>
        <v>1544.5052024042768</v>
      </c>
      <c r="D304" s="1892">
        <f t="shared" si="26"/>
        <v>123.84226566999999</v>
      </c>
      <c r="E304" s="1892">
        <f t="shared" si="26"/>
        <v>2.3975545009999992</v>
      </c>
      <c r="F304" s="1892">
        <f t="shared" si="26"/>
        <v>107.14883331203661</v>
      </c>
      <c r="G304" s="1882"/>
      <c r="H304" s="292"/>
      <c r="I304" s="292"/>
      <c r="J304" s="292"/>
      <c r="K304" s="292"/>
      <c r="L304" s="292"/>
      <c r="M304" s="292"/>
      <c r="N304" s="292"/>
      <c r="O304" s="292"/>
      <c r="P304" s="292"/>
      <c r="Q304" s="292"/>
      <c r="R304" s="292"/>
      <c r="S304" s="292"/>
      <c r="T304" s="292"/>
      <c r="U304" s="292"/>
      <c r="V304" s="292"/>
      <c r="W304" s="292"/>
      <c r="X304" s="1872">
        <f>+$F304</f>
        <v>107.14883331203661</v>
      </c>
      <c r="Y304" s="291"/>
      <c r="Z304" s="291"/>
      <c r="AA304" s="291"/>
      <c r="AB304" s="1883"/>
      <c r="AC304" s="1883"/>
      <c r="AD304" s="1883"/>
    </row>
    <row r="305" spans="1:30" x14ac:dyDescent="0.25">
      <c r="A305" s="1868" t="s">
        <v>730</v>
      </c>
      <c r="B305" s="1869" t="s">
        <v>734</v>
      </c>
      <c r="C305" s="1892">
        <f>+C27+C53+C81+C109+C137+C165+C193+C221+C249+C277</f>
        <v>1558.8010802612398</v>
      </c>
      <c r="D305" s="1892">
        <f t="shared" si="26"/>
        <v>143.03203503143328</v>
      </c>
      <c r="E305" s="1892">
        <f t="shared" si="26"/>
        <v>19.485573156000001</v>
      </c>
      <c r="F305" s="1892">
        <f t="shared" si="26"/>
        <v>90.773957471356155</v>
      </c>
      <c r="G305" s="1882"/>
      <c r="H305" s="292"/>
      <c r="I305" s="292"/>
      <c r="J305" s="292"/>
      <c r="K305" s="292"/>
      <c r="L305" s="292"/>
      <c r="M305" s="292"/>
      <c r="N305" s="292"/>
      <c r="O305" s="292"/>
      <c r="P305" s="292"/>
      <c r="Q305" s="292"/>
      <c r="R305" s="292"/>
      <c r="S305" s="292"/>
      <c r="T305" s="292"/>
      <c r="U305" s="292"/>
      <c r="V305" s="292"/>
      <c r="W305" s="292"/>
      <c r="X305" s="292"/>
      <c r="Y305" s="1872">
        <f>+$F305</f>
        <v>90.773957471356155</v>
      </c>
      <c r="Z305" s="291"/>
      <c r="AA305" s="291"/>
      <c r="AB305" s="1883"/>
      <c r="AC305" s="1883"/>
      <c r="AD305" s="1883"/>
    </row>
    <row r="306" spans="1:30" x14ac:dyDescent="0.25">
      <c r="A306" s="1868" t="s">
        <v>730</v>
      </c>
      <c r="B306" s="1869" t="s">
        <v>735</v>
      </c>
      <c r="C306" s="1892">
        <f t="shared" ref="C306:C307" si="27">+C28+C54+C82+C110+C138+C166+C194+C222+C250+C278</f>
        <v>1542.4666260518547</v>
      </c>
      <c r="D306" s="1892">
        <f t="shared" ref="D306:F306" si="28">+D278+D250+D222+D194+D166+D138+D110+D82+D54+D28</f>
        <v>957.98196032667727</v>
      </c>
      <c r="E306" s="1892">
        <f t="shared" si="28"/>
        <v>19.485573156000001</v>
      </c>
      <c r="F306" s="1892">
        <f t="shared" si="28"/>
        <v>109.25168802419275</v>
      </c>
      <c r="G306" s="1882"/>
      <c r="H306" s="292"/>
      <c r="I306" s="292"/>
      <c r="J306" s="292"/>
      <c r="K306" s="292"/>
      <c r="L306" s="292"/>
      <c r="M306" s="292"/>
      <c r="N306" s="292"/>
      <c r="O306" s="292"/>
      <c r="P306" s="292"/>
      <c r="Q306" s="292"/>
      <c r="R306" s="292"/>
      <c r="S306" s="292"/>
      <c r="T306" s="292"/>
      <c r="U306" s="292"/>
      <c r="V306" s="292"/>
      <c r="W306" s="292"/>
      <c r="X306" s="292"/>
      <c r="Y306" s="292"/>
      <c r="Z306" s="1872">
        <f>+$F306</f>
        <v>109.25168802419275</v>
      </c>
      <c r="AA306" s="291"/>
      <c r="AB306" s="1883"/>
      <c r="AC306" s="1883"/>
      <c r="AD306" s="1883"/>
    </row>
    <row r="307" spans="1:30" x14ac:dyDescent="0.25">
      <c r="A307" s="1868" t="s">
        <v>730</v>
      </c>
      <c r="B307" s="1869" t="s">
        <v>736</v>
      </c>
      <c r="C307" s="1892">
        <f t="shared" si="27"/>
        <v>2288.8062747442818</v>
      </c>
      <c r="D307" s="1892">
        <f>+D279+D251+D223+D195+D167+D139+D111+D83+D55+D29</f>
        <v>825.76089540873136</v>
      </c>
      <c r="E307" s="1892">
        <f t="shared" ref="E307:F307" si="29">+E279+E251+E223+E195+E167+E139+E111+E83+E55+E29</f>
        <v>19.485573156000001</v>
      </c>
      <c r="F307" s="1892">
        <f t="shared" si="29"/>
        <v>136.01505448404217</v>
      </c>
      <c r="G307" s="1882"/>
      <c r="H307" s="292"/>
      <c r="I307" s="292"/>
      <c r="J307" s="292"/>
      <c r="K307" s="292"/>
      <c r="L307" s="292"/>
      <c r="M307" s="292"/>
      <c r="N307" s="292"/>
      <c r="O307" s="292"/>
      <c r="P307" s="292"/>
      <c r="Q307" s="292"/>
      <c r="R307" s="292"/>
      <c r="S307" s="292"/>
      <c r="T307" s="292"/>
      <c r="U307" s="292"/>
      <c r="V307" s="292"/>
      <c r="W307" s="292"/>
      <c r="X307" s="292"/>
      <c r="Y307" s="292"/>
      <c r="Z307" s="292"/>
      <c r="AA307" s="1872">
        <f>+$F307</f>
        <v>136.01505448404217</v>
      </c>
      <c r="AB307" s="1883"/>
      <c r="AC307" s="1883"/>
      <c r="AD307" s="1883"/>
    </row>
    <row r="308" spans="1:30" ht="13" x14ac:dyDescent="0.3">
      <c r="A308" s="1873"/>
      <c r="B308" s="1874" t="s">
        <v>145</v>
      </c>
      <c r="C308" s="1896">
        <f>C296+D308-E308</f>
        <v>4353.531745251842</v>
      </c>
      <c r="D308" s="285">
        <f t="shared" ref="D308:F308" si="30">SUM(D287:D307)</f>
        <v>3222.738693039842</v>
      </c>
      <c r="E308" s="285">
        <f t="shared" si="30"/>
        <v>121.361629143</v>
      </c>
      <c r="F308" s="285">
        <f t="shared" si="30"/>
        <v>1262.4531936713513</v>
      </c>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row>
    <row r="311" spans="1:30" x14ac:dyDescent="0.25">
      <c r="D311" s="1897"/>
      <c r="E311" s="1897"/>
    </row>
    <row r="312" spans="1:30" x14ac:dyDescent="0.25">
      <c r="D312" s="1897"/>
      <c r="E312" s="1897"/>
    </row>
    <row r="313" spans="1:30" x14ac:dyDescent="0.25">
      <c r="D313" s="1897"/>
      <c r="E313" s="1897"/>
    </row>
    <row r="314" spans="1:30" x14ac:dyDescent="0.25">
      <c r="D314" s="1897"/>
      <c r="E314" s="1897"/>
    </row>
    <row r="315" spans="1:30" x14ac:dyDescent="0.25">
      <c r="D315" s="1897"/>
      <c r="E315" s="1897"/>
    </row>
    <row r="316" spans="1:30" x14ac:dyDescent="0.25">
      <c r="D316" s="1897"/>
      <c r="E316" s="1897"/>
    </row>
  </sheetData>
  <mergeCells count="70">
    <mergeCell ref="H285:AA285"/>
    <mergeCell ref="C257:C258"/>
    <mergeCell ref="D257:D258"/>
    <mergeCell ref="E257:E258"/>
    <mergeCell ref="F257:F258"/>
    <mergeCell ref="G257:G258"/>
    <mergeCell ref="H257:AA257"/>
    <mergeCell ref="C285:C286"/>
    <mergeCell ref="D285:D286"/>
    <mergeCell ref="E285:E286"/>
    <mergeCell ref="F285:F286"/>
    <mergeCell ref="G285:G286"/>
    <mergeCell ref="H229:AA229"/>
    <mergeCell ref="C201:C202"/>
    <mergeCell ref="D201:D202"/>
    <mergeCell ref="E201:E202"/>
    <mergeCell ref="F201:F202"/>
    <mergeCell ref="G201:G202"/>
    <mergeCell ref="H201:AA201"/>
    <mergeCell ref="C229:C230"/>
    <mergeCell ref="D229:D230"/>
    <mergeCell ref="E229:E230"/>
    <mergeCell ref="F229:F230"/>
    <mergeCell ref="G229:G230"/>
    <mergeCell ref="H173:AA173"/>
    <mergeCell ref="C145:C146"/>
    <mergeCell ref="D145:D146"/>
    <mergeCell ref="E145:E146"/>
    <mergeCell ref="F145:F146"/>
    <mergeCell ref="G145:G146"/>
    <mergeCell ref="H145:AA145"/>
    <mergeCell ref="C173:C174"/>
    <mergeCell ref="D173:D174"/>
    <mergeCell ref="E173:E174"/>
    <mergeCell ref="F173:F174"/>
    <mergeCell ref="G173:G174"/>
    <mergeCell ref="H117:AA117"/>
    <mergeCell ref="C89:C90"/>
    <mergeCell ref="D89:D90"/>
    <mergeCell ref="E89:E90"/>
    <mergeCell ref="F89:F90"/>
    <mergeCell ref="G89:G90"/>
    <mergeCell ref="H89:AA89"/>
    <mergeCell ref="C117:C118"/>
    <mergeCell ref="D117:D118"/>
    <mergeCell ref="E117:E118"/>
    <mergeCell ref="F117:F118"/>
    <mergeCell ref="G117:G118"/>
    <mergeCell ref="H61:AA61"/>
    <mergeCell ref="C33:C34"/>
    <mergeCell ref="D33:D34"/>
    <mergeCell ref="E33:E34"/>
    <mergeCell ref="F33:F34"/>
    <mergeCell ref="G33:G34"/>
    <mergeCell ref="H33:AA33"/>
    <mergeCell ref="C61:C62"/>
    <mergeCell ref="D61:D62"/>
    <mergeCell ref="E61:E62"/>
    <mergeCell ref="F61:F62"/>
    <mergeCell ref="G61:G62"/>
    <mergeCell ref="A2:V2"/>
    <mergeCell ref="A3:V3"/>
    <mergeCell ref="A4:V4"/>
    <mergeCell ref="B6:B7"/>
    <mergeCell ref="C6:C7"/>
    <mergeCell ref="D6:D7"/>
    <mergeCell ref="E6:E7"/>
    <mergeCell ref="F6:F7"/>
    <mergeCell ref="G6:G7"/>
    <mergeCell ref="H6:AA6"/>
  </mergeCells>
  <pageMargins left="0.70866141732283472" right="0.70866141732283472" top="0.74803149606299213" bottom="0.74803149606299213" header="0.31496062992125984" footer="0.31496062992125984"/>
  <pageSetup paperSize="9" scale="20" orientation="landscape" r:id="rId1"/>
  <rowBreaks count="9" manualBreakCount="9">
    <brk id="30" max="16383" man="1"/>
    <brk id="57" max="16383" man="1"/>
    <brk id="85" max="16383" man="1"/>
    <brk id="113" max="16383" man="1"/>
    <brk id="141" max="16383" man="1"/>
    <brk id="169" max="16383" man="1"/>
    <brk id="197" max="16383" man="1"/>
    <brk id="225" max="16383" man="1"/>
    <brk id="25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
  <sheetViews>
    <sheetView view="pageBreakPreview" topLeftCell="C1" zoomScale="87" zoomScaleNormal="74" workbookViewId="0">
      <selection activeCell="A14" sqref="A14"/>
    </sheetView>
  </sheetViews>
  <sheetFormatPr defaultRowHeight="14" x14ac:dyDescent="0.3"/>
  <cols>
    <col min="1" max="1" width="8.7265625" style="1"/>
    <col min="2" max="2" width="5.1796875" style="1" bestFit="1" customWidth="1"/>
    <col min="3" max="3" width="41.08984375" style="1" bestFit="1" customWidth="1"/>
    <col min="4" max="4" width="16.54296875" style="1" customWidth="1"/>
    <col min="5" max="5" width="13.54296875" style="1" customWidth="1"/>
    <col min="6" max="6" width="15.81640625" style="1" customWidth="1"/>
    <col min="7" max="7" width="12.7265625" style="1" customWidth="1"/>
    <col min="8" max="8" width="14.81640625" style="1" customWidth="1"/>
    <col min="9" max="9" width="12.7265625" style="1" customWidth="1"/>
    <col min="10" max="10" width="15.08984375" style="1" customWidth="1"/>
    <col min="11" max="12" width="11.6328125" style="1" customWidth="1"/>
    <col min="13" max="13" width="11.54296875" style="1" bestFit="1" customWidth="1"/>
    <col min="14" max="16384" width="8.7265625" style="1"/>
  </cols>
  <sheetData>
    <row r="1" spans="2:13" ht="46" customHeight="1" x14ac:dyDescent="0.3">
      <c r="B1" s="2501" t="s">
        <v>1699</v>
      </c>
      <c r="C1" s="2501"/>
      <c r="D1" s="2501"/>
      <c r="E1" s="2501"/>
      <c r="F1" s="2501"/>
      <c r="G1" s="2501"/>
      <c r="H1" s="2501"/>
      <c r="I1" s="2501"/>
      <c r="J1" s="2501"/>
      <c r="K1" s="2501"/>
      <c r="L1" s="2501"/>
      <c r="M1" s="2501"/>
    </row>
    <row r="2" spans="2:13" x14ac:dyDescent="0.3">
      <c r="B2" s="1434"/>
      <c r="C2" s="1434"/>
      <c r="D2" s="1435"/>
      <c r="E2" s="1435"/>
      <c r="F2" s="1435"/>
      <c r="G2" s="1435"/>
      <c r="H2" s="1435"/>
      <c r="I2" s="1435"/>
      <c r="J2" s="1435"/>
      <c r="K2" s="1435"/>
      <c r="L2" s="119"/>
      <c r="M2" s="1434" t="s">
        <v>400</v>
      </c>
    </row>
    <row r="3" spans="2:13" s="254" customFormat="1" x14ac:dyDescent="0.3">
      <c r="B3" s="2502" t="s">
        <v>1257</v>
      </c>
      <c r="C3" s="2502" t="s">
        <v>50</v>
      </c>
      <c r="D3" s="2504" t="s">
        <v>179</v>
      </c>
      <c r="E3" s="2504"/>
      <c r="F3" s="2504" t="s">
        <v>186</v>
      </c>
      <c r="G3" s="2504"/>
      <c r="H3" s="2504" t="s">
        <v>426</v>
      </c>
      <c r="I3" s="2504"/>
      <c r="J3" s="2504" t="s">
        <v>427</v>
      </c>
      <c r="K3" s="2504"/>
      <c r="L3" s="644" t="s">
        <v>428</v>
      </c>
      <c r="M3" s="645" t="s">
        <v>429</v>
      </c>
    </row>
    <row r="4" spans="2:13" ht="28" x14ac:dyDescent="0.3">
      <c r="B4" s="2503"/>
      <c r="C4" s="2503"/>
      <c r="D4" s="646" t="s">
        <v>885</v>
      </c>
      <c r="E4" s="646" t="s">
        <v>1258</v>
      </c>
      <c r="F4" s="646" t="s">
        <v>885</v>
      </c>
      <c r="G4" s="646" t="s">
        <v>1258</v>
      </c>
      <c r="H4" s="646" t="s">
        <v>885</v>
      </c>
      <c r="I4" s="646" t="s">
        <v>1258</v>
      </c>
      <c r="J4" s="656" t="s">
        <v>885</v>
      </c>
      <c r="K4" s="656" t="s">
        <v>31</v>
      </c>
      <c r="L4" s="646" t="s">
        <v>31</v>
      </c>
      <c r="M4" s="646" t="s">
        <v>31</v>
      </c>
    </row>
    <row r="5" spans="2:13" x14ac:dyDescent="0.3">
      <c r="B5" s="647">
        <v>1</v>
      </c>
      <c r="C5" s="648" t="s">
        <v>1259</v>
      </c>
      <c r="D5" s="649"/>
      <c r="E5" s="650"/>
      <c r="F5" s="650"/>
      <c r="G5" s="650"/>
      <c r="H5" s="650"/>
      <c r="I5" s="643"/>
      <c r="J5" s="643"/>
      <c r="K5" s="643"/>
      <c r="L5" s="643"/>
      <c r="M5" s="11"/>
    </row>
    <row r="6" spans="2:13" x14ac:dyDescent="0.3">
      <c r="B6" s="647">
        <v>2</v>
      </c>
      <c r="C6" s="648" t="s">
        <v>562</v>
      </c>
      <c r="D6" s="649"/>
      <c r="E6" s="650"/>
      <c r="F6" s="650"/>
      <c r="G6" s="650"/>
      <c r="H6" s="650"/>
      <c r="I6" s="643"/>
      <c r="J6" s="643"/>
      <c r="K6" s="643"/>
      <c r="L6" s="643"/>
      <c r="M6" s="11"/>
    </row>
    <row r="7" spans="2:13" ht="28" x14ac:dyDescent="0.3">
      <c r="B7" s="647">
        <v>3</v>
      </c>
      <c r="C7" s="648" t="s">
        <v>1260</v>
      </c>
      <c r="D7" s="649"/>
      <c r="E7" s="650"/>
      <c r="F7" s="650"/>
      <c r="G7" s="650"/>
      <c r="H7" s="650"/>
      <c r="I7" s="643"/>
      <c r="J7" s="643"/>
      <c r="K7" s="643"/>
      <c r="L7" s="643"/>
      <c r="M7" s="11"/>
    </row>
    <row r="8" spans="2:13" x14ac:dyDescent="0.3">
      <c r="B8" s="647">
        <v>4</v>
      </c>
      <c r="C8" s="648" t="s">
        <v>1261</v>
      </c>
      <c r="D8" s="651">
        <v>0</v>
      </c>
      <c r="E8" s="651">
        <v>0</v>
      </c>
      <c r="F8" s="651">
        <v>0</v>
      </c>
      <c r="G8" s="651">
        <v>0</v>
      </c>
      <c r="H8" s="651">
        <v>0</v>
      </c>
      <c r="I8" s="651">
        <v>0</v>
      </c>
      <c r="J8" s="651">
        <v>0</v>
      </c>
      <c r="K8" s="651">
        <v>0</v>
      </c>
      <c r="L8" s="651">
        <v>0</v>
      </c>
      <c r="M8" s="651">
        <v>0</v>
      </c>
    </row>
    <row r="9" spans="2:13" x14ac:dyDescent="0.3">
      <c r="B9" s="647">
        <v>5</v>
      </c>
      <c r="C9" s="648" t="s">
        <v>1262</v>
      </c>
      <c r="D9" s="649"/>
      <c r="E9" s="650"/>
      <c r="F9" s="650"/>
      <c r="G9" s="650"/>
      <c r="H9" s="650"/>
      <c r="I9" s="643"/>
      <c r="J9" s="643"/>
      <c r="K9" s="643"/>
      <c r="L9" s="643"/>
      <c r="M9" s="11"/>
    </row>
    <row r="10" spans="2:13" x14ac:dyDescent="0.3">
      <c r="B10" s="647"/>
      <c r="C10" s="648"/>
      <c r="D10" s="649"/>
      <c r="E10" s="650"/>
      <c r="F10" s="650"/>
      <c r="G10" s="650"/>
      <c r="H10" s="650"/>
      <c r="I10" s="643"/>
      <c r="J10" s="643"/>
      <c r="K10" s="643"/>
      <c r="L10" s="643"/>
      <c r="M10" s="11"/>
    </row>
    <row r="11" spans="2:13" x14ac:dyDescent="0.3">
      <c r="B11" s="647">
        <v>1</v>
      </c>
      <c r="C11" s="648" t="s">
        <v>1263</v>
      </c>
      <c r="D11" s="652">
        <v>87.99</v>
      </c>
      <c r="E11" s="652">
        <v>87.99</v>
      </c>
      <c r="F11" s="1030">
        <v>87.99</v>
      </c>
      <c r="G11" s="652">
        <v>87.99</v>
      </c>
      <c r="H11" s="1031">
        <v>87.99</v>
      </c>
      <c r="I11" s="1031">
        <v>87.99</v>
      </c>
      <c r="J11" s="1031">
        <v>87.99</v>
      </c>
      <c r="K11" s="1031">
        <v>87.99</v>
      </c>
      <c r="L11" s="1032">
        <v>87.99</v>
      </c>
      <c r="M11" s="1032">
        <v>87.99</v>
      </c>
    </row>
    <row r="12" spans="2:13" x14ac:dyDescent="0.3">
      <c r="B12" s="647">
        <v>2</v>
      </c>
      <c r="C12" s="648" t="s">
        <v>1264</v>
      </c>
      <c r="D12" s="652">
        <f>D8</f>
        <v>0</v>
      </c>
      <c r="E12" s="652">
        <f t="shared" ref="E12:M12" si="0">E8</f>
        <v>0</v>
      </c>
      <c r="F12" s="652">
        <f t="shared" si="0"/>
        <v>0</v>
      </c>
      <c r="G12" s="652">
        <f t="shared" si="0"/>
        <v>0</v>
      </c>
      <c r="H12" s="652">
        <f t="shared" si="0"/>
        <v>0</v>
      </c>
      <c r="I12" s="652">
        <f t="shared" si="0"/>
        <v>0</v>
      </c>
      <c r="J12" s="652">
        <f t="shared" si="0"/>
        <v>0</v>
      </c>
      <c r="K12" s="652">
        <f t="shared" si="0"/>
        <v>0</v>
      </c>
      <c r="L12" s="652">
        <f t="shared" si="0"/>
        <v>0</v>
      </c>
      <c r="M12" s="652">
        <f t="shared" si="0"/>
        <v>0</v>
      </c>
    </row>
    <row r="13" spans="2:13" x14ac:dyDescent="0.3">
      <c r="B13" s="647">
        <v>3</v>
      </c>
      <c r="C13" s="648" t="s">
        <v>1265</v>
      </c>
      <c r="D13" s="653">
        <v>0.06</v>
      </c>
      <c r="E13" s="653">
        <v>0.06</v>
      </c>
      <c r="F13" s="653">
        <v>0.06</v>
      </c>
      <c r="G13" s="653">
        <v>0.06</v>
      </c>
      <c r="H13" s="654">
        <v>0.06</v>
      </c>
      <c r="I13" s="653">
        <v>0.06</v>
      </c>
      <c r="J13" s="654">
        <v>0.06</v>
      </c>
      <c r="K13" s="654">
        <v>0.06</v>
      </c>
      <c r="L13" s="654">
        <v>0.06</v>
      </c>
      <c r="M13" s="654">
        <v>0.06</v>
      </c>
    </row>
    <row r="14" spans="2:13" x14ac:dyDescent="0.3">
      <c r="B14" s="647">
        <v>4</v>
      </c>
      <c r="C14" s="648" t="s">
        <v>1266</v>
      </c>
      <c r="D14" s="652">
        <f>D11*D13</f>
        <v>5.2793999999999999</v>
      </c>
      <c r="E14" s="652">
        <f t="shared" ref="E14:M14" si="1">E11*E13</f>
        <v>5.2793999999999999</v>
      </c>
      <c r="F14" s="652">
        <f t="shared" si="1"/>
        <v>5.2793999999999999</v>
      </c>
      <c r="G14" s="652">
        <f t="shared" si="1"/>
        <v>5.2793999999999999</v>
      </c>
      <c r="H14" s="652">
        <f t="shared" si="1"/>
        <v>5.2793999999999999</v>
      </c>
      <c r="I14" s="652">
        <f t="shared" si="1"/>
        <v>5.2793999999999999</v>
      </c>
      <c r="J14" s="652">
        <f t="shared" si="1"/>
        <v>5.2793999999999999</v>
      </c>
      <c r="K14" s="652">
        <f t="shared" si="1"/>
        <v>5.2793999999999999</v>
      </c>
      <c r="L14" s="652">
        <f t="shared" si="1"/>
        <v>5.2793999999999999</v>
      </c>
      <c r="M14" s="652">
        <f t="shared" si="1"/>
        <v>5.2793999999999999</v>
      </c>
    </row>
  </sheetData>
  <mergeCells count="7">
    <mergeCell ref="B1:M1"/>
    <mergeCell ref="B3:B4"/>
    <mergeCell ref="C3:C4"/>
    <mergeCell ref="D3:E3"/>
    <mergeCell ref="F3:G3"/>
    <mergeCell ref="H3:I3"/>
    <mergeCell ref="J3:K3"/>
  </mergeCells>
  <pageMargins left="0.70866141732283472" right="0.70866141732283472" top="0.74803149606299213" bottom="0.74803149606299213" header="0.31496062992125984" footer="0.31496062992125984"/>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view="pageBreakPreview" zoomScaleNormal="100" zoomScaleSheetLayoutView="100" workbookViewId="0">
      <selection activeCell="E7" sqref="E7"/>
    </sheetView>
  </sheetViews>
  <sheetFormatPr defaultRowHeight="13" x14ac:dyDescent="0.3"/>
  <cols>
    <col min="1" max="1" width="7.453125" style="1597" bestFit="1" customWidth="1"/>
    <col min="2" max="2" width="41.54296875" style="1597" bestFit="1" customWidth="1"/>
    <col min="3" max="8" width="11.81640625" style="1597" customWidth="1"/>
    <col min="9" max="16384" width="8.7265625" style="1597"/>
  </cols>
  <sheetData>
    <row r="1" spans="1:4" ht="14" x14ac:dyDescent="0.3">
      <c r="C1" s="1582" t="s">
        <v>1027</v>
      </c>
    </row>
    <row r="2" spans="1:4" ht="14" x14ac:dyDescent="0.3">
      <c r="C2" s="1582" t="s">
        <v>1028</v>
      </c>
    </row>
    <row r="4" spans="1:4" ht="12.75" customHeight="1" x14ac:dyDescent="0.3">
      <c r="A4" s="440" t="s">
        <v>187</v>
      </c>
      <c r="B4" s="440" t="s">
        <v>50</v>
      </c>
      <c r="C4" s="1579" t="s">
        <v>428</v>
      </c>
      <c r="D4" s="1579" t="s">
        <v>429</v>
      </c>
    </row>
    <row r="5" spans="1:4" ht="28" x14ac:dyDescent="0.3">
      <c r="A5" s="63">
        <v>1</v>
      </c>
      <c r="B5" s="114" t="s">
        <v>1961</v>
      </c>
      <c r="C5" s="1598">
        <f ca="1">'ARR-Summary'!T30+'Carrying Cost'!O5+'Carrying Cost'!K15*50%</f>
        <v>946.11502695243007</v>
      </c>
      <c r="D5" s="1598">
        <f ca="1">'ARR-Summary'!V30+'Carrying Cost'!P5+'Tariff recovery-Wire and Retail'!G10</f>
        <v>1048.3541430718351</v>
      </c>
    </row>
    <row r="6" spans="1:4" ht="14" x14ac:dyDescent="0.3">
      <c r="A6" s="63">
        <v>2</v>
      </c>
      <c r="B6" s="442" t="s">
        <v>1029</v>
      </c>
      <c r="C6" s="1599">
        <v>0.40649999999999997</v>
      </c>
      <c r="D6" s="1599">
        <v>0.40649999999999997</v>
      </c>
    </row>
    <row r="7" spans="1:4" ht="14" x14ac:dyDescent="0.3">
      <c r="A7" s="63">
        <v>3</v>
      </c>
      <c r="B7" s="442" t="s">
        <v>1030</v>
      </c>
      <c r="C7" s="1599">
        <f>1-C6</f>
        <v>0.59350000000000003</v>
      </c>
      <c r="D7" s="1599">
        <f>1-D6</f>
        <v>0.59350000000000003</v>
      </c>
    </row>
    <row r="8" spans="1:4" ht="14" x14ac:dyDescent="0.3">
      <c r="A8" s="63">
        <v>4</v>
      </c>
      <c r="B8" s="444" t="s">
        <v>1634</v>
      </c>
      <c r="C8" s="1598">
        <f ca="1">C5*C6</f>
        <v>384.5957584561628</v>
      </c>
      <c r="D8" s="1598">
        <f ca="1">D5*D6</f>
        <v>426.15595915870097</v>
      </c>
    </row>
    <row r="9" spans="1:4" ht="14" x14ac:dyDescent="0.3">
      <c r="A9" s="63">
        <v>5</v>
      </c>
      <c r="B9" s="444" t="s">
        <v>1031</v>
      </c>
      <c r="C9" s="1598">
        <f ca="1">C5*C7</f>
        <v>561.51926849626727</v>
      </c>
      <c r="D9" s="1598">
        <f ca="1">D5*D7</f>
        <v>622.19818391313413</v>
      </c>
    </row>
    <row r="10" spans="1:4" ht="14" x14ac:dyDescent="0.3">
      <c r="A10" s="63">
        <v>6</v>
      </c>
      <c r="B10" s="11" t="s">
        <v>1032</v>
      </c>
      <c r="C10" s="1598">
        <f>'F1'!O20</f>
        <v>647.32752264047144</v>
      </c>
      <c r="D10" s="1598">
        <f>'F1'!Q20</f>
        <v>647.32752264047144</v>
      </c>
    </row>
    <row r="11" spans="1:4" ht="14" x14ac:dyDescent="0.3">
      <c r="A11" s="63">
        <v>7</v>
      </c>
      <c r="B11" s="11" t="s">
        <v>1033</v>
      </c>
      <c r="C11" s="1598">
        <f>'F1'!O42</f>
        <v>3944.8884799436942</v>
      </c>
      <c r="D11" s="1598">
        <f>'F1'!Q42</f>
        <v>3988.1034710629638</v>
      </c>
    </row>
    <row r="12" spans="1:4" ht="14" x14ac:dyDescent="0.3">
      <c r="A12" s="63">
        <v>8</v>
      </c>
      <c r="B12" s="11" t="s">
        <v>1034</v>
      </c>
      <c r="C12" s="1598">
        <f>C10+C11</f>
        <v>4592.2160025841658</v>
      </c>
      <c r="D12" s="1598">
        <f>D10+D11</f>
        <v>4635.430993703435</v>
      </c>
    </row>
    <row r="13" spans="1:4" ht="14" x14ac:dyDescent="0.3">
      <c r="A13" s="63">
        <v>9</v>
      </c>
      <c r="B13" s="444" t="s">
        <v>1035</v>
      </c>
      <c r="C13" s="445">
        <f ca="1">C8*C10/C12</f>
        <v>54.213351331767647</v>
      </c>
      <c r="D13" s="445">
        <f ca="1">D8*D10/D12</f>
        <v>59.511722140917485</v>
      </c>
    </row>
    <row r="14" spans="1:4" ht="14" x14ac:dyDescent="0.3">
      <c r="A14" s="63">
        <v>10</v>
      </c>
      <c r="B14" s="444" t="s">
        <v>1031</v>
      </c>
      <c r="C14" s="445">
        <f ca="1">C5-C13</f>
        <v>891.90167562066244</v>
      </c>
      <c r="D14" s="445">
        <f ca="1">D5-D13</f>
        <v>988.84242093091757</v>
      </c>
    </row>
    <row r="15" spans="1:4" ht="14" x14ac:dyDescent="0.3">
      <c r="A15" s="63">
        <v>11</v>
      </c>
      <c r="B15" s="38" t="s">
        <v>1702</v>
      </c>
      <c r="C15" s="446">
        <f ca="1">ROUND(C13/C10*10,2)</f>
        <v>0.84</v>
      </c>
      <c r="D15" s="446">
        <f ca="1">ROUND(D13/D10*10,2)</f>
        <v>0.92</v>
      </c>
    </row>
    <row r="16" spans="1:4" ht="14" x14ac:dyDescent="0.3">
      <c r="A16" s="63">
        <v>12</v>
      </c>
      <c r="B16" s="38" t="s">
        <v>1036</v>
      </c>
      <c r="C16" s="447">
        <f ca="1">ROUND(C14/C11*10,2)</f>
        <v>2.2599999999999998</v>
      </c>
      <c r="D16" s="447">
        <f ca="1">ROUND(D14/D11*10,2)</f>
        <v>2.48</v>
      </c>
    </row>
    <row r="17" spans="1:8" ht="14" x14ac:dyDescent="0.3">
      <c r="A17" s="63">
        <v>13</v>
      </c>
      <c r="B17" s="1942" t="s">
        <v>1999</v>
      </c>
      <c r="C17" s="447">
        <f ca="1">C5/C12*10</f>
        <v>2.0602581115958509</v>
      </c>
      <c r="D17" s="447">
        <f ca="1">D5/D12*10</f>
        <v>2.2616109364930104</v>
      </c>
    </row>
    <row r="19" spans="1:8" ht="14" x14ac:dyDescent="0.3">
      <c r="A19" s="329"/>
      <c r="B19" s="8"/>
      <c r="C19" s="449" t="s">
        <v>1037</v>
      </c>
      <c r="D19" s="448"/>
      <c r="E19" s="448"/>
      <c r="F19" s="448"/>
      <c r="G19" s="448"/>
    </row>
    <row r="21" spans="1:8" ht="14" x14ac:dyDescent="0.3">
      <c r="A21" s="450" t="s">
        <v>187</v>
      </c>
      <c r="B21" s="450" t="s">
        <v>50</v>
      </c>
      <c r="C21" s="1579" t="s">
        <v>179</v>
      </c>
      <c r="D21" s="1579" t="s">
        <v>186</v>
      </c>
      <c r="E21" s="1579" t="s">
        <v>426</v>
      </c>
      <c r="F21" s="1579" t="s">
        <v>427</v>
      </c>
      <c r="G21" s="1579" t="s">
        <v>428</v>
      </c>
      <c r="H21" s="1579" t="s">
        <v>429</v>
      </c>
    </row>
    <row r="22" spans="1:8" ht="14" x14ac:dyDescent="0.3">
      <c r="A22" s="63">
        <v>1</v>
      </c>
      <c r="B22" s="114" t="s">
        <v>1038</v>
      </c>
      <c r="C22" s="1598">
        <f ca="1">F1.4!E52</f>
        <v>222.90892572999746</v>
      </c>
      <c r="D22" s="1598">
        <f ca="1">F1.4!H52</f>
        <v>154.57896850000134</v>
      </c>
      <c r="E22" s="1598">
        <f ca="1">F1.4!K52</f>
        <v>197.61748294000108</v>
      </c>
      <c r="F22" s="1598">
        <f>F1.4!N52</f>
        <v>215.32453779162825</v>
      </c>
      <c r="G22" s="1598">
        <f>F1.4!Q52</f>
        <v>212.28014709949457</v>
      </c>
      <c r="H22" s="1598">
        <f>F1.4!S52</f>
        <v>209.22729061968857</v>
      </c>
    </row>
    <row r="23" spans="1:8" ht="14" x14ac:dyDescent="0.3">
      <c r="A23" s="63">
        <v>2</v>
      </c>
      <c r="B23" s="442" t="s">
        <v>1039</v>
      </c>
      <c r="C23" s="1600">
        <v>0.22406315832923498</v>
      </c>
      <c r="D23" s="1599">
        <v>0.22504459557988857</v>
      </c>
      <c r="E23" s="1599">
        <v>0.22469934356325791</v>
      </c>
      <c r="F23" s="1599">
        <f>E23</f>
        <v>0.22469934356325791</v>
      </c>
      <c r="G23" s="1599">
        <f>F23</f>
        <v>0.22469934356325791</v>
      </c>
      <c r="H23" s="1599">
        <f>G23</f>
        <v>0.22469934356325791</v>
      </c>
    </row>
    <row r="24" spans="1:8" ht="14" x14ac:dyDescent="0.3">
      <c r="A24" s="63">
        <v>3</v>
      </c>
      <c r="B24" s="442" t="s">
        <v>1040</v>
      </c>
      <c r="C24" s="1599">
        <f t="shared" ref="C24:H24" si="0">1-C23</f>
        <v>0.77593684167076504</v>
      </c>
      <c r="D24" s="1599">
        <f t="shared" si="0"/>
        <v>0.77495540442011146</v>
      </c>
      <c r="E24" s="1599">
        <f t="shared" si="0"/>
        <v>0.77530065643674206</v>
      </c>
      <c r="F24" s="1599">
        <f t="shared" si="0"/>
        <v>0.77530065643674206</v>
      </c>
      <c r="G24" s="1599">
        <f t="shared" si="0"/>
        <v>0.77530065643674206</v>
      </c>
      <c r="H24" s="1599">
        <f t="shared" si="0"/>
        <v>0.77530065643674206</v>
      </c>
    </row>
    <row r="25" spans="1:8" ht="14" x14ac:dyDescent="0.3">
      <c r="A25" s="63">
        <v>4</v>
      </c>
      <c r="B25" s="444" t="s">
        <v>1608</v>
      </c>
      <c r="C25" s="1598">
        <f t="shared" ref="C25:H25" ca="1" si="1">C22*C23</f>
        <v>49.945677918840104</v>
      </c>
      <c r="D25" s="1598">
        <f t="shared" ca="1" si="1"/>
        <v>34.787161451239136</v>
      </c>
      <c r="E25" s="1598">
        <f t="shared" ca="1" si="1"/>
        <v>44.404518693241563</v>
      </c>
      <c r="F25" s="1598">
        <f t="shared" si="1"/>
        <v>48.383282294840789</v>
      </c>
      <c r="G25" s="1598">
        <f t="shared" si="1"/>
        <v>47.699209704768258</v>
      </c>
      <c r="H25" s="1598">
        <f t="shared" si="1"/>
        <v>47.01323485776301</v>
      </c>
    </row>
    <row r="26" spans="1:8" ht="14" x14ac:dyDescent="0.3">
      <c r="A26" s="63">
        <v>5</v>
      </c>
      <c r="B26" s="444" t="s">
        <v>1041</v>
      </c>
      <c r="C26" s="1598">
        <f t="shared" ref="C26:H26" ca="1" si="2">C22*C24</f>
        <v>172.96324781115737</v>
      </c>
      <c r="D26" s="1598">
        <f t="shared" ca="1" si="2"/>
        <v>119.79180704876221</v>
      </c>
      <c r="E26" s="1598">
        <f t="shared" ca="1" si="2"/>
        <v>153.21296424675953</v>
      </c>
      <c r="F26" s="1598">
        <f t="shared" si="2"/>
        <v>166.94125549678745</v>
      </c>
      <c r="G26" s="1598">
        <f t="shared" si="2"/>
        <v>164.58093739472631</v>
      </c>
      <c r="H26" s="1598">
        <f t="shared" si="2"/>
        <v>162.21405576192555</v>
      </c>
    </row>
    <row r="27" spans="1:8" ht="14" x14ac:dyDescent="0.3">
      <c r="A27" s="63">
        <v>6</v>
      </c>
      <c r="B27" s="11" t="s">
        <v>1032</v>
      </c>
      <c r="C27" s="1598">
        <f>F1.4!$E$54</f>
        <v>680.79977800000017</v>
      </c>
      <c r="D27" s="1598">
        <f>F1.4!$H$54</f>
        <v>535.79511100000002</v>
      </c>
      <c r="E27" s="1598">
        <f>F1.4!$K$54</f>
        <v>572.07783499999994</v>
      </c>
      <c r="F27" s="1598">
        <f>F1.4!$N$54</f>
        <v>634.70828265195382</v>
      </c>
      <c r="G27" s="1598">
        <f>F1.4!$Q$54</f>
        <v>634.70828265195382</v>
      </c>
      <c r="H27" s="1598">
        <f>F1.4!$S$54</f>
        <v>634.70828265195382</v>
      </c>
    </row>
    <row r="28" spans="1:8" ht="14" x14ac:dyDescent="0.3">
      <c r="A28" s="63">
        <v>7</v>
      </c>
      <c r="B28" s="11" t="s">
        <v>1033</v>
      </c>
      <c r="C28" s="1598">
        <f>F1.4!$E$59</f>
        <v>3888.5415312700002</v>
      </c>
      <c r="D28" s="1598">
        <f>F1.4!$H$59</f>
        <v>3241.0496334999998</v>
      </c>
      <c r="E28" s="1598">
        <f>F1.4!$K$59</f>
        <v>3496.89014206</v>
      </c>
      <c r="F28" s="1598">
        <f>F1.4!$N$59</f>
        <v>3903.2682345592571</v>
      </c>
      <c r="G28" s="1598">
        <f>F1.4!$Q$59</f>
        <v>3944.8884799436946</v>
      </c>
      <c r="H28" s="1598">
        <f>F1.4!$S$59</f>
        <v>3988.1034710629629</v>
      </c>
    </row>
    <row r="29" spans="1:8" ht="14" x14ac:dyDescent="0.3">
      <c r="A29" s="63">
        <v>8</v>
      </c>
      <c r="B29" s="11" t="s">
        <v>1034</v>
      </c>
      <c r="C29" s="1598">
        <f t="shared" ref="C29:H29" si="3">C27+C28</f>
        <v>4569.3413092700002</v>
      </c>
      <c r="D29" s="1598">
        <f t="shared" si="3"/>
        <v>3776.8447444999997</v>
      </c>
      <c r="E29" s="1598">
        <f t="shared" si="3"/>
        <v>4068.9679770600001</v>
      </c>
      <c r="F29" s="1598">
        <f t="shared" si="3"/>
        <v>4537.9765172112111</v>
      </c>
      <c r="G29" s="1598">
        <f t="shared" si="3"/>
        <v>4579.5967625956482</v>
      </c>
      <c r="H29" s="1598">
        <f t="shared" si="3"/>
        <v>4622.8117537149164</v>
      </c>
    </row>
    <row r="30" spans="1:8" ht="14" x14ac:dyDescent="0.3">
      <c r="A30" s="63">
        <v>9</v>
      </c>
      <c r="B30" s="444" t="s">
        <v>1042</v>
      </c>
      <c r="C30" s="445">
        <f t="shared" ref="C30:H30" ca="1" si="4">C25*C27/C29</f>
        <v>7.4415553879117402</v>
      </c>
      <c r="D30" s="445">
        <f t="shared" ca="1" si="4"/>
        <v>4.9350164732834694</v>
      </c>
      <c r="E30" s="445">
        <f t="shared" ca="1" si="4"/>
        <v>6.2430672989963609</v>
      </c>
      <c r="F30" s="445">
        <f t="shared" si="4"/>
        <v>6.7671725267752807</v>
      </c>
      <c r="G30" s="445">
        <f t="shared" si="4"/>
        <v>6.6108622756579551</v>
      </c>
      <c r="H30" s="445">
        <f t="shared" si="4"/>
        <v>6.4548787941677261</v>
      </c>
    </row>
    <row r="31" spans="1:8" ht="14" x14ac:dyDescent="0.3">
      <c r="A31" s="63">
        <v>10</v>
      </c>
      <c r="B31" s="444" t="s">
        <v>1043</v>
      </c>
      <c r="C31" s="445">
        <f t="shared" ref="C31:H31" ca="1" si="5">C22-C30</f>
        <v>215.46737034208573</v>
      </c>
      <c r="D31" s="445">
        <f t="shared" ca="1" si="5"/>
        <v>149.64395202671787</v>
      </c>
      <c r="E31" s="445">
        <f t="shared" ca="1" si="5"/>
        <v>191.37441564100473</v>
      </c>
      <c r="F31" s="445">
        <f t="shared" si="5"/>
        <v>208.55736526485296</v>
      </c>
      <c r="G31" s="445">
        <f t="shared" si="5"/>
        <v>205.66928482383662</v>
      </c>
      <c r="H31" s="445">
        <f t="shared" si="5"/>
        <v>202.77241182552086</v>
      </c>
    </row>
    <row r="32" spans="1:8" ht="14" x14ac:dyDescent="0.3">
      <c r="A32" s="63">
        <v>11</v>
      </c>
      <c r="B32" s="38" t="s">
        <v>1044</v>
      </c>
      <c r="C32" s="1601">
        <f t="shared" ref="C32:H32" ca="1" si="6">C30/C27</f>
        <v>1.0930607835644356E-2</v>
      </c>
      <c r="D32" s="1601">
        <f t="shared" ca="1" si="6"/>
        <v>9.2106411050911392E-3</v>
      </c>
      <c r="E32" s="1601">
        <f t="shared" ca="1" si="6"/>
        <v>1.0912968335849546E-2</v>
      </c>
      <c r="F32" s="1601">
        <f t="shared" si="6"/>
        <v>1.0661862641055373E-2</v>
      </c>
      <c r="G32" s="1601">
        <f t="shared" si="6"/>
        <v>1.0415591629017801E-2</v>
      </c>
      <c r="H32" s="1601">
        <f t="shared" si="6"/>
        <v>1.016983545133174E-2</v>
      </c>
    </row>
    <row r="33" spans="1:8" ht="14" x14ac:dyDescent="0.3">
      <c r="A33" s="63">
        <v>12</v>
      </c>
      <c r="B33" s="38" t="s">
        <v>1045</v>
      </c>
      <c r="C33" s="1601">
        <f t="shared" ref="C33:H33" ca="1" si="7">C31/C28</f>
        <v>5.5410844556857269E-2</v>
      </c>
      <c r="D33" s="1601">
        <f t="shared" ca="1" si="7"/>
        <v>4.617144720030647E-2</v>
      </c>
      <c r="E33" s="1601">
        <f t="shared" ca="1" si="7"/>
        <v>5.4727031123793624E-2</v>
      </c>
      <c r="F33" s="1601">
        <f t="shared" si="7"/>
        <v>5.3431471457252411E-2</v>
      </c>
      <c r="G33" s="1601">
        <f t="shared" si="7"/>
        <v>5.2135639795518919E-2</v>
      </c>
      <c r="H33" s="1601">
        <f t="shared" si="7"/>
        <v>5.0844320689471791E-2</v>
      </c>
    </row>
    <row r="34" spans="1:8" ht="14" x14ac:dyDescent="0.3">
      <c r="A34" s="452">
        <v>13</v>
      </c>
      <c r="B34" s="38" t="s">
        <v>1046</v>
      </c>
      <c r="C34" s="1602">
        <f t="shared" ref="C34:H34" ca="1" si="8">C22/C29</f>
        <v>4.8783601539629677E-2</v>
      </c>
      <c r="D34" s="1602">
        <f t="shared" ca="1" si="8"/>
        <v>4.0928070640209854E-2</v>
      </c>
      <c r="E34" s="1602">
        <f t="shared" ca="1" si="8"/>
        <v>4.8566979158874576E-2</v>
      </c>
      <c r="F34" s="1602">
        <f t="shared" si="8"/>
        <v>4.7449460563527723E-2</v>
      </c>
      <c r="G34" s="1602">
        <f t="shared" si="8"/>
        <v>4.6353458198179286E-2</v>
      </c>
      <c r="H34" s="1602">
        <f t="shared" si="8"/>
        <v>4.5259747047141252E-2</v>
      </c>
    </row>
    <row r="35" spans="1:8" ht="14" x14ac:dyDescent="0.3">
      <c r="A35" s="1744" t="s">
        <v>1823</v>
      </c>
      <c r="B35" s="1603"/>
      <c r="C35" s="1603"/>
      <c r="D35" s="1603"/>
      <c r="E35" s="1603"/>
      <c r="F35" s="1603"/>
      <c r="G35" s="1603"/>
      <c r="H35" s="1603"/>
    </row>
    <row r="36" spans="1:8" x14ac:dyDescent="0.3">
      <c r="A36" s="1603"/>
      <c r="B36" s="1603"/>
      <c r="C36" s="1604"/>
      <c r="D36" s="1604"/>
      <c r="E36" s="1604"/>
      <c r="F36" s="1604"/>
      <c r="G36" s="1604"/>
      <c r="H36" s="1604"/>
    </row>
    <row r="37" spans="1:8" x14ac:dyDescent="0.3">
      <c r="A37" s="1603"/>
      <c r="B37" s="1603"/>
      <c r="C37" s="1604"/>
      <c r="D37" s="1603"/>
      <c r="E37" s="1603"/>
      <c r="F37" s="1603"/>
      <c r="G37" s="1603"/>
      <c r="H37" s="1603"/>
    </row>
    <row r="38" spans="1:8" x14ac:dyDescent="0.3">
      <c r="A38" s="1603"/>
      <c r="B38" s="1603"/>
      <c r="C38" s="1603"/>
      <c r="D38" s="1603"/>
      <c r="E38" s="1603"/>
      <c r="F38" s="1603"/>
      <c r="G38" s="1603"/>
      <c r="H38" s="1603"/>
    </row>
    <row r="39" spans="1:8" x14ac:dyDescent="0.3">
      <c r="A39" s="1603"/>
      <c r="B39" s="1603"/>
      <c r="C39" s="1603"/>
      <c r="D39" s="1603"/>
      <c r="E39" s="1603"/>
      <c r="F39" s="1603"/>
      <c r="G39" s="1603"/>
      <c r="H39" s="1603"/>
    </row>
    <row r="40" spans="1:8" x14ac:dyDescent="0.3">
      <c r="A40" s="1603"/>
      <c r="B40" s="1603"/>
      <c r="C40" s="1603"/>
      <c r="D40" s="1603"/>
      <c r="E40" s="1603"/>
      <c r="F40" s="1603"/>
      <c r="G40" s="1603"/>
      <c r="H40" s="1603"/>
    </row>
    <row r="41" spans="1:8" x14ac:dyDescent="0.3">
      <c r="A41" s="1603"/>
      <c r="B41" s="1603"/>
      <c r="C41" s="1603"/>
      <c r="D41" s="1603"/>
      <c r="E41" s="1603"/>
      <c r="F41" s="1603"/>
      <c r="G41" s="1603"/>
      <c r="H41" s="1603"/>
    </row>
    <row r="42" spans="1:8" x14ac:dyDescent="0.3">
      <c r="A42" s="1603"/>
      <c r="B42" s="1603"/>
      <c r="C42" s="1603"/>
      <c r="D42" s="1603"/>
      <c r="E42" s="1603"/>
      <c r="F42" s="1603"/>
      <c r="G42" s="1603"/>
      <c r="H42" s="1603"/>
    </row>
    <row r="43" spans="1:8" x14ac:dyDescent="0.3">
      <c r="A43" s="1603"/>
      <c r="B43" s="1603"/>
      <c r="C43" s="1603"/>
      <c r="D43" s="1603"/>
      <c r="E43" s="1603"/>
      <c r="F43" s="1603"/>
      <c r="G43" s="1603"/>
      <c r="H43" s="1603"/>
    </row>
  </sheetData>
  <pageMargins left="0.7" right="0.7" top="0.75" bottom="0.75" header="0.3" footer="0.3"/>
  <pageSetup scale="5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topLeftCell="A15" zoomScale="91" zoomScaleNormal="100" workbookViewId="0"/>
  </sheetViews>
  <sheetFormatPr defaultRowHeight="14" x14ac:dyDescent="0.3"/>
  <cols>
    <col min="1" max="1" width="8.7265625" style="655"/>
    <col min="2" max="2" width="6.453125" style="655" bestFit="1" customWidth="1"/>
    <col min="3" max="3" width="26.81640625" style="655" customWidth="1"/>
    <col min="4" max="4" width="12" style="655" customWidth="1"/>
    <col min="5" max="5" width="10" style="655" customWidth="1"/>
    <col min="6" max="6" width="14.54296875" style="655" customWidth="1"/>
    <col min="7" max="7" width="9.90625" style="655" customWidth="1"/>
    <col min="8" max="8" width="14" style="655" customWidth="1"/>
    <col min="9" max="9" width="11.453125" style="655" customWidth="1"/>
    <col min="10" max="10" width="13.6328125" style="655" customWidth="1"/>
    <col min="11" max="13" width="11.08984375" style="655" customWidth="1"/>
    <col min="14" max="16384" width="8.7265625" style="655"/>
  </cols>
  <sheetData>
    <row r="1" spans="2:13" ht="14" customHeight="1" x14ac:dyDescent="0.3">
      <c r="B1" s="2505" t="s">
        <v>1619</v>
      </c>
      <c r="C1" s="2506"/>
      <c r="D1" s="2506"/>
      <c r="E1" s="2506"/>
      <c r="F1" s="2506"/>
      <c r="G1" s="2506"/>
      <c r="H1" s="2506"/>
      <c r="I1" s="2506"/>
      <c r="J1" s="2506"/>
      <c r="K1" s="2506"/>
      <c r="L1" s="2506"/>
      <c r="M1" s="2506"/>
    </row>
    <row r="2" spans="2:13" ht="14" customHeight="1" x14ac:dyDescent="0.3">
      <c r="B2" s="2506"/>
      <c r="C2" s="2506"/>
      <c r="D2" s="2506"/>
      <c r="E2" s="2506"/>
      <c r="F2" s="2506"/>
      <c r="G2" s="2506"/>
      <c r="H2" s="2506"/>
      <c r="I2" s="2506"/>
      <c r="J2" s="2506"/>
      <c r="K2" s="2506"/>
      <c r="L2" s="2506"/>
      <c r="M2" s="2506"/>
    </row>
    <row r="3" spans="2:13" ht="14" customHeight="1" x14ac:dyDescent="0.3">
      <c r="B3" s="2506"/>
      <c r="C3" s="2506"/>
      <c r="D3" s="2506"/>
      <c r="E3" s="2506"/>
      <c r="F3" s="2506"/>
      <c r="G3" s="2506"/>
      <c r="H3" s="2506"/>
      <c r="I3" s="2506"/>
      <c r="J3" s="2506"/>
      <c r="K3" s="2506"/>
      <c r="L3" s="2506"/>
      <c r="M3" s="2506"/>
    </row>
    <row r="4" spans="2:13" ht="14" customHeight="1" x14ac:dyDescent="0.3">
      <c r="B4" s="2506"/>
      <c r="C4" s="2506"/>
      <c r="D4" s="2506"/>
      <c r="E4" s="2506"/>
      <c r="F4" s="2506"/>
      <c r="G4" s="2506"/>
      <c r="H4" s="2506"/>
      <c r="I4" s="2506"/>
      <c r="J4" s="2506"/>
      <c r="K4" s="2506"/>
      <c r="L4" s="2506"/>
      <c r="M4" s="2506"/>
    </row>
    <row r="5" spans="2:13" ht="28" x14ac:dyDescent="0.3">
      <c r="B5" s="2261" t="s">
        <v>11</v>
      </c>
      <c r="C5" s="2261" t="s">
        <v>50</v>
      </c>
      <c r="D5" s="2261" t="s">
        <v>179</v>
      </c>
      <c r="E5" s="2261"/>
      <c r="F5" s="2261" t="s">
        <v>186</v>
      </c>
      <c r="G5" s="2261"/>
      <c r="H5" s="2261" t="s">
        <v>426</v>
      </c>
      <c r="I5" s="2261"/>
      <c r="J5" s="2261" t="s">
        <v>427</v>
      </c>
      <c r="K5" s="2261"/>
      <c r="L5" s="1322" t="s">
        <v>428</v>
      </c>
      <c r="M5" s="1322" t="s">
        <v>429</v>
      </c>
    </row>
    <row r="6" spans="2:13" ht="42" x14ac:dyDescent="0.3">
      <c r="B6" s="2261"/>
      <c r="C6" s="2261"/>
      <c r="D6" s="1347" t="s">
        <v>885</v>
      </c>
      <c r="E6" s="1347" t="s">
        <v>12</v>
      </c>
      <c r="F6" s="1347" t="s">
        <v>885</v>
      </c>
      <c r="G6" s="1347" t="s">
        <v>12</v>
      </c>
      <c r="H6" s="1347" t="s">
        <v>885</v>
      </c>
      <c r="I6" s="1322" t="s">
        <v>22</v>
      </c>
      <c r="J6" s="1347" t="s">
        <v>885</v>
      </c>
      <c r="K6" s="1347" t="s">
        <v>31</v>
      </c>
      <c r="L6" s="1322" t="s">
        <v>1267</v>
      </c>
      <c r="M6" s="1322" t="s">
        <v>1267</v>
      </c>
    </row>
    <row r="7" spans="2:13" x14ac:dyDescent="0.3">
      <c r="B7" s="1321">
        <v>1</v>
      </c>
      <c r="C7" s="344" t="s">
        <v>1268</v>
      </c>
      <c r="D7" s="438"/>
      <c r="E7" s="438">
        <v>12.99</v>
      </c>
      <c r="F7" s="343"/>
      <c r="G7" s="343">
        <v>7.85</v>
      </c>
      <c r="H7" s="343"/>
      <c r="I7" s="343">
        <v>9.3660147900000013</v>
      </c>
      <c r="J7" s="343"/>
      <c r="K7" s="343"/>
      <c r="L7" s="343"/>
      <c r="M7" s="343"/>
    </row>
    <row r="8" spans="2:13" x14ac:dyDescent="0.3">
      <c r="B8" s="1321">
        <v>2</v>
      </c>
      <c r="C8" s="344" t="s">
        <v>1269</v>
      </c>
      <c r="D8" s="438"/>
      <c r="E8" s="438">
        <v>26.2</v>
      </c>
      <c r="F8" s="343"/>
      <c r="G8" s="343">
        <v>8.51</v>
      </c>
      <c r="H8" s="343"/>
      <c r="I8" s="343">
        <v>7.0198062720000003</v>
      </c>
      <c r="J8" s="343"/>
      <c r="K8" s="343"/>
      <c r="L8" s="343"/>
      <c r="M8" s="343"/>
    </row>
    <row r="9" spans="2:13" x14ac:dyDescent="0.3">
      <c r="B9" s="1321">
        <v>3</v>
      </c>
      <c r="C9" s="344" t="s">
        <v>1270</v>
      </c>
      <c r="D9" s="438"/>
      <c r="E9" s="438">
        <v>0</v>
      </c>
      <c r="F9" s="438"/>
      <c r="G9" s="343">
        <v>7.0000000000000007E-2</v>
      </c>
      <c r="H9" s="343"/>
      <c r="I9" s="343">
        <v>3.0504660000000001</v>
      </c>
      <c r="J9" s="343"/>
      <c r="K9" s="343"/>
      <c r="L9" s="343"/>
      <c r="M9" s="343"/>
    </row>
    <row r="10" spans="2:13" x14ac:dyDescent="0.3">
      <c r="B10" s="1321">
        <v>4</v>
      </c>
      <c r="C10" s="344" t="s">
        <v>1271</v>
      </c>
      <c r="D10" s="2215"/>
      <c r="E10" s="2215">
        <v>4.58</v>
      </c>
      <c r="F10" s="438"/>
      <c r="G10" s="2215">
        <v>3.35</v>
      </c>
      <c r="H10" s="343"/>
      <c r="I10" s="2215">
        <v>3.2531228969999999</v>
      </c>
      <c r="J10" s="343"/>
      <c r="K10" s="343"/>
      <c r="L10" s="343"/>
      <c r="M10" s="343"/>
    </row>
    <row r="11" spans="2:13" x14ac:dyDescent="0.3">
      <c r="B11" s="1321">
        <v>5</v>
      </c>
      <c r="C11" s="345" t="s">
        <v>1272</v>
      </c>
      <c r="D11" s="2217"/>
      <c r="E11" s="2217"/>
      <c r="F11" s="438"/>
      <c r="G11" s="2217"/>
      <c r="H11" s="343"/>
      <c r="I11" s="2217"/>
      <c r="J11" s="343"/>
      <c r="K11" s="343"/>
      <c r="L11" s="343"/>
      <c r="M11" s="343"/>
    </row>
    <row r="12" spans="2:13" ht="28" x14ac:dyDescent="0.3">
      <c r="B12" s="1321">
        <v>6</v>
      </c>
      <c r="C12" s="638" t="s">
        <v>1273</v>
      </c>
      <c r="D12" s="438"/>
      <c r="E12" s="438">
        <v>2.23</v>
      </c>
      <c r="F12" s="438"/>
      <c r="G12" s="353">
        <v>2.38</v>
      </c>
      <c r="H12" s="343"/>
      <c r="I12" s="353">
        <v>2.5891776429999998</v>
      </c>
      <c r="J12" s="343"/>
      <c r="K12" s="343"/>
      <c r="L12" s="343"/>
      <c r="M12" s="343"/>
    </row>
    <row r="13" spans="2:13" ht="44" customHeight="1" x14ac:dyDescent="0.3">
      <c r="B13" s="1321">
        <v>7</v>
      </c>
      <c r="C13" s="638" t="s">
        <v>1274</v>
      </c>
      <c r="D13" s="438"/>
      <c r="E13" s="438">
        <v>0.08</v>
      </c>
      <c r="F13" s="438"/>
      <c r="G13" s="353">
        <v>0.18</v>
      </c>
      <c r="H13" s="343"/>
      <c r="I13" s="353">
        <v>0.196961473</v>
      </c>
      <c r="J13" s="343"/>
      <c r="K13" s="343"/>
      <c r="L13" s="343"/>
      <c r="M13" s="343"/>
    </row>
    <row r="14" spans="2:13" ht="44" customHeight="1" x14ac:dyDescent="0.3">
      <c r="B14" s="1321">
        <v>8</v>
      </c>
      <c r="C14" s="581" t="s">
        <v>1421</v>
      </c>
      <c r="D14" s="438"/>
      <c r="E14" s="438">
        <v>0</v>
      </c>
      <c r="F14" s="438"/>
      <c r="G14" s="353">
        <v>21.92</v>
      </c>
      <c r="H14" s="343"/>
      <c r="I14" s="343">
        <v>0</v>
      </c>
      <c r="J14" s="343"/>
      <c r="K14" s="343"/>
      <c r="L14" s="343"/>
      <c r="M14" s="343"/>
    </row>
    <row r="15" spans="2:13" ht="44" customHeight="1" x14ac:dyDescent="0.3">
      <c r="B15" s="1321">
        <v>9</v>
      </c>
      <c r="C15" s="581" t="s">
        <v>1536</v>
      </c>
      <c r="D15" s="438"/>
      <c r="E15" s="438">
        <v>0.6</v>
      </c>
      <c r="F15" s="438"/>
      <c r="G15" s="353">
        <v>0.28999999999999998</v>
      </c>
      <c r="H15" s="343"/>
      <c r="I15" s="374">
        <v>0.28000000000000003</v>
      </c>
      <c r="J15" s="343"/>
      <c r="K15" s="343"/>
      <c r="L15" s="343"/>
      <c r="M15" s="343"/>
    </row>
    <row r="16" spans="2:13" x14ac:dyDescent="0.3">
      <c r="B16" s="1348">
        <v>10</v>
      </c>
      <c r="C16" s="343" t="s">
        <v>1606</v>
      </c>
      <c r="D16" s="343"/>
      <c r="E16" s="343">
        <v>0</v>
      </c>
      <c r="F16" s="343"/>
      <c r="G16" s="343">
        <v>0</v>
      </c>
      <c r="H16" s="343"/>
      <c r="I16" s="343">
        <v>28.05</v>
      </c>
      <c r="J16" s="343"/>
      <c r="K16" s="343"/>
      <c r="L16" s="343"/>
      <c r="M16" s="343"/>
    </row>
    <row r="17" spans="2:13" x14ac:dyDescent="0.3">
      <c r="B17" s="1043"/>
      <c r="C17" s="458" t="s">
        <v>145</v>
      </c>
      <c r="D17" s="1349">
        <v>50.75</v>
      </c>
      <c r="E17" s="1349">
        <f>SUM(E7:E16)</f>
        <v>46.679999999999993</v>
      </c>
      <c r="F17" s="1349">
        <v>44.7</v>
      </c>
      <c r="G17" s="1349">
        <f>SUM(G7:G16)</f>
        <v>44.550000000000004</v>
      </c>
      <c r="H17" s="1349">
        <v>46.04</v>
      </c>
      <c r="I17" s="1349">
        <f>SUM(I7:I16)</f>
        <v>53.805549075000002</v>
      </c>
      <c r="J17" s="1349">
        <v>47.42</v>
      </c>
      <c r="K17" s="1349">
        <f>(I17-I16)*(1+3%)</f>
        <v>26.528215547250003</v>
      </c>
      <c r="L17" s="1349">
        <f>K17+(1+3%)</f>
        <v>27.558215547250004</v>
      </c>
      <c r="M17" s="1349">
        <f>L17+(1+3%)</f>
        <v>28.588215547250005</v>
      </c>
    </row>
    <row r="18" spans="2:13" x14ac:dyDescent="0.3">
      <c r="D18" s="1456"/>
      <c r="F18" s="1456"/>
      <c r="G18" s="1456"/>
      <c r="H18" s="1456"/>
      <c r="I18" s="1456"/>
      <c r="J18" s="1456"/>
      <c r="L18" s="1456"/>
    </row>
    <row r="33" spans="1:2" ht="14.5" x14ac:dyDescent="0.35">
      <c r="A33" s="788"/>
    </row>
    <row r="38" spans="1:2" ht="14.5" x14ac:dyDescent="0.35">
      <c r="B38" s="788"/>
    </row>
  </sheetData>
  <mergeCells count="11">
    <mergeCell ref="D10:D11"/>
    <mergeCell ref="B1:M4"/>
    <mergeCell ref="B5:B6"/>
    <mergeCell ref="C5:C6"/>
    <mergeCell ref="D5:E5"/>
    <mergeCell ref="F5:G5"/>
    <mergeCell ref="H5:I5"/>
    <mergeCell ref="J5:K5"/>
    <mergeCell ref="E10:E11"/>
    <mergeCell ref="G10:G11"/>
    <mergeCell ref="I10:I11"/>
  </mergeCells>
  <pageMargins left="0.70866141732283472" right="0.70866141732283472" top="0.74803149606299213" bottom="0.74803149606299213" header="0.31496062992125984" footer="0.31496062992125984"/>
  <pageSetup paperSize="9" scale="8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view="pageBreakPreview" zoomScale="81" zoomScaleNormal="100" zoomScaleSheetLayoutView="100" workbookViewId="0">
      <selection activeCell="A24" sqref="A24"/>
    </sheetView>
  </sheetViews>
  <sheetFormatPr defaultRowHeight="14" x14ac:dyDescent="0.3"/>
  <cols>
    <col min="1" max="1" width="8.7265625" style="658"/>
    <col min="2" max="2" width="6.90625" style="658" bestFit="1" customWidth="1"/>
    <col min="3" max="3" width="78.81640625" style="658" bestFit="1" customWidth="1"/>
    <col min="4" max="4" width="9.1796875" style="669" bestFit="1" customWidth="1"/>
    <col min="5" max="5" width="11.54296875" style="658" bestFit="1" customWidth="1"/>
    <col min="6" max="6" width="11.54296875" style="658" customWidth="1"/>
    <col min="7" max="7" width="11.54296875" style="658" bestFit="1" customWidth="1"/>
    <col min="8" max="8" width="11.54296875" customWidth="1"/>
    <col min="9" max="9" width="12.81640625" style="658" customWidth="1"/>
    <col min="10" max="12" width="10.6328125" style="658" bestFit="1" customWidth="1"/>
    <col min="13" max="16384" width="8.7265625" style="658"/>
  </cols>
  <sheetData>
    <row r="1" spans="2:12" x14ac:dyDescent="0.3">
      <c r="B1" s="2509" t="s">
        <v>1027</v>
      </c>
      <c r="C1" s="2509"/>
      <c r="D1" s="2509"/>
      <c r="E1" s="2509"/>
      <c r="F1" s="2509"/>
      <c r="G1" s="2509"/>
      <c r="I1" s="657"/>
    </row>
    <row r="2" spans="2:12" x14ac:dyDescent="0.3">
      <c r="B2" s="2510" t="s">
        <v>1618</v>
      </c>
      <c r="C2" s="2510"/>
      <c r="D2" s="2510"/>
      <c r="E2" s="2510"/>
      <c r="F2" s="2510"/>
      <c r="G2" s="2510"/>
      <c r="I2" s="657"/>
    </row>
    <row r="3" spans="2:12" x14ac:dyDescent="0.3">
      <c r="B3" s="2510" t="s">
        <v>1275</v>
      </c>
      <c r="C3" s="2510"/>
      <c r="D3" s="2510"/>
      <c r="E3" s="2510"/>
      <c r="F3" s="2510"/>
      <c r="G3" s="2510"/>
      <c r="I3" s="657"/>
    </row>
    <row r="4" spans="2:12" x14ac:dyDescent="0.3">
      <c r="B4" s="2511"/>
      <c r="C4" s="2511"/>
      <c r="D4" s="2511"/>
      <c r="E4" s="2511"/>
      <c r="F4" s="2511"/>
      <c r="G4" s="2511"/>
      <c r="I4" s="659"/>
    </row>
    <row r="5" spans="2:12" x14ac:dyDescent="0.3">
      <c r="B5" s="660" t="s">
        <v>1276</v>
      </c>
      <c r="C5" s="660" t="s">
        <v>50</v>
      </c>
      <c r="D5" s="660" t="s">
        <v>1277</v>
      </c>
      <c r="E5" s="661" t="s">
        <v>179</v>
      </c>
      <c r="F5" s="661" t="s">
        <v>186</v>
      </c>
      <c r="G5" s="1417" t="s">
        <v>426</v>
      </c>
      <c r="I5"/>
      <c r="J5"/>
      <c r="K5"/>
      <c r="L5"/>
    </row>
    <row r="6" spans="2:12" x14ac:dyDescent="0.3">
      <c r="B6" s="662">
        <v>1</v>
      </c>
      <c r="C6" s="663" t="s">
        <v>1621</v>
      </c>
      <c r="D6" s="664" t="s">
        <v>638</v>
      </c>
      <c r="E6" s="1181">
        <v>5.6000000000000001E-2</v>
      </c>
      <c r="F6" s="1181">
        <v>4.1799999999999997E-2</v>
      </c>
      <c r="G6" s="1418">
        <v>4.1799999999999997E-2</v>
      </c>
      <c r="I6"/>
      <c r="J6"/>
      <c r="K6"/>
      <c r="L6"/>
    </row>
    <row r="7" spans="2:12" x14ac:dyDescent="0.3">
      <c r="B7" s="662">
        <f>B6+1</f>
        <v>2</v>
      </c>
      <c r="C7" s="663" t="s">
        <v>1412</v>
      </c>
      <c r="D7" s="664" t="s">
        <v>317</v>
      </c>
      <c r="E7" s="1180">
        <f>E23</f>
        <v>4998.4574032304781</v>
      </c>
      <c r="F7" s="1180">
        <f>F23</f>
        <v>4060.6063359771256</v>
      </c>
      <c r="G7" s="1180">
        <f>G23</f>
        <v>4386.4243994830913</v>
      </c>
      <c r="I7"/>
      <c r="J7"/>
      <c r="K7"/>
      <c r="L7"/>
    </row>
    <row r="8" spans="2:12" x14ac:dyDescent="0.3">
      <c r="B8" s="662">
        <f t="shared" ref="B8:B14" si="0">B7+1</f>
        <v>3</v>
      </c>
      <c r="C8" s="663" t="s">
        <v>1622</v>
      </c>
      <c r="D8" s="664" t="s">
        <v>317</v>
      </c>
      <c r="E8" s="1180">
        <f>'F2'!F64</f>
        <v>4948.7313486823459</v>
      </c>
      <c r="F8" s="1180">
        <f>'F2'!F125</f>
        <v>4050.1189157664694</v>
      </c>
      <c r="G8" s="1419">
        <f>'F2'!G186</f>
        <v>4407.2023629924006</v>
      </c>
      <c r="I8"/>
      <c r="J8"/>
      <c r="K8"/>
      <c r="L8"/>
    </row>
    <row r="9" spans="2:12" x14ac:dyDescent="0.3">
      <c r="B9" s="662">
        <f t="shared" si="0"/>
        <v>4</v>
      </c>
      <c r="C9" s="663" t="s">
        <v>1408</v>
      </c>
      <c r="D9" s="664" t="s">
        <v>317</v>
      </c>
      <c r="E9" s="1177">
        <f>E7-E8</f>
        <v>49.726054548132197</v>
      </c>
      <c r="F9" s="1177">
        <f>F7-F8</f>
        <v>10.487420210656182</v>
      </c>
      <c r="G9" s="1420">
        <f>G7-G8</f>
        <v>-20.777963509309302</v>
      </c>
      <c r="I9"/>
      <c r="J9"/>
      <c r="K9"/>
      <c r="L9"/>
    </row>
    <row r="10" spans="2:12" x14ac:dyDescent="0.3">
      <c r="B10" s="662">
        <f t="shared" si="0"/>
        <v>5</v>
      </c>
      <c r="C10" s="663" t="s">
        <v>1409</v>
      </c>
      <c r="D10" s="664" t="s">
        <v>400</v>
      </c>
      <c r="E10" s="1178">
        <f>'F2'!Q64</f>
        <v>2189.0282088632507</v>
      </c>
      <c r="F10" s="1178">
        <f>'F2'!Q125</f>
        <v>2031.0999708240081</v>
      </c>
      <c r="G10" s="1421">
        <f>'F2'!Q186</f>
        <v>2530.959247834196</v>
      </c>
      <c r="I10"/>
      <c r="J10"/>
      <c r="K10"/>
      <c r="L10"/>
    </row>
    <row r="11" spans="2:12" x14ac:dyDescent="0.3">
      <c r="B11" s="662">
        <f t="shared" si="0"/>
        <v>6</v>
      </c>
      <c r="C11" s="663" t="s">
        <v>1410</v>
      </c>
      <c r="D11" s="664" t="s">
        <v>1278</v>
      </c>
      <c r="E11" s="1179">
        <f>E10/E8*10</f>
        <v>4.4234129004519582</v>
      </c>
      <c r="F11" s="1179">
        <f>F10/F8*10</f>
        <v>5.0149144088516975</v>
      </c>
      <c r="G11" s="1422">
        <f>G10/G8*10</f>
        <v>5.7427797486379237</v>
      </c>
      <c r="I11"/>
      <c r="J11"/>
      <c r="K11"/>
      <c r="L11"/>
    </row>
    <row r="12" spans="2:12" x14ac:dyDescent="0.3">
      <c r="B12" s="662">
        <f t="shared" si="0"/>
        <v>7</v>
      </c>
      <c r="C12" s="663" t="s">
        <v>1411</v>
      </c>
      <c r="D12" s="664" t="s">
        <v>400</v>
      </c>
      <c r="E12" s="1179">
        <f>E9*E11/10</f>
        <v>21.995887117678571</v>
      </c>
      <c r="F12" s="1179">
        <f>F9*F11/10</f>
        <v>5.2593514726102191</v>
      </c>
      <c r="G12" s="1422">
        <f>G9*G11/10</f>
        <v>-11.932326805919923</v>
      </c>
      <c r="I12"/>
      <c r="J12"/>
      <c r="K12"/>
      <c r="L12"/>
    </row>
    <row r="13" spans="2:12" x14ac:dyDescent="0.3">
      <c r="B13" s="662">
        <f t="shared" si="0"/>
        <v>8</v>
      </c>
      <c r="C13" s="665" t="s">
        <v>1279</v>
      </c>
      <c r="D13" s="664" t="s">
        <v>400</v>
      </c>
      <c r="E13" s="1179">
        <f>E12*1/3</f>
        <v>7.3319623725595235</v>
      </c>
      <c r="F13" s="1179">
        <f>F12*1/3</f>
        <v>1.7531171575367397</v>
      </c>
      <c r="G13" s="1422">
        <f>G12*1/3</f>
        <v>-3.9774422686399742</v>
      </c>
      <c r="I13"/>
      <c r="J13"/>
      <c r="K13"/>
      <c r="L13"/>
    </row>
    <row r="14" spans="2:12" x14ac:dyDescent="0.3">
      <c r="B14" s="662">
        <f t="shared" si="0"/>
        <v>9</v>
      </c>
      <c r="C14" s="665" t="s">
        <v>1280</v>
      </c>
      <c r="D14" s="662" t="s">
        <v>400</v>
      </c>
      <c r="E14" s="1179">
        <f>E12-E13</f>
        <v>14.663924745119047</v>
      </c>
      <c r="F14" s="1179">
        <f>F12-F13</f>
        <v>3.5062343150734794</v>
      </c>
      <c r="G14" s="1422">
        <f>G12-G13</f>
        <v>-7.9548845372799484</v>
      </c>
      <c r="I14"/>
      <c r="J14"/>
      <c r="K14"/>
      <c r="L14"/>
    </row>
    <row r="15" spans="2:12" x14ac:dyDescent="0.3">
      <c r="B15" s="657"/>
      <c r="C15" s="657"/>
      <c r="D15" s="666"/>
      <c r="E15" s="1568">
        <f>-E14</f>
        <v>-14.663924745119047</v>
      </c>
      <c r="F15" s="1798">
        <f>-F13</f>
        <v>-1.7531171575367397</v>
      </c>
      <c r="G15" s="1798">
        <f>-G13</f>
        <v>3.9774422686399742</v>
      </c>
      <c r="I15"/>
      <c r="J15"/>
      <c r="K15"/>
      <c r="L15"/>
    </row>
    <row r="16" spans="2:12" x14ac:dyDescent="0.3">
      <c r="B16" s="2512" t="s">
        <v>1281</v>
      </c>
      <c r="C16" s="2512"/>
      <c r="D16" s="2512"/>
      <c r="E16" s="2512"/>
      <c r="F16" s="2512"/>
      <c r="G16" s="2512"/>
      <c r="I16"/>
      <c r="J16"/>
      <c r="K16"/>
      <c r="L16"/>
    </row>
    <row r="17" spans="2:12" x14ac:dyDescent="0.3">
      <c r="B17" s="2507" t="s">
        <v>1282</v>
      </c>
      <c r="C17" s="2507" t="s">
        <v>50</v>
      </c>
      <c r="D17" s="660" t="s">
        <v>859</v>
      </c>
      <c r="E17" s="1414" t="str">
        <f>E5</f>
        <v>FY 2019-20</v>
      </c>
      <c r="F17" s="1414" t="s">
        <v>186</v>
      </c>
      <c r="G17" s="1425" t="str">
        <f>G5</f>
        <v>FY 2021-22</v>
      </c>
      <c r="I17"/>
      <c r="J17"/>
      <c r="K17"/>
      <c r="L17"/>
    </row>
    <row r="18" spans="2:12" x14ac:dyDescent="0.3">
      <c r="B18" s="2508"/>
      <c r="C18" s="2508"/>
      <c r="D18" s="667"/>
      <c r="E18" s="667" t="s">
        <v>12</v>
      </c>
      <c r="F18" s="667" t="s">
        <v>12</v>
      </c>
      <c r="G18" s="1423" t="s">
        <v>12</v>
      </c>
      <c r="I18"/>
      <c r="J18"/>
      <c r="K18"/>
      <c r="L18"/>
    </row>
    <row r="19" spans="2:12" x14ac:dyDescent="0.3">
      <c r="B19" s="662">
        <v>1</v>
      </c>
      <c r="C19" s="668" t="s">
        <v>1283</v>
      </c>
      <c r="D19" s="662" t="s">
        <v>317</v>
      </c>
      <c r="E19" s="1182">
        <f>F1.4!E63</f>
        <v>4569.3413092700002</v>
      </c>
      <c r="F19" s="1182">
        <f>F1.4!H63</f>
        <v>3776.8447444999997</v>
      </c>
      <c r="G19" s="1424">
        <f>F1.4!K63</f>
        <v>4068.9679770600001</v>
      </c>
      <c r="I19"/>
      <c r="J19"/>
      <c r="K19"/>
      <c r="L19"/>
    </row>
    <row r="20" spans="2:12" x14ac:dyDescent="0.3">
      <c r="B20" s="662">
        <f>B19+1</f>
        <v>2</v>
      </c>
      <c r="C20" s="668" t="s">
        <v>1623</v>
      </c>
      <c r="D20" s="662" t="s">
        <v>638</v>
      </c>
      <c r="E20" s="1181">
        <f>E6</f>
        <v>5.6000000000000001E-2</v>
      </c>
      <c r="F20" s="1181">
        <f>F6</f>
        <v>4.1799999999999997E-2</v>
      </c>
      <c r="G20" s="1181">
        <f>G6</f>
        <v>4.1799999999999997E-2</v>
      </c>
      <c r="I20"/>
      <c r="J20"/>
      <c r="K20"/>
      <c r="L20"/>
    </row>
    <row r="21" spans="2:12" x14ac:dyDescent="0.3">
      <c r="B21" s="662">
        <f>B20+1</f>
        <v>3</v>
      </c>
      <c r="C21" s="668" t="s">
        <v>1284</v>
      </c>
      <c r="D21" s="662" t="s">
        <v>317</v>
      </c>
      <c r="E21" s="1182">
        <f>E19/(1-E20)</f>
        <v>4840.4039293114411</v>
      </c>
      <c r="F21" s="1182">
        <f>F19/(1-F20)</f>
        <v>3941.6037826132329</v>
      </c>
      <c r="G21" s="1182">
        <f>G19/(1-G20)</f>
        <v>4246.470441515341</v>
      </c>
      <c r="I21"/>
      <c r="J21"/>
      <c r="K21"/>
      <c r="L21"/>
    </row>
    <row r="22" spans="2:12" x14ac:dyDescent="0.3">
      <c r="B22" s="662">
        <f>B21+1</f>
        <v>4</v>
      </c>
      <c r="C22" s="668" t="s">
        <v>645</v>
      </c>
      <c r="D22" s="662" t="s">
        <v>638</v>
      </c>
      <c r="E22" s="1181">
        <f>F1.4!E43</f>
        <v>3.1620450304705464E-2</v>
      </c>
      <c r="F22" s="1181">
        <f>F1.4!H43</f>
        <v>2.9306596975315173E-2</v>
      </c>
      <c r="G22" s="1418">
        <f>F1.4!K43</f>
        <v>3.1906159829003966E-2</v>
      </c>
      <c r="I22"/>
      <c r="J22"/>
      <c r="K22"/>
      <c r="L22"/>
    </row>
    <row r="23" spans="2:12" x14ac:dyDescent="0.3">
      <c r="B23" s="662">
        <f>B22+1</f>
        <v>5</v>
      </c>
      <c r="C23" s="668" t="s">
        <v>1285</v>
      </c>
      <c r="D23" s="662" t="s">
        <v>317</v>
      </c>
      <c r="E23" s="1182">
        <f>E21/(1-E22)</f>
        <v>4998.4574032304781</v>
      </c>
      <c r="F23" s="1182">
        <f>F21/(1-F22)</f>
        <v>4060.6063359771256</v>
      </c>
      <c r="G23" s="1182">
        <f>G21/(1-G22)</f>
        <v>4386.4243994830913</v>
      </c>
      <c r="I23"/>
      <c r="J23"/>
      <c r="K23"/>
      <c r="L23"/>
    </row>
    <row r="33" spans="1:2" ht="14.5" x14ac:dyDescent="0.35">
      <c r="A33" s="787"/>
    </row>
    <row r="38" spans="1:2" ht="14.5" x14ac:dyDescent="0.35">
      <c r="B38" s="787"/>
    </row>
  </sheetData>
  <mergeCells count="7">
    <mergeCell ref="B17:B18"/>
    <mergeCell ref="C17:C18"/>
    <mergeCell ref="B1:G1"/>
    <mergeCell ref="B2:G2"/>
    <mergeCell ref="B3:G3"/>
    <mergeCell ref="B4:G4"/>
    <mergeCell ref="B16:G16"/>
  </mergeCells>
  <pageMargins left="0.70866141732283472" right="0.70866141732283472" top="0.74803149606299213" bottom="0.74803149606299213" header="0.31496062992125984" footer="0.31496062992125984"/>
  <pageSetup paperSize="9" orientation="landscape" r:id="rId1"/>
  <colBreaks count="1" manualBreakCount="1">
    <brk id="7" max="22"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1" sqref="K11"/>
    </sheetView>
  </sheetViews>
  <sheetFormatPr defaultRowHeight="12.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13"/>
  <sheetViews>
    <sheetView showGridLines="0" topLeftCell="L47" zoomScale="71" zoomScaleNormal="85" zoomScaleSheetLayoutView="68" workbookViewId="0">
      <selection activeCell="K1" sqref="K1:K5"/>
    </sheetView>
  </sheetViews>
  <sheetFormatPr defaultColWidth="9.1796875" defaultRowHeight="14" x14ac:dyDescent="0.25"/>
  <cols>
    <col min="1" max="1" width="8.90625" style="15" bestFit="1" customWidth="1"/>
    <col min="2" max="2" width="7" style="15" customWidth="1"/>
    <col min="3" max="3" width="54.26953125" style="58" customWidth="1"/>
    <col min="4" max="4" width="12.54296875" style="68" customWidth="1"/>
    <col min="5" max="10" width="12.54296875" style="15" customWidth="1"/>
    <col min="11" max="11" width="11.08984375" style="15" bestFit="1" customWidth="1"/>
    <col min="12" max="12" width="14.453125" style="15" customWidth="1"/>
    <col min="13" max="13" width="14.1796875" style="15" customWidth="1"/>
    <col min="14" max="15" width="12.7265625" style="15" customWidth="1"/>
    <col min="16" max="16" width="14.26953125" style="15" customWidth="1"/>
    <col min="17" max="17" width="15.26953125" style="15" customWidth="1"/>
    <col min="18" max="18" width="14.81640625" style="15" customWidth="1"/>
    <col min="19" max="21" width="12.7265625" style="15" customWidth="1"/>
    <col min="22" max="22" width="13.453125" style="15" customWidth="1"/>
    <col min="23" max="23" width="12.7265625" style="15" customWidth="1"/>
    <col min="24" max="24" width="9.7265625" style="15" bestFit="1" customWidth="1"/>
    <col min="25" max="25" width="32.453125" style="15" customWidth="1"/>
    <col min="26" max="16384" width="9.1796875" style="15"/>
  </cols>
  <sheetData>
    <row r="2" spans="2:23" x14ac:dyDescent="0.25">
      <c r="C2" s="207"/>
      <c r="D2" s="133"/>
      <c r="E2" s="66"/>
      <c r="F2" s="66"/>
      <c r="G2" s="66"/>
      <c r="H2" s="66"/>
      <c r="I2" s="66"/>
      <c r="J2" s="66"/>
      <c r="K2" s="66"/>
      <c r="L2" s="201" t="str">
        <f>Index!B2</f>
        <v>BEST Undertaking</v>
      </c>
      <c r="M2" s="66"/>
      <c r="N2" s="66"/>
      <c r="O2" s="66"/>
      <c r="P2" s="66"/>
      <c r="Q2" s="66"/>
      <c r="R2" s="66"/>
      <c r="S2" s="66"/>
      <c r="T2" s="66"/>
      <c r="U2" s="66"/>
      <c r="V2" s="66"/>
    </row>
    <row r="3" spans="2:23" s="119" customFormat="1" x14ac:dyDescent="0.3">
      <c r="C3" s="207"/>
      <c r="D3" s="133"/>
      <c r="E3" s="66"/>
      <c r="F3" s="66"/>
      <c r="G3" s="66"/>
      <c r="H3" s="66"/>
      <c r="I3" s="66"/>
      <c r="J3" s="66"/>
      <c r="K3" s="66"/>
      <c r="L3" s="202" t="s">
        <v>803</v>
      </c>
      <c r="M3" s="66"/>
      <c r="N3" s="66"/>
      <c r="O3" s="66"/>
      <c r="P3" s="66"/>
      <c r="Q3" s="66"/>
      <c r="R3" s="66"/>
      <c r="S3" s="66"/>
      <c r="T3" s="66"/>
      <c r="U3" s="66"/>
      <c r="V3" s="66"/>
    </row>
    <row r="4" spans="2:23" s="119" customFormat="1" x14ac:dyDescent="0.3">
      <c r="C4" s="207"/>
      <c r="D4" s="133"/>
      <c r="E4" s="66"/>
      <c r="F4" s="66"/>
      <c r="G4" s="66"/>
      <c r="H4" s="66"/>
      <c r="I4" s="66"/>
      <c r="J4" s="66"/>
      <c r="K4" s="66"/>
      <c r="L4" s="202" t="s">
        <v>58</v>
      </c>
      <c r="M4" s="66"/>
      <c r="N4" s="66"/>
      <c r="O4" s="66"/>
      <c r="P4" s="66"/>
      <c r="Q4" s="66"/>
      <c r="R4" s="66"/>
      <c r="S4" s="66"/>
      <c r="T4" s="66"/>
      <c r="U4" s="66"/>
      <c r="V4" s="66"/>
    </row>
    <row r="5" spans="2:23" x14ac:dyDescent="0.25">
      <c r="C5" s="208"/>
    </row>
    <row r="6" spans="2:23" x14ac:dyDescent="0.25">
      <c r="C6" s="209" t="s">
        <v>282</v>
      </c>
    </row>
    <row r="7" spans="2:23" x14ac:dyDescent="0.25">
      <c r="C7" s="208"/>
      <c r="W7" s="21" t="s">
        <v>16</v>
      </c>
    </row>
    <row r="8" spans="2:23" ht="12.75" customHeight="1" x14ac:dyDescent="0.25">
      <c r="B8" s="2177" t="s">
        <v>187</v>
      </c>
      <c r="C8" s="2180" t="s">
        <v>50</v>
      </c>
      <c r="D8" s="2182" t="s">
        <v>10</v>
      </c>
      <c r="E8" s="2172" t="s">
        <v>804</v>
      </c>
      <c r="F8" s="2176"/>
      <c r="G8" s="2173"/>
      <c r="H8" s="2172" t="s">
        <v>186</v>
      </c>
      <c r="I8" s="2176"/>
      <c r="J8" s="2173"/>
      <c r="K8" s="2172" t="s">
        <v>426</v>
      </c>
      <c r="L8" s="2176"/>
      <c r="M8" s="2173"/>
      <c r="N8" s="2172" t="s">
        <v>427</v>
      </c>
      <c r="O8" s="2176"/>
      <c r="P8" s="2176"/>
      <c r="Q8" s="2176"/>
      <c r="R8" s="2173"/>
      <c r="S8" s="2172" t="s">
        <v>428</v>
      </c>
      <c r="T8" s="2173"/>
      <c r="U8" s="2172" t="s">
        <v>429</v>
      </c>
      <c r="V8" s="2173"/>
      <c r="W8" s="2174" t="s">
        <v>39</v>
      </c>
    </row>
    <row r="9" spans="2:23" ht="42" x14ac:dyDescent="0.25">
      <c r="B9" s="2178"/>
      <c r="C9" s="2180"/>
      <c r="D9" s="2182"/>
      <c r="E9" s="318" t="s">
        <v>404</v>
      </c>
      <c r="F9" s="307" t="s">
        <v>405</v>
      </c>
      <c r="G9" s="307" t="s">
        <v>406</v>
      </c>
      <c r="H9" s="318" t="s">
        <v>404</v>
      </c>
      <c r="I9" s="307" t="s">
        <v>405</v>
      </c>
      <c r="J9" s="307" t="s">
        <v>406</v>
      </c>
      <c r="K9" s="318" t="s">
        <v>404</v>
      </c>
      <c r="L9" s="307" t="s">
        <v>405</v>
      </c>
      <c r="M9" s="307" t="s">
        <v>406</v>
      </c>
      <c r="N9" s="307" t="s">
        <v>404</v>
      </c>
      <c r="O9" s="307" t="s">
        <v>408</v>
      </c>
      <c r="P9" s="307" t="s">
        <v>333</v>
      </c>
      <c r="Q9" s="307" t="s">
        <v>72</v>
      </c>
      <c r="R9" s="307" t="s">
        <v>409</v>
      </c>
      <c r="S9" s="307" t="s">
        <v>404</v>
      </c>
      <c r="T9" s="307" t="s">
        <v>805</v>
      </c>
      <c r="U9" s="307" t="s">
        <v>404</v>
      </c>
      <c r="V9" s="307" t="s">
        <v>805</v>
      </c>
      <c r="W9" s="2174"/>
    </row>
    <row r="10" spans="2:23" x14ac:dyDescent="0.25">
      <c r="B10" s="2179"/>
      <c r="C10" s="2181"/>
      <c r="D10" s="2183"/>
      <c r="E10" s="307" t="s">
        <v>73</v>
      </c>
      <c r="F10" s="307" t="s">
        <v>74</v>
      </c>
      <c r="G10" s="307" t="s">
        <v>806</v>
      </c>
      <c r="H10" s="307" t="s">
        <v>411</v>
      </c>
      <c r="I10" s="307" t="s">
        <v>412</v>
      </c>
      <c r="J10" s="307" t="s">
        <v>439</v>
      </c>
      <c r="K10" s="307" t="s">
        <v>668</v>
      </c>
      <c r="L10" s="307" t="s">
        <v>582</v>
      </c>
      <c r="M10" s="307" t="s">
        <v>675</v>
      </c>
      <c r="N10" s="307" t="s">
        <v>782</v>
      </c>
      <c r="O10" s="307" t="s">
        <v>583</v>
      </c>
      <c r="P10" s="307" t="s">
        <v>760</v>
      </c>
      <c r="Q10" s="307" t="s">
        <v>807</v>
      </c>
      <c r="R10" s="307" t="s">
        <v>808</v>
      </c>
      <c r="S10" s="307" t="s">
        <v>784</v>
      </c>
      <c r="T10" s="307" t="s">
        <v>762</v>
      </c>
      <c r="U10" s="307" t="s">
        <v>763</v>
      </c>
      <c r="V10" s="307" t="s">
        <v>764</v>
      </c>
      <c r="W10" s="2175"/>
    </row>
    <row r="11" spans="2:23" x14ac:dyDescent="0.25">
      <c r="B11" s="69">
        <v>1</v>
      </c>
      <c r="C11" s="210" t="s">
        <v>75</v>
      </c>
      <c r="D11" s="212" t="s">
        <v>56</v>
      </c>
      <c r="E11" s="1329">
        <f>'F3'!E17</f>
        <v>376.76600000000002</v>
      </c>
      <c r="F11" s="1329">
        <f>'F3'!F17</f>
        <v>350.46699999999998</v>
      </c>
      <c r="G11" s="1329">
        <f>F11-E11</f>
        <v>-26.299000000000035</v>
      </c>
      <c r="H11" s="1329">
        <f>'F3'!H17</f>
        <v>367.601</v>
      </c>
      <c r="I11" s="1329">
        <f>'F3'!I17</f>
        <v>384.0265</v>
      </c>
      <c r="J11" s="1329">
        <f>I11-H11</f>
        <v>16.4255</v>
      </c>
      <c r="K11" s="1329">
        <f>'F3'!K17+0.01</f>
        <v>378.02399999999994</v>
      </c>
      <c r="L11" s="1329">
        <f>'F3'!L17</f>
        <v>414.83297359217715</v>
      </c>
      <c r="M11" s="1329">
        <f>L11-K11</f>
        <v>36.80897359217721</v>
      </c>
      <c r="N11" s="1330">
        <f>'F3'!N17</f>
        <v>388.73249999999996</v>
      </c>
      <c r="O11" s="1330">
        <f>'F3'!O17</f>
        <v>210.02672897086168</v>
      </c>
      <c r="P11" s="1330">
        <f>'F3'!P17</f>
        <v>210.02672897086168</v>
      </c>
      <c r="Q11" s="1330">
        <f t="shared" ref="Q11:Q17" si="0">SUM(O11:P11)</f>
        <v>420.05345794172337</v>
      </c>
      <c r="R11" s="1327">
        <f>Q11-N11</f>
        <v>31.320957941723407</v>
      </c>
      <c r="S11" s="1327">
        <f>'F3'!S17+0.01</f>
        <v>399.75350000000003</v>
      </c>
      <c r="T11" s="1327">
        <f>'F3'!T17</f>
        <v>440.63024330166411</v>
      </c>
      <c r="U11" s="1327">
        <f>'F3'!U17</f>
        <v>411.07299999999998</v>
      </c>
      <c r="V11" s="1327">
        <f>'F3'!V17</f>
        <v>462.21500535538991</v>
      </c>
      <c r="W11" s="25"/>
    </row>
    <row r="12" spans="2:23" x14ac:dyDescent="0.25">
      <c r="B12" s="69">
        <f>B11+1</f>
        <v>2</v>
      </c>
      <c r="C12" s="77" t="s">
        <v>183</v>
      </c>
      <c r="D12" s="212" t="s">
        <v>280</v>
      </c>
      <c r="E12" s="1329">
        <v>97.85</v>
      </c>
      <c r="F12" s="1329">
        <f>90%*'F 5.3'!J28</f>
        <v>90.023040934386231</v>
      </c>
      <c r="G12" s="1329">
        <f t="shared" ref="G12:G30" si="1">F12-E12</f>
        <v>-7.8269590656137638</v>
      </c>
      <c r="H12" s="1329">
        <v>101.12</v>
      </c>
      <c r="I12" s="1329">
        <f>'F 5.3'!K28*90%</f>
        <v>93.67043598471237</v>
      </c>
      <c r="J12" s="1329">
        <f t="shared" ref="J12:J30" si="2">I12-H12</f>
        <v>-7.4495640152876348</v>
      </c>
      <c r="K12" s="1329">
        <v>102.4</v>
      </c>
      <c r="L12" s="1329">
        <f>'F 5.3'!L28*90%</f>
        <v>94.968492881440497</v>
      </c>
      <c r="M12" s="1329">
        <f t="shared" ref="M12:M30" si="3">L12-K12</f>
        <v>-7.4315071185595087</v>
      </c>
      <c r="N12" s="1327">
        <v>103.56</v>
      </c>
      <c r="O12" s="1329">
        <f>90%*'F 5.3'!M28/2</f>
        <v>49.289725352098095</v>
      </c>
      <c r="P12" s="1329">
        <f>90%*'F 5.3'!M28/2</f>
        <v>49.289725352098095</v>
      </c>
      <c r="Q12" s="1330">
        <f t="shared" si="0"/>
        <v>98.579450704196191</v>
      </c>
      <c r="R12" s="1327">
        <f t="shared" ref="R12:R30" si="4">Q12-N12</f>
        <v>-4.9805492958038116</v>
      </c>
      <c r="S12" s="1327">
        <v>104.72</v>
      </c>
      <c r="T12" s="1329">
        <f>'F 5.3'!N28*90%</f>
        <v>115.51499188641708</v>
      </c>
      <c r="U12" s="1327">
        <v>105.88</v>
      </c>
      <c r="V12" s="1329">
        <f>'F 5.3'!O28*90%</f>
        <v>143.34076092313779</v>
      </c>
      <c r="W12" s="25"/>
    </row>
    <row r="13" spans="2:23" x14ac:dyDescent="0.25">
      <c r="B13" s="69">
        <f t="shared" ref="B13:B29" si="5">B12+1</f>
        <v>3</v>
      </c>
      <c r="C13" s="210" t="s">
        <v>182</v>
      </c>
      <c r="D13" s="212" t="s">
        <v>65</v>
      </c>
      <c r="E13" s="1329">
        <f>'F6'!D94</f>
        <v>0</v>
      </c>
      <c r="F13" s="1329">
        <f>'F6'!E89*90%</f>
        <v>37.111499999999999</v>
      </c>
      <c r="G13" s="1329">
        <f t="shared" si="1"/>
        <v>37.111499999999999</v>
      </c>
      <c r="H13" s="1329">
        <f>'F6'!G94</f>
        <v>0</v>
      </c>
      <c r="I13" s="1329">
        <f>'F6'!H89*90%</f>
        <v>32.943149999999996</v>
      </c>
      <c r="J13" s="1329">
        <f t="shared" si="2"/>
        <v>32.943149999999996</v>
      </c>
      <c r="K13" s="1329">
        <f>'F6'!J94</f>
        <v>0</v>
      </c>
      <c r="L13" s="1329">
        <f>'F6'!K89*90%</f>
        <v>28.585439999999998</v>
      </c>
      <c r="M13" s="1329">
        <f t="shared" si="3"/>
        <v>28.585439999999998</v>
      </c>
      <c r="N13" s="1327">
        <f>'F6'!M94</f>
        <v>0</v>
      </c>
      <c r="O13" s="1327">
        <f>'F6'!N23/2</f>
        <v>0</v>
      </c>
      <c r="P13" s="1327">
        <f>'F6'!N23/2</f>
        <v>0</v>
      </c>
      <c r="Q13" s="1330">
        <f t="shared" si="0"/>
        <v>0</v>
      </c>
      <c r="R13" s="1327">
        <f t="shared" si="4"/>
        <v>0</v>
      </c>
      <c r="S13" s="1327">
        <f>'F6'!P25</f>
        <v>0</v>
      </c>
      <c r="T13" s="1327">
        <f>'F6'!Q25</f>
        <v>14.561789199701177</v>
      </c>
      <c r="U13" s="1327">
        <f>'F6'!R25</f>
        <v>0</v>
      </c>
      <c r="V13" s="1327">
        <f>'F6'!S25</f>
        <v>40.268051233341708</v>
      </c>
      <c r="W13" s="25"/>
    </row>
    <row r="14" spans="2:23" x14ac:dyDescent="0.25">
      <c r="B14" s="69">
        <f t="shared" si="5"/>
        <v>4</v>
      </c>
      <c r="C14" s="77" t="s">
        <v>76</v>
      </c>
      <c r="D14" s="212" t="s">
        <v>66</v>
      </c>
      <c r="E14" s="1329">
        <f>'F7'!E24</f>
        <v>0.89870000000000005</v>
      </c>
      <c r="F14" s="1329">
        <f>'F7'!F25</f>
        <v>0.88800000000000012</v>
      </c>
      <c r="G14" s="1329">
        <f t="shared" si="1"/>
        <v>-1.0699999999999932E-2</v>
      </c>
      <c r="H14" s="1329">
        <f>'F7'!E97</f>
        <v>5.2240500000000001</v>
      </c>
      <c r="I14" s="1329">
        <f>'F7'!F98</f>
        <v>1.0570000000000002</v>
      </c>
      <c r="J14" s="1329">
        <f t="shared" si="2"/>
        <v>-4.1670499999999997</v>
      </c>
      <c r="K14" s="1329">
        <f>'F7'!G97</f>
        <v>5.2544500000000003</v>
      </c>
      <c r="L14" s="1329">
        <f>'F7'!H98</f>
        <v>0.99299999999999999</v>
      </c>
      <c r="M14" s="1329">
        <f t="shared" si="3"/>
        <v>-4.26145</v>
      </c>
      <c r="N14" s="1327">
        <f>'F7'!I97</f>
        <v>5.2629999999999999</v>
      </c>
      <c r="O14" s="1327">
        <f ca="1">'F7'!J97/2</f>
        <v>3.6178305586278925</v>
      </c>
      <c r="P14" s="1327">
        <f ca="1">'F7'!J97/2</f>
        <v>3.6178305586278925</v>
      </c>
      <c r="Q14" s="1330">
        <f t="shared" ca="1" si="0"/>
        <v>7.235661117255785</v>
      </c>
      <c r="R14" s="1327">
        <f t="shared" ca="1" si="4"/>
        <v>1.9726611172557851</v>
      </c>
      <c r="S14" s="1327">
        <f>'F7'!K97</f>
        <v>5.289600000000001</v>
      </c>
      <c r="T14" s="1327">
        <f ca="1">'F7'!L97</f>
        <v>8.0729348274856925</v>
      </c>
      <c r="U14" s="1327">
        <f>'F7'!M97</f>
        <v>5.3219000000000003</v>
      </c>
      <c r="V14" s="1327">
        <f ca="1">'F7'!N97</f>
        <v>9.3992659038523456</v>
      </c>
      <c r="W14" s="25"/>
    </row>
    <row r="15" spans="2:23" ht="28" x14ac:dyDescent="0.25">
      <c r="B15" s="69">
        <f t="shared" si="5"/>
        <v>5</v>
      </c>
      <c r="C15" s="71" t="s">
        <v>285</v>
      </c>
      <c r="D15" s="212" t="s">
        <v>66</v>
      </c>
      <c r="E15" s="1329">
        <f>'F7'!E29</f>
        <v>3.8439999999999999</v>
      </c>
      <c r="F15" s="1329">
        <f>'F7'!F29</f>
        <v>3.7690000000000001</v>
      </c>
      <c r="G15" s="1329">
        <f t="shared" si="1"/>
        <v>-7.4999999999999734E-2</v>
      </c>
      <c r="H15" s="1329">
        <f>'F7'!E102</f>
        <v>2.2503690000000001</v>
      </c>
      <c r="I15" s="1329">
        <f>'F7'!F102</f>
        <v>1.7130000000000001</v>
      </c>
      <c r="J15" s="1329">
        <f t="shared" si="2"/>
        <v>-0.53736899999999999</v>
      </c>
      <c r="K15" s="1329">
        <f>'F7'!G102</f>
        <v>2.3178960000000002</v>
      </c>
      <c r="L15" s="1329">
        <f>'F7'!H102</f>
        <v>1.5649663962</v>
      </c>
      <c r="M15" s="1329">
        <f t="shared" si="3"/>
        <v>-0.75292960380000018</v>
      </c>
      <c r="N15" s="1327">
        <f>'F7'!I102</f>
        <v>2.387448</v>
      </c>
      <c r="O15" s="1329">
        <f>'F7'!J102/2</f>
        <v>0.93958024908576787</v>
      </c>
      <c r="P15" s="1329">
        <f>'F7'!J102/2</f>
        <v>0.93958024908576787</v>
      </c>
      <c r="Q15" s="1330">
        <f t="shared" si="0"/>
        <v>1.8791604981715357</v>
      </c>
      <c r="R15" s="1327">
        <f t="shared" si="4"/>
        <v>-0.50828750182846427</v>
      </c>
      <c r="S15" s="1327">
        <f>'F7'!K102</f>
        <v>2.4590520000000002</v>
      </c>
      <c r="T15" s="1329">
        <f>'F7'!L102</f>
        <v>1.9309191780794368</v>
      </c>
      <c r="U15" s="1327">
        <f>'F7'!M102</f>
        <v>2.532816</v>
      </c>
      <c r="V15" s="1329">
        <f>'F7'!N102</f>
        <v>1.9841034738133487</v>
      </c>
      <c r="W15" s="25"/>
    </row>
    <row r="16" spans="2:23" x14ac:dyDescent="0.25">
      <c r="B16" s="69">
        <f t="shared" si="5"/>
        <v>6</v>
      </c>
      <c r="C16" s="71" t="s">
        <v>255</v>
      </c>
      <c r="D16" s="212" t="s">
        <v>69</v>
      </c>
      <c r="E16" s="1329">
        <f>'F20'!D15</f>
        <v>0.67</v>
      </c>
      <c r="F16" s="1329">
        <f>'F10'!E16</f>
        <v>0.50900000000000001</v>
      </c>
      <c r="G16" s="1329">
        <f t="shared" si="1"/>
        <v>-0.16100000000000003</v>
      </c>
      <c r="H16" s="1329">
        <f>'F10'!G15</f>
        <v>0.67400000000000004</v>
      </c>
      <c r="I16" s="1329">
        <f>'F10'!H16</f>
        <v>0.39100000000000001</v>
      </c>
      <c r="J16" s="1329">
        <f t="shared" si="2"/>
        <v>-0.28300000000000003</v>
      </c>
      <c r="K16" s="1329">
        <f>'F10'!J15</f>
        <v>0.67400000000000004</v>
      </c>
      <c r="L16" s="1329">
        <f>'F10'!K16</f>
        <v>0.45900000000000002</v>
      </c>
      <c r="M16" s="1329">
        <f t="shared" si="3"/>
        <v>-0.21500000000000002</v>
      </c>
      <c r="N16" s="1329">
        <f>'F10'!M15</f>
        <v>0.67400000000000004</v>
      </c>
      <c r="O16" s="1329">
        <f ca="1">'F10'!P15/2</f>
        <v>0.39488226205727595</v>
      </c>
      <c r="P16" s="1329">
        <f ca="1">'F10'!P15/2</f>
        <v>0.39488226205727595</v>
      </c>
      <c r="Q16" s="1330">
        <f t="shared" ca="1" si="0"/>
        <v>0.78976452411455189</v>
      </c>
      <c r="R16" s="1327">
        <f t="shared" ca="1" si="4"/>
        <v>0.11576452411455185</v>
      </c>
      <c r="S16" s="1327">
        <f>'F10'!R15</f>
        <v>0.67400000000000004</v>
      </c>
      <c r="T16" s="1327">
        <f ca="1">'F10'!S15</f>
        <v>0.86787119252771117</v>
      </c>
      <c r="U16" s="1327">
        <f>'F10'!T15</f>
        <v>0.67400000000000004</v>
      </c>
      <c r="V16" s="1327">
        <f ca="1">'F10'!U15</f>
        <v>0.98667887216054018</v>
      </c>
      <c r="W16" s="25"/>
    </row>
    <row r="17" spans="2:25" x14ac:dyDescent="0.25">
      <c r="B17" s="69">
        <f t="shared" si="5"/>
        <v>7</v>
      </c>
      <c r="C17" s="71" t="s">
        <v>256</v>
      </c>
      <c r="D17" s="212" t="s">
        <v>70</v>
      </c>
      <c r="E17" s="1329">
        <f>'F11'!D18</f>
        <v>5.8500000000000005</v>
      </c>
      <c r="F17" s="1329">
        <f>'F11'!E18</f>
        <v>0</v>
      </c>
      <c r="G17" s="1329">
        <f t="shared" si="1"/>
        <v>-5.8500000000000005</v>
      </c>
      <c r="H17" s="1329">
        <f>'F11'!G18</f>
        <v>6.165</v>
      </c>
      <c r="I17" s="1329">
        <f>'F11'!H18</f>
        <v>6.4080000000000004</v>
      </c>
      <c r="J17" s="1329">
        <f t="shared" si="2"/>
        <v>0.24300000000000033</v>
      </c>
      <c r="K17" s="1329">
        <f>'F11'!J18</f>
        <v>6.2460000000000004</v>
      </c>
      <c r="L17" s="1329">
        <f>'F11'!K18</f>
        <v>6.66</v>
      </c>
      <c r="M17" s="1329">
        <f t="shared" si="3"/>
        <v>0.4139999999999997</v>
      </c>
      <c r="N17" s="1327">
        <f>'F11'!M18</f>
        <v>6.3179999999999996</v>
      </c>
      <c r="O17" s="1327">
        <f>'F11'!N18/2</f>
        <v>3.4163986483732498</v>
      </c>
      <c r="P17" s="1327">
        <f>'F11'!N18/2</f>
        <v>3.4163986483732498</v>
      </c>
      <c r="Q17" s="1330">
        <f t="shared" si="0"/>
        <v>6.8327972967464996</v>
      </c>
      <c r="R17" s="1327">
        <f t="shared" si="4"/>
        <v>0.51479729674649999</v>
      </c>
      <c r="S17" s="1327">
        <f>'F11'!P18</f>
        <v>6.39</v>
      </c>
      <c r="T17" s="1327">
        <f>'F11'!Q18</f>
        <v>7.1111870934929993</v>
      </c>
      <c r="U17" s="1327">
        <f>'F11'!R18</f>
        <v>6.4619999999999997</v>
      </c>
      <c r="V17" s="1327">
        <f>'F11'!S18</f>
        <v>9.2283160402395001</v>
      </c>
      <c r="W17" s="25"/>
    </row>
    <row r="18" spans="2:25" x14ac:dyDescent="0.25">
      <c r="B18" s="69">
        <f>B17+1</f>
        <v>8</v>
      </c>
      <c r="C18" s="163" t="s">
        <v>77</v>
      </c>
      <c r="D18" s="212" t="s">
        <v>176</v>
      </c>
      <c r="E18" s="1331">
        <f>'F12'!D10</f>
        <v>0</v>
      </c>
      <c r="F18" s="1331">
        <f>'F20'!E17</f>
        <v>0</v>
      </c>
      <c r="G18" s="1331">
        <f t="shared" si="1"/>
        <v>0</v>
      </c>
      <c r="H18" s="1331">
        <v>0</v>
      </c>
      <c r="I18" s="1331">
        <f ca="1">'F20'!E122</f>
        <v>0</v>
      </c>
      <c r="J18" s="1331">
        <f t="shared" ca="1" si="2"/>
        <v>0</v>
      </c>
      <c r="K18" s="1331">
        <v>0</v>
      </c>
      <c r="L18" s="1331">
        <f>'F20'!E231</f>
        <v>0</v>
      </c>
      <c r="M18" s="1331">
        <f t="shared" si="3"/>
        <v>0</v>
      </c>
      <c r="N18" s="1325">
        <v>0</v>
      </c>
      <c r="O18" s="1325">
        <v>0</v>
      </c>
      <c r="P18" s="1325">
        <v>0</v>
      </c>
      <c r="Q18" s="1325">
        <v>0</v>
      </c>
      <c r="R18" s="1325">
        <f t="shared" si="4"/>
        <v>0</v>
      </c>
      <c r="S18" s="1325">
        <v>0</v>
      </c>
      <c r="T18" s="1325">
        <v>0</v>
      </c>
      <c r="U18" s="1325">
        <v>0</v>
      </c>
      <c r="V18" s="1325">
        <v>0</v>
      </c>
      <c r="W18" s="25"/>
    </row>
    <row r="19" spans="2:25" s="22" customFormat="1" x14ac:dyDescent="0.25">
      <c r="B19" s="70">
        <f t="shared" si="5"/>
        <v>9</v>
      </c>
      <c r="C19" s="211" t="s">
        <v>78</v>
      </c>
      <c r="D19" s="319"/>
      <c r="E19" s="1332">
        <f>SUM(E11:E18)</f>
        <v>485.87870000000004</v>
      </c>
      <c r="F19" s="1332">
        <f>SUM(F11:F18)</f>
        <v>482.7675409343862</v>
      </c>
      <c r="G19" s="1332">
        <f t="shared" si="1"/>
        <v>-3.1111590656138333</v>
      </c>
      <c r="H19" s="1332">
        <f>SUM(H11:H18)+0.01</f>
        <v>483.04441899999995</v>
      </c>
      <c r="I19" s="1332">
        <f ca="1">SUM(I11:I18)</f>
        <v>520.20908598471237</v>
      </c>
      <c r="J19" s="1332">
        <f t="shared" ca="1" si="2"/>
        <v>37.164666984712426</v>
      </c>
      <c r="K19" s="1332">
        <f>SUM(K11:K18)</f>
        <v>494.91634599999998</v>
      </c>
      <c r="L19" s="1332">
        <f>SUM(L11:L18)</f>
        <v>548.0638728698176</v>
      </c>
      <c r="M19" s="1332">
        <f t="shared" si="3"/>
        <v>53.147526869817625</v>
      </c>
      <c r="N19" s="1332">
        <f>SUM(N11:N18)</f>
        <v>506.93494799999991</v>
      </c>
      <c r="O19" s="1332">
        <f ca="1">SUM(O11:O18)</f>
        <v>267.68514604110396</v>
      </c>
      <c r="P19" s="1332">
        <f ca="1">SUM(P11:P18)</f>
        <v>267.68514604110396</v>
      </c>
      <c r="Q19" s="1332">
        <f ca="1">SUM(Q11:Q18)</f>
        <v>535.37029208220792</v>
      </c>
      <c r="R19" s="1334">
        <f t="shared" ca="1" si="4"/>
        <v>28.435344082208019</v>
      </c>
      <c r="S19" s="1332">
        <f>SUM(S11:S18)-0.01</f>
        <v>519.27615200000002</v>
      </c>
      <c r="T19" s="1332">
        <f ca="1">SUM(T11:T18)</f>
        <v>588.68993667936809</v>
      </c>
      <c r="U19" s="1332">
        <f>SUM(U11:U18)</f>
        <v>531.94371599999999</v>
      </c>
      <c r="V19" s="1332">
        <f ca="1">SUM(V11:V18)</f>
        <v>667.42218180193504</v>
      </c>
      <c r="W19" s="28"/>
    </row>
    <row r="20" spans="2:25" x14ac:dyDescent="0.25">
      <c r="B20" s="69">
        <f t="shared" si="5"/>
        <v>10</v>
      </c>
      <c r="C20" s="163" t="s">
        <v>79</v>
      </c>
      <c r="D20" s="212" t="s">
        <v>67</v>
      </c>
      <c r="E20" s="1329">
        <f>'F8'!D24</f>
        <v>126.83700000000002</v>
      </c>
      <c r="F20" s="1329">
        <f>'F8'!E24</f>
        <v>125.91137474999999</v>
      </c>
      <c r="G20" s="1329">
        <f t="shared" si="1"/>
        <v>-0.92562525000002438</v>
      </c>
      <c r="H20" s="1329">
        <f>'F8'!D89</f>
        <v>115.27</v>
      </c>
      <c r="I20" s="1329">
        <f>'F8'!E107</f>
        <v>126.32193000000001</v>
      </c>
      <c r="J20" s="1329">
        <f t="shared" si="2"/>
        <v>11.051930000000013</v>
      </c>
      <c r="K20" s="1329">
        <f>'F8'!G89</f>
        <v>116.08758</v>
      </c>
      <c r="L20" s="1329">
        <f>'F8'!F107</f>
        <v>130.04558952229351</v>
      </c>
      <c r="M20" s="1329">
        <f t="shared" si="3"/>
        <v>13.958009522293509</v>
      </c>
      <c r="N20" s="1329">
        <f>'F8'!J89</f>
        <v>116.79255000000002</v>
      </c>
      <c r="O20" s="1327">
        <f>'F8'!G107/2</f>
        <v>62.083228339326602</v>
      </c>
      <c r="P20" s="1327">
        <f>'F8'!G107/2</f>
        <v>62.083228339326602</v>
      </c>
      <c r="Q20" s="1330">
        <f>SUM(O20:P20)</f>
        <v>124.1664566786532</v>
      </c>
      <c r="R20" s="1327">
        <f t="shared" si="4"/>
        <v>7.3739066786531851</v>
      </c>
      <c r="S20" s="1327">
        <f>'F8'!M89</f>
        <v>117.50004000000003</v>
      </c>
      <c r="T20" s="1327">
        <f>'F8'!H107</f>
        <v>136.27119984939722</v>
      </c>
      <c r="U20" s="1327">
        <f>'F8'!O89</f>
        <v>118.20249000000001</v>
      </c>
      <c r="V20" s="1327">
        <f>'F8'!I107</f>
        <v>156.99733583514123</v>
      </c>
      <c r="W20" s="25"/>
    </row>
    <row r="21" spans="2:25" x14ac:dyDescent="0.25">
      <c r="B21" s="69">
        <f>B20+1</f>
        <v>11</v>
      </c>
      <c r="C21" s="210" t="s">
        <v>1209</v>
      </c>
      <c r="D21" s="212" t="s">
        <v>1327</v>
      </c>
      <c r="E21" s="1329">
        <v>4.75</v>
      </c>
      <c r="F21" s="1329">
        <f>'F22'!E14*90%</f>
        <v>4.7514599999999998</v>
      </c>
      <c r="G21" s="1329">
        <f t="shared" si="1"/>
        <v>1.4599999999997948E-3</v>
      </c>
      <c r="H21" s="1329">
        <v>4.75</v>
      </c>
      <c r="I21" s="1329">
        <f>'F22'!G14*90%</f>
        <v>4.7514599999999998</v>
      </c>
      <c r="J21" s="1329">
        <f t="shared" si="2"/>
        <v>1.4599999999997948E-3</v>
      </c>
      <c r="K21" s="1329">
        <v>4.75</v>
      </c>
      <c r="L21" s="1329">
        <f>'F22'!I14*90%</f>
        <v>4.7514599999999998</v>
      </c>
      <c r="M21" s="1329">
        <f t="shared" si="3"/>
        <v>1.4599999999997948E-3</v>
      </c>
      <c r="N21" s="1327">
        <v>4.75</v>
      </c>
      <c r="O21" s="1327">
        <f>'F22'!K14*90%/2</f>
        <v>2.3757299999999999</v>
      </c>
      <c r="P21" s="1327">
        <f>'F22'!K14*90%/2</f>
        <v>2.3757299999999999</v>
      </c>
      <c r="Q21" s="1330">
        <f>SUM(O21:P21)</f>
        <v>4.7514599999999998</v>
      </c>
      <c r="R21" s="1327">
        <f t="shared" si="4"/>
        <v>1.4599999999997948E-3</v>
      </c>
      <c r="S21" s="1327">
        <v>4.75</v>
      </c>
      <c r="T21" s="1327">
        <f>'F22'!L14*90%</f>
        <v>4.7514599999999998</v>
      </c>
      <c r="U21" s="1327">
        <v>4.75</v>
      </c>
      <c r="V21" s="1327">
        <f>'F22'!M14*90%</f>
        <v>4.7514599999999998</v>
      </c>
      <c r="W21" s="25"/>
    </row>
    <row r="22" spans="2:25" x14ac:dyDescent="0.25">
      <c r="B22" s="69">
        <f>B21+1</f>
        <v>12</v>
      </c>
      <c r="C22" s="210" t="s">
        <v>1204</v>
      </c>
      <c r="D22" s="212" t="s">
        <v>1329</v>
      </c>
      <c r="E22" s="1329"/>
      <c r="F22" s="1329">
        <f>'F24'!E13</f>
        <v>7.3319623725595235</v>
      </c>
      <c r="G22" s="1329">
        <f t="shared" si="1"/>
        <v>7.3319623725595235</v>
      </c>
      <c r="H22" s="1329"/>
      <c r="I22" s="1329">
        <f>'F24'!F13</f>
        <v>1.7531171575367397</v>
      </c>
      <c r="J22" s="1329">
        <f t="shared" si="2"/>
        <v>1.7531171575367397</v>
      </c>
      <c r="K22" s="1329"/>
      <c r="L22" s="1329">
        <f>'F24'!G13</f>
        <v>-3.9774422686399742</v>
      </c>
      <c r="M22" s="1329">
        <f t="shared" si="3"/>
        <v>-3.9774422686399742</v>
      </c>
      <c r="N22" s="1329">
        <f>'F20'!G235</f>
        <v>0</v>
      </c>
      <c r="O22" s="1329">
        <f>'F20'!H235</f>
        <v>0</v>
      </c>
      <c r="P22" s="1329">
        <f>'F20'!I235</f>
        <v>0</v>
      </c>
      <c r="Q22" s="1330">
        <f>SUM(O22:P22)</f>
        <v>0</v>
      </c>
      <c r="R22" s="1327">
        <f t="shared" si="4"/>
        <v>0</v>
      </c>
      <c r="S22" s="1327"/>
      <c r="T22" s="1327"/>
      <c r="U22" s="1327"/>
      <c r="V22" s="1327"/>
      <c r="W22" s="25"/>
    </row>
    <row r="23" spans="2:25" x14ac:dyDescent="0.25">
      <c r="B23" s="69">
        <f>B22+1</f>
        <v>13</v>
      </c>
      <c r="C23" s="210" t="s">
        <v>1205</v>
      </c>
      <c r="D23" s="212"/>
      <c r="E23" s="1329"/>
      <c r="F23" s="1329">
        <f>'F20'!E22</f>
        <v>0</v>
      </c>
      <c r="G23" s="1329">
        <f t="shared" si="1"/>
        <v>0</v>
      </c>
      <c r="H23" s="1329"/>
      <c r="I23" s="1329">
        <f>E201*90%</f>
        <v>0</v>
      </c>
      <c r="J23" s="1329">
        <f t="shared" si="2"/>
        <v>0</v>
      </c>
      <c r="K23" s="1329"/>
      <c r="L23" s="1329">
        <f>'F20'!E236</f>
        <v>0</v>
      </c>
      <c r="M23" s="1329">
        <f t="shared" si="3"/>
        <v>0</v>
      </c>
      <c r="N23" s="1327"/>
      <c r="O23" s="1327"/>
      <c r="P23" s="1327"/>
      <c r="Q23" s="1330">
        <f t="shared" ref="Q23:Q24" si="6">SUM(O23:P23)</f>
        <v>0</v>
      </c>
      <c r="R23" s="1327">
        <f t="shared" si="4"/>
        <v>0</v>
      </c>
      <c r="S23" s="1327"/>
      <c r="T23" s="1327"/>
      <c r="U23" s="1327"/>
      <c r="V23" s="1327"/>
      <c r="W23" s="25"/>
    </row>
    <row r="24" spans="2:25" x14ac:dyDescent="0.25">
      <c r="B24" s="69">
        <f>B23+1</f>
        <v>14</v>
      </c>
      <c r="C24" s="210" t="s">
        <v>1206</v>
      </c>
      <c r="D24" s="212"/>
      <c r="E24" s="1329"/>
      <c r="F24" s="1329">
        <f>'F20'!E23</f>
        <v>16.761709707364748</v>
      </c>
      <c r="G24" s="1329">
        <f t="shared" si="1"/>
        <v>16.761709707364748</v>
      </c>
      <c r="H24" s="1329"/>
      <c r="I24" s="1329">
        <f>F3.1!H15/3</f>
        <v>17.517243775043198</v>
      </c>
      <c r="J24" s="1329">
        <f t="shared" si="2"/>
        <v>17.517243775043198</v>
      </c>
      <c r="K24" s="1329"/>
      <c r="L24" s="1329">
        <f>'F20'!E237</f>
        <v>-9.5969302320934649</v>
      </c>
      <c r="M24" s="1329">
        <f t="shared" si="3"/>
        <v>-9.5969302320934649</v>
      </c>
      <c r="N24" s="1327"/>
      <c r="O24" s="1327"/>
      <c r="P24" s="1327"/>
      <c r="Q24" s="1330">
        <f t="shared" si="6"/>
        <v>0</v>
      </c>
      <c r="R24" s="1327">
        <f t="shared" si="4"/>
        <v>0</v>
      </c>
      <c r="S24" s="1327"/>
      <c r="T24" s="1327"/>
      <c r="U24" s="1327"/>
      <c r="V24" s="1327"/>
      <c r="W24" s="25"/>
    </row>
    <row r="25" spans="2:25" s="22" customFormat="1" x14ac:dyDescent="0.25">
      <c r="B25" s="70">
        <f>B24+1</f>
        <v>15</v>
      </c>
      <c r="C25" s="211" t="s">
        <v>81</v>
      </c>
      <c r="D25" s="319"/>
      <c r="E25" s="1332">
        <f>SUM(E19:E24)</f>
        <v>617.46570000000008</v>
      </c>
      <c r="F25" s="1332">
        <f>SUM(F19:F24)</f>
        <v>637.52404776431035</v>
      </c>
      <c r="G25" s="1332">
        <f t="shared" si="1"/>
        <v>20.05834776431027</v>
      </c>
      <c r="H25" s="1332">
        <f>SUM(H19:H24)</f>
        <v>603.06441899999993</v>
      </c>
      <c r="I25" s="1332">
        <f ca="1">SUM(I19:I24)</f>
        <v>670.55283691729232</v>
      </c>
      <c r="J25" s="1332">
        <f t="shared" ca="1" si="2"/>
        <v>67.488417917292395</v>
      </c>
      <c r="K25" s="1332">
        <f>SUM(K19:K24)</f>
        <v>615.75392599999998</v>
      </c>
      <c r="L25" s="1332">
        <f>SUM(L19:L24)</f>
        <v>669.28654989137772</v>
      </c>
      <c r="M25" s="1332">
        <f t="shared" si="3"/>
        <v>53.532623891377739</v>
      </c>
      <c r="N25" s="1332">
        <f>SUM(N19:N21)</f>
        <v>628.47749799999997</v>
      </c>
      <c r="O25" s="1332">
        <f t="shared" ref="O25:V25" ca="1" si="7">SUM(O19:O24)</f>
        <v>332.14410438043052</v>
      </c>
      <c r="P25" s="1332">
        <f t="shared" ca="1" si="7"/>
        <v>332.14410438043052</v>
      </c>
      <c r="Q25" s="1332">
        <f t="shared" ca="1" si="7"/>
        <v>664.28820876086104</v>
      </c>
      <c r="R25" s="1332">
        <f t="shared" ca="1" si="7"/>
        <v>35.810710760861205</v>
      </c>
      <c r="S25" s="1332">
        <f t="shared" si="7"/>
        <v>641.52619200000004</v>
      </c>
      <c r="T25" s="1332">
        <f t="shared" ca="1" si="7"/>
        <v>729.71259652876529</v>
      </c>
      <c r="U25" s="1332">
        <f t="shared" si="7"/>
        <v>654.89620600000001</v>
      </c>
      <c r="V25" s="1332">
        <f t="shared" ca="1" si="7"/>
        <v>829.17097763707625</v>
      </c>
      <c r="W25" s="28"/>
    </row>
    <row r="26" spans="2:25" x14ac:dyDescent="0.25">
      <c r="B26" s="69">
        <f t="shared" si="5"/>
        <v>16</v>
      </c>
      <c r="C26" s="163" t="s">
        <v>80</v>
      </c>
      <c r="D26" s="212" t="s">
        <v>68</v>
      </c>
      <c r="E26" s="1329">
        <f>'F9'!D27</f>
        <v>5.3630000000000004</v>
      </c>
      <c r="F26" s="1329">
        <f>'F9'!E27</f>
        <v>3.9269999999999996</v>
      </c>
      <c r="G26" s="1329">
        <f t="shared" si="1"/>
        <v>-1.4360000000000008</v>
      </c>
      <c r="H26" s="1329">
        <f>'F9'!G27</f>
        <v>5.5240000000000009</v>
      </c>
      <c r="I26" s="1329">
        <f>'F9'!H27</f>
        <v>1.744</v>
      </c>
      <c r="J26" s="1329">
        <f t="shared" si="2"/>
        <v>-3.7800000000000011</v>
      </c>
      <c r="K26" s="1329">
        <f>'F9'!J27</f>
        <v>5.69</v>
      </c>
      <c r="L26" s="1329">
        <f>'F9'!K27</f>
        <v>2.6840000000000002</v>
      </c>
      <c r="M26" s="1329">
        <f t="shared" si="3"/>
        <v>-3.0060000000000002</v>
      </c>
      <c r="N26" s="1329">
        <f>'F9'!M27</f>
        <v>5.8610000000000007</v>
      </c>
      <c r="O26" s="1329">
        <f>'F9'!P27/2</f>
        <v>1.9800000000000002</v>
      </c>
      <c r="P26" s="1329">
        <f>'F9'!P27/2</f>
        <v>1.9800000000000002</v>
      </c>
      <c r="Q26" s="1330">
        <f t="shared" ref="Q26:Q29" si="8">SUM(O26:P26)</f>
        <v>3.9600000000000004</v>
      </c>
      <c r="R26" s="1327">
        <f t="shared" si="4"/>
        <v>-1.9010000000000002</v>
      </c>
      <c r="S26" s="1327">
        <f>'F9'!R27</f>
        <v>6.0360000000000005</v>
      </c>
      <c r="T26" s="1327">
        <f>'F9'!S27</f>
        <v>4.0788000000000002</v>
      </c>
      <c r="U26" s="1327">
        <f>'F9'!T27</f>
        <v>6.2170000000000005</v>
      </c>
      <c r="V26" s="1327">
        <f>'F9'!U27</f>
        <v>4.2011640000000012</v>
      </c>
      <c r="W26" s="25"/>
    </row>
    <row r="27" spans="2:25" x14ac:dyDescent="0.25">
      <c r="B27" s="69">
        <f t="shared" si="5"/>
        <v>17</v>
      </c>
      <c r="C27" s="163" t="s">
        <v>260</v>
      </c>
      <c r="D27" s="212"/>
      <c r="E27" s="1329"/>
      <c r="F27" s="1329">
        <f>'F20'!E26</f>
        <v>0</v>
      </c>
      <c r="G27" s="1329">
        <f t="shared" si="1"/>
        <v>0</v>
      </c>
      <c r="H27" s="1329"/>
      <c r="I27" s="1329">
        <f>'F20'!E131</f>
        <v>0</v>
      </c>
      <c r="J27" s="1329">
        <f t="shared" si="2"/>
        <v>0</v>
      </c>
      <c r="K27" s="1329"/>
      <c r="L27" s="1329">
        <f>'F20'!E240</f>
        <v>0</v>
      </c>
      <c r="M27" s="1329">
        <f t="shared" si="3"/>
        <v>0</v>
      </c>
      <c r="N27" s="1327"/>
      <c r="O27" s="1327"/>
      <c r="P27" s="1327"/>
      <c r="Q27" s="1330">
        <f t="shared" si="8"/>
        <v>0</v>
      </c>
      <c r="R27" s="1327">
        <f t="shared" si="4"/>
        <v>0</v>
      </c>
      <c r="S27" s="1327"/>
      <c r="T27" s="1327"/>
      <c r="U27" s="1327"/>
      <c r="V27" s="1327"/>
      <c r="W27" s="25"/>
    </row>
    <row r="28" spans="2:25" s="22" customFormat="1" x14ac:dyDescent="0.25">
      <c r="B28" s="69">
        <f t="shared" si="5"/>
        <v>18</v>
      </c>
      <c r="C28" s="211" t="s">
        <v>81</v>
      </c>
      <c r="D28" s="319"/>
      <c r="E28" s="1332">
        <f>E25-E26+0.01</f>
        <v>612.11270000000002</v>
      </c>
      <c r="F28" s="1332">
        <f t="shared" ref="F28:V28" si="9">F25-F26</f>
        <v>633.59704776431033</v>
      </c>
      <c r="G28" s="1332">
        <f t="shared" si="1"/>
        <v>21.484347764310314</v>
      </c>
      <c r="H28" s="1332">
        <f>H25-H26-0.01</f>
        <v>597.53041899999994</v>
      </c>
      <c r="I28" s="1332">
        <f t="shared" ca="1" si="9"/>
        <v>668.8088369172923</v>
      </c>
      <c r="J28" s="1332">
        <f t="shared" ca="1" si="2"/>
        <v>71.278417917292359</v>
      </c>
      <c r="K28" s="1332">
        <f>K25-K26</f>
        <v>610.06392599999992</v>
      </c>
      <c r="L28" s="1332">
        <f t="shared" si="9"/>
        <v>666.60254989137775</v>
      </c>
      <c r="M28" s="1332">
        <f t="shared" si="3"/>
        <v>56.538623891377824</v>
      </c>
      <c r="N28" s="1332">
        <f t="shared" si="9"/>
        <v>622.61649799999998</v>
      </c>
      <c r="O28" s="1332">
        <f t="shared" ca="1" si="9"/>
        <v>330.1641043804305</v>
      </c>
      <c r="P28" s="1332">
        <f t="shared" ca="1" si="9"/>
        <v>330.1641043804305</v>
      </c>
      <c r="Q28" s="1332">
        <f t="shared" ca="1" si="9"/>
        <v>660.328208760861</v>
      </c>
      <c r="R28" s="1334">
        <f t="shared" ca="1" si="4"/>
        <v>37.711710760861024</v>
      </c>
      <c r="S28" s="1332">
        <f t="shared" si="9"/>
        <v>635.49019200000009</v>
      </c>
      <c r="T28" s="1332">
        <f t="shared" ca="1" si="9"/>
        <v>725.63379652876529</v>
      </c>
      <c r="U28" s="1332">
        <f t="shared" si="9"/>
        <v>648.67920600000002</v>
      </c>
      <c r="V28" s="1332">
        <f t="shared" ca="1" si="9"/>
        <v>824.9698136370763</v>
      </c>
      <c r="W28" s="28"/>
    </row>
    <row r="29" spans="2:25" ht="28" x14ac:dyDescent="0.25">
      <c r="B29" s="69">
        <f t="shared" si="5"/>
        <v>19</v>
      </c>
      <c r="C29" s="163" t="s">
        <v>1210</v>
      </c>
      <c r="D29" s="212"/>
      <c r="E29" s="1329"/>
      <c r="F29" s="1329"/>
      <c r="G29" s="1329">
        <f t="shared" si="1"/>
        <v>0</v>
      </c>
      <c r="H29" s="1329">
        <v>-30.13</v>
      </c>
      <c r="I29" s="1329">
        <v>-30.13</v>
      </c>
      <c r="J29" s="1329">
        <f t="shared" si="2"/>
        <v>0</v>
      </c>
      <c r="K29" s="1329"/>
      <c r="L29" s="1327"/>
      <c r="M29" s="1329">
        <f t="shared" si="3"/>
        <v>0</v>
      </c>
      <c r="N29" s="1327"/>
      <c r="O29" s="1327"/>
      <c r="P29" s="1327"/>
      <c r="Q29" s="1330">
        <f t="shared" si="8"/>
        <v>0</v>
      </c>
      <c r="R29" s="1327">
        <f t="shared" si="4"/>
        <v>0</v>
      </c>
      <c r="S29" s="1327"/>
      <c r="T29" s="1327"/>
      <c r="U29" s="1327"/>
      <c r="V29" s="1327"/>
      <c r="W29" s="25"/>
    </row>
    <row r="30" spans="2:25" s="22" customFormat="1" x14ac:dyDescent="0.25">
      <c r="B30" s="69">
        <f>B29+1</f>
        <v>20</v>
      </c>
      <c r="C30" s="211" t="s">
        <v>287</v>
      </c>
      <c r="D30" s="476"/>
      <c r="E30" s="1333">
        <f>E28+E29</f>
        <v>612.11270000000002</v>
      </c>
      <c r="F30" s="1333">
        <f>F28+F29</f>
        <v>633.59704776431033</v>
      </c>
      <c r="G30" s="1332">
        <f t="shared" si="1"/>
        <v>21.484347764310314</v>
      </c>
      <c r="H30" s="1333">
        <f>H28+H29</f>
        <v>567.40041899999994</v>
      </c>
      <c r="I30" s="1333">
        <f ca="1">I28+I29</f>
        <v>638.6788369172923</v>
      </c>
      <c r="J30" s="1332">
        <f t="shared" ca="1" si="2"/>
        <v>71.278417917292359</v>
      </c>
      <c r="K30" s="1333">
        <f>K28+K29</f>
        <v>610.06392599999992</v>
      </c>
      <c r="L30" s="1333">
        <f>L28+L29</f>
        <v>666.60254989137775</v>
      </c>
      <c r="M30" s="1332">
        <f t="shared" si="3"/>
        <v>56.538623891377824</v>
      </c>
      <c r="N30" s="1333">
        <f>N28+N29</f>
        <v>622.61649799999998</v>
      </c>
      <c r="O30" s="1333">
        <f ca="1">O28+O29</f>
        <v>330.1641043804305</v>
      </c>
      <c r="P30" s="1333">
        <f ca="1">P28+P29</f>
        <v>330.1641043804305</v>
      </c>
      <c r="Q30" s="1333">
        <f ca="1">Q28+Q29</f>
        <v>660.328208760861</v>
      </c>
      <c r="R30" s="1334">
        <f t="shared" ca="1" si="4"/>
        <v>37.711710760861024</v>
      </c>
      <c r="S30" s="1333">
        <f>S28+S29</f>
        <v>635.49019200000009</v>
      </c>
      <c r="T30" s="1333">
        <f ca="1">T28+T29</f>
        <v>725.63379652876529</v>
      </c>
      <c r="U30" s="1333">
        <f>U28+U29</f>
        <v>648.67920600000002</v>
      </c>
      <c r="V30" s="1333">
        <f ca="1">V28+V29</f>
        <v>824.9698136370763</v>
      </c>
      <c r="W30" s="28"/>
    </row>
    <row r="31" spans="2:25" hidden="1" x14ac:dyDescent="0.25">
      <c r="B31" s="15" t="s">
        <v>809</v>
      </c>
      <c r="G31" s="409">
        <f>F30-E30-G30</f>
        <v>0</v>
      </c>
      <c r="J31" s="409">
        <f ca="1">I30-H30-J30</f>
        <v>0</v>
      </c>
      <c r="M31" s="409">
        <f>L30-K30-M30</f>
        <v>0</v>
      </c>
      <c r="P31" s="409"/>
      <c r="Q31" s="409"/>
      <c r="R31" s="409">
        <f ca="1">Q30-N30-R30</f>
        <v>0</v>
      </c>
      <c r="Y31" s="1506"/>
    </row>
    <row r="32" spans="2:25" x14ac:dyDescent="0.25">
      <c r="G32" s="409"/>
      <c r="J32" s="409"/>
      <c r="M32" s="409"/>
      <c r="P32" s="409"/>
      <c r="Q32" s="409"/>
      <c r="R32" s="409"/>
      <c r="Y32" s="1506"/>
    </row>
    <row r="33" spans="1:25" x14ac:dyDescent="0.25">
      <c r="G33" s="409"/>
      <c r="J33" s="409"/>
      <c r="M33" s="409"/>
      <c r="P33" s="409"/>
      <c r="Q33" s="409"/>
      <c r="R33" s="409"/>
      <c r="Y33" s="1506"/>
    </row>
    <row r="34" spans="1:25" ht="14.5" x14ac:dyDescent="0.25">
      <c r="A34" s="731"/>
    </row>
    <row r="35" spans="1:25" x14ac:dyDescent="0.25">
      <c r="C35" s="209" t="s">
        <v>283</v>
      </c>
    </row>
    <row r="37" spans="1:25" ht="12.75" customHeight="1" x14ac:dyDescent="0.25">
      <c r="B37" s="2177" t="s">
        <v>187</v>
      </c>
      <c r="C37" s="2180" t="s">
        <v>50</v>
      </c>
      <c r="D37" s="2182" t="s">
        <v>10</v>
      </c>
      <c r="E37" s="2172" t="s">
        <v>804</v>
      </c>
      <c r="F37" s="2176"/>
      <c r="G37" s="2173"/>
      <c r="H37" s="2172" t="s">
        <v>186</v>
      </c>
      <c r="I37" s="2176"/>
      <c r="J37" s="2173"/>
      <c r="K37" s="2172" t="s">
        <v>426</v>
      </c>
      <c r="L37" s="2176"/>
      <c r="M37" s="2173"/>
      <c r="N37" s="2172" t="s">
        <v>427</v>
      </c>
      <c r="O37" s="2176"/>
      <c r="P37" s="2176"/>
      <c r="Q37" s="2176"/>
      <c r="R37" s="2173"/>
      <c r="S37" s="2172" t="s">
        <v>428</v>
      </c>
      <c r="T37" s="2173"/>
      <c r="U37" s="2172" t="s">
        <v>429</v>
      </c>
      <c r="V37" s="2173"/>
      <c r="W37" s="2174" t="s">
        <v>39</v>
      </c>
    </row>
    <row r="38" spans="1:25" ht="42" x14ac:dyDescent="0.25">
      <c r="B38" s="2184"/>
      <c r="C38" s="2180"/>
      <c r="D38" s="2182"/>
      <c r="E38" s="318" t="s">
        <v>404</v>
      </c>
      <c r="F38" s="307" t="s">
        <v>405</v>
      </c>
      <c r="G38" s="307" t="s">
        <v>406</v>
      </c>
      <c r="H38" s="318" t="s">
        <v>404</v>
      </c>
      <c r="I38" s="307" t="s">
        <v>405</v>
      </c>
      <c r="J38" s="307" t="s">
        <v>406</v>
      </c>
      <c r="K38" s="318" t="s">
        <v>404</v>
      </c>
      <c r="L38" s="307" t="s">
        <v>405</v>
      </c>
      <c r="M38" s="307" t="s">
        <v>406</v>
      </c>
      <c r="N38" s="307" t="s">
        <v>404</v>
      </c>
      <c r="O38" s="307" t="s">
        <v>408</v>
      </c>
      <c r="P38" s="307" t="s">
        <v>333</v>
      </c>
      <c r="Q38" s="307" t="s">
        <v>72</v>
      </c>
      <c r="R38" s="307" t="s">
        <v>409</v>
      </c>
      <c r="S38" s="307" t="s">
        <v>404</v>
      </c>
      <c r="T38" s="307" t="s">
        <v>805</v>
      </c>
      <c r="U38" s="307" t="s">
        <v>404</v>
      </c>
      <c r="V38" s="307" t="s">
        <v>805</v>
      </c>
      <c r="W38" s="2174"/>
    </row>
    <row r="39" spans="1:25" x14ac:dyDescent="0.25">
      <c r="B39" s="2179"/>
      <c r="C39" s="2181"/>
      <c r="D39" s="2183"/>
      <c r="E39" s="307" t="s">
        <v>73</v>
      </c>
      <c r="F39" s="307" t="s">
        <v>74</v>
      </c>
      <c r="G39" s="307" t="s">
        <v>806</v>
      </c>
      <c r="H39" s="307" t="s">
        <v>411</v>
      </c>
      <c r="I39" s="307" t="s">
        <v>412</v>
      </c>
      <c r="J39" s="307" t="s">
        <v>439</v>
      </c>
      <c r="K39" s="307" t="s">
        <v>668</v>
      </c>
      <c r="L39" s="307" t="s">
        <v>582</v>
      </c>
      <c r="M39" s="307" t="s">
        <v>675</v>
      </c>
      <c r="N39" s="307" t="s">
        <v>782</v>
      </c>
      <c r="O39" s="307" t="s">
        <v>583</v>
      </c>
      <c r="P39" s="307" t="s">
        <v>760</v>
      </c>
      <c r="Q39" s="307" t="s">
        <v>807</v>
      </c>
      <c r="R39" s="307" t="s">
        <v>808</v>
      </c>
      <c r="S39" s="307" t="s">
        <v>784</v>
      </c>
      <c r="T39" s="307" t="s">
        <v>762</v>
      </c>
      <c r="U39" s="307" t="s">
        <v>763</v>
      </c>
      <c r="V39" s="307" t="s">
        <v>764</v>
      </c>
      <c r="W39" s="2175"/>
    </row>
    <row r="40" spans="1:25" ht="28" x14ac:dyDescent="0.25">
      <c r="B40" s="69">
        <v>1</v>
      </c>
      <c r="C40" s="163" t="s">
        <v>288</v>
      </c>
      <c r="D40" s="69" t="s">
        <v>262</v>
      </c>
      <c r="E40" s="1328">
        <f>'F2'!Q25</f>
        <v>2536.0400000000004</v>
      </c>
      <c r="F40" s="1328">
        <f>'F2'!Q64</f>
        <v>2189.0282088632507</v>
      </c>
      <c r="G40" s="1328">
        <f>F40-E40</f>
        <v>-347.01179113674971</v>
      </c>
      <c r="H40" s="1328">
        <f>'F2'!Q85</f>
        <v>2750.3000000000006</v>
      </c>
      <c r="I40" s="1328">
        <f>'F2'!Q125</f>
        <v>2031.0999708240081</v>
      </c>
      <c r="J40" s="1328">
        <f>I40-H40</f>
        <v>-719.20002917599254</v>
      </c>
      <c r="K40" s="1328">
        <f>'F2'!Q143</f>
        <v>2454.2000000000003</v>
      </c>
      <c r="L40" s="1327">
        <f>'F2'!Q186</f>
        <v>2530.959247834196</v>
      </c>
      <c r="M40" s="1328">
        <f>L40-K40</f>
        <v>76.759247834195776</v>
      </c>
      <c r="N40" s="1327">
        <f>'F2'!Q224</f>
        <v>2351.34</v>
      </c>
      <c r="O40" s="1327">
        <f>'F2'!Q293</f>
        <v>1922.1972684837649</v>
      </c>
      <c r="P40" s="1327">
        <f>'F2'!$Q$327</f>
        <v>1752.6321613672653</v>
      </c>
      <c r="Q40" s="1327">
        <f t="shared" ref="Q40:Q49" si="10">SUM(O40:P40)</f>
        <v>3674.82942985103</v>
      </c>
      <c r="R40" s="1327">
        <f>Q40-N40</f>
        <v>1323.4894298510299</v>
      </c>
      <c r="S40" s="1327">
        <f>'F2'!Q343</f>
        <v>2395.83</v>
      </c>
      <c r="T40" s="1327">
        <f>'F2'!Q366</f>
        <v>2998.7736725322743</v>
      </c>
      <c r="U40" s="1327">
        <f>'F2'!Q382</f>
        <v>2444.3700000000003</v>
      </c>
      <c r="V40" s="1327">
        <f ca="1">'F2'!Q408</f>
        <v>2151.2611385774235</v>
      </c>
      <c r="W40" s="353"/>
      <c r="X40" s="1479"/>
      <c r="Y40" s="1479"/>
    </row>
    <row r="41" spans="1:25" x14ac:dyDescent="0.25">
      <c r="B41" s="69">
        <f>B40+1</f>
        <v>2</v>
      </c>
      <c r="C41" s="210" t="s">
        <v>75</v>
      </c>
      <c r="D41" s="212" t="s">
        <v>56</v>
      </c>
      <c r="E41" s="1329">
        <f>'F3'!E32</f>
        <v>202.874</v>
      </c>
      <c r="F41" s="1328">
        <f>'F3'!F32</f>
        <v>188.71299999999999</v>
      </c>
      <c r="G41" s="1328">
        <f t="shared" ref="G41:G49" si="11">F41-E41</f>
        <v>-14.161000000000001</v>
      </c>
      <c r="H41" s="1329">
        <f>'F3'!H32</f>
        <v>197.93899999999996</v>
      </c>
      <c r="I41" s="1328">
        <f>'F3'!I32</f>
        <v>206.7835</v>
      </c>
      <c r="J41" s="1328">
        <f t="shared" ref="J41:J62" si="12">I41-H41</f>
        <v>8.8445000000000391</v>
      </c>
      <c r="K41" s="1329">
        <f>'F3'!K32</f>
        <v>203.54599999999996</v>
      </c>
      <c r="L41" s="1327">
        <f>'F3'!L32</f>
        <v>223.37160116501843</v>
      </c>
      <c r="M41" s="1328">
        <f t="shared" ref="M41:M62" si="13">L41-K41</f>
        <v>19.825601165018469</v>
      </c>
      <c r="N41" s="1330">
        <f>'F3'!N32</f>
        <v>209.31749999999997</v>
      </c>
      <c r="O41" s="1330">
        <f>'F3'!O32</f>
        <v>113.09131559969474</v>
      </c>
      <c r="P41" s="1330">
        <f>'F3'!P32</f>
        <v>113.09131559969474</v>
      </c>
      <c r="Q41" s="1327">
        <f t="shared" si="10"/>
        <v>226.18263119938948</v>
      </c>
      <c r="R41" s="1327">
        <f t="shared" ref="R41:R62" si="14">Q41-N41</f>
        <v>16.865131199389509</v>
      </c>
      <c r="S41" s="1327">
        <f>'F3'!S32</f>
        <v>215.2465</v>
      </c>
      <c r="T41" s="1327">
        <f>'F3'!T32</f>
        <v>284.77574049841292</v>
      </c>
      <c r="U41" s="1327">
        <f>'F3'!U32</f>
        <v>221.34699999999998</v>
      </c>
      <c r="V41" s="1327">
        <f>'F3'!V32</f>
        <v>385.3628483902495</v>
      </c>
      <c r="W41" s="353"/>
    </row>
    <row r="42" spans="1:25" x14ac:dyDescent="0.25">
      <c r="B42" s="69">
        <f t="shared" ref="B42:B63" si="15">B41+1</f>
        <v>3</v>
      </c>
      <c r="C42" s="77" t="s">
        <v>183</v>
      </c>
      <c r="D42" s="212" t="s">
        <v>281</v>
      </c>
      <c r="E42" s="1329">
        <v>10.87</v>
      </c>
      <c r="F42" s="1328">
        <f>10%*'F 5.3'!J28</f>
        <v>10.002560103820691</v>
      </c>
      <c r="G42" s="1328">
        <f t="shared" si="11"/>
        <v>-0.86743989617930772</v>
      </c>
      <c r="H42" s="1329">
        <v>11.234999999999999</v>
      </c>
      <c r="I42" s="1328">
        <f>'F 5.3'!K28*10%</f>
        <v>10.407826220523596</v>
      </c>
      <c r="J42" s="1328">
        <f t="shared" si="12"/>
        <v>-0.82717377947640358</v>
      </c>
      <c r="K42" s="1329">
        <v>11.38</v>
      </c>
      <c r="L42" s="1327">
        <f>'F 5.3'!L28*10%</f>
        <v>10.552054764604499</v>
      </c>
      <c r="M42" s="1328">
        <f t="shared" si="13"/>
        <v>-0.82794523539550191</v>
      </c>
      <c r="N42" s="1327">
        <v>11.51</v>
      </c>
      <c r="O42" s="1327">
        <f>'F 5.3'!M28*10%/2</f>
        <v>5.476636150233122</v>
      </c>
      <c r="P42" s="1327">
        <f>'F 5.3'!M28*10%/2</f>
        <v>5.476636150233122</v>
      </c>
      <c r="Q42" s="1327">
        <f t="shared" si="10"/>
        <v>10.953272300466244</v>
      </c>
      <c r="R42" s="1327">
        <f t="shared" si="14"/>
        <v>-0.55672769953375578</v>
      </c>
      <c r="S42" s="1327">
        <v>11.64</v>
      </c>
      <c r="T42" s="1327">
        <f>'F 5.3'!N28*10%</f>
        <v>12.834999098490787</v>
      </c>
      <c r="U42" s="1327">
        <v>11.76</v>
      </c>
      <c r="V42" s="1327">
        <f>'F 5.3'!O28*10%</f>
        <v>15.926751213681976</v>
      </c>
      <c r="W42" s="353"/>
    </row>
    <row r="43" spans="1:25" x14ac:dyDescent="0.25">
      <c r="B43" s="69">
        <f t="shared" si="15"/>
        <v>4</v>
      </c>
      <c r="C43" s="210" t="s">
        <v>182</v>
      </c>
      <c r="D43" s="212" t="s">
        <v>65</v>
      </c>
      <c r="E43" s="1329">
        <f>'F6'!D210</f>
        <v>0</v>
      </c>
      <c r="F43" s="1328">
        <f>'F6'!E89*10%</f>
        <v>4.1234999999999999</v>
      </c>
      <c r="G43" s="1328">
        <f t="shared" si="11"/>
        <v>4.1234999999999999</v>
      </c>
      <c r="H43" s="1329">
        <f>'F6'!G210</f>
        <v>0</v>
      </c>
      <c r="I43" s="1328">
        <f>'F6'!H89*10%</f>
        <v>3.6603499999999998</v>
      </c>
      <c r="J43" s="1328">
        <f t="shared" si="12"/>
        <v>3.6603499999999998</v>
      </c>
      <c r="K43" s="1329">
        <f>'F6'!J210</f>
        <v>0</v>
      </c>
      <c r="L43" s="1327">
        <f>'F6'!K89*10%</f>
        <v>3.1761599999999999</v>
      </c>
      <c r="M43" s="1328">
        <f t="shared" si="13"/>
        <v>3.1761599999999999</v>
      </c>
      <c r="N43" s="1329">
        <f>'F6'!M167</f>
        <v>0</v>
      </c>
      <c r="O43" s="1329">
        <f>'F6'!N167/2</f>
        <v>0</v>
      </c>
      <c r="P43" s="1329">
        <f>'F6'!N167/2</f>
        <v>0</v>
      </c>
      <c r="Q43" s="1327">
        <f t="shared" si="10"/>
        <v>0</v>
      </c>
      <c r="R43" s="1327">
        <f t="shared" si="14"/>
        <v>0</v>
      </c>
      <c r="S43" s="1329">
        <f>'F6'!P167</f>
        <v>0</v>
      </c>
      <c r="T43" s="1329">
        <f>'F6'!Q167</f>
        <v>1.6179765777445754</v>
      </c>
      <c r="U43" s="1329">
        <f>'F6'!R167</f>
        <v>0</v>
      </c>
      <c r="V43" s="1329">
        <f>'F6'!S167</f>
        <v>4.4742279148157458</v>
      </c>
      <c r="W43" s="353"/>
    </row>
    <row r="44" spans="1:25" x14ac:dyDescent="0.25">
      <c r="B44" s="69">
        <f t="shared" si="15"/>
        <v>5</v>
      </c>
      <c r="C44" s="77" t="s">
        <v>76</v>
      </c>
      <c r="D44" s="212" t="s">
        <v>66</v>
      </c>
      <c r="E44" s="1329">
        <f>'F7'!E49</f>
        <v>0</v>
      </c>
      <c r="F44" s="1328">
        <f>'F7'!F50</f>
        <v>7.9920000000000009</v>
      </c>
      <c r="G44" s="1328">
        <f t="shared" si="11"/>
        <v>7.9920000000000009</v>
      </c>
      <c r="H44" s="1329">
        <f>'F7'!E120</f>
        <v>0</v>
      </c>
      <c r="I44" s="1328">
        <f>'F7'!F121</f>
        <v>9.5129999999999999</v>
      </c>
      <c r="J44" s="1328">
        <f t="shared" si="12"/>
        <v>9.5129999999999999</v>
      </c>
      <c r="K44" s="1329">
        <f>'F7'!G120</f>
        <v>0</v>
      </c>
      <c r="L44" s="1327">
        <f>'F7'!H121</f>
        <v>8.9369999999999994</v>
      </c>
      <c r="M44" s="1328">
        <f t="shared" si="13"/>
        <v>8.9369999999999994</v>
      </c>
      <c r="N44" s="1327">
        <f>'F7'!I120</f>
        <v>0</v>
      </c>
      <c r="O44" s="1327">
        <f ca="1">'F7'!J120/2</f>
        <v>0</v>
      </c>
      <c r="P44" s="1327">
        <f ca="1">'F7'!J120/2</f>
        <v>0</v>
      </c>
      <c r="Q44" s="1327">
        <f t="shared" ca="1" si="10"/>
        <v>0</v>
      </c>
      <c r="R44" s="1327">
        <f t="shared" ca="1" si="14"/>
        <v>0</v>
      </c>
      <c r="S44" s="1327">
        <f>'F7'!K120</f>
        <v>0</v>
      </c>
      <c r="T44" s="1327">
        <f ca="1">'F7'!L120</f>
        <v>0</v>
      </c>
      <c r="U44" s="1327">
        <f>'F7'!M120</f>
        <v>0</v>
      </c>
      <c r="V44" s="1327">
        <f ca="1">'F7'!N120</f>
        <v>0</v>
      </c>
      <c r="W44" s="353"/>
    </row>
    <row r="45" spans="1:25" x14ac:dyDescent="0.25">
      <c r="B45" s="69">
        <f t="shared" si="15"/>
        <v>6</v>
      </c>
      <c r="C45" s="71" t="s">
        <v>289</v>
      </c>
      <c r="D45" s="212" t="s">
        <v>66</v>
      </c>
      <c r="E45" s="1329">
        <f>'F7'!E54-0.01</f>
        <v>34.585999999999999</v>
      </c>
      <c r="F45" s="1328">
        <f>'F7'!F54</f>
        <v>33.920999999999999</v>
      </c>
      <c r="G45" s="1328">
        <f t="shared" si="11"/>
        <v>-0.66499999999999915</v>
      </c>
      <c r="H45" s="1329">
        <f>'F7'!E124</f>
        <v>20.253321</v>
      </c>
      <c r="I45" s="1328">
        <f>'F7'!F124</f>
        <v>15.417</v>
      </c>
      <c r="J45" s="1328">
        <f t="shared" si="12"/>
        <v>-4.8363209999999999</v>
      </c>
      <c r="K45" s="1329">
        <f>'F7'!G124</f>
        <v>20.861064000000002</v>
      </c>
      <c r="L45" s="1327">
        <f>'F7'!H124</f>
        <v>14.084697565800001</v>
      </c>
      <c r="M45" s="1328">
        <f t="shared" si="13"/>
        <v>-6.7763664342000016</v>
      </c>
      <c r="N45" s="1327">
        <f>'F7'!I124</f>
        <v>21.487031999999999</v>
      </c>
      <c r="O45" s="698">
        <f>'F7'!J124/2</f>
        <v>8.4562222417719095</v>
      </c>
      <c r="P45" s="634">
        <f>'F7'!J124/2</f>
        <v>8.4562222417719095</v>
      </c>
      <c r="Q45" s="1327">
        <f t="shared" si="10"/>
        <v>16.912444483543819</v>
      </c>
      <c r="R45" s="1327">
        <f t="shared" si="14"/>
        <v>-4.5745875164561802</v>
      </c>
      <c r="S45" s="1327">
        <f>'F7'!K124</f>
        <v>22.131467999999998</v>
      </c>
      <c r="T45" s="1327">
        <f>'F7'!L124</f>
        <v>17.378272602714933</v>
      </c>
      <c r="U45" s="1327">
        <f>'F7'!M124</f>
        <v>22.795344</v>
      </c>
      <c r="V45" s="1327">
        <f>'F7'!N124</f>
        <v>17.856931264320139</v>
      </c>
      <c r="W45" s="353"/>
    </row>
    <row r="46" spans="1:25" x14ac:dyDescent="0.25">
      <c r="B46" s="69">
        <f t="shared" si="15"/>
        <v>7</v>
      </c>
      <c r="C46" s="71" t="s">
        <v>774</v>
      </c>
      <c r="D46" s="212" t="s">
        <v>69</v>
      </c>
      <c r="E46" s="1329">
        <f>'F10'!D30</f>
        <v>6.0660000000000007</v>
      </c>
      <c r="F46" s="1328">
        <f>'F10'!E31</f>
        <v>4.5810000000000004</v>
      </c>
      <c r="G46" s="1328">
        <f t="shared" si="11"/>
        <v>-1.4850000000000003</v>
      </c>
      <c r="H46" s="1329">
        <f>'F10'!G30</f>
        <v>6.0660000000000007</v>
      </c>
      <c r="I46" s="1328">
        <f>'F10'!H31</f>
        <v>3.5190000000000001</v>
      </c>
      <c r="J46" s="1328">
        <f t="shared" si="12"/>
        <v>-2.5470000000000006</v>
      </c>
      <c r="K46" s="1329">
        <f>'F10'!J30</f>
        <v>6.0660000000000007</v>
      </c>
      <c r="L46" s="1327">
        <f>'F10'!K31</f>
        <v>4.1310000000000002</v>
      </c>
      <c r="M46" s="1328">
        <f t="shared" si="13"/>
        <v>-1.9350000000000005</v>
      </c>
      <c r="N46" s="1327">
        <f>'F10'!M30</f>
        <v>6.0660000000000007</v>
      </c>
      <c r="O46" s="1327">
        <f ca="1">'F10'!P30/2</f>
        <v>4.8701523762846231</v>
      </c>
      <c r="P46" s="1327">
        <f ca="1">'F10'!P30/2</f>
        <v>4.8701523762846231</v>
      </c>
      <c r="Q46" s="1327">
        <f t="shared" ca="1" si="10"/>
        <v>9.7403047525692461</v>
      </c>
      <c r="R46" s="1327">
        <f t="shared" ca="1" si="14"/>
        <v>3.6743047525692454</v>
      </c>
      <c r="S46" s="1327">
        <f>'F10'!R30</f>
        <v>6.0660000000000007</v>
      </c>
      <c r="T46" s="1327">
        <f ca="1">'F10'!S30</f>
        <v>8.3150198063086638</v>
      </c>
      <c r="U46" s="1327">
        <f>'F10'!T30</f>
        <v>6.0660000000000007</v>
      </c>
      <c r="V46" s="1327">
        <f ca="1">'F10'!U30</f>
        <v>6.5910311765304721</v>
      </c>
      <c r="W46" s="353"/>
    </row>
    <row r="47" spans="1:25" x14ac:dyDescent="0.25">
      <c r="B47" s="69">
        <f t="shared" si="15"/>
        <v>8</v>
      </c>
      <c r="C47" s="71" t="s">
        <v>256</v>
      </c>
      <c r="D47" s="212" t="s">
        <v>70</v>
      </c>
      <c r="E47" s="1329">
        <f>'F11'!D37</f>
        <v>0.65</v>
      </c>
      <c r="F47" s="1328">
        <f>'F11'!E37</f>
        <v>0</v>
      </c>
      <c r="G47" s="1328">
        <f t="shared" si="11"/>
        <v>-0.65</v>
      </c>
      <c r="H47" s="1329">
        <f>'F11'!G37</f>
        <v>0.6845</v>
      </c>
      <c r="I47" s="1328">
        <f>'F11'!H37</f>
        <v>0.71200000000000008</v>
      </c>
      <c r="J47" s="1328">
        <f t="shared" si="12"/>
        <v>2.750000000000008E-2</v>
      </c>
      <c r="K47" s="1329">
        <f>'F11'!J37</f>
        <v>0.69400000000000006</v>
      </c>
      <c r="L47" s="1327">
        <f>'F11'!K37</f>
        <v>0.7400000000000001</v>
      </c>
      <c r="M47" s="1328">
        <f t="shared" si="13"/>
        <v>4.6000000000000041E-2</v>
      </c>
      <c r="N47" s="1327">
        <f>'F11'!M37</f>
        <v>0.70199999999999996</v>
      </c>
      <c r="O47" s="1327">
        <f>'F11'!N37/2</f>
        <v>0.37959984981924999</v>
      </c>
      <c r="P47" s="1327">
        <f>'F11'!N37/2</f>
        <v>0.37959984981924999</v>
      </c>
      <c r="Q47" s="1327">
        <f t="shared" si="10"/>
        <v>0.75919969963849998</v>
      </c>
      <c r="R47" s="1327">
        <f t="shared" si="14"/>
        <v>5.7199699638500023E-2</v>
      </c>
      <c r="S47" s="1327">
        <f>'F11'!P37</f>
        <v>0.71</v>
      </c>
      <c r="T47" s="1327">
        <f>'F11'!Q37</f>
        <v>0.790131899277</v>
      </c>
      <c r="U47" s="1327">
        <f>'F11'!R37</f>
        <v>0.71799999999999997</v>
      </c>
      <c r="V47" s="1327">
        <f>'F11'!S37</f>
        <v>1.0253684489155002</v>
      </c>
      <c r="W47" s="353"/>
    </row>
    <row r="48" spans="1:25" x14ac:dyDescent="0.25">
      <c r="B48" s="69">
        <f t="shared" si="15"/>
        <v>9</v>
      </c>
      <c r="C48" s="71" t="s">
        <v>258</v>
      </c>
      <c r="D48" s="212" t="s">
        <v>342</v>
      </c>
      <c r="E48" s="1329">
        <f>F2.2!D12</f>
        <v>224.52</v>
      </c>
      <c r="F48" s="1328">
        <f>F2.2!E12</f>
        <v>224.88313170000004</v>
      </c>
      <c r="G48" s="1328">
        <f t="shared" si="11"/>
        <v>0.36313170000002515</v>
      </c>
      <c r="H48" s="1329">
        <f>F2.2!G12</f>
        <v>258.8</v>
      </c>
      <c r="I48" s="1328">
        <f>F2.2!H12</f>
        <v>258.47686829999998</v>
      </c>
      <c r="J48" s="1328">
        <f t="shared" si="12"/>
        <v>-0.32313170000003311</v>
      </c>
      <c r="K48" s="1329">
        <f>F2.2!J12</f>
        <v>257.95999999999998</v>
      </c>
      <c r="L48" s="1327">
        <f>F2.2!K12</f>
        <v>258</v>
      </c>
      <c r="M48" s="1328">
        <f t="shared" si="13"/>
        <v>4.0000000000020464E-2</v>
      </c>
      <c r="N48" s="1327">
        <f>F2.2!M12</f>
        <v>256.72000000000003</v>
      </c>
      <c r="O48" s="1327">
        <f>F2.2!N12</f>
        <v>128.3599998</v>
      </c>
      <c r="P48" s="1327">
        <f>F2.2!O12</f>
        <v>128.3599998</v>
      </c>
      <c r="Q48" s="1327">
        <f t="shared" si="10"/>
        <v>256.71999959999999</v>
      </c>
      <c r="R48" s="1327">
        <f t="shared" si="14"/>
        <v>-4.000000330961484E-7</v>
      </c>
      <c r="S48" s="1327">
        <f>F2.2!R12</f>
        <v>254.91</v>
      </c>
      <c r="T48" s="1327">
        <f>F2.2!S12</f>
        <v>254.91</v>
      </c>
      <c r="U48" s="1327">
        <f>F2.2!T12</f>
        <v>250.31</v>
      </c>
      <c r="V48" s="1327">
        <f>F2.2!U12</f>
        <v>250.31</v>
      </c>
      <c r="W48" s="353"/>
    </row>
    <row r="49" spans="2:23" x14ac:dyDescent="0.25">
      <c r="B49" s="69">
        <f t="shared" si="15"/>
        <v>10</v>
      </c>
      <c r="C49" s="71" t="s">
        <v>259</v>
      </c>
      <c r="D49" s="212" t="s">
        <v>342</v>
      </c>
      <c r="E49" s="1329">
        <f>F2.2!D13</f>
        <v>1.1299999999999999</v>
      </c>
      <c r="F49" s="1328">
        <f>F2.2!E13</f>
        <v>1.1279999999999999</v>
      </c>
      <c r="G49" s="1328">
        <f t="shared" si="11"/>
        <v>-2.0000000000000018E-3</v>
      </c>
      <c r="H49" s="1329">
        <f>F2.2!G13</f>
        <v>1.29</v>
      </c>
      <c r="I49" s="1328">
        <f>F2.2!H13</f>
        <v>1.2927600000000001</v>
      </c>
      <c r="J49" s="1328">
        <f t="shared" si="12"/>
        <v>2.7600000000000957E-3</v>
      </c>
      <c r="K49" s="1329">
        <f>F2.2!J13</f>
        <v>1.2</v>
      </c>
      <c r="L49" s="1327">
        <f>F2.2!K13</f>
        <v>1.19808</v>
      </c>
      <c r="M49" s="1328">
        <f t="shared" si="13"/>
        <v>-1.9199999999999218E-3</v>
      </c>
      <c r="N49" s="1327">
        <f>F2.2!M13</f>
        <v>1.27</v>
      </c>
      <c r="O49" s="1327">
        <f>F2.2!N13</f>
        <v>0.63629999999999998</v>
      </c>
      <c r="P49" s="1327">
        <f>F2.2!O13</f>
        <v>0.63630000000000009</v>
      </c>
      <c r="Q49" s="1327">
        <f t="shared" si="10"/>
        <v>1.2726000000000002</v>
      </c>
      <c r="R49" s="1327">
        <f t="shared" si="14"/>
        <v>2.6000000000001577E-3</v>
      </c>
      <c r="S49" s="1327">
        <f>F2.2!R13</f>
        <v>1.35</v>
      </c>
      <c r="T49" s="1327">
        <f>F2.2!S13</f>
        <v>1.35</v>
      </c>
      <c r="U49" s="1327">
        <f>F2.2!T13</f>
        <v>1.36</v>
      </c>
      <c r="V49" s="1327">
        <f>F2.2!U13</f>
        <v>1.36</v>
      </c>
      <c r="W49" s="353"/>
    </row>
    <row r="50" spans="2:23" x14ac:dyDescent="0.25">
      <c r="B50" s="69">
        <f t="shared" si="15"/>
        <v>11</v>
      </c>
      <c r="C50" s="163" t="s">
        <v>77</v>
      </c>
      <c r="D50" s="212" t="s">
        <v>176</v>
      </c>
      <c r="E50" s="1331">
        <f>'F12'!D10</f>
        <v>0</v>
      </c>
      <c r="F50" s="1331">
        <f>'F20'!E50</f>
        <v>0</v>
      </c>
      <c r="G50" s="1331">
        <f t="shared" ref="G50:G62" si="16">F50-E50</f>
        <v>0</v>
      </c>
      <c r="H50" s="1331">
        <v>0</v>
      </c>
      <c r="I50" s="1331">
        <f>'F20'!E158</f>
        <v>0</v>
      </c>
      <c r="J50" s="1331">
        <f t="shared" si="12"/>
        <v>0</v>
      </c>
      <c r="K50" s="1331"/>
      <c r="L50" s="1325">
        <f>'F20'!E266</f>
        <v>0</v>
      </c>
      <c r="M50" s="1331">
        <f t="shared" si="13"/>
        <v>0</v>
      </c>
      <c r="N50" s="1325"/>
      <c r="O50" s="1325"/>
      <c r="P50" s="1325"/>
      <c r="Q50" s="1325"/>
      <c r="R50" s="1325">
        <f t="shared" si="14"/>
        <v>0</v>
      </c>
      <c r="S50" s="1325"/>
      <c r="T50" s="1325"/>
      <c r="U50" s="1325"/>
      <c r="V50" s="1325"/>
      <c r="W50" s="374"/>
    </row>
    <row r="51" spans="2:23" x14ac:dyDescent="0.25">
      <c r="B51" s="69">
        <f t="shared" ref="B51:B57" si="17">B50+1</f>
        <v>12</v>
      </c>
      <c r="C51" s="210" t="s">
        <v>1207</v>
      </c>
      <c r="D51" s="212" t="s">
        <v>1328</v>
      </c>
      <c r="E51" s="1329">
        <v>50.75</v>
      </c>
      <c r="F51" s="1328">
        <f>'F23'!E17</f>
        <v>46.679999999999993</v>
      </c>
      <c r="G51" s="1328">
        <f t="shared" si="16"/>
        <v>-4.0700000000000074</v>
      </c>
      <c r="H51" s="1329">
        <v>44.7</v>
      </c>
      <c r="I51" s="1328">
        <f>'F23'!G17</f>
        <v>44.550000000000004</v>
      </c>
      <c r="J51" s="1328">
        <f t="shared" si="12"/>
        <v>-0.14999999999999858</v>
      </c>
      <c r="K51" s="1329">
        <v>46.04</v>
      </c>
      <c r="L51" s="1327">
        <f>'F23'!I17</f>
        <v>53.805549075000002</v>
      </c>
      <c r="M51" s="1328">
        <f t="shared" si="13"/>
        <v>7.7655490750000027</v>
      </c>
      <c r="N51" s="1330">
        <v>47.42</v>
      </c>
      <c r="O51" s="1330">
        <f>'F23'!K17/2</f>
        <v>13.264107773625001</v>
      </c>
      <c r="P51" s="1330">
        <f>'F23'!K17/2</f>
        <v>13.264107773625001</v>
      </c>
      <c r="Q51" s="1327">
        <f>SUM(O51:P51)</f>
        <v>26.528215547250003</v>
      </c>
      <c r="R51" s="1327">
        <f t="shared" si="14"/>
        <v>-20.891784452749999</v>
      </c>
      <c r="S51" s="1330">
        <v>48.85</v>
      </c>
      <c r="T51" s="1330">
        <f>'F23'!L17</f>
        <v>27.558215547250004</v>
      </c>
      <c r="U51" s="1330">
        <v>50.31</v>
      </c>
      <c r="V51" s="1330">
        <f>'F23'!M17</f>
        <v>28.588215547250005</v>
      </c>
      <c r="W51" s="374"/>
    </row>
    <row r="52" spans="2:23" x14ac:dyDescent="0.25">
      <c r="B52" s="70">
        <f t="shared" si="17"/>
        <v>13</v>
      </c>
      <c r="C52" s="124" t="s">
        <v>78</v>
      </c>
      <c r="D52" s="319"/>
      <c r="E52" s="1332">
        <f>SUM(E40:E51)</f>
        <v>3067.4859999999999</v>
      </c>
      <c r="F52" s="1332">
        <f t="shared" ref="F52:V52" si="18">SUM(F40:F51)</f>
        <v>2711.0524006670717</v>
      </c>
      <c r="G52" s="1328">
        <f t="shared" si="16"/>
        <v>-356.43359933292822</v>
      </c>
      <c r="H52" s="1332">
        <f>SUM(H40:H51)</f>
        <v>3291.2678210000004</v>
      </c>
      <c r="I52" s="1332">
        <f t="shared" si="18"/>
        <v>2585.4322753445317</v>
      </c>
      <c r="J52" s="1328">
        <f t="shared" si="12"/>
        <v>-705.83554565546865</v>
      </c>
      <c r="K52" s="1332">
        <f t="shared" si="18"/>
        <v>3001.947064</v>
      </c>
      <c r="L52" s="1332">
        <f t="shared" si="18"/>
        <v>3108.9553904046188</v>
      </c>
      <c r="M52" s="1328">
        <f t="shared" si="13"/>
        <v>107.00832640461886</v>
      </c>
      <c r="N52" s="1332">
        <f t="shared" si="18"/>
        <v>2905.8325320000008</v>
      </c>
      <c r="O52" s="1332">
        <f t="shared" ca="1" si="18"/>
        <v>2196.7316022751938</v>
      </c>
      <c r="P52" s="1332">
        <f t="shared" ca="1" si="18"/>
        <v>2027.1664951586938</v>
      </c>
      <c r="Q52" s="1332">
        <f t="shared" ca="1" si="18"/>
        <v>4223.8980974338874</v>
      </c>
      <c r="R52" s="1327">
        <f t="shared" ca="1" si="14"/>
        <v>1318.0655654338866</v>
      </c>
      <c r="S52" s="1332">
        <f t="shared" si="18"/>
        <v>2956.7339679999995</v>
      </c>
      <c r="T52" s="1332">
        <f t="shared" ca="1" si="18"/>
        <v>3608.3040285624725</v>
      </c>
      <c r="U52" s="1332">
        <f t="shared" si="18"/>
        <v>3009.0363440000006</v>
      </c>
      <c r="V52" s="1332">
        <f t="shared" ca="1" si="18"/>
        <v>2862.7565125331871</v>
      </c>
      <c r="W52" s="353"/>
    </row>
    <row r="53" spans="2:23" x14ac:dyDescent="0.25">
      <c r="B53" s="69">
        <f t="shared" si="17"/>
        <v>14</v>
      </c>
      <c r="C53" s="210" t="s">
        <v>79</v>
      </c>
      <c r="D53" s="212" t="s">
        <v>67</v>
      </c>
      <c r="E53" s="1329">
        <f>'F8'!D43</f>
        <v>14.093000000000004</v>
      </c>
      <c r="F53" s="1329">
        <f>'F8'!E43</f>
        <v>15.795333749999998</v>
      </c>
      <c r="G53" s="1328">
        <f t="shared" si="16"/>
        <v>1.702333749999994</v>
      </c>
      <c r="H53" s="1329">
        <f>'F8'!D126</f>
        <v>14.18</v>
      </c>
      <c r="I53" s="1329">
        <f>'F8'!E148</f>
        <v>14.503629000000002</v>
      </c>
      <c r="J53" s="1328">
        <f t="shared" si="12"/>
        <v>0.32362900000000216</v>
      </c>
      <c r="K53" s="1329">
        <f>'F8'!G126</f>
        <v>14.280614999999999</v>
      </c>
      <c r="L53" s="1327">
        <f>'F8'!F148</f>
        <v>16.85776160474175</v>
      </c>
      <c r="M53" s="1328">
        <f t="shared" si="13"/>
        <v>2.5771466047417508</v>
      </c>
      <c r="N53" s="1327">
        <f>'F8'!J126</f>
        <v>14.3673375</v>
      </c>
      <c r="O53" s="1327">
        <f>'F8'!G148/2</f>
        <v>7.6372225338060495</v>
      </c>
      <c r="P53" s="1327">
        <f>'F8'!G148/2</f>
        <v>7.6372225338060495</v>
      </c>
      <c r="Q53" s="1327">
        <f>SUM(O53:P53)</f>
        <v>15.274445067612099</v>
      </c>
      <c r="R53" s="1327">
        <f t="shared" si="14"/>
        <v>0.90710756761209943</v>
      </c>
      <c r="S53" s="1327">
        <f>'F8'!M126</f>
        <v>14.454370000000001</v>
      </c>
      <c r="T53" s="1327">
        <f>'F8'!H148</f>
        <v>16.7635206163941</v>
      </c>
      <c r="U53" s="1327">
        <f>'F8'!O126</f>
        <v>14.540782500000001</v>
      </c>
      <c r="V53" s="1327">
        <f>'F8'!I148</f>
        <v>19.313164328926099</v>
      </c>
      <c r="W53" s="353"/>
    </row>
    <row r="54" spans="2:23" x14ac:dyDescent="0.25">
      <c r="B54" s="69">
        <f t="shared" si="17"/>
        <v>15</v>
      </c>
      <c r="C54" s="210" t="s">
        <v>1211</v>
      </c>
      <c r="D54" s="212"/>
      <c r="E54" s="1329">
        <v>0.53</v>
      </c>
      <c r="F54" s="1329">
        <f>'F22'!E14*10%</f>
        <v>0.52793999999999996</v>
      </c>
      <c r="G54" s="1328">
        <f t="shared" si="16"/>
        <v>-2.0600000000000618E-3</v>
      </c>
      <c r="H54" s="1329">
        <v>0.53</v>
      </c>
      <c r="I54" s="1329">
        <f>'F22'!G14*10%</f>
        <v>0.52793999999999996</v>
      </c>
      <c r="J54" s="1328">
        <f t="shared" si="12"/>
        <v>-2.0600000000000618E-3</v>
      </c>
      <c r="K54" s="1329">
        <v>0.53</v>
      </c>
      <c r="L54" s="1327">
        <f>'F22'!I14*10%</f>
        <v>0.52793999999999996</v>
      </c>
      <c r="M54" s="1328">
        <f t="shared" si="13"/>
        <v>-2.0600000000000618E-3</v>
      </c>
      <c r="N54" s="1329">
        <v>0.53</v>
      </c>
      <c r="O54" s="1327">
        <f>'F22'!K14*10%/2</f>
        <v>0.26396999999999998</v>
      </c>
      <c r="P54" s="1327">
        <f>'F22'!K14*10%/2</f>
        <v>0.26396999999999998</v>
      </c>
      <c r="Q54" s="1327">
        <f>SUM(O54:P54)</f>
        <v>0.52793999999999996</v>
      </c>
      <c r="R54" s="1327">
        <f t="shared" si="14"/>
        <v>-2.0600000000000618E-3</v>
      </c>
      <c r="S54" s="1329">
        <v>0.53</v>
      </c>
      <c r="T54" s="1327">
        <f>'F22'!L14*10%</f>
        <v>0.52793999999999996</v>
      </c>
      <c r="U54" s="1329">
        <v>0.53</v>
      </c>
      <c r="V54" s="1327">
        <f>'F22'!M14*10%</f>
        <v>0.52793999999999996</v>
      </c>
      <c r="W54" s="353"/>
    </row>
    <row r="55" spans="2:23" x14ac:dyDescent="0.25">
      <c r="B55" s="69">
        <f t="shared" si="17"/>
        <v>16</v>
      </c>
      <c r="C55" s="210" t="s">
        <v>1208</v>
      </c>
      <c r="D55" s="212"/>
      <c r="E55" s="1329"/>
      <c r="F55" s="1329">
        <f>'F20'!E55</f>
        <v>0</v>
      </c>
      <c r="G55" s="1328">
        <f t="shared" si="16"/>
        <v>0</v>
      </c>
      <c r="H55" s="1329"/>
      <c r="I55" s="1329">
        <f>'F20'!E163</f>
        <v>0</v>
      </c>
      <c r="J55" s="1328">
        <f t="shared" si="12"/>
        <v>0</v>
      </c>
      <c r="K55" s="1329"/>
      <c r="L55" s="1327">
        <f>'F20'!E271</f>
        <v>0</v>
      </c>
      <c r="M55" s="1328">
        <f t="shared" si="13"/>
        <v>0</v>
      </c>
      <c r="N55" s="1327"/>
      <c r="O55" s="1327"/>
      <c r="P55" s="1327"/>
      <c r="Q55" s="1327"/>
      <c r="R55" s="1327">
        <f t="shared" si="14"/>
        <v>0</v>
      </c>
      <c r="S55" s="1327"/>
      <c r="T55" s="1327"/>
      <c r="U55" s="1327"/>
      <c r="V55" s="1327"/>
      <c r="W55" s="353"/>
    </row>
    <row r="56" spans="2:23" x14ac:dyDescent="0.25">
      <c r="B56" s="69">
        <f t="shared" si="17"/>
        <v>17</v>
      </c>
      <c r="C56" s="163" t="s">
        <v>1212</v>
      </c>
      <c r="D56" s="212"/>
      <c r="E56" s="1329"/>
      <c r="F56" s="1329">
        <f>F3.1!E45/3</f>
        <v>9.0255359962733142</v>
      </c>
      <c r="G56" s="1328">
        <f t="shared" si="16"/>
        <v>9.0255359962733142</v>
      </c>
      <c r="H56" s="1329"/>
      <c r="I56" s="1329">
        <f>'F20'!E164</f>
        <v>9.4323620327155595</v>
      </c>
      <c r="J56" s="1328">
        <f t="shared" si="12"/>
        <v>9.4323620327155595</v>
      </c>
      <c r="K56" s="1329"/>
      <c r="L56" s="1327">
        <f>'F20'!E272</f>
        <v>-5.1675778172810851</v>
      </c>
      <c r="M56" s="1328">
        <f t="shared" si="13"/>
        <v>-5.1675778172810851</v>
      </c>
      <c r="N56" s="1327"/>
      <c r="O56" s="1327"/>
      <c r="P56" s="1327"/>
      <c r="Q56" s="1327"/>
      <c r="R56" s="1327">
        <f t="shared" si="14"/>
        <v>0</v>
      </c>
      <c r="S56" s="1327"/>
      <c r="T56" s="1327"/>
      <c r="U56" s="1327"/>
      <c r="V56" s="1327"/>
      <c r="W56" s="353"/>
    </row>
    <row r="57" spans="2:23" s="22" customFormat="1" x14ac:dyDescent="0.25">
      <c r="B57" s="70">
        <f t="shared" si="17"/>
        <v>18</v>
      </c>
      <c r="C57" s="211" t="s">
        <v>81</v>
      </c>
      <c r="D57" s="319"/>
      <c r="E57" s="1332">
        <f>SUM(E52:E56)</f>
        <v>3082.1089999999999</v>
      </c>
      <c r="F57" s="1332">
        <f t="shared" ref="F57:V57" si="19">SUM(F52:F56)</f>
        <v>2736.4012104133449</v>
      </c>
      <c r="G57" s="1328">
        <f t="shared" si="16"/>
        <v>-345.70778958665505</v>
      </c>
      <c r="H57" s="1332">
        <f>SUM(H52:H56)</f>
        <v>3305.9778210000004</v>
      </c>
      <c r="I57" s="1332">
        <f t="shared" si="19"/>
        <v>2609.8962063772469</v>
      </c>
      <c r="J57" s="1328">
        <f t="shared" si="12"/>
        <v>-696.08161462275348</v>
      </c>
      <c r="K57" s="1332">
        <f t="shared" si="19"/>
        <v>3016.7576790000003</v>
      </c>
      <c r="L57" s="1332">
        <f t="shared" si="19"/>
        <v>3121.1735141920794</v>
      </c>
      <c r="M57" s="1328">
        <f t="shared" si="13"/>
        <v>104.41583519207916</v>
      </c>
      <c r="N57" s="1332">
        <f>SUM(N52:N56)</f>
        <v>2920.7298695000009</v>
      </c>
      <c r="O57" s="1332">
        <f t="shared" ca="1" si="19"/>
        <v>2204.6327948089997</v>
      </c>
      <c r="P57" s="1332">
        <f t="shared" ca="1" si="19"/>
        <v>2035.0676876924999</v>
      </c>
      <c r="Q57" s="1332">
        <f t="shared" ca="1" si="19"/>
        <v>4239.7004825014992</v>
      </c>
      <c r="R57" s="1327">
        <f t="shared" ca="1" si="14"/>
        <v>1318.9706130014984</v>
      </c>
      <c r="S57" s="1332">
        <f>SUM(S52:S56)-0.02</f>
        <v>2971.6983379999997</v>
      </c>
      <c r="T57" s="1332">
        <f t="shared" ca="1" si="19"/>
        <v>3625.5954891788665</v>
      </c>
      <c r="U57" s="1332">
        <f t="shared" si="19"/>
        <v>3024.107126500001</v>
      </c>
      <c r="V57" s="1332">
        <f t="shared" ca="1" si="19"/>
        <v>2882.5976168621132</v>
      </c>
      <c r="W57" s="354"/>
    </row>
    <row r="58" spans="2:23" x14ac:dyDescent="0.25">
      <c r="B58" s="69">
        <f t="shared" si="15"/>
        <v>19</v>
      </c>
      <c r="C58" s="163" t="s">
        <v>80</v>
      </c>
      <c r="D58" s="212" t="s">
        <v>68</v>
      </c>
      <c r="E58" s="1329">
        <f>'F9'!D53</f>
        <v>48.267000000000003</v>
      </c>
      <c r="F58" s="1329">
        <f>'F9'!E53</f>
        <v>35.343000000000004</v>
      </c>
      <c r="G58" s="1328">
        <f t="shared" si="16"/>
        <v>-12.923999999999999</v>
      </c>
      <c r="H58" s="1329">
        <f>'F9'!G53</f>
        <v>49.716000000000001</v>
      </c>
      <c r="I58" s="1329">
        <f>'F9'!H53</f>
        <v>15.696</v>
      </c>
      <c r="J58" s="1328">
        <f t="shared" si="12"/>
        <v>-34.020000000000003</v>
      </c>
      <c r="K58" s="1329">
        <f>'F9'!J53</f>
        <v>51.21</v>
      </c>
      <c r="L58" s="1327">
        <f>'F9'!K53</f>
        <v>24.156000000000002</v>
      </c>
      <c r="M58" s="1328">
        <f t="shared" si="13"/>
        <v>-27.053999999999998</v>
      </c>
      <c r="N58" s="1327">
        <f>'F9'!M53-0.01</f>
        <v>52.739000000000004</v>
      </c>
      <c r="O58" s="1327">
        <f>'F9'!P53/2</f>
        <v>17.82</v>
      </c>
      <c r="P58" s="1327">
        <f>'F9'!P53/2</f>
        <v>17.82</v>
      </c>
      <c r="Q58" s="1327">
        <f>SUM(O58:P58)</f>
        <v>35.64</v>
      </c>
      <c r="R58" s="1327">
        <f t="shared" si="14"/>
        <v>-17.099000000000004</v>
      </c>
      <c r="S58" s="1327">
        <f>'F9'!R53+0.01</f>
        <v>54.333999999999996</v>
      </c>
      <c r="T58" s="1327">
        <f>'F9'!S53</f>
        <v>36.709200000000003</v>
      </c>
      <c r="U58" s="1327">
        <f>'F9'!T53</f>
        <v>55.953000000000003</v>
      </c>
      <c r="V58" s="1327">
        <f>'F9'!U53</f>
        <v>37.810476000000008</v>
      </c>
      <c r="W58" s="353"/>
    </row>
    <row r="59" spans="2:23" x14ac:dyDescent="0.25">
      <c r="B59" s="69">
        <f t="shared" si="15"/>
        <v>20</v>
      </c>
      <c r="C59" s="163" t="s">
        <v>260</v>
      </c>
      <c r="D59" s="212"/>
      <c r="E59" s="1329">
        <v>0</v>
      </c>
      <c r="F59" s="1329">
        <f>'F20'!E59</f>
        <v>0</v>
      </c>
      <c r="G59" s="1328">
        <f t="shared" si="16"/>
        <v>0</v>
      </c>
      <c r="H59" s="1329">
        <v>0</v>
      </c>
      <c r="I59" s="1329">
        <f>'F20'!E240</f>
        <v>0</v>
      </c>
      <c r="J59" s="1328">
        <f t="shared" si="12"/>
        <v>0</v>
      </c>
      <c r="K59" s="1329">
        <v>0</v>
      </c>
      <c r="L59" s="1327">
        <f>'F20'!E275</f>
        <v>0</v>
      </c>
      <c r="M59" s="1328">
        <f t="shared" si="13"/>
        <v>0</v>
      </c>
      <c r="N59" s="1329">
        <v>0</v>
      </c>
      <c r="O59" s="1327"/>
      <c r="P59" s="1327"/>
      <c r="Q59" s="1327"/>
      <c r="R59" s="1327">
        <f t="shared" si="14"/>
        <v>0</v>
      </c>
      <c r="S59" s="1329">
        <v>0</v>
      </c>
      <c r="T59" s="1327"/>
      <c r="U59" s="1329">
        <v>0</v>
      </c>
      <c r="V59" s="1327"/>
      <c r="W59" s="353"/>
    </row>
    <row r="60" spans="2:23" x14ac:dyDescent="0.25">
      <c r="B60" s="69">
        <f t="shared" si="15"/>
        <v>21</v>
      </c>
      <c r="C60" s="163" t="s">
        <v>261</v>
      </c>
      <c r="D60" s="212" t="s">
        <v>191</v>
      </c>
      <c r="E60" s="1329">
        <v>0</v>
      </c>
      <c r="F60" s="1329">
        <f>'F20'!E60</f>
        <v>0</v>
      </c>
      <c r="G60" s="1328">
        <f t="shared" si="16"/>
        <v>0</v>
      </c>
      <c r="H60" s="1329">
        <v>0</v>
      </c>
      <c r="I60" s="1329">
        <f>'F20'!E168</f>
        <v>0</v>
      </c>
      <c r="J60" s="1328">
        <f t="shared" si="12"/>
        <v>0</v>
      </c>
      <c r="K60" s="1329">
        <v>0</v>
      </c>
      <c r="L60" s="1327">
        <f>'F20'!E276</f>
        <v>0</v>
      </c>
      <c r="M60" s="1328">
        <f t="shared" si="13"/>
        <v>0</v>
      </c>
      <c r="N60" s="1329">
        <v>0</v>
      </c>
      <c r="O60" s="1327"/>
      <c r="P60" s="1327"/>
      <c r="Q60" s="1327"/>
      <c r="R60" s="1327">
        <f t="shared" si="14"/>
        <v>0</v>
      </c>
      <c r="S60" s="1329">
        <v>0</v>
      </c>
      <c r="T60" s="1327"/>
      <c r="U60" s="1329">
        <v>0</v>
      </c>
      <c r="V60" s="1327"/>
      <c r="W60" s="353"/>
    </row>
    <row r="61" spans="2:23" ht="12.75" customHeight="1" x14ac:dyDescent="0.25">
      <c r="B61" s="69">
        <f t="shared" si="15"/>
        <v>22</v>
      </c>
      <c r="C61" s="163" t="s">
        <v>290</v>
      </c>
      <c r="D61" s="212" t="s">
        <v>191</v>
      </c>
      <c r="E61" s="1329">
        <v>0</v>
      </c>
      <c r="F61" s="1329">
        <f>'F20'!E61</f>
        <v>0</v>
      </c>
      <c r="G61" s="1328">
        <f t="shared" si="16"/>
        <v>0</v>
      </c>
      <c r="H61" s="1329">
        <v>0</v>
      </c>
      <c r="I61" s="1329">
        <f>'F20'!E242</f>
        <v>0</v>
      </c>
      <c r="J61" s="1328">
        <f t="shared" si="12"/>
        <v>0</v>
      </c>
      <c r="K61" s="1329">
        <v>0</v>
      </c>
      <c r="L61" s="1327">
        <f>'F20'!E277</f>
        <v>0</v>
      </c>
      <c r="M61" s="1328">
        <f t="shared" si="13"/>
        <v>0</v>
      </c>
      <c r="N61" s="1329">
        <v>0</v>
      </c>
      <c r="O61" s="1327"/>
      <c r="P61" s="1327"/>
      <c r="Q61" s="1327"/>
      <c r="R61" s="1327">
        <f t="shared" si="14"/>
        <v>0</v>
      </c>
      <c r="S61" s="1329">
        <v>0</v>
      </c>
      <c r="T61" s="1327"/>
      <c r="U61" s="1329">
        <v>0</v>
      </c>
      <c r="V61" s="1327"/>
      <c r="W61" s="353"/>
    </row>
    <row r="62" spans="2:23" ht="26" customHeight="1" x14ac:dyDescent="0.25">
      <c r="B62" s="69">
        <f t="shared" si="15"/>
        <v>23</v>
      </c>
      <c r="C62" s="163" t="s">
        <v>1210</v>
      </c>
      <c r="D62" s="212"/>
      <c r="E62" s="1329"/>
      <c r="F62" s="1329"/>
      <c r="G62" s="1328">
        <f t="shared" si="16"/>
        <v>0</v>
      </c>
      <c r="H62" s="1329">
        <v>-741.37</v>
      </c>
      <c r="I62" s="1329">
        <v>-741.37</v>
      </c>
      <c r="J62" s="1328">
        <f t="shared" si="12"/>
        <v>0</v>
      </c>
      <c r="K62" s="1329"/>
      <c r="L62" s="1327"/>
      <c r="M62" s="1328">
        <f t="shared" si="13"/>
        <v>0</v>
      </c>
      <c r="N62" s="1329"/>
      <c r="O62" s="1327"/>
      <c r="P62" s="1327"/>
      <c r="Q62" s="1327"/>
      <c r="R62" s="1327">
        <f t="shared" si="14"/>
        <v>0</v>
      </c>
      <c r="S62" s="1329"/>
      <c r="T62" s="1327"/>
      <c r="U62" s="1329"/>
      <c r="V62" s="1327"/>
      <c r="W62" s="353"/>
    </row>
    <row r="63" spans="2:23" ht="24" customHeight="1" x14ac:dyDescent="0.25">
      <c r="B63" s="69">
        <f t="shared" si="15"/>
        <v>24</v>
      </c>
      <c r="C63" s="211" t="s">
        <v>415</v>
      </c>
      <c r="D63" s="161"/>
      <c r="E63" s="1333">
        <f>E57-E58-E59-E60-E61</f>
        <v>3033.8420000000001</v>
      </c>
      <c r="F63" s="1333">
        <f t="shared" ref="F63:V63" si="20">F57-F58-F59-F60-F61</f>
        <v>2701.058210413345</v>
      </c>
      <c r="G63" s="1333">
        <f t="shared" si="20"/>
        <v>-332.78378958665508</v>
      </c>
      <c r="H63" s="1333">
        <f>H57-H58-H59-H60-H61+H62</f>
        <v>2514.8918210000006</v>
      </c>
      <c r="I63" s="1333">
        <f t="shared" ref="I63:R63" si="21">I57-I58-I59-I60-I61+I62</f>
        <v>1852.8302063772471</v>
      </c>
      <c r="J63" s="1333">
        <f t="shared" si="21"/>
        <v>-662.0616146227535</v>
      </c>
      <c r="K63" s="1333">
        <f t="shared" si="21"/>
        <v>2965.5476790000002</v>
      </c>
      <c r="L63" s="1333">
        <f t="shared" si="21"/>
        <v>3097.0175141920795</v>
      </c>
      <c r="M63" s="1333">
        <f t="shared" si="21"/>
        <v>131.46983519207916</v>
      </c>
      <c r="N63" s="1333">
        <f t="shared" si="21"/>
        <v>2867.9908695000008</v>
      </c>
      <c r="O63" s="1333">
        <f ca="1">O57-O58-O59-O60-O61+O62</f>
        <v>2186.8127948089996</v>
      </c>
      <c r="P63" s="1333">
        <f t="shared" ca="1" si="21"/>
        <v>2017.2476876925</v>
      </c>
      <c r="Q63" s="1333">
        <f t="shared" ca="1" si="21"/>
        <v>4204.0604825014989</v>
      </c>
      <c r="R63" s="1333">
        <f t="shared" ca="1" si="21"/>
        <v>1336.0696130014983</v>
      </c>
      <c r="S63" s="1333">
        <f>S57-S58-S59-S60-S61+0.02</f>
        <v>2917.3843379999998</v>
      </c>
      <c r="T63" s="1333">
        <f t="shared" ca="1" si="20"/>
        <v>3588.8862891788667</v>
      </c>
      <c r="U63" s="1333">
        <f t="shared" si="20"/>
        <v>2968.154126500001</v>
      </c>
      <c r="V63" s="1333">
        <f t="shared" ca="1" si="20"/>
        <v>2844.7871408621131</v>
      </c>
      <c r="W63" s="353"/>
    </row>
    <row r="64" spans="2:23" hidden="1" x14ac:dyDescent="0.25">
      <c r="B64" s="15" t="s">
        <v>809</v>
      </c>
      <c r="G64" s="409">
        <f>F63-E63-G63</f>
        <v>0</v>
      </c>
      <c r="J64" s="409">
        <f>I63-H63-J63</f>
        <v>0</v>
      </c>
      <c r="M64" s="409">
        <f>L63-K63-M63</f>
        <v>0</v>
      </c>
      <c r="Q64" s="409"/>
      <c r="R64" s="409">
        <f ca="1">Q63-N63-R63</f>
        <v>0</v>
      </c>
    </row>
    <row r="68" spans="2:25" x14ac:dyDescent="0.25">
      <c r="C68" s="155" t="s">
        <v>1240</v>
      </c>
    </row>
    <row r="69" spans="2:25" x14ac:dyDescent="0.25">
      <c r="P69" s="409"/>
      <c r="Q69" s="409"/>
      <c r="T69" s="409"/>
      <c r="V69" s="409"/>
    </row>
    <row r="70" spans="2:25" x14ac:dyDescent="0.25">
      <c r="B70" s="2177" t="s">
        <v>187</v>
      </c>
      <c r="C70" s="2180" t="s">
        <v>50</v>
      </c>
      <c r="D70" s="2182" t="s">
        <v>10</v>
      </c>
      <c r="E70" s="2174" t="s">
        <v>804</v>
      </c>
      <c r="F70" s="2174"/>
      <c r="G70" s="2174"/>
      <c r="H70" s="2174" t="s">
        <v>186</v>
      </c>
      <c r="I70" s="2174"/>
      <c r="J70" s="2174"/>
      <c r="K70" s="2174" t="s">
        <v>426</v>
      </c>
      <c r="L70" s="2174"/>
      <c r="M70" s="2174"/>
      <c r="N70" s="2174" t="s">
        <v>427</v>
      </c>
      <c r="O70" s="2174"/>
      <c r="P70" s="2174"/>
      <c r="Q70" s="2174"/>
      <c r="R70" s="2174"/>
      <c r="S70" s="2174" t="s">
        <v>428</v>
      </c>
      <c r="T70" s="2174"/>
      <c r="U70" s="2174" t="s">
        <v>429</v>
      </c>
      <c r="V70" s="2174"/>
      <c r="W70" s="2174" t="s">
        <v>39</v>
      </c>
    </row>
    <row r="71" spans="2:25" ht="42" x14ac:dyDescent="0.25">
      <c r="B71" s="2178"/>
      <c r="C71" s="2180"/>
      <c r="D71" s="2182"/>
      <c r="E71" s="318" t="s">
        <v>404</v>
      </c>
      <c r="F71" s="630" t="s">
        <v>405</v>
      </c>
      <c r="G71" s="630" t="s">
        <v>406</v>
      </c>
      <c r="H71" s="318" t="s">
        <v>404</v>
      </c>
      <c r="I71" s="630" t="s">
        <v>405</v>
      </c>
      <c r="J71" s="630" t="s">
        <v>406</v>
      </c>
      <c r="K71" s="318" t="s">
        <v>404</v>
      </c>
      <c r="L71" s="630" t="s">
        <v>405</v>
      </c>
      <c r="M71" s="630" t="s">
        <v>406</v>
      </c>
      <c r="N71" s="630" t="s">
        <v>404</v>
      </c>
      <c r="O71" s="630" t="s">
        <v>408</v>
      </c>
      <c r="P71" s="630" t="s">
        <v>333</v>
      </c>
      <c r="Q71" s="630" t="s">
        <v>72</v>
      </c>
      <c r="R71" s="630" t="s">
        <v>409</v>
      </c>
      <c r="S71" s="630" t="s">
        <v>404</v>
      </c>
      <c r="T71" s="630" t="s">
        <v>805</v>
      </c>
      <c r="U71" s="1467" t="s">
        <v>404</v>
      </c>
      <c r="V71" s="1467" t="s">
        <v>805</v>
      </c>
      <c r="W71" s="2174"/>
    </row>
    <row r="72" spans="2:25" x14ac:dyDescent="0.25">
      <c r="B72" s="2179"/>
      <c r="C72" s="2181"/>
      <c r="D72" s="2183"/>
      <c r="E72" s="630" t="s">
        <v>73</v>
      </c>
      <c r="F72" s="630" t="s">
        <v>74</v>
      </c>
      <c r="G72" s="630" t="s">
        <v>806</v>
      </c>
      <c r="H72" s="630" t="s">
        <v>411</v>
      </c>
      <c r="I72" s="630" t="s">
        <v>412</v>
      </c>
      <c r="J72" s="630" t="s">
        <v>439</v>
      </c>
      <c r="K72" s="630" t="s">
        <v>668</v>
      </c>
      <c r="L72" s="630" t="s">
        <v>582</v>
      </c>
      <c r="M72" s="630" t="s">
        <v>675</v>
      </c>
      <c r="N72" s="630" t="s">
        <v>782</v>
      </c>
      <c r="O72" s="630" t="s">
        <v>583</v>
      </c>
      <c r="P72" s="630" t="s">
        <v>760</v>
      </c>
      <c r="Q72" s="630" t="s">
        <v>807</v>
      </c>
      <c r="R72" s="630" t="s">
        <v>808</v>
      </c>
      <c r="S72" s="630" t="s">
        <v>784</v>
      </c>
      <c r="T72" s="630" t="s">
        <v>762</v>
      </c>
      <c r="U72" s="1467" t="s">
        <v>763</v>
      </c>
      <c r="V72" s="1467" t="s">
        <v>764</v>
      </c>
      <c r="W72" s="2175"/>
    </row>
    <row r="73" spans="2:25" ht="28" x14ac:dyDescent="0.25">
      <c r="B73" s="69">
        <v>1</v>
      </c>
      <c r="C73" s="163" t="s">
        <v>288</v>
      </c>
      <c r="D73" s="69"/>
      <c r="E73" s="698">
        <f>E40</f>
        <v>2536.0400000000004</v>
      </c>
      <c r="F73" s="1324">
        <f>F40</f>
        <v>2189.0282088632507</v>
      </c>
      <c r="G73" s="698">
        <f>F73-E73</f>
        <v>-347.01179113674971</v>
      </c>
      <c r="H73" s="698">
        <f>H40</f>
        <v>2750.3000000000006</v>
      </c>
      <c r="I73" s="698">
        <f>I40</f>
        <v>2031.0999708240081</v>
      </c>
      <c r="J73" s="698">
        <f>I73-H73</f>
        <v>-719.20002917599254</v>
      </c>
      <c r="K73" s="698">
        <f>K40</f>
        <v>2454.2000000000003</v>
      </c>
      <c r="L73" s="698">
        <f>L40</f>
        <v>2530.959247834196</v>
      </c>
      <c r="M73" s="698">
        <f>L73-K73</f>
        <v>76.759247834195776</v>
      </c>
      <c r="N73" s="698">
        <f>N40</f>
        <v>2351.34</v>
      </c>
      <c r="O73" s="698">
        <f>O40</f>
        <v>1922.1972684837649</v>
      </c>
      <c r="P73" s="698">
        <f>P40</f>
        <v>1752.6321613672653</v>
      </c>
      <c r="Q73" s="698">
        <f>SUM(O73:P73)</f>
        <v>3674.82942985103</v>
      </c>
      <c r="R73" s="698">
        <f>Q73-N73</f>
        <v>1323.4894298510299</v>
      </c>
      <c r="S73" s="698">
        <f>S40</f>
        <v>2395.83</v>
      </c>
      <c r="T73" s="698">
        <f>T40</f>
        <v>2998.7736725322743</v>
      </c>
      <c r="U73" s="698">
        <f>U40</f>
        <v>2444.3700000000003</v>
      </c>
      <c r="V73" s="698">
        <f ca="1">V40</f>
        <v>2151.2611385774235</v>
      </c>
      <c r="W73" s="25"/>
      <c r="X73" s="634"/>
    </row>
    <row r="74" spans="2:25" x14ac:dyDescent="0.25">
      <c r="B74" s="69">
        <f>B73+1</f>
        <v>2</v>
      </c>
      <c r="C74" s="210" t="s">
        <v>75</v>
      </c>
      <c r="D74" s="69"/>
      <c r="E74" s="698">
        <f t="shared" ref="E74:F77" si="22">E11+E41</f>
        <v>579.64</v>
      </c>
      <c r="F74" s="1324">
        <f t="shared" si="22"/>
        <v>539.17999999999995</v>
      </c>
      <c r="G74" s="698">
        <f t="shared" ref="G74:G97" si="23">F74-E74</f>
        <v>-40.460000000000036</v>
      </c>
      <c r="H74" s="698">
        <f t="shared" ref="H74:I80" si="24">H11+H41</f>
        <v>565.54</v>
      </c>
      <c r="I74" s="698">
        <f t="shared" si="24"/>
        <v>590.80999999999995</v>
      </c>
      <c r="J74" s="698">
        <f t="shared" ref="J74:J95" si="25">I74-H74</f>
        <v>25.269999999999982</v>
      </c>
      <c r="K74" s="698">
        <f t="shared" ref="K74:L80" si="26">K11+K41</f>
        <v>581.56999999999994</v>
      </c>
      <c r="L74" s="698">
        <f t="shared" si="26"/>
        <v>638.20457475719559</v>
      </c>
      <c r="M74" s="698">
        <f t="shared" ref="M74:M95" si="27">L74-K74</f>
        <v>56.634574757195651</v>
      </c>
      <c r="N74" s="698">
        <f t="shared" ref="N74:P80" si="28">N11+N41</f>
        <v>598.04999999999995</v>
      </c>
      <c r="O74" s="698">
        <f t="shared" si="28"/>
        <v>323.11804457055644</v>
      </c>
      <c r="P74" s="698">
        <f t="shared" si="28"/>
        <v>323.11804457055644</v>
      </c>
      <c r="Q74" s="698">
        <f t="shared" ref="Q74:Q94" si="29">O74+P74</f>
        <v>646.23608914111287</v>
      </c>
      <c r="R74" s="698">
        <f t="shared" ref="R74:R95" si="30">Q74-N74</f>
        <v>48.186089141112916</v>
      </c>
      <c r="S74" s="698">
        <f>S11+S41-0.01</f>
        <v>614.99</v>
      </c>
      <c r="T74" s="698">
        <f t="shared" ref="T74:V80" si="31">T11+T41</f>
        <v>725.40598380007702</v>
      </c>
      <c r="U74" s="698">
        <f t="shared" si="31"/>
        <v>632.41999999999996</v>
      </c>
      <c r="V74" s="698">
        <f t="shared" si="31"/>
        <v>847.57785374563946</v>
      </c>
      <c r="W74" s="25"/>
      <c r="X74" s="634"/>
      <c r="Y74" s="409"/>
    </row>
    <row r="75" spans="2:25" x14ac:dyDescent="0.25">
      <c r="B75" s="69">
        <f t="shared" ref="B75:B95" si="32">B74+1</f>
        <v>3</v>
      </c>
      <c r="C75" s="77" t="s">
        <v>183</v>
      </c>
      <c r="D75" s="69"/>
      <c r="E75" s="698">
        <f t="shared" si="22"/>
        <v>108.72</v>
      </c>
      <c r="F75" s="1324">
        <f t="shared" si="22"/>
        <v>100.02560103820693</v>
      </c>
      <c r="G75" s="698">
        <f t="shared" si="23"/>
        <v>-8.6943989617930697</v>
      </c>
      <c r="H75" s="698">
        <f t="shared" si="24"/>
        <v>112.355</v>
      </c>
      <c r="I75" s="698">
        <f t="shared" si="24"/>
        <v>104.07826220523597</v>
      </c>
      <c r="J75" s="698">
        <f t="shared" si="25"/>
        <v>-8.2767377947640313</v>
      </c>
      <c r="K75" s="698">
        <f t="shared" si="26"/>
        <v>113.78</v>
      </c>
      <c r="L75" s="698">
        <f t="shared" si="26"/>
        <v>105.520547646045</v>
      </c>
      <c r="M75" s="698">
        <f t="shared" si="27"/>
        <v>-8.2594523539549982</v>
      </c>
      <c r="N75" s="698">
        <f t="shared" si="28"/>
        <v>115.07000000000001</v>
      </c>
      <c r="O75" s="698">
        <f t="shared" si="28"/>
        <v>54.766361502331215</v>
      </c>
      <c r="P75" s="698">
        <f t="shared" si="28"/>
        <v>54.766361502331215</v>
      </c>
      <c r="Q75" s="698">
        <f t="shared" si="29"/>
        <v>109.53272300466243</v>
      </c>
      <c r="R75" s="698">
        <f t="shared" si="30"/>
        <v>-5.537276995337578</v>
      </c>
      <c r="S75" s="698">
        <f t="shared" ref="S75:S80" si="33">S12+S42</f>
        <v>116.36</v>
      </c>
      <c r="T75" s="698">
        <f t="shared" si="31"/>
        <v>128.34999098490786</v>
      </c>
      <c r="U75" s="698">
        <f t="shared" si="31"/>
        <v>117.64</v>
      </c>
      <c r="V75" s="698">
        <f t="shared" si="31"/>
        <v>159.26751213681976</v>
      </c>
      <c r="W75" s="25"/>
      <c r="X75" s="634"/>
    </row>
    <row r="76" spans="2:25" x14ac:dyDescent="0.25">
      <c r="B76" s="69">
        <f t="shared" si="32"/>
        <v>4</v>
      </c>
      <c r="C76" s="210" t="s">
        <v>182</v>
      </c>
      <c r="D76" s="69"/>
      <c r="E76" s="698">
        <f t="shared" si="22"/>
        <v>0</v>
      </c>
      <c r="F76" s="1324">
        <f t="shared" si="22"/>
        <v>41.234999999999999</v>
      </c>
      <c r="G76" s="698">
        <f t="shared" si="23"/>
        <v>41.234999999999999</v>
      </c>
      <c r="H76" s="698">
        <f t="shared" si="24"/>
        <v>0</v>
      </c>
      <c r="I76" s="698">
        <f t="shared" si="24"/>
        <v>36.603499999999997</v>
      </c>
      <c r="J76" s="698">
        <f t="shared" si="25"/>
        <v>36.603499999999997</v>
      </c>
      <c r="K76" s="698">
        <f t="shared" si="26"/>
        <v>0</v>
      </c>
      <c r="L76" s="698">
        <f t="shared" si="26"/>
        <v>31.761599999999998</v>
      </c>
      <c r="M76" s="698">
        <f t="shared" si="27"/>
        <v>31.761599999999998</v>
      </c>
      <c r="N76" s="698">
        <f t="shared" si="28"/>
        <v>0</v>
      </c>
      <c r="O76" s="698">
        <f t="shared" si="28"/>
        <v>0</v>
      </c>
      <c r="P76" s="698">
        <f t="shared" si="28"/>
        <v>0</v>
      </c>
      <c r="Q76" s="698">
        <f t="shared" si="29"/>
        <v>0</v>
      </c>
      <c r="R76" s="698">
        <f t="shared" si="30"/>
        <v>0</v>
      </c>
      <c r="S76" s="698">
        <f t="shared" si="33"/>
        <v>0</v>
      </c>
      <c r="T76" s="698">
        <f t="shared" si="31"/>
        <v>16.179765777445752</v>
      </c>
      <c r="U76" s="698">
        <f t="shared" si="31"/>
        <v>0</v>
      </c>
      <c r="V76" s="698">
        <f t="shared" si="31"/>
        <v>44.742279148157451</v>
      </c>
      <c r="W76" s="25"/>
      <c r="X76" s="634"/>
    </row>
    <row r="77" spans="2:25" x14ac:dyDescent="0.25">
      <c r="B77" s="69">
        <f t="shared" si="32"/>
        <v>5</v>
      </c>
      <c r="C77" s="77" t="s">
        <v>76</v>
      </c>
      <c r="D77" s="69"/>
      <c r="E77" s="698">
        <f t="shared" si="22"/>
        <v>0.89870000000000005</v>
      </c>
      <c r="F77" s="1324">
        <f t="shared" si="22"/>
        <v>8.8800000000000008</v>
      </c>
      <c r="G77" s="698">
        <f t="shared" si="23"/>
        <v>7.9813000000000009</v>
      </c>
      <c r="H77" s="698">
        <f t="shared" si="24"/>
        <v>5.2240500000000001</v>
      </c>
      <c r="I77" s="698">
        <f t="shared" si="24"/>
        <v>10.57</v>
      </c>
      <c r="J77" s="698">
        <f t="shared" si="25"/>
        <v>5.3459500000000002</v>
      </c>
      <c r="K77" s="698">
        <f t="shared" si="26"/>
        <v>5.2544500000000003</v>
      </c>
      <c r="L77" s="698">
        <f t="shared" si="26"/>
        <v>9.93</v>
      </c>
      <c r="M77" s="698">
        <f t="shared" si="27"/>
        <v>4.6755499999999994</v>
      </c>
      <c r="N77" s="698">
        <f t="shared" si="28"/>
        <v>5.2629999999999999</v>
      </c>
      <c r="O77" s="698">
        <f t="shared" ca="1" si="28"/>
        <v>3.6178305586278925</v>
      </c>
      <c r="P77" s="698">
        <f t="shared" ca="1" si="28"/>
        <v>3.6178305586278925</v>
      </c>
      <c r="Q77" s="698">
        <f t="shared" ca="1" si="29"/>
        <v>7.235661117255785</v>
      </c>
      <c r="R77" s="698">
        <f t="shared" ca="1" si="30"/>
        <v>1.9726611172557851</v>
      </c>
      <c r="S77" s="698">
        <f t="shared" si="33"/>
        <v>5.289600000000001</v>
      </c>
      <c r="T77" s="698">
        <f t="shared" ca="1" si="31"/>
        <v>8.0729348274856925</v>
      </c>
      <c r="U77" s="698">
        <f t="shared" si="31"/>
        <v>5.3219000000000003</v>
      </c>
      <c r="V77" s="698">
        <f t="shared" ca="1" si="31"/>
        <v>9.3992659038523456</v>
      </c>
      <c r="W77" s="25"/>
      <c r="X77" s="634"/>
    </row>
    <row r="78" spans="2:25" x14ac:dyDescent="0.25">
      <c r="B78" s="69">
        <f t="shared" si="32"/>
        <v>6</v>
      </c>
      <c r="C78" s="71" t="s">
        <v>289</v>
      </c>
      <c r="D78" s="69"/>
      <c r="E78" s="1324">
        <f>E15+E45+0.01</f>
        <v>38.44</v>
      </c>
      <c r="F78" s="1324">
        <f>F15+F45</f>
        <v>37.69</v>
      </c>
      <c r="G78" s="698">
        <f t="shared" si="23"/>
        <v>-0.75</v>
      </c>
      <c r="H78" s="1324">
        <f t="shared" si="24"/>
        <v>22.503689999999999</v>
      </c>
      <c r="I78" s="698">
        <f t="shared" si="24"/>
        <v>17.13</v>
      </c>
      <c r="J78" s="698">
        <f t="shared" si="25"/>
        <v>-5.3736899999999999</v>
      </c>
      <c r="K78" s="1324">
        <f t="shared" si="26"/>
        <v>23.178960000000004</v>
      </c>
      <c r="L78" s="698">
        <f t="shared" si="26"/>
        <v>15.649663962000002</v>
      </c>
      <c r="M78" s="698">
        <f t="shared" si="27"/>
        <v>-7.5292960380000018</v>
      </c>
      <c r="N78" s="1324">
        <f t="shared" si="28"/>
        <v>23.874479999999998</v>
      </c>
      <c r="O78" s="698">
        <f t="shared" si="28"/>
        <v>9.3958024908576778</v>
      </c>
      <c r="P78" s="698">
        <f t="shared" si="28"/>
        <v>9.3958024908576778</v>
      </c>
      <c r="Q78" s="698">
        <f t="shared" si="29"/>
        <v>18.791604981715356</v>
      </c>
      <c r="R78" s="698">
        <f t="shared" si="30"/>
        <v>-5.0828750182846427</v>
      </c>
      <c r="S78" s="1324">
        <f t="shared" si="33"/>
        <v>24.590519999999998</v>
      </c>
      <c r="T78" s="698">
        <f t="shared" si="31"/>
        <v>19.309191780794372</v>
      </c>
      <c r="U78" s="1324">
        <f t="shared" si="31"/>
        <v>25.32816</v>
      </c>
      <c r="V78" s="698">
        <f t="shared" si="31"/>
        <v>19.841034738133487</v>
      </c>
      <c r="W78" s="25"/>
      <c r="X78" s="634"/>
    </row>
    <row r="79" spans="2:25" x14ac:dyDescent="0.25">
      <c r="B79" s="69">
        <f t="shared" si="32"/>
        <v>7</v>
      </c>
      <c r="C79" s="71" t="s">
        <v>774</v>
      </c>
      <c r="D79" s="69"/>
      <c r="E79" s="698">
        <f>E16+E46</f>
        <v>6.7360000000000007</v>
      </c>
      <c r="F79" s="1324">
        <f>F16+F46</f>
        <v>5.0900000000000007</v>
      </c>
      <c r="G79" s="698">
        <f t="shared" si="23"/>
        <v>-1.6459999999999999</v>
      </c>
      <c r="H79" s="698">
        <f t="shared" si="24"/>
        <v>6.7400000000000011</v>
      </c>
      <c r="I79" s="698">
        <f t="shared" si="24"/>
        <v>3.91</v>
      </c>
      <c r="J79" s="698">
        <f t="shared" si="25"/>
        <v>-2.830000000000001</v>
      </c>
      <c r="K79" s="1324">
        <f t="shared" si="26"/>
        <v>6.7400000000000011</v>
      </c>
      <c r="L79" s="698">
        <f t="shared" si="26"/>
        <v>4.59</v>
      </c>
      <c r="M79" s="698">
        <f t="shared" si="27"/>
        <v>-2.1500000000000012</v>
      </c>
      <c r="N79" s="698">
        <f t="shared" si="28"/>
        <v>6.7400000000000011</v>
      </c>
      <c r="O79" s="698">
        <f t="shared" ca="1" si="28"/>
        <v>5.2650346383418993</v>
      </c>
      <c r="P79" s="698">
        <f t="shared" ca="1" si="28"/>
        <v>5.2650346383418993</v>
      </c>
      <c r="Q79" s="698">
        <f t="shared" ca="1" si="29"/>
        <v>10.530069276683799</v>
      </c>
      <c r="R79" s="698">
        <f t="shared" ca="1" si="30"/>
        <v>3.7900692766837976</v>
      </c>
      <c r="S79" s="698">
        <f t="shared" si="33"/>
        <v>6.7400000000000011</v>
      </c>
      <c r="T79" s="698">
        <f t="shared" ca="1" si="31"/>
        <v>9.1828909988363741</v>
      </c>
      <c r="U79" s="698">
        <f t="shared" si="31"/>
        <v>6.7400000000000011</v>
      </c>
      <c r="V79" s="698">
        <f t="shared" ca="1" si="31"/>
        <v>7.5777100486910118</v>
      </c>
      <c r="W79" s="25"/>
      <c r="X79" s="634"/>
    </row>
    <row r="80" spans="2:25" x14ac:dyDescent="0.25">
      <c r="B80" s="69">
        <f t="shared" si="32"/>
        <v>8</v>
      </c>
      <c r="C80" s="71" t="s">
        <v>256</v>
      </c>
      <c r="D80" s="69"/>
      <c r="E80" s="698">
        <f>E17+E47</f>
        <v>6.5000000000000009</v>
      </c>
      <c r="F80" s="1324">
        <f>F17+F47</f>
        <v>0</v>
      </c>
      <c r="G80" s="698">
        <f t="shared" si="23"/>
        <v>-6.5000000000000009</v>
      </c>
      <c r="H80" s="698">
        <f t="shared" si="24"/>
        <v>6.8494999999999999</v>
      </c>
      <c r="I80" s="698">
        <f t="shared" si="24"/>
        <v>7.12</v>
      </c>
      <c r="J80" s="698">
        <f t="shared" si="25"/>
        <v>0.27050000000000018</v>
      </c>
      <c r="K80" s="698">
        <f t="shared" si="26"/>
        <v>6.94</v>
      </c>
      <c r="L80" s="698">
        <f t="shared" si="26"/>
        <v>7.4</v>
      </c>
      <c r="M80" s="698">
        <f t="shared" si="27"/>
        <v>0.45999999999999996</v>
      </c>
      <c r="N80" s="698">
        <f t="shared" si="28"/>
        <v>7.02</v>
      </c>
      <c r="O80" s="698">
        <f t="shared" si="28"/>
        <v>3.7959984981924997</v>
      </c>
      <c r="P80" s="698">
        <f t="shared" si="28"/>
        <v>3.7959984981924997</v>
      </c>
      <c r="Q80" s="698">
        <f t="shared" si="29"/>
        <v>7.5919969963849994</v>
      </c>
      <c r="R80" s="698">
        <f t="shared" si="30"/>
        <v>0.57199699638499979</v>
      </c>
      <c r="S80" s="698">
        <f t="shared" si="33"/>
        <v>7.1</v>
      </c>
      <c r="T80" s="698">
        <f t="shared" si="31"/>
        <v>7.9013189927699994</v>
      </c>
      <c r="U80" s="698">
        <f t="shared" si="31"/>
        <v>7.18</v>
      </c>
      <c r="V80" s="698">
        <f t="shared" si="31"/>
        <v>10.253684489155001</v>
      </c>
      <c r="W80" s="25"/>
      <c r="X80" s="634"/>
    </row>
    <row r="81" spans="2:25" x14ac:dyDescent="0.25">
      <c r="B81" s="69">
        <f t="shared" si="32"/>
        <v>9</v>
      </c>
      <c r="C81" s="71" t="s">
        <v>258</v>
      </c>
      <c r="D81" s="69"/>
      <c r="E81" s="698">
        <f>E48</f>
        <v>224.52</v>
      </c>
      <c r="F81" s="1324">
        <f>F48</f>
        <v>224.88313170000004</v>
      </c>
      <c r="G81" s="698">
        <f t="shared" si="23"/>
        <v>0.36313170000002515</v>
      </c>
      <c r="H81" s="698">
        <f>H48</f>
        <v>258.8</v>
      </c>
      <c r="I81" s="698">
        <f>I48</f>
        <v>258.47686829999998</v>
      </c>
      <c r="J81" s="698">
        <f t="shared" si="25"/>
        <v>-0.32313170000003311</v>
      </c>
      <c r="K81" s="698">
        <f>K48</f>
        <v>257.95999999999998</v>
      </c>
      <c r="L81" s="698">
        <f>L48</f>
        <v>258</v>
      </c>
      <c r="M81" s="698">
        <f t="shared" si="27"/>
        <v>4.0000000000020464E-2</v>
      </c>
      <c r="N81" s="698">
        <f t="shared" ref="N81:P82" si="34">N48</f>
        <v>256.72000000000003</v>
      </c>
      <c r="O81" s="698">
        <f t="shared" si="34"/>
        <v>128.3599998</v>
      </c>
      <c r="P81" s="698">
        <f t="shared" si="34"/>
        <v>128.3599998</v>
      </c>
      <c r="Q81" s="698">
        <f t="shared" si="29"/>
        <v>256.71999959999999</v>
      </c>
      <c r="R81" s="698">
        <f t="shared" si="30"/>
        <v>-4.000000330961484E-7</v>
      </c>
      <c r="S81" s="698">
        <f t="shared" ref="S81:V82" si="35">S48</f>
        <v>254.91</v>
      </c>
      <c r="T81" s="698">
        <f t="shared" si="35"/>
        <v>254.91</v>
      </c>
      <c r="U81" s="698">
        <f t="shared" si="35"/>
        <v>250.31</v>
      </c>
      <c r="V81" s="698">
        <f t="shared" si="35"/>
        <v>250.31</v>
      </c>
      <c r="W81" s="25"/>
      <c r="X81" s="634"/>
    </row>
    <row r="82" spans="2:25" x14ac:dyDescent="0.25">
      <c r="B82" s="69">
        <f t="shared" si="32"/>
        <v>10</v>
      </c>
      <c r="C82" s="71" t="s">
        <v>259</v>
      </c>
      <c r="D82" s="69"/>
      <c r="E82" s="698">
        <f>E49</f>
        <v>1.1299999999999999</v>
      </c>
      <c r="F82" s="1324">
        <f>F49</f>
        <v>1.1279999999999999</v>
      </c>
      <c r="G82" s="698">
        <f t="shared" si="23"/>
        <v>-2.0000000000000018E-3</v>
      </c>
      <c r="H82" s="698">
        <f>H49</f>
        <v>1.29</v>
      </c>
      <c r="I82" s="698">
        <f>I49</f>
        <v>1.2927600000000001</v>
      </c>
      <c r="J82" s="698">
        <f t="shared" si="25"/>
        <v>2.7600000000000957E-3</v>
      </c>
      <c r="K82" s="698">
        <f>K49</f>
        <v>1.2</v>
      </c>
      <c r="L82" s="698">
        <f>L49</f>
        <v>1.19808</v>
      </c>
      <c r="M82" s="698">
        <f t="shared" si="27"/>
        <v>-1.9199999999999218E-3</v>
      </c>
      <c r="N82" s="698">
        <f t="shared" si="34"/>
        <v>1.27</v>
      </c>
      <c r="O82" s="698">
        <f t="shared" si="34"/>
        <v>0.63629999999999998</v>
      </c>
      <c r="P82" s="698">
        <f t="shared" si="34"/>
        <v>0.63630000000000009</v>
      </c>
      <c r="Q82" s="698">
        <f t="shared" si="29"/>
        <v>1.2726000000000002</v>
      </c>
      <c r="R82" s="698">
        <f t="shared" si="30"/>
        <v>2.6000000000001577E-3</v>
      </c>
      <c r="S82" s="698">
        <f t="shared" si="35"/>
        <v>1.35</v>
      </c>
      <c r="T82" s="698">
        <f t="shared" si="35"/>
        <v>1.35</v>
      </c>
      <c r="U82" s="698">
        <f t="shared" si="35"/>
        <v>1.36</v>
      </c>
      <c r="V82" s="698">
        <f t="shared" si="35"/>
        <v>1.36</v>
      </c>
      <c r="W82" s="25"/>
      <c r="X82" s="634"/>
    </row>
    <row r="83" spans="2:25" x14ac:dyDescent="0.25">
      <c r="B83" s="69">
        <f t="shared" si="32"/>
        <v>11</v>
      </c>
      <c r="C83" s="163" t="s">
        <v>77</v>
      </c>
      <c r="D83" s="69"/>
      <c r="E83" s="1323">
        <f>E18+E50</f>
        <v>0</v>
      </c>
      <c r="F83" s="1323">
        <f>F18+F50</f>
        <v>0</v>
      </c>
      <c r="G83" s="1323">
        <f t="shared" si="23"/>
        <v>0</v>
      </c>
      <c r="H83" s="1323">
        <f>H18+H50</f>
        <v>0</v>
      </c>
      <c r="I83" s="1323">
        <f ca="1">I18+I50</f>
        <v>0</v>
      </c>
      <c r="J83" s="1323">
        <f t="shared" ca="1" si="25"/>
        <v>0</v>
      </c>
      <c r="K83" s="1323">
        <f>K18+K50</f>
        <v>0</v>
      </c>
      <c r="L83" s="1323">
        <f>L18+L50</f>
        <v>0</v>
      </c>
      <c r="M83" s="1323">
        <f t="shared" si="27"/>
        <v>0</v>
      </c>
      <c r="N83" s="1323">
        <v>0</v>
      </c>
      <c r="O83" s="1323">
        <f>O18+O50</f>
        <v>0</v>
      </c>
      <c r="P83" s="1323">
        <f>P18+P50</f>
        <v>0</v>
      </c>
      <c r="Q83" s="1323">
        <f t="shared" si="29"/>
        <v>0</v>
      </c>
      <c r="R83" s="1323">
        <f t="shared" si="30"/>
        <v>0</v>
      </c>
      <c r="S83" s="1323">
        <f>S18+S50</f>
        <v>0</v>
      </c>
      <c r="T83" s="1325">
        <v>0</v>
      </c>
      <c r="U83" s="1323">
        <f>U18+U50</f>
        <v>0</v>
      </c>
      <c r="V83" s="1325">
        <v>0</v>
      </c>
      <c r="W83" s="25"/>
    </row>
    <row r="84" spans="2:25" x14ac:dyDescent="0.25">
      <c r="B84" s="69">
        <f t="shared" si="32"/>
        <v>12</v>
      </c>
      <c r="C84" s="210" t="s">
        <v>1207</v>
      </c>
      <c r="D84" s="69"/>
      <c r="E84" s="698">
        <f>E51</f>
        <v>50.75</v>
      </c>
      <c r="F84" s="1324">
        <f>F51</f>
        <v>46.679999999999993</v>
      </c>
      <c r="G84" s="698">
        <f t="shared" si="23"/>
        <v>-4.0700000000000074</v>
      </c>
      <c r="H84" s="698">
        <f>H51</f>
        <v>44.7</v>
      </c>
      <c r="I84" s="698">
        <f>I51</f>
        <v>44.550000000000004</v>
      </c>
      <c r="J84" s="698">
        <f t="shared" si="25"/>
        <v>-0.14999999999999858</v>
      </c>
      <c r="K84" s="698">
        <f>K51</f>
        <v>46.04</v>
      </c>
      <c r="L84" s="698">
        <f>L51</f>
        <v>53.805549075000002</v>
      </c>
      <c r="M84" s="698">
        <f t="shared" si="27"/>
        <v>7.7655490750000027</v>
      </c>
      <c r="N84" s="698">
        <f>N51</f>
        <v>47.42</v>
      </c>
      <c r="O84" s="698">
        <f>O51</f>
        <v>13.264107773625001</v>
      </c>
      <c r="P84" s="698">
        <f>P51</f>
        <v>13.264107773625001</v>
      </c>
      <c r="Q84" s="698">
        <f t="shared" si="29"/>
        <v>26.528215547250003</v>
      </c>
      <c r="R84" s="698">
        <f t="shared" si="30"/>
        <v>-20.891784452749999</v>
      </c>
      <c r="S84" s="698">
        <f>S51</f>
        <v>48.85</v>
      </c>
      <c r="T84" s="698">
        <f>T51</f>
        <v>27.558215547250004</v>
      </c>
      <c r="U84" s="698">
        <f>U51</f>
        <v>50.31</v>
      </c>
      <c r="V84" s="698">
        <f>V51</f>
        <v>28.588215547250005</v>
      </c>
      <c r="W84" s="25"/>
      <c r="X84" s="634"/>
    </row>
    <row r="85" spans="2:25" s="22" customFormat="1" x14ac:dyDescent="0.25">
      <c r="B85" s="69">
        <f t="shared" si="32"/>
        <v>13</v>
      </c>
      <c r="C85" s="211" t="s">
        <v>78</v>
      </c>
      <c r="D85" s="70"/>
      <c r="E85" s="352">
        <f>SUM(E73:E84)+0.01</f>
        <v>3553.3847000000005</v>
      </c>
      <c r="F85" s="1326">
        <f>SUM(F73:F84)</f>
        <v>3193.8199416014577</v>
      </c>
      <c r="G85" s="698">
        <f t="shared" si="23"/>
        <v>-359.56475839854284</v>
      </c>
      <c r="H85" s="1326">
        <f>SUM(H73:H84)+0.01</f>
        <v>3774.3122400000002</v>
      </c>
      <c r="I85" s="352">
        <f ca="1">SUM(I73:I84)</f>
        <v>3105.6413613292448</v>
      </c>
      <c r="J85" s="698">
        <f t="shared" ca="1" si="25"/>
        <v>-668.67087867075543</v>
      </c>
      <c r="K85" s="352">
        <f>SUM(K73:K84)</f>
        <v>3496.8634100000004</v>
      </c>
      <c r="L85" s="352">
        <f>SUM(L73:L84)</f>
        <v>3657.0192632744365</v>
      </c>
      <c r="M85" s="698">
        <f t="shared" si="27"/>
        <v>160.15585327443614</v>
      </c>
      <c r="N85" s="352">
        <f>SUM(N73:N84)</f>
        <v>3412.76748</v>
      </c>
      <c r="O85" s="352">
        <f ca="1">SUM(O73:O84)</f>
        <v>2464.4167483162973</v>
      </c>
      <c r="P85" s="352">
        <f ca="1">SUM(P73:P84)</f>
        <v>2294.8516411997975</v>
      </c>
      <c r="Q85" s="352">
        <f ca="1">SUM(Q73:Q84)</f>
        <v>4759.2683895160944</v>
      </c>
      <c r="R85" s="352">
        <f t="shared" ca="1" si="30"/>
        <v>1346.5009095160945</v>
      </c>
      <c r="S85" s="352">
        <f>SUM(S73:S84)-0.01</f>
        <v>3476.0001199999992</v>
      </c>
      <c r="T85" s="352">
        <f ca="1">SUM(T73:T84)</f>
        <v>4196.9939652418425</v>
      </c>
      <c r="U85" s="352">
        <f>SUM(U73:U84)</f>
        <v>3540.9800599999999</v>
      </c>
      <c r="V85" s="352">
        <f ca="1">SUM(V73:V84)</f>
        <v>3530.1786943351226</v>
      </c>
      <c r="W85" s="352"/>
      <c r="X85" s="634"/>
      <c r="Y85" s="1468"/>
    </row>
    <row r="86" spans="2:25" x14ac:dyDescent="0.25">
      <c r="B86" s="69">
        <f t="shared" si="32"/>
        <v>14</v>
      </c>
      <c r="C86" s="163" t="s">
        <v>79</v>
      </c>
      <c r="D86" s="69"/>
      <c r="E86" s="698">
        <f>E20+E53</f>
        <v>140.93</v>
      </c>
      <c r="F86" s="1324">
        <f>F20+F53</f>
        <v>141.70670849999999</v>
      </c>
      <c r="G86" s="698">
        <f t="shared" si="23"/>
        <v>0.77670849999998381</v>
      </c>
      <c r="H86" s="698">
        <f>H20+H53</f>
        <v>129.44999999999999</v>
      </c>
      <c r="I86" s="698">
        <f>I20+I53</f>
        <v>140.825559</v>
      </c>
      <c r="J86" s="698">
        <f t="shared" si="25"/>
        <v>11.37555900000001</v>
      </c>
      <c r="K86" s="698">
        <f>K20+K53</f>
        <v>130.36819500000001</v>
      </c>
      <c r="L86" s="698">
        <f>L20+L53</f>
        <v>146.90335112703525</v>
      </c>
      <c r="M86" s="698">
        <f t="shared" si="27"/>
        <v>16.535156127035236</v>
      </c>
      <c r="N86" s="698">
        <f t="shared" ref="N86:P87" si="36">N20+N53</f>
        <v>131.15988750000002</v>
      </c>
      <c r="O86" s="698">
        <f t="shared" si="36"/>
        <v>69.720450873132648</v>
      </c>
      <c r="P86" s="698">
        <f t="shared" si="36"/>
        <v>69.720450873132648</v>
      </c>
      <c r="Q86" s="698">
        <f t="shared" si="29"/>
        <v>139.4409017462653</v>
      </c>
      <c r="R86" s="698">
        <f t="shared" si="30"/>
        <v>8.281014246265272</v>
      </c>
      <c r="S86" s="698">
        <f t="shared" ref="S86:V87" si="37">S20+S53</f>
        <v>131.95441000000002</v>
      </c>
      <c r="T86" s="698">
        <f t="shared" si="37"/>
        <v>153.03472046579131</v>
      </c>
      <c r="U86" s="698">
        <f t="shared" si="37"/>
        <v>132.74327250000002</v>
      </c>
      <c r="V86" s="698">
        <f t="shared" si="37"/>
        <v>176.31050016406732</v>
      </c>
      <c r="W86" s="25"/>
    </row>
    <row r="87" spans="2:25" x14ac:dyDescent="0.25">
      <c r="B87" s="69">
        <f t="shared" si="32"/>
        <v>15</v>
      </c>
      <c r="C87" s="210" t="s">
        <v>1211</v>
      </c>
      <c r="D87" s="69"/>
      <c r="E87" s="698">
        <f>E21+E54</f>
        <v>5.28</v>
      </c>
      <c r="F87" s="1324">
        <f>F21+F54</f>
        <v>5.2793999999999999</v>
      </c>
      <c r="G87" s="698">
        <f t="shared" si="23"/>
        <v>-6.0000000000037801E-4</v>
      </c>
      <c r="H87" s="698">
        <f>H21+H54</f>
        <v>5.28</v>
      </c>
      <c r="I87" s="698">
        <f>I21+I54</f>
        <v>5.2793999999999999</v>
      </c>
      <c r="J87" s="698">
        <f t="shared" si="25"/>
        <v>-6.0000000000037801E-4</v>
      </c>
      <c r="K87" s="698">
        <f>K21+K54</f>
        <v>5.28</v>
      </c>
      <c r="L87" s="698">
        <f>L21+L54</f>
        <v>5.2793999999999999</v>
      </c>
      <c r="M87" s="698">
        <f t="shared" si="27"/>
        <v>-6.0000000000037801E-4</v>
      </c>
      <c r="N87" s="698">
        <f t="shared" si="36"/>
        <v>5.28</v>
      </c>
      <c r="O87" s="698">
        <f t="shared" si="36"/>
        <v>2.6396999999999999</v>
      </c>
      <c r="P87" s="698">
        <f t="shared" si="36"/>
        <v>2.6396999999999999</v>
      </c>
      <c r="Q87" s="698">
        <f t="shared" si="29"/>
        <v>5.2793999999999999</v>
      </c>
      <c r="R87" s="698">
        <f t="shared" si="30"/>
        <v>-6.0000000000037801E-4</v>
      </c>
      <c r="S87" s="698">
        <f t="shared" si="37"/>
        <v>5.28</v>
      </c>
      <c r="T87" s="698">
        <f t="shared" si="37"/>
        <v>5.2793999999999999</v>
      </c>
      <c r="U87" s="698">
        <f t="shared" si="37"/>
        <v>5.28</v>
      </c>
      <c r="V87" s="698">
        <f t="shared" si="37"/>
        <v>5.2793999999999999</v>
      </c>
      <c r="W87" s="25"/>
    </row>
    <row r="88" spans="2:25" x14ac:dyDescent="0.25">
      <c r="B88" s="69">
        <f t="shared" si="32"/>
        <v>16</v>
      </c>
      <c r="C88" s="210" t="s">
        <v>1204</v>
      </c>
      <c r="D88" s="69"/>
      <c r="E88" s="698">
        <v>0</v>
      </c>
      <c r="F88" s="1324">
        <f>F22</f>
        <v>7.3319623725595235</v>
      </c>
      <c r="G88" s="698">
        <f t="shared" si="23"/>
        <v>7.3319623725595235</v>
      </c>
      <c r="H88" s="698">
        <v>0</v>
      </c>
      <c r="I88" s="698">
        <f>I22</f>
        <v>1.7531171575367397</v>
      </c>
      <c r="J88" s="698">
        <f t="shared" si="25"/>
        <v>1.7531171575367397</v>
      </c>
      <c r="K88" s="698">
        <v>0</v>
      </c>
      <c r="L88" s="698">
        <f>L22</f>
        <v>-3.9774422686399742</v>
      </c>
      <c r="M88" s="698">
        <f t="shared" si="27"/>
        <v>-3.9774422686399742</v>
      </c>
      <c r="N88" s="698">
        <v>0</v>
      </c>
      <c r="O88" s="698">
        <f>O22</f>
        <v>0</v>
      </c>
      <c r="P88" s="698">
        <f>P22+P55</f>
        <v>0</v>
      </c>
      <c r="Q88" s="698">
        <f t="shared" si="29"/>
        <v>0</v>
      </c>
      <c r="R88" s="698">
        <f t="shared" si="30"/>
        <v>0</v>
      </c>
      <c r="S88" s="698">
        <v>0</v>
      </c>
      <c r="T88" s="698">
        <f>T22</f>
        <v>0</v>
      </c>
      <c r="U88" s="698">
        <f>U22+U55</f>
        <v>0</v>
      </c>
      <c r="V88" s="698">
        <f>V22</f>
        <v>0</v>
      </c>
      <c r="W88" s="25"/>
    </row>
    <row r="89" spans="2:25" x14ac:dyDescent="0.25">
      <c r="B89" s="69">
        <f t="shared" si="32"/>
        <v>17</v>
      </c>
      <c r="C89" s="163" t="s">
        <v>1208</v>
      </c>
      <c r="D89" s="69"/>
      <c r="E89" s="698">
        <f>E55</f>
        <v>0</v>
      </c>
      <c r="F89" s="1324">
        <f>F23+F55</f>
        <v>0</v>
      </c>
      <c r="G89" s="698">
        <f t="shared" si="23"/>
        <v>0</v>
      </c>
      <c r="H89" s="698">
        <f>H55</f>
        <v>0</v>
      </c>
      <c r="I89" s="698">
        <f>I23+I55</f>
        <v>0</v>
      </c>
      <c r="J89" s="698">
        <f t="shared" si="25"/>
        <v>0</v>
      </c>
      <c r="K89" s="698">
        <f>K55</f>
        <v>0</v>
      </c>
      <c r="L89" s="698">
        <f>L23+L55</f>
        <v>0</v>
      </c>
      <c r="M89" s="698">
        <f t="shared" si="27"/>
        <v>0</v>
      </c>
      <c r="N89" s="698">
        <f t="shared" ref="N89:P90" si="38">N55</f>
        <v>0</v>
      </c>
      <c r="O89" s="698">
        <f t="shared" si="38"/>
        <v>0</v>
      </c>
      <c r="P89" s="698">
        <f t="shared" si="38"/>
        <v>0</v>
      </c>
      <c r="Q89" s="698">
        <f t="shared" si="29"/>
        <v>0</v>
      </c>
      <c r="R89" s="698">
        <f t="shared" si="30"/>
        <v>0</v>
      </c>
      <c r="S89" s="698">
        <f>S55</f>
        <v>0</v>
      </c>
      <c r="T89" s="698">
        <f>T23+T55</f>
        <v>0</v>
      </c>
      <c r="U89" s="698">
        <f>U55</f>
        <v>0</v>
      </c>
      <c r="V89" s="698">
        <f>V23+V55</f>
        <v>0</v>
      </c>
      <c r="W89" s="25"/>
    </row>
    <row r="90" spans="2:25" x14ac:dyDescent="0.25">
      <c r="B90" s="69">
        <f t="shared" si="32"/>
        <v>18</v>
      </c>
      <c r="C90" s="163" t="s">
        <v>1212</v>
      </c>
      <c r="D90" s="69"/>
      <c r="E90" s="698">
        <f>E56</f>
        <v>0</v>
      </c>
      <c r="F90" s="1324">
        <f>F24+F56</f>
        <v>25.787245703638064</v>
      </c>
      <c r="G90" s="698">
        <f t="shared" si="23"/>
        <v>25.787245703638064</v>
      </c>
      <c r="H90" s="698">
        <f>H56</f>
        <v>0</v>
      </c>
      <c r="I90" s="698">
        <f>I24+I56</f>
        <v>26.949605807758758</v>
      </c>
      <c r="J90" s="698">
        <f t="shared" si="25"/>
        <v>26.949605807758758</v>
      </c>
      <c r="K90" s="698">
        <f>K56</f>
        <v>0</v>
      </c>
      <c r="L90" s="698">
        <f>L24+L56</f>
        <v>-14.76450804937455</v>
      </c>
      <c r="M90" s="698">
        <f t="shared" si="27"/>
        <v>-14.76450804937455</v>
      </c>
      <c r="N90" s="698">
        <f t="shared" si="38"/>
        <v>0</v>
      </c>
      <c r="O90" s="698">
        <f t="shared" si="38"/>
        <v>0</v>
      </c>
      <c r="P90" s="698">
        <f t="shared" si="38"/>
        <v>0</v>
      </c>
      <c r="Q90" s="698">
        <f t="shared" si="29"/>
        <v>0</v>
      </c>
      <c r="R90" s="698">
        <f t="shared" si="30"/>
        <v>0</v>
      </c>
      <c r="S90" s="698">
        <f>S56</f>
        <v>0</v>
      </c>
      <c r="T90" s="698">
        <f>T24+T56</f>
        <v>0</v>
      </c>
      <c r="U90" s="698">
        <f>U56</f>
        <v>0</v>
      </c>
      <c r="V90" s="698">
        <f>V24+V56</f>
        <v>0</v>
      </c>
      <c r="W90" s="25"/>
    </row>
    <row r="91" spans="2:25" s="22" customFormat="1" x14ac:dyDescent="0.25">
      <c r="B91" s="69">
        <f t="shared" si="32"/>
        <v>19</v>
      </c>
      <c r="C91" s="211" t="s">
        <v>81</v>
      </c>
      <c r="D91" s="70"/>
      <c r="E91" s="352">
        <f>SUM(E85:E90)</f>
        <v>3699.5947000000006</v>
      </c>
      <c r="F91" s="1326">
        <f>SUM(F85:F90)</f>
        <v>3373.9252581776555</v>
      </c>
      <c r="G91" s="698">
        <f t="shared" si="23"/>
        <v>-325.66944182234511</v>
      </c>
      <c r="H91" s="352">
        <f>SUM(H85:H90)-0.02</f>
        <v>3909.0222400000002</v>
      </c>
      <c r="I91" s="352">
        <f ca="1">SUM(I85:I90)</f>
        <v>3280.4490432945404</v>
      </c>
      <c r="J91" s="698">
        <f t="shared" ca="1" si="25"/>
        <v>-628.57319670545985</v>
      </c>
      <c r="K91" s="352">
        <f>SUM(K85:K90)</f>
        <v>3632.5116050000006</v>
      </c>
      <c r="L91" s="352">
        <f>SUM(L85:L90)</f>
        <v>3790.4600640834574</v>
      </c>
      <c r="M91" s="698">
        <f t="shared" si="27"/>
        <v>157.94845908345678</v>
      </c>
      <c r="N91" s="352">
        <f>SUM(N85:N90)</f>
        <v>3549.2073675000001</v>
      </c>
      <c r="O91" s="352">
        <f ca="1">SUM(O85:O90)</f>
        <v>2536.77689918943</v>
      </c>
      <c r="P91" s="352">
        <f ca="1">SUM(P85:P90)</f>
        <v>2367.2117920729302</v>
      </c>
      <c r="Q91" s="352">
        <f t="shared" ca="1" si="29"/>
        <v>4903.9886912623606</v>
      </c>
      <c r="R91" s="352">
        <f t="shared" ca="1" si="30"/>
        <v>1354.7813237623604</v>
      </c>
      <c r="S91" s="352">
        <f>SUM(S85:S90)</f>
        <v>3613.2345299999993</v>
      </c>
      <c r="T91" s="352">
        <f ca="1">SUM(T85:T90)</f>
        <v>4355.3080857076338</v>
      </c>
      <c r="U91" s="352">
        <f>SUM(U85:U90)</f>
        <v>3679.0033324999999</v>
      </c>
      <c r="V91" s="352">
        <f ca="1">SUM(V85:V90)</f>
        <v>3711.7685944991899</v>
      </c>
      <c r="W91" s="28"/>
    </row>
    <row r="92" spans="2:25" x14ac:dyDescent="0.25">
      <c r="B92" s="69">
        <f t="shared" si="32"/>
        <v>20</v>
      </c>
      <c r="C92" s="163" t="s">
        <v>80</v>
      </c>
      <c r="D92" s="69"/>
      <c r="E92" s="698">
        <f>E26+E58</f>
        <v>53.63</v>
      </c>
      <c r="F92" s="1324">
        <f>F26+F58</f>
        <v>39.270000000000003</v>
      </c>
      <c r="G92" s="698">
        <f t="shared" si="23"/>
        <v>-14.36</v>
      </c>
      <c r="H92" s="698">
        <f>H26+H58</f>
        <v>55.24</v>
      </c>
      <c r="I92" s="698">
        <f>I26+I58</f>
        <v>17.440000000000001</v>
      </c>
      <c r="J92" s="698">
        <f t="shared" si="25"/>
        <v>-37.799999999999997</v>
      </c>
      <c r="K92" s="698">
        <f>K26+K58</f>
        <v>56.9</v>
      </c>
      <c r="L92" s="698">
        <f>L26+L58</f>
        <v>26.840000000000003</v>
      </c>
      <c r="M92" s="698">
        <f t="shared" si="27"/>
        <v>-30.059999999999995</v>
      </c>
      <c r="N92" s="698">
        <f>N26+N58+0.01</f>
        <v>58.610000000000007</v>
      </c>
      <c r="O92" s="698">
        <f>O26+O58</f>
        <v>19.8</v>
      </c>
      <c r="P92" s="698">
        <f>P26+P58</f>
        <v>19.8</v>
      </c>
      <c r="Q92" s="698">
        <f t="shared" si="29"/>
        <v>39.6</v>
      </c>
      <c r="R92" s="698">
        <f t="shared" si="30"/>
        <v>-19.010000000000005</v>
      </c>
      <c r="S92" s="698">
        <f>S26+S58-0.01</f>
        <v>60.36</v>
      </c>
      <c r="T92" s="698">
        <f t="shared" ref="T92:V93" si="39">T26+T58</f>
        <v>40.788000000000004</v>
      </c>
      <c r="U92" s="698">
        <f t="shared" si="39"/>
        <v>62.17</v>
      </c>
      <c r="V92" s="698">
        <f t="shared" si="39"/>
        <v>42.011640000000007</v>
      </c>
      <c r="W92" s="25"/>
    </row>
    <row r="93" spans="2:25" x14ac:dyDescent="0.25">
      <c r="B93" s="69">
        <f t="shared" si="32"/>
        <v>21</v>
      </c>
      <c r="C93" s="163" t="s">
        <v>260</v>
      </c>
      <c r="D93" s="69"/>
      <c r="E93" s="698">
        <f>E27+E59</f>
        <v>0</v>
      </c>
      <c r="F93" s="1324">
        <f>F27+F59</f>
        <v>0</v>
      </c>
      <c r="G93" s="698">
        <f t="shared" si="23"/>
        <v>0</v>
      </c>
      <c r="H93" s="698">
        <f>H27+H59</f>
        <v>0</v>
      </c>
      <c r="I93" s="698">
        <f>I27+I59</f>
        <v>0</v>
      </c>
      <c r="J93" s="698">
        <f t="shared" si="25"/>
        <v>0</v>
      </c>
      <c r="K93" s="698">
        <f>K27+K59</f>
        <v>0</v>
      </c>
      <c r="L93" s="698">
        <f>L27+L59</f>
        <v>0</v>
      </c>
      <c r="M93" s="698">
        <f t="shared" si="27"/>
        <v>0</v>
      </c>
      <c r="N93" s="698">
        <f>N27+N59</f>
        <v>0</v>
      </c>
      <c r="O93" s="698">
        <f>O27+O59</f>
        <v>0</v>
      </c>
      <c r="P93" s="698">
        <f>P27+P59</f>
        <v>0</v>
      </c>
      <c r="Q93" s="698">
        <f t="shared" si="29"/>
        <v>0</v>
      </c>
      <c r="R93" s="698">
        <f t="shared" si="30"/>
        <v>0</v>
      </c>
      <c r="S93" s="698">
        <f>S27+S59</f>
        <v>0</v>
      </c>
      <c r="T93" s="1327">
        <f t="shared" si="39"/>
        <v>0</v>
      </c>
      <c r="U93" s="698">
        <f t="shared" si="39"/>
        <v>0</v>
      </c>
      <c r="V93" s="1327">
        <f t="shared" si="39"/>
        <v>0</v>
      </c>
      <c r="W93" s="25"/>
    </row>
    <row r="94" spans="2:25" x14ac:dyDescent="0.25">
      <c r="B94" s="69">
        <f t="shared" si="32"/>
        <v>22</v>
      </c>
      <c r="C94" s="163" t="s">
        <v>261</v>
      </c>
      <c r="D94" s="69"/>
      <c r="E94" s="698">
        <f>E60</f>
        <v>0</v>
      </c>
      <c r="F94" s="1324">
        <f>F60</f>
        <v>0</v>
      </c>
      <c r="G94" s="698">
        <f t="shared" si="23"/>
        <v>0</v>
      </c>
      <c r="H94" s="698">
        <f>H60</f>
        <v>0</v>
      </c>
      <c r="I94" s="698">
        <f>I60</f>
        <v>0</v>
      </c>
      <c r="J94" s="698">
        <f t="shared" si="25"/>
        <v>0</v>
      </c>
      <c r="K94" s="698">
        <f>K60</f>
        <v>0</v>
      </c>
      <c r="L94" s="698">
        <f>L60</f>
        <v>0</v>
      </c>
      <c r="M94" s="698">
        <f t="shared" si="27"/>
        <v>0</v>
      </c>
      <c r="N94" s="698">
        <f>N60</f>
        <v>0</v>
      </c>
      <c r="O94" s="698">
        <f>O60</f>
        <v>0</v>
      </c>
      <c r="P94" s="698">
        <f>P60</f>
        <v>0</v>
      </c>
      <c r="Q94" s="698">
        <f t="shared" si="29"/>
        <v>0</v>
      </c>
      <c r="R94" s="698">
        <f t="shared" si="30"/>
        <v>0</v>
      </c>
      <c r="S94" s="698">
        <f>S60</f>
        <v>0</v>
      </c>
      <c r="T94" s="698">
        <f>T60</f>
        <v>0</v>
      </c>
      <c r="U94" s="698">
        <f>U60</f>
        <v>0</v>
      </c>
      <c r="V94" s="698">
        <f>V60</f>
        <v>0</v>
      </c>
      <c r="W94" s="25"/>
    </row>
    <row r="95" spans="2:25" s="242" customFormat="1" ht="28" x14ac:dyDescent="0.25">
      <c r="B95" s="69">
        <f t="shared" si="32"/>
        <v>23</v>
      </c>
      <c r="C95" s="210" t="s">
        <v>1644</v>
      </c>
      <c r="D95" s="161"/>
      <c r="E95" s="1324">
        <f>E61</f>
        <v>0</v>
      </c>
      <c r="F95" s="1324">
        <f>F61</f>
        <v>0</v>
      </c>
      <c r="G95" s="1324">
        <f t="shared" si="23"/>
        <v>0</v>
      </c>
      <c r="H95" s="1324">
        <v>-771.5</v>
      </c>
      <c r="I95" s="1324">
        <f>H95</f>
        <v>-771.5</v>
      </c>
      <c r="J95" s="1324">
        <f t="shared" si="25"/>
        <v>0</v>
      </c>
      <c r="K95" s="1324">
        <v>-340.93</v>
      </c>
      <c r="L95" s="1324">
        <f>K95</f>
        <v>-340.93</v>
      </c>
      <c r="M95" s="1324">
        <f t="shared" si="27"/>
        <v>0</v>
      </c>
      <c r="N95" s="1324">
        <v>-206.65</v>
      </c>
      <c r="O95" s="1324">
        <f>O61</f>
        <v>0</v>
      </c>
      <c r="P95" s="1324">
        <f>P61</f>
        <v>0</v>
      </c>
      <c r="Q95" s="1324">
        <f>N95</f>
        <v>-206.65</v>
      </c>
      <c r="R95" s="1324">
        <f t="shared" si="30"/>
        <v>0</v>
      </c>
      <c r="S95" s="1324">
        <v>-172.7</v>
      </c>
      <c r="T95" s="1324">
        <f>S95</f>
        <v>-172.7</v>
      </c>
      <c r="U95" s="1324">
        <v>-103.35</v>
      </c>
      <c r="V95" s="1324">
        <f>U95</f>
        <v>-103.35</v>
      </c>
      <c r="W95" s="76"/>
    </row>
    <row r="96" spans="2:25" hidden="1" x14ac:dyDescent="0.25">
      <c r="B96" s="69"/>
      <c r="C96" s="163"/>
      <c r="D96" s="69"/>
      <c r="E96" s="698"/>
      <c r="F96" s="698"/>
      <c r="G96" s="698"/>
      <c r="H96" s="698"/>
      <c r="I96" s="698"/>
      <c r="J96" s="698"/>
      <c r="K96" s="698"/>
      <c r="L96" s="698"/>
      <c r="M96" s="698"/>
      <c r="N96" s="1327"/>
      <c r="O96" s="698"/>
      <c r="P96" s="698"/>
      <c r="Q96" s="698"/>
      <c r="R96" s="698"/>
      <c r="S96" s="1327"/>
      <c r="T96" s="698"/>
      <c r="U96" s="1327"/>
      <c r="V96" s="698"/>
      <c r="W96" s="25"/>
    </row>
    <row r="97" spans="1:23" s="22" customFormat="1" ht="28" x14ac:dyDescent="0.25">
      <c r="A97" s="1468"/>
      <c r="B97" s="70">
        <f>B95+1</f>
        <v>24</v>
      </c>
      <c r="C97" s="211" t="s">
        <v>1369</v>
      </c>
      <c r="D97" s="70"/>
      <c r="E97" s="352">
        <f>E91-SUM(E92:E94)+SUM(E95:E96)</f>
        <v>3645.9647000000004</v>
      </c>
      <c r="F97" s="352">
        <f>F91-SUM(F92:F94)+SUM(F95:F96)</f>
        <v>3334.6552581776555</v>
      </c>
      <c r="G97" s="352">
        <f t="shared" si="23"/>
        <v>-311.30944182234498</v>
      </c>
      <c r="H97" s="352">
        <f t="shared" ref="H97:Q97" si="40">H91-SUM(H92:H94)+SUM(H95:H96)</f>
        <v>3082.2822400000005</v>
      </c>
      <c r="I97" s="352">
        <f t="shared" ca="1" si="40"/>
        <v>2491.5090432945403</v>
      </c>
      <c r="J97" s="352">
        <f t="shared" ca="1" si="40"/>
        <v>-590.7731967054599</v>
      </c>
      <c r="K97" s="352">
        <f t="shared" si="40"/>
        <v>3234.6816050000007</v>
      </c>
      <c r="L97" s="352">
        <f t="shared" si="40"/>
        <v>3422.6900640834574</v>
      </c>
      <c r="M97" s="352">
        <f t="shared" si="40"/>
        <v>188.00845908345678</v>
      </c>
      <c r="N97" s="352">
        <f t="shared" si="40"/>
        <v>3283.9473674999999</v>
      </c>
      <c r="O97" s="352">
        <f t="shared" ca="1" si="40"/>
        <v>2516.9768991894298</v>
      </c>
      <c r="P97" s="352">
        <f t="shared" ca="1" si="40"/>
        <v>2347.41179207293</v>
      </c>
      <c r="Q97" s="352">
        <f t="shared" ca="1" si="40"/>
        <v>4657.7386912623606</v>
      </c>
      <c r="R97" s="352">
        <f ca="1">R91-SUM(R92:R96)</f>
        <v>1373.7913237623604</v>
      </c>
      <c r="S97" s="352">
        <f>S91-SUM(S92:S94)+SUM(S95:S96)</f>
        <v>3380.1745299999993</v>
      </c>
      <c r="T97" s="352">
        <f ca="1">T91-SUM(T92:T94)+SUM(T95:T96)</f>
        <v>4141.8200857076345</v>
      </c>
      <c r="U97" s="352">
        <f>U91-SUM(U92:U94)+SUM(U95:U96)</f>
        <v>3513.4833325</v>
      </c>
      <c r="V97" s="352">
        <f ca="1">V91-SUM(V92:V94)+SUM(V95:V96)</f>
        <v>3566.4069544991899</v>
      </c>
      <c r="W97" s="28"/>
    </row>
    <row r="98" spans="1:23" hidden="1" x14ac:dyDescent="0.25">
      <c r="B98" s="69"/>
      <c r="C98" s="163"/>
      <c r="D98" s="69"/>
      <c r="E98" s="25"/>
      <c r="F98" s="642"/>
      <c r="G98" s="25"/>
      <c r="H98" s="25"/>
      <c r="I98" s="25"/>
      <c r="J98" s="25"/>
      <c r="K98" s="25"/>
      <c r="L98" s="25"/>
      <c r="M98" s="25"/>
      <c r="N98" s="25"/>
      <c r="O98" s="25"/>
      <c r="P98" s="25"/>
      <c r="Q98" s="25"/>
      <c r="R98" s="25"/>
      <c r="S98" s="25"/>
      <c r="T98" s="25"/>
      <c r="U98" s="25"/>
      <c r="V98" s="25"/>
      <c r="W98" s="25"/>
    </row>
    <row r="99" spans="1:23" hidden="1" x14ac:dyDescent="0.25">
      <c r="B99" s="69"/>
      <c r="C99" s="163"/>
      <c r="D99" s="69"/>
      <c r="E99" s="1327"/>
      <c r="F99" s="1327"/>
      <c r="G99" s="1327"/>
      <c r="H99" s="1327"/>
      <c r="I99" s="1327"/>
      <c r="J99" s="1327"/>
      <c r="K99" s="1327"/>
      <c r="L99" s="1327"/>
      <c r="M99" s="1327"/>
      <c r="N99" s="1327"/>
      <c r="O99" s="1327"/>
      <c r="P99" s="1327"/>
      <c r="Q99" s="1327"/>
      <c r="R99" s="1327"/>
      <c r="S99" s="1327"/>
      <c r="T99" s="1327"/>
      <c r="U99" s="1327"/>
      <c r="V99" s="1327"/>
      <c r="W99" s="25"/>
    </row>
    <row r="100" spans="1:23" s="22" customFormat="1" x14ac:dyDescent="0.25">
      <c r="B100" s="70">
        <f>B97+1</f>
        <v>25</v>
      </c>
      <c r="C100" s="211" t="s">
        <v>1641</v>
      </c>
      <c r="D100" s="70"/>
      <c r="E100" s="1334">
        <v>3447.52</v>
      </c>
      <c r="F100" s="1334">
        <f>'F13'!K52</f>
        <v>3466.6764150945291</v>
      </c>
      <c r="G100" s="698">
        <f t="shared" ref="G100" si="41">F100-E100</f>
        <v>19.156415094529166</v>
      </c>
      <c r="H100" s="1334">
        <v>3393.64</v>
      </c>
      <c r="I100" s="1334">
        <f>'F13'!K97</f>
        <v>2792.7449866595002</v>
      </c>
      <c r="J100" s="698">
        <f t="shared" ref="J100" si="42">I100-H100</f>
        <v>-600.89501334049964</v>
      </c>
      <c r="K100" s="1334">
        <v>3423.41</v>
      </c>
      <c r="L100" s="1334">
        <f>'F13'!K145</f>
        <v>2995.1919813043796</v>
      </c>
      <c r="M100" s="1324">
        <f t="shared" ref="M100" si="43">L100-K100</f>
        <v>-428.21801869562023</v>
      </c>
      <c r="N100" s="1334">
        <v>3441.67</v>
      </c>
      <c r="O100" s="1334"/>
      <c r="P100" s="1334"/>
      <c r="Q100" s="1334">
        <f ca="1">F13.1!T98</f>
        <v>3667.9842475554724</v>
      </c>
      <c r="R100" s="1334"/>
      <c r="S100" s="1334">
        <v>3474.55</v>
      </c>
      <c r="T100" s="1334">
        <f ca="1">F13.2!T52</f>
        <v>3508.8040396286297</v>
      </c>
      <c r="U100" s="1334">
        <v>3514.91</v>
      </c>
      <c r="V100" s="1334">
        <f>F13.3!T52</f>
        <v>3562.8576597165029</v>
      </c>
      <c r="W100" s="28"/>
    </row>
    <row r="101" spans="1:23" s="22" customFormat="1" x14ac:dyDescent="0.25">
      <c r="B101" s="70">
        <f>B98+1</f>
        <v>1</v>
      </c>
      <c r="C101" s="211" t="s">
        <v>1642</v>
      </c>
      <c r="D101" s="70"/>
      <c r="E101" s="1334">
        <f t="shared" ref="E101:V101" si="44">E97-E100</f>
        <v>198.44470000000047</v>
      </c>
      <c r="F101" s="1334">
        <f t="shared" si="44"/>
        <v>-132.02115691687368</v>
      </c>
      <c r="G101" s="1334">
        <f t="shared" si="44"/>
        <v>-330.46585691687415</v>
      </c>
      <c r="H101" s="1334">
        <f t="shared" si="44"/>
        <v>-311.35775999999942</v>
      </c>
      <c r="I101" s="1334">
        <f t="shared" ca="1" si="44"/>
        <v>-301.23594336495989</v>
      </c>
      <c r="J101" s="1334">
        <f t="shared" ca="1" si="44"/>
        <v>10.12181663503975</v>
      </c>
      <c r="K101" s="1334">
        <f t="shared" si="44"/>
        <v>-188.72839499999918</v>
      </c>
      <c r="L101" s="1334">
        <f t="shared" si="44"/>
        <v>427.49808277907778</v>
      </c>
      <c r="M101" s="1334">
        <f t="shared" si="44"/>
        <v>616.22647777907696</v>
      </c>
      <c r="N101" s="1334">
        <f t="shared" si="44"/>
        <v>-157.72263250000015</v>
      </c>
      <c r="O101" s="1334">
        <f t="shared" ca="1" si="44"/>
        <v>2516.9768991894298</v>
      </c>
      <c r="P101" s="1334">
        <f t="shared" ca="1" si="44"/>
        <v>2347.41179207293</v>
      </c>
      <c r="Q101" s="1334">
        <f t="shared" ca="1" si="44"/>
        <v>989.7544437068882</v>
      </c>
      <c r="R101" s="1334">
        <f t="shared" ca="1" si="44"/>
        <v>1373.7913237623604</v>
      </c>
      <c r="S101" s="1334">
        <f t="shared" si="44"/>
        <v>-94.37547000000086</v>
      </c>
      <c r="T101" s="1334">
        <f t="shared" ca="1" si="44"/>
        <v>633.01604607900481</v>
      </c>
      <c r="U101" s="1334">
        <f t="shared" si="44"/>
        <v>-1.4266674999998941</v>
      </c>
      <c r="V101" s="1334">
        <f t="shared" ca="1" si="44"/>
        <v>3.5492947826869568</v>
      </c>
      <c r="W101" s="28"/>
    </row>
    <row r="102" spans="1:23" s="1493" customFormat="1" hidden="1" x14ac:dyDescent="0.25">
      <c r="B102" s="1494"/>
      <c r="C102" s="1495"/>
      <c r="D102" s="1494"/>
      <c r="E102" s="1496"/>
      <c r="F102" s="1496"/>
      <c r="G102" s="1327">
        <f>F101-E101-G101</f>
        <v>0</v>
      </c>
      <c r="H102" s="1496"/>
      <c r="I102" s="1496"/>
      <c r="J102" s="1327"/>
      <c r="K102" s="1496"/>
      <c r="L102" s="1496"/>
      <c r="M102" s="1327">
        <f>L101-K101-M101</f>
        <v>0</v>
      </c>
      <c r="N102" s="1496"/>
      <c r="O102" s="1496"/>
      <c r="P102" s="1496"/>
      <c r="Q102" s="1496"/>
      <c r="R102" s="1496"/>
      <c r="S102" s="1496"/>
      <c r="T102" s="1496"/>
      <c r="U102" s="1496"/>
      <c r="V102" s="1496">
        <f ca="1">V91-SUM(V92:V94)+SUM(V95,T104)</f>
        <v>3566.4069544991899</v>
      </c>
      <c r="W102" s="1497"/>
    </row>
    <row r="103" spans="1:23" s="1493" customFormat="1" hidden="1" x14ac:dyDescent="0.25">
      <c r="B103" s="1494"/>
      <c r="C103" s="1495"/>
      <c r="D103" s="1494"/>
      <c r="E103" s="1498"/>
      <c r="F103" s="1498"/>
      <c r="G103" s="1498"/>
      <c r="H103" s="1498"/>
      <c r="I103" s="1498"/>
      <c r="J103" s="1498"/>
      <c r="K103" s="1498"/>
      <c r="L103" s="1498"/>
      <c r="M103" s="1498"/>
      <c r="N103" s="1498"/>
      <c r="O103" s="1498"/>
      <c r="P103" s="1498"/>
      <c r="Q103" s="1498"/>
      <c r="R103" s="1498"/>
      <c r="S103" s="1496"/>
      <c r="T103" s="1496"/>
      <c r="U103" s="1496"/>
      <c r="V103" s="1499"/>
      <c r="W103" s="1497"/>
    </row>
    <row r="104" spans="1:23" s="1493" customFormat="1" hidden="1" x14ac:dyDescent="0.25">
      <c r="B104" s="1494"/>
      <c r="C104" s="1495"/>
      <c r="D104" s="1494"/>
      <c r="E104" s="1498"/>
      <c r="F104" s="1498"/>
      <c r="G104" s="1498"/>
      <c r="H104" s="1498"/>
      <c r="I104" s="1498"/>
      <c r="J104" s="1498"/>
      <c r="K104" s="1498"/>
      <c r="L104" s="1498"/>
      <c r="M104" s="1498"/>
      <c r="N104" s="1498"/>
      <c r="O104" s="1498"/>
      <c r="P104" s="1498"/>
      <c r="Q104" s="1498"/>
      <c r="R104" s="1498"/>
      <c r="S104" s="1496"/>
      <c r="T104" s="1496"/>
      <c r="U104" s="1496"/>
      <c r="V104" s="1496"/>
      <c r="W104" s="1497"/>
    </row>
    <row r="105" spans="1:23" s="242" customFormat="1" x14ac:dyDescent="0.25">
      <c r="C105" s="1632"/>
      <c r="D105" s="1633"/>
      <c r="E105" s="1634"/>
      <c r="F105" s="1634"/>
      <c r="G105" s="1634"/>
      <c r="H105" s="1634"/>
      <c r="I105" s="1634"/>
      <c r="J105" s="1634"/>
      <c r="K105" s="1634"/>
      <c r="L105" s="1634"/>
      <c r="M105" s="1634"/>
      <c r="N105" s="1634"/>
      <c r="O105" s="1634"/>
      <c r="P105" s="1634"/>
      <c r="Q105" s="1634"/>
      <c r="R105" s="1634"/>
      <c r="S105" s="1634"/>
      <c r="T105" s="1634"/>
      <c r="U105" s="1634"/>
      <c r="V105" s="1634"/>
    </row>
    <row r="106" spans="1:23" x14ac:dyDescent="0.25">
      <c r="E106" s="634"/>
      <c r="F106" s="634"/>
      <c r="G106" s="409"/>
      <c r="H106" s="634"/>
      <c r="I106" s="634"/>
      <c r="K106" s="634"/>
      <c r="L106" s="634"/>
      <c r="N106" s="634"/>
      <c r="O106" s="634"/>
      <c r="Q106" s="634"/>
      <c r="S106" s="634"/>
      <c r="T106" s="409"/>
      <c r="U106" s="634"/>
      <c r="V106" s="409"/>
    </row>
    <row r="107" spans="1:23" x14ac:dyDescent="0.25">
      <c r="T107" s="409"/>
      <c r="V107" s="409"/>
    </row>
    <row r="109" spans="1:23" x14ac:dyDescent="0.25">
      <c r="F109" s="634"/>
      <c r="G109" s="634"/>
      <c r="H109" s="634"/>
      <c r="I109" s="634"/>
      <c r="J109" s="634"/>
      <c r="K109" s="634"/>
      <c r="L109" s="634"/>
      <c r="M109" s="634"/>
      <c r="N109" s="634"/>
      <c r="O109" s="634"/>
      <c r="P109" s="634"/>
      <c r="Q109" s="634"/>
      <c r="R109" s="634"/>
      <c r="S109" s="634"/>
      <c r="T109" s="634"/>
      <c r="U109" s="634"/>
      <c r="V109" s="634"/>
      <c r="W109" s="634"/>
    </row>
    <row r="110" spans="1:23" x14ac:dyDescent="0.25">
      <c r="F110" s="634"/>
      <c r="G110" s="634"/>
      <c r="H110" s="634"/>
      <c r="I110" s="634"/>
      <c r="J110" s="634"/>
      <c r="K110" s="634"/>
      <c r="L110" s="634"/>
      <c r="M110" s="634"/>
      <c r="N110" s="634"/>
      <c r="O110" s="634"/>
      <c r="P110" s="634"/>
      <c r="Q110" s="634"/>
      <c r="R110" s="634"/>
      <c r="S110" s="634"/>
      <c r="T110" s="634"/>
      <c r="U110" s="634"/>
      <c r="V110" s="634"/>
      <c r="W110" s="634"/>
    </row>
    <row r="111" spans="1:23" x14ac:dyDescent="0.25">
      <c r="F111" s="634"/>
      <c r="G111" s="634"/>
      <c r="H111" s="634"/>
      <c r="I111" s="634"/>
      <c r="J111" s="634"/>
      <c r="K111" s="634"/>
      <c r="L111" s="634"/>
      <c r="M111" s="634"/>
      <c r="N111" s="634"/>
      <c r="O111" s="634"/>
      <c r="P111" s="634"/>
      <c r="Q111" s="634"/>
      <c r="R111" s="634"/>
      <c r="S111" s="634"/>
      <c r="T111" s="634"/>
      <c r="U111" s="634"/>
      <c r="V111" s="634"/>
      <c r="W111" s="634"/>
    </row>
    <row r="112" spans="1:23" x14ac:dyDescent="0.25">
      <c r="F112" s="634"/>
    </row>
    <row r="113" spans="6:6" x14ac:dyDescent="0.25">
      <c r="F113" s="634"/>
    </row>
  </sheetData>
  <mergeCells count="30">
    <mergeCell ref="K70:M70"/>
    <mergeCell ref="N70:R70"/>
    <mergeCell ref="S70:T70"/>
    <mergeCell ref="U70:V70"/>
    <mergeCell ref="W70:W72"/>
    <mergeCell ref="B70:B72"/>
    <mergeCell ref="C70:C72"/>
    <mergeCell ref="D70:D72"/>
    <mergeCell ref="E70:G70"/>
    <mergeCell ref="H70:J70"/>
    <mergeCell ref="B37:B39"/>
    <mergeCell ref="C37:C39"/>
    <mergeCell ref="D37:D39"/>
    <mergeCell ref="K37:M37"/>
    <mergeCell ref="N37:R37"/>
    <mergeCell ref="E37:G37"/>
    <mergeCell ref="B8:B10"/>
    <mergeCell ref="C8:C10"/>
    <mergeCell ref="D8:D10"/>
    <mergeCell ref="K8:M8"/>
    <mergeCell ref="N8:R8"/>
    <mergeCell ref="E8:G8"/>
    <mergeCell ref="H8:J8"/>
    <mergeCell ref="S8:T8"/>
    <mergeCell ref="U8:V8"/>
    <mergeCell ref="W8:W10"/>
    <mergeCell ref="H37:J37"/>
    <mergeCell ref="S37:T37"/>
    <mergeCell ref="U37:V37"/>
    <mergeCell ref="W37:W39"/>
  </mergeCells>
  <pageMargins left="0.43307086614173229" right="0.43307086614173229" top="0.9055118110236221" bottom="0.98425196850393704" header="0.51181102362204722" footer="0.51181102362204722"/>
  <pageSetup paperSize="9" scale="41" orientation="landscape" r:id="rId1"/>
  <headerFooter alignWithMargins="0"/>
  <rowBreaks count="1" manualBreakCount="1">
    <brk id="64"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1"/>
  <sheetViews>
    <sheetView workbookViewId="0">
      <selection activeCell="F5" sqref="F5"/>
    </sheetView>
  </sheetViews>
  <sheetFormatPr defaultRowHeight="13" x14ac:dyDescent="0.3"/>
  <cols>
    <col min="1" max="1" width="8.7265625" style="794"/>
    <col min="2" max="2" width="6.36328125" style="1100" bestFit="1" customWidth="1"/>
    <col min="3" max="3" width="39.7265625" style="794" customWidth="1"/>
    <col min="4" max="4" width="10.36328125" style="794" bestFit="1" customWidth="1"/>
    <col min="5" max="5" width="8.81640625" style="794" bestFit="1" customWidth="1"/>
    <col min="6" max="6" width="10.54296875" style="794" customWidth="1"/>
    <col min="7" max="16384" width="8.7265625" style="794"/>
  </cols>
  <sheetData>
    <row r="1" spans="2:6" x14ac:dyDescent="0.3">
      <c r="E1" s="1107" t="s">
        <v>1522</v>
      </c>
    </row>
    <row r="2" spans="2:6" ht="14.5" x14ac:dyDescent="0.3">
      <c r="B2" s="877" t="s">
        <v>187</v>
      </c>
      <c r="C2" s="862" t="s">
        <v>50</v>
      </c>
      <c r="D2" s="1097" t="s">
        <v>404</v>
      </c>
      <c r="E2" s="1097" t="s">
        <v>12</v>
      </c>
    </row>
    <row r="3" spans="2:6" x14ac:dyDescent="0.3">
      <c r="B3" s="2186" t="s">
        <v>179</v>
      </c>
      <c r="C3" s="2186"/>
      <c r="D3" s="2186"/>
      <c r="E3" s="2186"/>
    </row>
    <row r="4" spans="2:6" x14ac:dyDescent="0.3">
      <c r="B4" s="1101">
        <v>1</v>
      </c>
      <c r="C4" s="1335" t="s">
        <v>81</v>
      </c>
      <c r="D4" s="1336">
        <f>'F20'!D100</f>
        <v>3645.9599999999996</v>
      </c>
      <c r="E4" s="1336">
        <f>'F20'!E100</f>
        <v>3334.6552581776555</v>
      </c>
      <c r="F4" s="1400">
        <f>E4</f>
        <v>3334.6552581776555</v>
      </c>
    </row>
    <row r="5" spans="2:6" x14ac:dyDescent="0.3">
      <c r="B5" s="1101">
        <v>2</v>
      </c>
      <c r="C5" s="1098" t="s">
        <v>170</v>
      </c>
      <c r="D5" s="1099">
        <f>'F20'!D102</f>
        <v>3447.52</v>
      </c>
      <c r="E5" s="1099">
        <f>'F20'!E102</f>
        <v>3466.6764150945291</v>
      </c>
      <c r="F5" s="1400">
        <f>E5</f>
        <v>3466.6764150945291</v>
      </c>
    </row>
    <row r="6" spans="2:6" x14ac:dyDescent="0.3">
      <c r="B6" s="1102">
        <v>3</v>
      </c>
      <c r="C6" s="1103" t="s">
        <v>1603</v>
      </c>
      <c r="D6" s="1104">
        <f>D4-D5</f>
        <v>198.4399999999996</v>
      </c>
      <c r="E6" s="1104">
        <f>E4-E5</f>
        <v>-132.02115691687368</v>
      </c>
      <c r="F6" s="1104">
        <f>F4-F5</f>
        <v>-132.02115691687368</v>
      </c>
    </row>
    <row r="7" spans="2:6" x14ac:dyDescent="0.3">
      <c r="B7" s="2186" t="s">
        <v>186</v>
      </c>
      <c r="C7" s="2186"/>
      <c r="D7" s="2186"/>
      <c r="E7" s="2186"/>
    </row>
    <row r="8" spans="2:6" x14ac:dyDescent="0.3">
      <c r="B8" s="1101">
        <v>1</v>
      </c>
      <c r="C8" s="1335" t="s">
        <v>81</v>
      </c>
      <c r="D8" s="1337">
        <f>'F20'!D208</f>
        <v>3853.7972400000003</v>
      </c>
      <c r="E8" s="1337">
        <f>'F20'!E208</f>
        <v>3263.0090432945403</v>
      </c>
      <c r="F8" s="1710">
        <f>E8</f>
        <v>3263.0090432945403</v>
      </c>
    </row>
    <row r="9" spans="2:6" x14ac:dyDescent="0.3">
      <c r="B9" s="1101">
        <v>2</v>
      </c>
      <c r="C9" s="1098" t="s">
        <v>1323</v>
      </c>
      <c r="D9" s="1106">
        <f>'F20'!D209</f>
        <v>-771.5</v>
      </c>
      <c r="E9" s="1106">
        <f>'F20'!E209</f>
        <v>-771.5</v>
      </c>
    </row>
    <row r="10" spans="2:6" x14ac:dyDescent="0.3">
      <c r="B10" s="1101">
        <v>3</v>
      </c>
      <c r="C10" s="1098" t="s">
        <v>1326</v>
      </c>
      <c r="D10" s="1106">
        <f>'F20'!D210</f>
        <v>3082.2972400000003</v>
      </c>
      <c r="E10" s="1106">
        <f>'F20'!E210</f>
        <v>2491.5090432945403</v>
      </c>
      <c r="F10" s="1710">
        <f>F8+F9</f>
        <v>3263.0090432945403</v>
      </c>
    </row>
    <row r="11" spans="2:6" x14ac:dyDescent="0.3">
      <c r="B11" s="1101">
        <v>4</v>
      </c>
      <c r="C11" s="1098" t="s">
        <v>170</v>
      </c>
      <c r="D11" s="1106">
        <f>'F20'!D211</f>
        <v>3393.64</v>
      </c>
      <c r="E11" s="1106">
        <f>'F20'!E211</f>
        <v>2792.7449866595002</v>
      </c>
      <c r="F11" s="1400">
        <f>E11</f>
        <v>2792.7449866595002</v>
      </c>
    </row>
    <row r="12" spans="2:6" x14ac:dyDescent="0.3">
      <c r="B12" s="1102">
        <v>5</v>
      </c>
      <c r="C12" s="1103" t="s">
        <v>1603</v>
      </c>
      <c r="D12" s="1104">
        <f>D10-D11</f>
        <v>-311.34275999999954</v>
      </c>
      <c r="E12" s="1104">
        <f>E10-E11</f>
        <v>-301.23594336495989</v>
      </c>
      <c r="F12" s="1104">
        <f>F10-F11</f>
        <v>470.26405663504011</v>
      </c>
    </row>
    <row r="13" spans="2:6" x14ac:dyDescent="0.3">
      <c r="B13" s="2185" t="s">
        <v>426</v>
      </c>
      <c r="C13" s="2185"/>
      <c r="D13" s="2185"/>
      <c r="E13" s="2185"/>
    </row>
    <row r="14" spans="2:6" x14ac:dyDescent="0.3">
      <c r="B14" s="1101">
        <v>1</v>
      </c>
      <c r="C14" s="1335" t="s">
        <v>81</v>
      </c>
      <c r="D14" s="1338">
        <f>'F20'!D314</f>
        <v>3575.6116050000005</v>
      </c>
      <c r="E14" s="1338">
        <f>'F20'!E314</f>
        <v>3763.6200640834572</v>
      </c>
      <c r="F14" s="1710">
        <f>E14</f>
        <v>3763.6200640834572</v>
      </c>
    </row>
    <row r="15" spans="2:6" x14ac:dyDescent="0.3">
      <c r="B15" s="1101">
        <v>2</v>
      </c>
      <c r="C15" s="1098" t="s">
        <v>1323</v>
      </c>
      <c r="D15" s="1106">
        <v>-340.93</v>
      </c>
      <c r="E15" s="1106">
        <f>D15</f>
        <v>-340.93</v>
      </c>
    </row>
    <row r="16" spans="2:6" x14ac:dyDescent="0.3">
      <c r="B16" s="1101">
        <v>3</v>
      </c>
      <c r="C16" s="1098" t="s">
        <v>1326</v>
      </c>
      <c r="D16" s="1105">
        <f>D14+D15</f>
        <v>3234.6816050000007</v>
      </c>
      <c r="E16" s="1105">
        <f>E14+E15</f>
        <v>3422.6900640834574</v>
      </c>
      <c r="F16" s="1105">
        <f>F14+F15</f>
        <v>3763.6200640834572</v>
      </c>
    </row>
    <row r="17" spans="2:8" x14ac:dyDescent="0.3">
      <c r="B17" s="1101">
        <v>4</v>
      </c>
      <c r="C17" s="1098" t="s">
        <v>170</v>
      </c>
      <c r="D17" s="1105">
        <f>'F20'!D318</f>
        <v>3423.41</v>
      </c>
      <c r="E17" s="1105">
        <f>'F20'!E318</f>
        <v>2995.1919813043796</v>
      </c>
      <c r="F17" s="1710">
        <f>E17</f>
        <v>2995.1919813043796</v>
      </c>
    </row>
    <row r="18" spans="2:8" x14ac:dyDescent="0.3">
      <c r="B18" s="1102">
        <v>5</v>
      </c>
      <c r="C18" s="1103" t="s">
        <v>1603</v>
      </c>
      <c r="D18" s="1108">
        <f>D16-D17</f>
        <v>-188.72839499999918</v>
      </c>
      <c r="E18" s="1108">
        <f>E16-E17</f>
        <v>427.49808277907778</v>
      </c>
      <c r="F18" s="1108">
        <f>F16-F17</f>
        <v>768.42808277907761</v>
      </c>
    </row>
    <row r="19" spans="2:8" x14ac:dyDescent="0.3">
      <c r="B19" s="1339"/>
      <c r="C19" s="1340"/>
      <c r="D19" s="1341"/>
      <c r="E19" s="1341"/>
    </row>
    <row r="20" spans="2:8" x14ac:dyDescent="0.3">
      <c r="B20" s="1101">
        <v>1</v>
      </c>
      <c r="C20" s="1335" t="s">
        <v>81</v>
      </c>
      <c r="D20" s="1106">
        <f t="shared" ref="D20:F22" si="0">D4+D10+D16</f>
        <v>9962.9388450000006</v>
      </c>
      <c r="E20" s="1105">
        <f t="shared" si="0"/>
        <v>9248.8543655556532</v>
      </c>
      <c r="F20" s="1105">
        <f t="shared" si="0"/>
        <v>10361.284365555653</v>
      </c>
    </row>
    <row r="21" spans="2:8" x14ac:dyDescent="0.3">
      <c r="B21" s="1101">
        <v>2</v>
      </c>
      <c r="C21" s="1098" t="s">
        <v>170</v>
      </c>
      <c r="D21" s="1106">
        <f t="shared" si="0"/>
        <v>10264.57</v>
      </c>
      <c r="E21" s="1105">
        <f t="shared" si="0"/>
        <v>9254.6133830584076</v>
      </c>
      <c r="F21" s="1105">
        <f t="shared" si="0"/>
        <v>9254.6133830584076</v>
      </c>
    </row>
    <row r="22" spans="2:8" x14ac:dyDescent="0.3">
      <c r="B22" s="1102">
        <v>3</v>
      </c>
      <c r="C22" s="1103" t="s">
        <v>1604</v>
      </c>
      <c r="D22" s="1108">
        <f t="shared" si="0"/>
        <v>-301.63115499999913</v>
      </c>
      <c r="E22" s="1108">
        <f>E6+E12+E18</f>
        <v>-5.7590175027557962</v>
      </c>
      <c r="F22" s="1108">
        <f>F6+F12+F18</f>
        <v>1106.670982497244</v>
      </c>
    </row>
    <row r="23" spans="2:8" x14ac:dyDescent="0.3">
      <c r="B23" s="1339"/>
      <c r="C23" s="1340"/>
      <c r="D23" s="1341"/>
      <c r="E23" s="1342"/>
    </row>
    <row r="24" spans="2:8" x14ac:dyDescent="0.3">
      <c r="C24" s="1343" t="s">
        <v>1605</v>
      </c>
      <c r="E24" s="1107" t="s">
        <v>1522</v>
      </c>
    </row>
    <row r="25" spans="2:8" ht="14.5" x14ac:dyDescent="0.3">
      <c r="B25" s="877" t="s">
        <v>187</v>
      </c>
      <c r="C25" s="862" t="s">
        <v>50</v>
      </c>
      <c r="D25" s="1097" t="s">
        <v>404</v>
      </c>
      <c r="E25" s="1097" t="s">
        <v>12</v>
      </c>
    </row>
    <row r="26" spans="2:8" x14ac:dyDescent="0.3">
      <c r="B26" s="2186" t="s">
        <v>179</v>
      </c>
      <c r="C26" s="2186"/>
      <c r="D26" s="2186"/>
      <c r="E26" s="2186"/>
    </row>
    <row r="27" spans="2:8" ht="26" x14ac:dyDescent="0.3">
      <c r="B27" s="1101">
        <v>1</v>
      </c>
      <c r="C27" s="1335" t="s">
        <v>286</v>
      </c>
      <c r="D27" s="1336">
        <f>D4</f>
        <v>3645.9599999999996</v>
      </c>
      <c r="E27" s="1336">
        <f>E4</f>
        <v>3334.6552581776555</v>
      </c>
    </row>
    <row r="28" spans="2:8" x14ac:dyDescent="0.3">
      <c r="B28" s="1101">
        <v>2</v>
      </c>
      <c r="C28" s="1098" t="s">
        <v>170</v>
      </c>
      <c r="D28" s="1099">
        <f>D5</f>
        <v>3447.52</v>
      </c>
      <c r="E28" s="1099">
        <f>E5</f>
        <v>3466.6764150945291</v>
      </c>
    </row>
    <row r="29" spans="2:8" x14ac:dyDescent="0.3">
      <c r="B29" s="1102">
        <v>3</v>
      </c>
      <c r="C29" s="1103" t="s">
        <v>175</v>
      </c>
      <c r="D29" s="1104">
        <f>D27-D28</f>
        <v>198.4399999999996</v>
      </c>
      <c r="E29" s="1104">
        <f>E27-E28</f>
        <v>-132.02115691687368</v>
      </c>
    </row>
    <row r="30" spans="2:8" x14ac:dyDescent="0.3">
      <c r="B30" s="2186" t="s">
        <v>186</v>
      </c>
      <c r="C30" s="2186"/>
      <c r="D30" s="2186"/>
      <c r="E30" s="2186"/>
    </row>
    <row r="31" spans="2:8" ht="26" x14ac:dyDescent="0.3">
      <c r="B31" s="1101">
        <v>1</v>
      </c>
      <c r="C31" s="1335" t="s">
        <v>286</v>
      </c>
      <c r="D31" s="1337">
        <f>D8</f>
        <v>3853.7972400000003</v>
      </c>
      <c r="E31" s="1337">
        <f>E8</f>
        <v>3263.0090432945403</v>
      </c>
    </row>
    <row r="32" spans="2:8" x14ac:dyDescent="0.3">
      <c r="B32" s="1101">
        <v>2</v>
      </c>
      <c r="C32" s="1098" t="s">
        <v>1323</v>
      </c>
      <c r="D32" s="1106">
        <f>D9+D29</f>
        <v>-573.0600000000004</v>
      </c>
      <c r="E32" s="1106">
        <f>E6+D9</f>
        <v>-903.52115691687368</v>
      </c>
      <c r="H32" s="1400"/>
    </row>
    <row r="33" spans="2:5" x14ac:dyDescent="0.3">
      <c r="B33" s="1101">
        <v>3</v>
      </c>
      <c r="C33" s="1098" t="s">
        <v>1326</v>
      </c>
      <c r="D33" s="1106">
        <f>D31+D32</f>
        <v>3280.7372399999999</v>
      </c>
      <c r="E33" s="1106">
        <f>E31+E32</f>
        <v>2359.4878863776667</v>
      </c>
    </row>
    <row r="34" spans="2:5" x14ac:dyDescent="0.3">
      <c r="B34" s="1101">
        <v>4</v>
      </c>
      <c r="C34" s="1098" t="s">
        <v>170</v>
      </c>
      <c r="D34" s="1106">
        <f>D11</f>
        <v>3393.64</v>
      </c>
      <c r="E34" s="1106">
        <f>E11</f>
        <v>2792.7449866595002</v>
      </c>
    </row>
    <row r="35" spans="2:5" x14ac:dyDescent="0.3">
      <c r="B35" s="1102">
        <v>5</v>
      </c>
      <c r="C35" s="1103" t="s">
        <v>175</v>
      </c>
      <c r="D35" s="1104">
        <f>D33-D34</f>
        <v>-112.90275999999994</v>
      </c>
      <c r="E35" s="1104">
        <f>E33-E34</f>
        <v>-433.25710028183357</v>
      </c>
    </row>
    <row r="36" spans="2:5" x14ac:dyDescent="0.3">
      <c r="B36" s="2185" t="s">
        <v>426</v>
      </c>
      <c r="C36" s="2185"/>
      <c r="D36" s="2185"/>
      <c r="E36" s="2185"/>
    </row>
    <row r="37" spans="2:5" ht="26" x14ac:dyDescent="0.3">
      <c r="B37" s="1101">
        <v>1</v>
      </c>
      <c r="C37" s="1335" t="s">
        <v>286</v>
      </c>
      <c r="D37" s="1338">
        <f>D14</f>
        <v>3575.6116050000005</v>
      </c>
      <c r="E37" s="1338">
        <f>E14</f>
        <v>3763.6200640834572</v>
      </c>
    </row>
    <row r="38" spans="2:5" x14ac:dyDescent="0.3">
      <c r="B38" s="1101">
        <v>2</v>
      </c>
      <c r="C38" s="1098" t="s">
        <v>1323</v>
      </c>
      <c r="D38" s="1106">
        <f>D15+D35</f>
        <v>-453.83275999999995</v>
      </c>
      <c r="E38" s="1106">
        <f>E35+D15</f>
        <v>-774.18710028183364</v>
      </c>
    </row>
    <row r="39" spans="2:5" x14ac:dyDescent="0.3">
      <c r="B39" s="1101">
        <v>3</v>
      </c>
      <c r="C39" s="1098" t="s">
        <v>1326</v>
      </c>
      <c r="D39" s="1105">
        <f>D37+D38</f>
        <v>3121.7788450000007</v>
      </c>
      <c r="E39" s="1105">
        <f>E37+E38</f>
        <v>2989.4329638016234</v>
      </c>
    </row>
    <row r="40" spans="2:5" x14ac:dyDescent="0.3">
      <c r="B40" s="1101">
        <v>4</v>
      </c>
      <c r="C40" s="1098" t="s">
        <v>170</v>
      </c>
      <c r="D40" s="1105">
        <f>D17</f>
        <v>3423.41</v>
      </c>
      <c r="E40" s="1105">
        <f>E17</f>
        <v>2995.1919813043796</v>
      </c>
    </row>
    <row r="41" spans="2:5" x14ac:dyDescent="0.3">
      <c r="B41" s="1102">
        <v>5</v>
      </c>
      <c r="C41" s="1103" t="s">
        <v>175</v>
      </c>
      <c r="D41" s="1108">
        <f>D39-D40</f>
        <v>-301.63115499999913</v>
      </c>
      <c r="E41" s="1108">
        <f>E39-E40</f>
        <v>-5.7590175027562509</v>
      </c>
    </row>
  </sheetData>
  <mergeCells count="6">
    <mergeCell ref="B36:E36"/>
    <mergeCell ref="B3:E3"/>
    <mergeCell ref="B7:E7"/>
    <mergeCell ref="B13:E13"/>
    <mergeCell ref="B26:E26"/>
    <mergeCell ref="B30:E30"/>
  </mergeCells>
  <pageMargins left="0.7" right="0.7" top="0.75" bottom="0.75" header="0.3" footer="0.3"/>
  <ignoredErrors>
    <ignoredError sqref="D33:E3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7"/>
  <sheetViews>
    <sheetView topLeftCell="A2" zoomScale="62" workbookViewId="0">
      <pane xSplit="2" ySplit="2" topLeftCell="C6" activePane="bottomRight" state="frozen"/>
      <selection activeCell="A2" sqref="A2"/>
      <selection pane="topRight" activeCell="C2" sqref="C2"/>
      <selection pane="bottomLeft" activeCell="A4" sqref="A4"/>
      <selection pane="bottomRight" activeCell="Z26" sqref="Z26:Z27"/>
    </sheetView>
  </sheetViews>
  <sheetFormatPr defaultRowHeight="14.5" outlineLevelCol="1" x14ac:dyDescent="0.35"/>
  <cols>
    <col min="1" max="1" width="8.7265625" style="1662"/>
    <col min="2" max="2" width="39.453125" style="1662" customWidth="1"/>
    <col min="3" max="5" width="11.08984375" style="1662" hidden="1" customWidth="1" outlineLevel="1"/>
    <col min="6" max="6" width="12.08984375" style="1662" hidden="1" customWidth="1" outlineLevel="1"/>
    <col min="7" max="9" width="11.08984375" style="1662" hidden="1" customWidth="1" outlineLevel="1"/>
    <col min="10" max="10" width="11.08984375" style="1662" hidden="1" customWidth="1" outlineLevel="1" collapsed="1"/>
    <col min="11" max="17" width="11.08984375" style="1662" hidden="1" customWidth="1" outlineLevel="1"/>
    <col min="18" max="18" width="0" style="1662" hidden="1" customWidth="1" collapsed="1"/>
    <col min="19" max="25" width="8.7265625" style="1662"/>
    <col min="26" max="26" width="14.453125" style="1662" customWidth="1"/>
    <col min="27" max="16384" width="8.7265625" style="1662"/>
  </cols>
  <sheetData>
    <row r="1" spans="2:26" ht="15" thickBot="1" x14ac:dyDescent="0.4"/>
    <row r="2" spans="2:26" ht="15" thickBot="1" x14ac:dyDescent="0.4">
      <c r="B2" s="1663"/>
      <c r="C2" s="1664"/>
      <c r="D2" s="1664"/>
      <c r="E2" s="1664"/>
      <c r="F2" s="1664"/>
      <c r="G2" s="1664"/>
      <c r="H2" s="1664"/>
      <c r="I2" s="1664"/>
      <c r="J2" s="1664"/>
      <c r="K2" s="1691" t="s">
        <v>12</v>
      </c>
      <c r="L2" s="1691" t="s">
        <v>12</v>
      </c>
      <c r="M2" s="1691" t="s">
        <v>12</v>
      </c>
      <c r="N2" s="1691" t="s">
        <v>1785</v>
      </c>
      <c r="O2" s="1691" t="s">
        <v>1785</v>
      </c>
      <c r="P2" s="1691" t="s">
        <v>1785</v>
      </c>
      <c r="Q2" s="1691"/>
      <c r="S2" s="2187" t="s">
        <v>1771</v>
      </c>
      <c r="T2" s="2188"/>
      <c r="U2" s="2188"/>
      <c r="V2" s="2188"/>
      <c r="W2" s="2188"/>
      <c r="X2" s="2188"/>
      <c r="Y2" s="2189"/>
    </row>
    <row r="3" spans="2:26" ht="72.5" x14ac:dyDescent="0.35">
      <c r="B3" s="1696" t="s">
        <v>1772</v>
      </c>
      <c r="C3" s="1697" t="s">
        <v>1773</v>
      </c>
      <c r="D3" s="1697" t="s">
        <v>1300</v>
      </c>
      <c r="E3" s="1697" t="s">
        <v>1301</v>
      </c>
      <c r="F3" s="1697" t="s">
        <v>1774</v>
      </c>
      <c r="G3" s="1697" t="s">
        <v>1289</v>
      </c>
      <c r="H3" s="1697" t="s">
        <v>1290</v>
      </c>
      <c r="I3" s="1697" t="s">
        <v>177</v>
      </c>
      <c r="J3" s="1697" t="s">
        <v>178</v>
      </c>
      <c r="K3" s="1697" t="s">
        <v>179</v>
      </c>
      <c r="L3" s="1697" t="s">
        <v>186</v>
      </c>
      <c r="M3" s="1697" t="s">
        <v>426</v>
      </c>
      <c r="N3" s="1697" t="s">
        <v>1745</v>
      </c>
      <c r="O3" s="1697" t="s">
        <v>1782</v>
      </c>
      <c r="P3" s="1697" t="s">
        <v>1783</v>
      </c>
      <c r="Q3" s="1698" t="s">
        <v>1784</v>
      </c>
      <c r="S3" s="1666" t="s">
        <v>1775</v>
      </c>
      <c r="T3" s="1665" t="s">
        <v>1776</v>
      </c>
      <c r="U3" s="1665" t="s">
        <v>1777</v>
      </c>
      <c r="V3" s="1667" t="s">
        <v>1778</v>
      </c>
      <c r="W3" s="1667" t="s">
        <v>1779</v>
      </c>
      <c r="X3" s="1665" t="s">
        <v>1780</v>
      </c>
      <c r="Y3" s="1668" t="s">
        <v>1781</v>
      </c>
      <c r="Z3" s="1823" t="s">
        <v>1852</v>
      </c>
    </row>
    <row r="4" spans="2:26" x14ac:dyDescent="0.35">
      <c r="B4" s="1699" t="s">
        <v>293</v>
      </c>
      <c r="C4" s="1669"/>
      <c r="D4" s="1669"/>
      <c r="E4" s="1669"/>
      <c r="F4" s="1669"/>
      <c r="G4" s="1669"/>
      <c r="H4" s="1669"/>
      <c r="I4" s="1669"/>
      <c r="J4" s="1669"/>
      <c r="K4" s="1669"/>
      <c r="L4" s="1669"/>
      <c r="M4" s="1669"/>
      <c r="N4" s="1669"/>
      <c r="O4" s="1705"/>
      <c r="P4" s="1705"/>
      <c r="Q4" s="1705"/>
      <c r="S4" s="1670"/>
      <c r="T4" s="1671"/>
      <c r="U4" s="1671"/>
      <c r="V4" s="1671"/>
      <c r="W4" s="1671"/>
      <c r="X4" s="1671"/>
      <c r="Y4" s="1672"/>
      <c r="Z4" s="1672"/>
    </row>
    <row r="5" spans="2:26" x14ac:dyDescent="0.35">
      <c r="B5" s="1699"/>
      <c r="C5" s="1669"/>
      <c r="D5" s="1669"/>
      <c r="E5" s="1669"/>
      <c r="F5" s="1669"/>
      <c r="G5" s="1669"/>
      <c r="H5" s="1669"/>
      <c r="I5" s="1669"/>
      <c r="J5" s="1669"/>
      <c r="K5" s="1669"/>
      <c r="L5" s="1669"/>
      <c r="M5" s="1669"/>
      <c r="N5" s="1669"/>
      <c r="O5" s="1705"/>
      <c r="P5" s="1705"/>
      <c r="Q5" s="1705"/>
      <c r="S5" s="1670"/>
      <c r="T5" s="1671"/>
      <c r="U5" s="1671"/>
      <c r="V5" s="1671"/>
      <c r="W5" s="1671"/>
      <c r="X5" s="1671"/>
      <c r="Y5" s="1672"/>
      <c r="Z5" s="1672"/>
    </row>
    <row r="6" spans="2:26" x14ac:dyDescent="0.35">
      <c r="B6" s="1700" t="s">
        <v>891</v>
      </c>
      <c r="C6" s="1669">
        <v>149.13999999999999</v>
      </c>
      <c r="D6" s="1669">
        <v>169.4</v>
      </c>
      <c r="E6" s="1669">
        <v>178.77</v>
      </c>
      <c r="F6" s="1669">
        <v>185.4</v>
      </c>
      <c r="G6" s="1669">
        <v>199.51</v>
      </c>
      <c r="H6" s="1669">
        <v>185.36</v>
      </c>
      <c r="I6" s="1669">
        <v>138.97999999999999</v>
      </c>
      <c r="J6" s="1669">
        <v>156.86000000000001</v>
      </c>
      <c r="K6" s="1669">
        <v>178.86294299999997</v>
      </c>
      <c r="L6" s="1673">
        <f>'F1'!P116</f>
        <v>144.91576799999999</v>
      </c>
      <c r="M6" s="1669">
        <f>'F1'!O159</f>
        <v>147.67402899999999</v>
      </c>
      <c r="N6" s="1669">
        <f>'Sales Forecast'!P10</f>
        <v>187.77485163994675</v>
      </c>
      <c r="O6" s="1705">
        <f>'Sales Forecast'!P45</f>
        <v>187.77485163994675</v>
      </c>
      <c r="P6" s="1705">
        <f>'Sales Forecast'!P80</f>
        <v>187.77485163994675</v>
      </c>
      <c r="Q6" s="1706">
        <f>'Sales Forecast'!Q45</f>
        <v>0</v>
      </c>
      <c r="S6" s="1674">
        <f>IFERROR((J6/I6)-1,0)</f>
        <v>0.12865160454741709</v>
      </c>
      <c r="T6" s="1675">
        <f>IFERROR((J6/H6)^(1/2)-1,0)</f>
        <v>-8.0084164402246416E-2</v>
      </c>
      <c r="U6" s="1675">
        <f>IFERROR((J6/G6)^(1/3)-1,0)</f>
        <v>-7.7040776982209125E-2</v>
      </c>
      <c r="V6" s="1675">
        <f>IFERROR((J6/F6)^(1/4)-1,0)</f>
        <v>-4.0929306855885805E-2</v>
      </c>
      <c r="W6" s="1675">
        <f>IFERROR((J6/E6)^(1/5)-1,0)</f>
        <v>-2.5810343531904145E-2</v>
      </c>
      <c r="X6" s="1675">
        <f>IFERROR((J6/C6)^(1/7)-1,0)</f>
        <v>7.2357993203120419E-3</v>
      </c>
      <c r="Y6" s="1676"/>
      <c r="Z6" s="1824">
        <f>'Sales Forecast'!Q80</f>
        <v>0</v>
      </c>
    </row>
    <row r="7" spans="2:26" x14ac:dyDescent="0.35">
      <c r="B7" s="1700" t="s">
        <v>892</v>
      </c>
      <c r="C7" s="1669">
        <f>423.99+5.02</f>
        <v>429.01</v>
      </c>
      <c r="D7" s="1669">
        <f>415.7+4.01</f>
        <v>419.71</v>
      </c>
      <c r="E7" s="1669">
        <f>432.68+7.84</f>
        <v>440.52</v>
      </c>
      <c r="F7" s="1669">
        <f>456.33+11.37</f>
        <v>467.7</v>
      </c>
      <c r="G7" s="1669">
        <f>472.36+7.78</f>
        <v>480.14</v>
      </c>
      <c r="H7" s="1669">
        <f>332.12+8.6</f>
        <v>340.72</v>
      </c>
      <c r="I7" s="1669">
        <f>269.71+11.98</f>
        <v>281.69</v>
      </c>
      <c r="J7" s="1669">
        <f>246.82+21.31</f>
        <v>268.13</v>
      </c>
      <c r="K7" s="1669">
        <v>246.64282600000001</v>
      </c>
      <c r="L7" s="1673">
        <f>'F1'!P117</f>
        <v>162.09427200000002</v>
      </c>
      <c r="M7" s="1669">
        <f>'F1'!O160</f>
        <v>193.68196</v>
      </c>
      <c r="N7" s="1669">
        <f>'Sales Forecast'!P11</f>
        <v>203.63508111472149</v>
      </c>
      <c r="O7" s="1703">
        <f>'Sales Forecast'!P46</f>
        <v>203.63508111472149</v>
      </c>
      <c r="P7" s="1703">
        <f>'Sales Forecast'!P81</f>
        <v>203.63508111472149</v>
      </c>
      <c r="Q7" s="1706">
        <f>'Sales Forecast'!Q46</f>
        <v>0</v>
      </c>
      <c r="S7" s="1674">
        <f t="shared" ref="S7:S13" si="0">IFERROR((J7/I7)-1,0)</f>
        <v>-4.813802406901202E-2</v>
      </c>
      <c r="T7" s="1675">
        <f t="shared" ref="T7:T13" si="1">IFERROR((J7/H7)^(1/2)-1,0)</f>
        <v>-0.1128973214758856</v>
      </c>
      <c r="U7" s="1675">
        <f t="shared" ref="U7:U13" si="2">IFERROR((J7/G7)^(1/3)-1,0)</f>
        <v>-0.17650840032192983</v>
      </c>
      <c r="V7" s="1675">
        <f t="shared" ref="V7:V13" si="3">IFERROR((J7/F7)^(1/4)-1,0)</f>
        <v>-0.12984922852400826</v>
      </c>
      <c r="W7" s="1675">
        <f t="shared" ref="W7:W13" si="4">IFERROR((J7/E7)^(1/5)-1,0)</f>
        <v>-9.4526060182353655E-2</v>
      </c>
      <c r="X7" s="1675">
        <f t="shared" ref="X7:X13" si="5">IFERROR((J7/C7)^(1/7)-1,0)</f>
        <v>-6.4939495968762917E-2</v>
      </c>
      <c r="Y7" s="1676">
        <f t="shared" ref="Y7:Y13" si="6">IFERROR((M7/C7)^(1/10)-1,0)</f>
        <v>-7.6446251002580068E-2</v>
      </c>
      <c r="Z7" s="1824">
        <f>'Sales Forecast'!Q81</f>
        <v>0</v>
      </c>
    </row>
    <row r="8" spans="2:26" x14ac:dyDescent="0.35">
      <c r="B8" s="1700" t="s">
        <v>893</v>
      </c>
      <c r="C8" s="1669">
        <v>31.76</v>
      </c>
      <c r="D8" s="1669">
        <v>32.270000000000003</v>
      </c>
      <c r="E8" s="1669">
        <v>32.82</v>
      </c>
      <c r="F8" s="1669">
        <v>33.19</v>
      </c>
      <c r="G8" s="1669">
        <v>32.020000000000003</v>
      </c>
      <c r="H8" s="1669">
        <v>31.69</v>
      </c>
      <c r="I8" s="1669">
        <v>32.130000000000003</v>
      </c>
      <c r="J8" s="1669">
        <v>30.67</v>
      </c>
      <c r="K8" s="1669">
        <v>30.026651999999999</v>
      </c>
      <c r="L8" s="1673">
        <f>'F1'!P118</f>
        <v>29.008610000000001</v>
      </c>
      <c r="M8" s="1669">
        <f>'F1'!O161</f>
        <v>26.534104999999997</v>
      </c>
      <c r="N8" s="1669">
        <f>'Sales Forecast'!P12</f>
        <v>31.314069347192373</v>
      </c>
      <c r="O8" s="1703">
        <f>'Sales Forecast'!P47</f>
        <v>31.314069347192373</v>
      </c>
      <c r="P8" s="1703">
        <f>'Sales Forecast'!P82</f>
        <v>31.314069347192373</v>
      </c>
      <c r="Q8" s="1706">
        <f>'Sales Forecast'!Q47</f>
        <v>0</v>
      </c>
      <c r="S8" s="1674">
        <f t="shared" si="0"/>
        <v>-4.5440398381574876E-2</v>
      </c>
      <c r="T8" s="1675">
        <f t="shared" si="1"/>
        <v>-1.6225030669693385E-2</v>
      </c>
      <c r="U8" s="1675">
        <f t="shared" si="2"/>
        <v>-1.4255983737087141E-2</v>
      </c>
      <c r="V8" s="1675">
        <f t="shared" si="3"/>
        <v>-1.9547335981192959E-2</v>
      </c>
      <c r="W8" s="1675">
        <f t="shared" si="4"/>
        <v>-1.3459225127208096E-2</v>
      </c>
      <c r="X8" s="1675">
        <f t="shared" si="5"/>
        <v>-4.9765270317763122E-3</v>
      </c>
      <c r="Y8" s="1676">
        <f t="shared" si="6"/>
        <v>-1.7817040622921776E-2</v>
      </c>
      <c r="Z8" s="1824">
        <f>'Sales Forecast'!Q82</f>
        <v>0</v>
      </c>
    </row>
    <row r="9" spans="2:26" x14ac:dyDescent="0.35">
      <c r="B9" s="1700" t="s">
        <v>1705</v>
      </c>
      <c r="C9" s="1669">
        <v>0</v>
      </c>
      <c r="D9" s="1669">
        <v>0</v>
      </c>
      <c r="E9" s="1669">
        <v>0</v>
      </c>
      <c r="F9" s="1669">
        <v>0</v>
      </c>
      <c r="G9" s="1669">
        <v>0</v>
      </c>
      <c r="H9" s="1669">
        <v>0.94</v>
      </c>
      <c r="I9" s="1669">
        <v>2.2799999999999998</v>
      </c>
      <c r="J9" s="1669">
        <v>2.14</v>
      </c>
      <c r="K9" s="1669">
        <v>2.2195319999999996</v>
      </c>
      <c r="L9" s="1673">
        <f>'F1'!P119</f>
        <v>1.8214940000000002</v>
      </c>
      <c r="M9" s="1669">
        <f>'F1'!O162</f>
        <v>2.5235099999999999</v>
      </c>
      <c r="N9" s="1669">
        <f>'Sales Forecast'!P13</f>
        <v>2.1310556263460185</v>
      </c>
      <c r="O9" s="1703">
        <f>'Sales Forecast'!P48</f>
        <v>2.1310556263460185</v>
      </c>
      <c r="P9" s="1703">
        <f>'Sales Forecast'!P83</f>
        <v>2.1310556263460185</v>
      </c>
      <c r="Q9" s="1706">
        <f>'Sales Forecast'!Q48</f>
        <v>0</v>
      </c>
      <c r="S9" s="1674">
        <f t="shared" si="0"/>
        <v>-6.1403508771929682E-2</v>
      </c>
      <c r="T9" s="1675">
        <f t="shared" si="1"/>
        <v>0.50883920438224672</v>
      </c>
      <c r="U9" s="1675">
        <f t="shared" si="2"/>
        <v>0</v>
      </c>
      <c r="V9" s="1675">
        <f t="shared" si="3"/>
        <v>0</v>
      </c>
      <c r="W9" s="1675">
        <f t="shared" si="4"/>
        <v>0</v>
      </c>
      <c r="X9" s="1675">
        <f t="shared" si="5"/>
        <v>0</v>
      </c>
      <c r="Y9" s="1676">
        <f t="shared" si="6"/>
        <v>0</v>
      </c>
      <c r="Z9" s="1824">
        <f>'Sales Forecast'!Q83</f>
        <v>0</v>
      </c>
    </row>
    <row r="10" spans="2:26" x14ac:dyDescent="0.35">
      <c r="B10" s="1700" t="s">
        <v>1706</v>
      </c>
      <c r="C10" s="1669">
        <v>0</v>
      </c>
      <c r="D10" s="1669">
        <v>0</v>
      </c>
      <c r="E10" s="1669">
        <v>0</v>
      </c>
      <c r="F10" s="1669">
        <v>0</v>
      </c>
      <c r="G10" s="1669">
        <v>0</v>
      </c>
      <c r="H10" s="1669">
        <v>75.2</v>
      </c>
      <c r="I10" s="1669">
        <v>26.46</v>
      </c>
      <c r="J10" s="1669">
        <v>26.61</v>
      </c>
      <c r="K10" s="1669">
        <v>25.843350000000001</v>
      </c>
      <c r="L10" s="1673">
        <f>'F1'!P120</f>
        <v>21.803226000000002</v>
      </c>
      <c r="M10" s="1669">
        <f>'F1'!O163</f>
        <v>26.260580000000001</v>
      </c>
      <c r="N10" s="1669">
        <f>'Sales Forecast'!P14</f>
        <v>27.241468482865635</v>
      </c>
      <c r="O10" s="1703">
        <f>'Sales Forecast'!P49</f>
        <v>27.241468482865635</v>
      </c>
      <c r="P10" s="1703">
        <f>'Sales Forecast'!P84</f>
        <v>27.241468482865635</v>
      </c>
      <c r="Q10" s="1706">
        <f>'Sales Forecast'!Q49</f>
        <v>0</v>
      </c>
      <c r="S10" s="1674">
        <f t="shared" si="0"/>
        <v>5.6689342403628551E-3</v>
      </c>
      <c r="T10" s="1675">
        <f t="shared" si="1"/>
        <v>-0.40514171185170211</v>
      </c>
      <c r="U10" s="1675">
        <f t="shared" si="2"/>
        <v>0</v>
      </c>
      <c r="V10" s="1675">
        <f t="shared" si="3"/>
        <v>0</v>
      </c>
      <c r="W10" s="1675">
        <f t="shared" si="4"/>
        <v>0</v>
      </c>
      <c r="X10" s="1675">
        <f t="shared" si="5"/>
        <v>0</v>
      </c>
      <c r="Y10" s="1676">
        <f t="shared" si="6"/>
        <v>0</v>
      </c>
      <c r="Z10" s="1824">
        <f>'Sales Forecast'!Q84</f>
        <v>0</v>
      </c>
    </row>
    <row r="11" spans="2:26" x14ac:dyDescent="0.35">
      <c r="B11" s="1700" t="s">
        <v>1707</v>
      </c>
      <c r="C11" s="1669">
        <v>0</v>
      </c>
      <c r="D11" s="1669">
        <v>0</v>
      </c>
      <c r="E11" s="1669">
        <v>0</v>
      </c>
      <c r="F11" s="1669">
        <v>0</v>
      </c>
      <c r="G11" s="1669">
        <v>0</v>
      </c>
      <c r="H11" s="1669">
        <f>60.29+13.95</f>
        <v>74.239999999999995</v>
      </c>
      <c r="I11" s="1669">
        <f>167.06+38.46</f>
        <v>205.52</v>
      </c>
      <c r="J11" s="1669">
        <f>161.08+35.75</f>
        <v>196.83</v>
      </c>
      <c r="K11" s="1669">
        <v>197.204475</v>
      </c>
      <c r="L11" s="1673">
        <f>'F1'!P121</f>
        <v>184.75111199999998</v>
      </c>
      <c r="M11" s="1669">
        <f>'F1'!O164</f>
        <v>184.86755000000002</v>
      </c>
      <c r="N11" s="1669">
        <f>'Sales Forecast'!P15</f>
        <v>182.61175644088149</v>
      </c>
      <c r="O11" s="1703">
        <f>'Sales Forecast'!P50</f>
        <v>182.61175644088149</v>
      </c>
      <c r="P11" s="1703">
        <f>'Sales Forecast'!P85</f>
        <v>182.61175644088149</v>
      </c>
      <c r="Q11" s="1706">
        <f>'Sales Forecast'!Q50</f>
        <v>0</v>
      </c>
      <c r="S11" s="1674">
        <f t="shared" si="0"/>
        <v>-4.2282989490073919E-2</v>
      </c>
      <c r="T11" s="1675">
        <f t="shared" si="1"/>
        <v>0.62827091228490106</v>
      </c>
      <c r="U11" s="1675">
        <f t="shared" si="2"/>
        <v>0</v>
      </c>
      <c r="V11" s="1675">
        <f t="shared" si="3"/>
        <v>0</v>
      </c>
      <c r="W11" s="1675">
        <f t="shared" si="4"/>
        <v>0</v>
      </c>
      <c r="X11" s="1675">
        <f t="shared" si="5"/>
        <v>0</v>
      </c>
      <c r="Y11" s="1676">
        <f t="shared" si="6"/>
        <v>0</v>
      </c>
      <c r="Z11" s="1824">
        <f>'Sales Forecast'!Q85</f>
        <v>0</v>
      </c>
    </row>
    <row r="12" spans="2:26" x14ac:dyDescent="0.35">
      <c r="B12" s="1700" t="s">
        <v>1704</v>
      </c>
      <c r="C12" s="1669"/>
      <c r="D12" s="1669"/>
      <c r="E12" s="1669"/>
      <c r="F12" s="1669"/>
      <c r="G12" s="1669"/>
      <c r="H12" s="1669"/>
      <c r="I12" s="1669"/>
      <c r="J12" s="1669"/>
      <c r="K12" s="1669">
        <v>0</v>
      </c>
      <c r="L12" s="1673">
        <f>'F1'!P122</f>
        <v>0</v>
      </c>
      <c r="M12" s="1669">
        <f>'F1'!O165</f>
        <v>0</v>
      </c>
      <c r="N12" s="1669">
        <f>'Sales Forecast'!P16</f>
        <v>0</v>
      </c>
      <c r="O12" s="1703">
        <f>'Sales Forecast'!P51</f>
        <v>0</v>
      </c>
      <c r="P12" s="1703">
        <f>'Sales Forecast'!P86</f>
        <v>0</v>
      </c>
      <c r="Q12" s="1707"/>
      <c r="S12" s="1674">
        <f t="shared" si="0"/>
        <v>0</v>
      </c>
      <c r="T12" s="1675">
        <f t="shared" si="1"/>
        <v>0</v>
      </c>
      <c r="U12" s="1675">
        <f t="shared" si="2"/>
        <v>0</v>
      </c>
      <c r="V12" s="1675">
        <f t="shared" si="3"/>
        <v>0</v>
      </c>
      <c r="W12" s="1675">
        <f t="shared" si="4"/>
        <v>0</v>
      </c>
      <c r="X12" s="1675">
        <f t="shared" si="5"/>
        <v>0</v>
      </c>
      <c r="Y12" s="1676">
        <f t="shared" si="6"/>
        <v>0</v>
      </c>
      <c r="Z12" s="1824">
        <f>'Sales Forecast'!Q86</f>
        <v>0</v>
      </c>
    </row>
    <row r="13" spans="2:26" x14ac:dyDescent="0.35">
      <c r="B13" s="1701" t="s">
        <v>998</v>
      </c>
      <c r="C13" s="1678">
        <f t="shared" ref="C13:P13" si="7">SUM(C6:C11)</f>
        <v>609.91</v>
      </c>
      <c r="D13" s="1678">
        <f t="shared" si="7"/>
        <v>621.38</v>
      </c>
      <c r="E13" s="1678">
        <f t="shared" si="7"/>
        <v>652.11</v>
      </c>
      <c r="F13" s="1678">
        <f t="shared" si="7"/>
        <v>686.29</v>
      </c>
      <c r="G13" s="1678">
        <f t="shared" si="7"/>
        <v>711.67</v>
      </c>
      <c r="H13" s="1678">
        <f t="shared" si="7"/>
        <v>708.1500000000002</v>
      </c>
      <c r="I13" s="1678">
        <f t="shared" si="7"/>
        <v>687.06</v>
      </c>
      <c r="J13" s="1678">
        <f t="shared" si="7"/>
        <v>681.24</v>
      </c>
      <c r="K13" s="1678">
        <f t="shared" si="7"/>
        <v>680.79977800000006</v>
      </c>
      <c r="L13" s="1678">
        <f t="shared" si="7"/>
        <v>544.39448199999993</v>
      </c>
      <c r="M13" s="1678">
        <f t="shared" si="7"/>
        <v>581.54173400000002</v>
      </c>
      <c r="N13" s="1678">
        <f t="shared" si="7"/>
        <v>634.70828265195382</v>
      </c>
      <c r="O13" s="1708">
        <f t="shared" si="7"/>
        <v>634.70828265195382</v>
      </c>
      <c r="P13" s="1708">
        <f t="shared" si="7"/>
        <v>634.70828265195382</v>
      </c>
      <c r="Q13" s="1704"/>
      <c r="R13" s="1679"/>
      <c r="S13" s="1674">
        <f t="shared" si="0"/>
        <v>-8.4708759060343475E-3</v>
      </c>
      <c r="T13" s="1675">
        <f t="shared" si="1"/>
        <v>-1.9184229143443976E-2</v>
      </c>
      <c r="U13" s="1675">
        <f t="shared" si="2"/>
        <v>-1.446097233847965E-2</v>
      </c>
      <c r="V13" s="1675">
        <f t="shared" si="3"/>
        <v>-1.8446994342545819E-3</v>
      </c>
      <c r="W13" s="1675">
        <f t="shared" si="4"/>
        <v>8.778589309713869E-3</v>
      </c>
      <c r="X13" s="1675">
        <f t="shared" si="5"/>
        <v>1.5925953364031464E-2</v>
      </c>
      <c r="Y13" s="1676">
        <f t="shared" si="6"/>
        <v>-4.7515421721721074E-3</v>
      </c>
      <c r="Z13" s="1824"/>
    </row>
    <row r="14" spans="2:26" x14ac:dyDescent="0.35">
      <c r="B14" s="1700"/>
      <c r="C14" s="1669"/>
      <c r="D14" s="1669"/>
      <c r="E14" s="1669"/>
      <c r="F14" s="1669"/>
      <c r="G14" s="1669"/>
      <c r="H14" s="1669"/>
      <c r="I14" s="1669"/>
      <c r="J14" s="1669"/>
      <c r="K14" s="1669"/>
      <c r="L14" s="1669"/>
      <c r="M14" s="1669"/>
      <c r="N14" s="1669"/>
      <c r="O14" s="1703"/>
      <c r="P14" s="1703"/>
      <c r="Q14" s="1707"/>
      <c r="S14" s="1674"/>
      <c r="T14" s="1675"/>
      <c r="U14" s="1675"/>
      <c r="V14" s="1675"/>
      <c r="W14" s="1675"/>
      <c r="X14" s="1675"/>
      <c r="Y14" s="1676"/>
      <c r="Z14" s="1824"/>
    </row>
    <row r="15" spans="2:26" x14ac:dyDescent="0.35">
      <c r="B15" s="1699" t="s">
        <v>294</v>
      </c>
      <c r="C15" s="1669"/>
      <c r="D15" s="1669"/>
      <c r="E15" s="1669"/>
      <c r="F15" s="1669"/>
      <c r="G15" s="1669"/>
      <c r="H15" s="1669"/>
      <c r="I15" s="1669"/>
      <c r="J15" s="1669"/>
      <c r="K15" s="1669"/>
      <c r="L15" s="1669"/>
      <c r="M15" s="1669"/>
      <c r="N15" s="1669"/>
      <c r="O15" s="1703"/>
      <c r="P15" s="1703"/>
      <c r="Q15" s="1707"/>
      <c r="S15" s="1674"/>
      <c r="T15" s="1675"/>
      <c r="U15" s="1675"/>
      <c r="V15" s="1675"/>
      <c r="W15" s="1675"/>
      <c r="X15" s="1675"/>
      <c r="Y15" s="1676"/>
      <c r="Z15" s="1824"/>
    </row>
    <row r="16" spans="2:26" x14ac:dyDescent="0.35">
      <c r="B16" s="1700"/>
      <c r="C16" s="1669"/>
      <c r="D16" s="1669"/>
      <c r="E16" s="1669"/>
      <c r="F16" s="1669"/>
      <c r="G16" s="1669"/>
      <c r="H16" s="1669"/>
      <c r="I16" s="1669"/>
      <c r="J16" s="1669"/>
      <c r="K16" s="1669"/>
      <c r="L16" s="1669"/>
      <c r="M16" s="1669"/>
      <c r="N16" s="1669"/>
      <c r="O16" s="1703"/>
      <c r="P16" s="1703"/>
      <c r="Q16" s="1707"/>
      <c r="S16" s="1674"/>
      <c r="T16" s="1675"/>
      <c r="U16" s="1675"/>
      <c r="V16" s="1675"/>
      <c r="W16" s="1675"/>
      <c r="X16" s="1675"/>
      <c r="Y16" s="1676"/>
      <c r="Z16" s="1824"/>
    </row>
    <row r="17" spans="2:27" x14ac:dyDescent="0.35">
      <c r="B17" s="1700" t="s">
        <v>898</v>
      </c>
      <c r="C17" s="1669">
        <v>0.23</v>
      </c>
      <c r="D17" s="1669">
        <v>0.39</v>
      </c>
      <c r="E17" s="1669">
        <v>7.0000000000000007E-2</v>
      </c>
      <c r="F17" s="1669">
        <v>0.05</v>
      </c>
      <c r="G17" s="1669">
        <v>0.21</v>
      </c>
      <c r="H17" s="1669">
        <v>0.06</v>
      </c>
      <c r="I17" s="1669">
        <v>0.21506400000000001</v>
      </c>
      <c r="J17" s="1669">
        <v>7.3140000000000011E-2</v>
      </c>
      <c r="K17" s="1673">
        <v>3.2233999999999999E-2</v>
      </c>
      <c r="L17" s="1673">
        <f>'F1'!P127</f>
        <v>2.0171999999999999E-2</v>
      </c>
      <c r="M17" s="1669">
        <f>'F1'!O170</f>
        <v>8.3580000000000008E-3</v>
      </c>
      <c r="N17" s="1669">
        <f>'Sales Forecast'!P21</f>
        <v>3.5998039046489051E-2</v>
      </c>
      <c r="O17" s="1703">
        <f>'Sales Forecast'!P56</f>
        <v>3.5998039046489051E-2</v>
      </c>
      <c r="P17" s="1703">
        <f>'Sales Forecast'!P91</f>
        <v>3.5998039046489051E-2</v>
      </c>
      <c r="Q17" s="1706">
        <f>'Sales Forecast'!Q56</f>
        <v>0</v>
      </c>
      <c r="S17" s="1674">
        <f t="shared" ref="S17:S28" si="8">IFERROR((J17/I17)-1,0)</f>
        <v>-0.6599151880370494</v>
      </c>
      <c r="T17" s="1675">
        <f t="shared" ref="T17:T28" si="9">IFERROR((J17/H17)^(1/2)-1,0)</f>
        <v>0.10408333018844207</v>
      </c>
      <c r="U17" s="1675">
        <f t="shared" ref="U17:U28" si="10">IFERROR((J17/G17)^(1/3)-1,0)</f>
        <v>-0.29642258980359981</v>
      </c>
      <c r="V17" s="1675">
        <f t="shared" ref="V17:V28" si="11">IFERROR((J17/F17)^(1/4)-1,0)</f>
        <v>9.9755741344080606E-2</v>
      </c>
      <c r="W17" s="1675">
        <f t="shared" ref="W17:W28" si="12">IFERROR((J17/E17)^(1/5)-1,0)</f>
        <v>8.8146564227689073E-3</v>
      </c>
      <c r="X17" s="1675">
        <f t="shared" ref="X17:X28" si="13">IFERROR((J17/C17)^(1/7)-1,0)</f>
        <v>-0.15097953248657081</v>
      </c>
      <c r="Y17" s="1676">
        <f t="shared" ref="Y17:Y25" si="14">IFERROR((M17/C17)^(1/10)-1,0)</f>
        <v>-0.28214380426828323</v>
      </c>
      <c r="Z17" s="1824">
        <f>'Sales Forecast'!Q91</f>
        <v>0</v>
      </c>
    </row>
    <row r="18" spans="2:27" x14ac:dyDescent="0.35">
      <c r="B18" s="1700" t="s">
        <v>899</v>
      </c>
      <c r="C18" s="1669">
        <f>1731.06+0.09+1.26</f>
        <v>1732.4099999999999</v>
      </c>
      <c r="D18" s="1669">
        <f>1800.26+1.6+1.24</f>
        <v>1803.1</v>
      </c>
      <c r="E18" s="1669">
        <f>1795.93+4.06+1.41</f>
        <v>1801.4</v>
      </c>
      <c r="F18" s="1669">
        <f>1846.51+2.27+1.2</f>
        <v>1849.98</v>
      </c>
      <c r="G18" s="1669">
        <f>1940.99+2.36+1.3</f>
        <v>1944.6499999999999</v>
      </c>
      <c r="H18" s="1669">
        <f>1855.43+2.69+1.46</f>
        <v>1859.5800000000002</v>
      </c>
      <c r="I18" s="1669">
        <f>1967.490663+0.21+1.66</f>
        <v>1969.3606630000002</v>
      </c>
      <c r="J18" s="1669">
        <f>2020.599692+0.2+1.54</f>
        <v>2022.339692</v>
      </c>
      <c r="K18" s="1669">
        <v>2036.33</v>
      </c>
      <c r="L18" s="1673">
        <f>SUM('F1'!P129:P132)</f>
        <v>1903.4283230000003</v>
      </c>
      <c r="M18" s="1683">
        <f>SUM('F1'!O172:O175)</f>
        <v>1987.7270170000002</v>
      </c>
      <c r="N18" s="1669">
        <f>SUM('Sales Forecast'!P23:P26)</f>
        <v>2103.7605113787959</v>
      </c>
      <c r="O18" s="1703">
        <f>SUM('Sales Forecast'!P58:P61)</f>
        <v>2132.16127828241</v>
      </c>
      <c r="P18" s="1703">
        <f>SUM('Sales Forecast'!P93:P96)</f>
        <v>2160.9454555392226</v>
      </c>
      <c r="Q18" s="1706">
        <f>'Sales Forecast'!Q58</f>
        <v>1.35E-2</v>
      </c>
      <c r="S18" s="1674">
        <f t="shared" si="8"/>
        <v>2.6901638686788187E-2</v>
      </c>
      <c r="T18" s="1675">
        <f t="shared" si="9"/>
        <v>4.2844654997376663E-2</v>
      </c>
      <c r="U18" s="1675">
        <f t="shared" si="10"/>
        <v>1.3143321415139742E-2</v>
      </c>
      <c r="V18" s="1675">
        <f t="shared" si="11"/>
        <v>2.2519898184124143E-2</v>
      </c>
      <c r="W18" s="1675">
        <f t="shared" si="12"/>
        <v>2.3407957415858771E-2</v>
      </c>
      <c r="X18" s="1675">
        <f t="shared" si="13"/>
        <v>2.2352089901813255E-2</v>
      </c>
      <c r="Y18" s="1676">
        <f t="shared" si="14"/>
        <v>1.3842764017111486E-2</v>
      </c>
      <c r="Z18" s="1824">
        <f>'Sales Forecast'!$Q$93</f>
        <v>1.35E-2</v>
      </c>
    </row>
    <row r="19" spans="2:27" x14ac:dyDescent="0.35">
      <c r="B19" s="1700" t="s">
        <v>904</v>
      </c>
      <c r="C19" s="1669">
        <v>937.59</v>
      </c>
      <c r="D19" s="1669">
        <v>959.46</v>
      </c>
      <c r="E19" s="1669">
        <v>930.2600000000001</v>
      </c>
      <c r="F19" s="1669">
        <v>923.57</v>
      </c>
      <c r="G19" s="1669">
        <v>946.08</v>
      </c>
      <c r="H19" s="1669">
        <v>892.1400000000001</v>
      </c>
      <c r="I19" s="1669">
        <v>912.33590700000013</v>
      </c>
      <c r="J19" s="1669">
        <v>903.64187000000015</v>
      </c>
      <c r="K19" s="1669">
        <v>897.92</v>
      </c>
      <c r="L19" s="1673">
        <f>'F1'!P133</f>
        <v>533.84718399999997</v>
      </c>
      <c r="M19" s="1669">
        <f>'F1'!O176</f>
        <v>676.08485699999994</v>
      </c>
      <c r="N19" s="1669">
        <f>'Sales Forecast'!P27</f>
        <v>826.49127976317072</v>
      </c>
      <c r="O19" s="1703">
        <f>'Sales Forecast'!P62</f>
        <v>833.6817538971103</v>
      </c>
      <c r="P19" s="1703">
        <f>'Sales Forecast'!P97</f>
        <v>840.9347851560151</v>
      </c>
      <c r="Q19" s="1706">
        <f>'Sales Forecast'!Q62</f>
        <v>8.6999999999999994E-3</v>
      </c>
      <c r="S19" s="1674">
        <f t="shared" si="8"/>
        <v>-9.5294254378173182E-3</v>
      </c>
      <c r="T19" s="1675">
        <f t="shared" si="9"/>
        <v>6.425580763690153E-3</v>
      </c>
      <c r="U19" s="1675">
        <f t="shared" si="10"/>
        <v>-1.5181583851738512E-2</v>
      </c>
      <c r="V19" s="1675">
        <f t="shared" si="11"/>
        <v>-5.4385261187049894E-3</v>
      </c>
      <c r="W19" s="1675">
        <f t="shared" si="12"/>
        <v>-5.7893759149804103E-3</v>
      </c>
      <c r="X19" s="1675">
        <f t="shared" si="13"/>
        <v>-5.2546646725281088E-3</v>
      </c>
      <c r="Y19" s="1676">
        <f t="shared" si="14"/>
        <v>-3.2170569793580461E-2</v>
      </c>
      <c r="Z19" s="1824">
        <f>'Sales Forecast'!Q97</f>
        <v>8.6999999999999994E-3</v>
      </c>
    </row>
    <row r="20" spans="2:27" x14ac:dyDescent="0.35">
      <c r="B20" s="1700" t="s">
        <v>1708</v>
      </c>
      <c r="C20" s="1669">
        <f>273.14+3.21</f>
        <v>276.34999999999997</v>
      </c>
      <c r="D20" s="1669">
        <f>260.89+2.66</f>
        <v>263.55</v>
      </c>
      <c r="E20" s="1669">
        <f>240.95+1.81</f>
        <v>242.76</v>
      </c>
      <c r="F20" s="1669">
        <f>234.59+1.6</f>
        <v>236.19</v>
      </c>
      <c r="G20" s="1669">
        <f>236.19+1.68</f>
        <v>237.87</v>
      </c>
      <c r="H20" s="1669">
        <f>221.87+1.69</f>
        <v>223.56</v>
      </c>
      <c r="I20" s="1669">
        <f>214.433562+1.63</f>
        <v>216.06356199999999</v>
      </c>
      <c r="J20" s="1669">
        <f>211.310354+1.52</f>
        <v>212.830354</v>
      </c>
      <c r="K20" s="1669">
        <v>209.245994</v>
      </c>
      <c r="L20" s="1673">
        <f>'F1'!P134</f>
        <v>151.07274899999999</v>
      </c>
      <c r="M20" s="1669">
        <f>'F1'!O177</f>
        <v>144.39367000000001</v>
      </c>
      <c r="N20" s="1669">
        <f>'Sales Forecast'!P28</f>
        <v>170.7574536648516</v>
      </c>
      <c r="O20" s="1703">
        <f>'Sales Forecast'!P63</f>
        <v>172.24304351173583</v>
      </c>
      <c r="P20" s="1703">
        <f>'Sales Forecast'!P98</f>
        <v>173.7415579902879</v>
      </c>
      <c r="Q20" s="1706">
        <f>'Sales Forecast'!Q63</f>
        <v>8.6999999999999994E-3</v>
      </c>
      <c r="S20" s="1674">
        <f t="shared" si="8"/>
        <v>-1.4964152076692994E-2</v>
      </c>
      <c r="T20" s="1675">
        <f t="shared" si="9"/>
        <v>-2.4292297985211819E-2</v>
      </c>
      <c r="U20" s="1675">
        <f t="shared" si="10"/>
        <v>-3.6397396013781447E-2</v>
      </c>
      <c r="V20" s="1675">
        <f t="shared" si="11"/>
        <v>-2.5699298354787459E-2</v>
      </c>
      <c r="W20" s="1675">
        <f t="shared" si="12"/>
        <v>-2.597234501961021E-2</v>
      </c>
      <c r="X20" s="1675">
        <f t="shared" si="13"/>
        <v>-3.662294192860549E-2</v>
      </c>
      <c r="Y20" s="1676">
        <f t="shared" si="14"/>
        <v>-6.2850519890852774E-2</v>
      </c>
      <c r="Z20" s="1824">
        <f>'Sales Forecast'!Q98</f>
        <v>8.6999999999999994E-3</v>
      </c>
    </row>
    <row r="21" spans="2:27" x14ac:dyDescent="0.35">
      <c r="B21" s="1700" t="s">
        <v>1709</v>
      </c>
      <c r="C21" s="1669">
        <v>546.12</v>
      </c>
      <c r="D21" s="1669">
        <v>516.41999999999996</v>
      </c>
      <c r="E21" s="1669">
        <v>470.7</v>
      </c>
      <c r="F21" s="1669">
        <v>462.91</v>
      </c>
      <c r="G21" s="1669">
        <v>462.17</v>
      </c>
      <c r="H21" s="1669">
        <v>407.91</v>
      </c>
      <c r="I21" s="1669">
        <f>368.80244</f>
        <v>368.80243999999999</v>
      </c>
      <c r="J21" s="1669">
        <v>370.32386600000001</v>
      </c>
      <c r="K21" s="1669">
        <v>369.40714899999995</v>
      </c>
      <c r="L21" s="1673">
        <f>'F1'!P135</f>
        <v>283.889613</v>
      </c>
      <c r="M21" s="1669">
        <f>'F1'!O178</f>
        <v>290.95920999999998</v>
      </c>
      <c r="N21" s="1669">
        <f>'Sales Forecast'!P29</f>
        <v>358.2343891645337</v>
      </c>
      <c r="O21" s="1703">
        <f>'Sales Forecast'!P64</f>
        <v>358.2343891645337</v>
      </c>
      <c r="P21" s="1703">
        <f>'Sales Forecast'!P99</f>
        <v>358.2343891645337</v>
      </c>
      <c r="Q21" s="1706">
        <f>'Sales Forecast'!Q64</f>
        <v>0</v>
      </c>
      <c r="S21" s="1674">
        <f t="shared" si="8"/>
        <v>4.1253143552955063E-3</v>
      </c>
      <c r="T21" s="1675">
        <f t="shared" si="9"/>
        <v>-4.7184804464978747E-2</v>
      </c>
      <c r="U21" s="1675">
        <f t="shared" si="10"/>
        <v>-7.1190497300561151E-2</v>
      </c>
      <c r="V21" s="1675">
        <f t="shared" si="11"/>
        <v>-5.4261030354487039E-2</v>
      </c>
      <c r="W21" s="1675">
        <f t="shared" si="12"/>
        <v>-4.6836286361937596E-2</v>
      </c>
      <c r="X21" s="1675">
        <f t="shared" si="13"/>
        <v>-5.3982678043061783E-2</v>
      </c>
      <c r="Y21" s="1676">
        <f t="shared" si="14"/>
        <v>-6.1024192887425666E-2</v>
      </c>
      <c r="Z21" s="1824">
        <f>'Sales Forecast'!Q99</f>
        <v>0</v>
      </c>
    </row>
    <row r="22" spans="2:27" x14ac:dyDescent="0.35">
      <c r="B22" s="1700" t="s">
        <v>908</v>
      </c>
      <c r="C22" s="1669">
        <v>50.52</v>
      </c>
      <c r="D22" s="1669">
        <v>48.25</v>
      </c>
      <c r="E22" s="1669">
        <v>45.19</v>
      </c>
      <c r="F22" s="1669">
        <f>43.62+1.6</f>
        <v>45.22</v>
      </c>
      <c r="G22" s="1669">
        <v>43.11</v>
      </c>
      <c r="H22" s="1669">
        <f>41.97</f>
        <v>41.97</v>
      </c>
      <c r="I22" s="1669">
        <v>43.090337000000005</v>
      </c>
      <c r="J22" s="1669">
        <v>43.270800000000008</v>
      </c>
      <c r="K22" s="1669">
        <v>46.877509999999994</v>
      </c>
      <c r="L22" s="1673">
        <f>'F1'!P136</f>
        <v>72.889521999999999</v>
      </c>
      <c r="M22" s="1669">
        <f>'F1'!O179</f>
        <v>93.717031999999989</v>
      </c>
      <c r="N22" s="1669">
        <f>'Sales Forecast'!P30</f>
        <v>105.7392569038896</v>
      </c>
      <c r="O22" s="1703">
        <f>'Sales Forecast'!P65</f>
        <v>105.7392569038896</v>
      </c>
      <c r="P22" s="1703">
        <f>'Sales Forecast'!P100</f>
        <v>105.7392569038896</v>
      </c>
      <c r="Q22" s="1706">
        <f>'Sales Forecast'!Q65</f>
        <v>0</v>
      </c>
      <c r="S22" s="1674">
        <f t="shared" si="8"/>
        <v>4.1880155172608902E-3</v>
      </c>
      <c r="T22" s="1675">
        <f t="shared" si="9"/>
        <v>1.5378533766325253E-2</v>
      </c>
      <c r="U22" s="1675">
        <f t="shared" si="10"/>
        <v>1.2417883371167449E-3</v>
      </c>
      <c r="V22" s="1675">
        <f t="shared" si="11"/>
        <v>-1.0954909172981031E-2</v>
      </c>
      <c r="W22" s="1675">
        <f t="shared" si="12"/>
        <v>-8.641997554416192E-3</v>
      </c>
      <c r="X22" s="1675">
        <f t="shared" si="13"/>
        <v>-2.1884308642898587E-2</v>
      </c>
      <c r="Y22" s="1676">
        <f t="shared" si="14"/>
        <v>6.3740068642408776E-2</v>
      </c>
      <c r="Z22" s="1824">
        <f>'Sales Forecast'!Q100</f>
        <v>0</v>
      </c>
    </row>
    <row r="23" spans="2:27" x14ac:dyDescent="0.35">
      <c r="B23" s="1700" t="s">
        <v>1594</v>
      </c>
      <c r="C23" s="1669">
        <f>48.57+54.45</f>
        <v>103.02000000000001</v>
      </c>
      <c r="D23" s="1669">
        <f>49.51+54.28</f>
        <v>103.78999999999999</v>
      </c>
      <c r="E23" s="1669">
        <f>48.01+51.95</f>
        <v>99.960000000000008</v>
      </c>
      <c r="F23" s="1669">
        <f>47.7+52.11</f>
        <v>99.81</v>
      </c>
      <c r="G23" s="1669">
        <f>48.29+51.82</f>
        <v>100.11</v>
      </c>
      <c r="H23" s="1669">
        <f>35.79+28.75+30.45</f>
        <v>94.99</v>
      </c>
      <c r="I23" s="1669">
        <v>90.043571999999998</v>
      </c>
      <c r="J23" s="1669">
        <v>90.386606</v>
      </c>
      <c r="K23" s="1669">
        <v>84.487307000000001</v>
      </c>
      <c r="L23" s="1673">
        <f>'F1'!P137</f>
        <v>71.777468999999996</v>
      </c>
      <c r="M23" s="1669">
        <f>'F1'!O180</f>
        <v>77.183488999999994</v>
      </c>
      <c r="N23" s="1669">
        <f>'Sales Forecast'!P31</f>
        <v>79.807084116296068</v>
      </c>
      <c r="O23" s="1703">
        <f>'Sales Forecast'!P66</f>
        <v>79.807084116296068</v>
      </c>
      <c r="P23" s="1703">
        <f>'Sales Forecast'!P101</f>
        <v>79.807084116296068</v>
      </c>
      <c r="Q23" s="1706">
        <f>'Sales Forecast'!Q66</f>
        <v>0</v>
      </c>
      <c r="S23" s="1674">
        <f t="shared" si="8"/>
        <v>3.8096445129920387E-3</v>
      </c>
      <c r="T23" s="1675">
        <f t="shared" si="9"/>
        <v>-2.4531845828842824E-2</v>
      </c>
      <c r="U23" s="1675">
        <f t="shared" si="10"/>
        <v>-3.3484390166386047E-2</v>
      </c>
      <c r="V23" s="1675">
        <f t="shared" si="11"/>
        <v>-2.4488247670661378E-2</v>
      </c>
      <c r="W23" s="1675">
        <f t="shared" si="12"/>
        <v>-1.993345116887002E-2</v>
      </c>
      <c r="X23" s="1675">
        <f t="shared" si="13"/>
        <v>-1.8516011580037128E-2</v>
      </c>
      <c r="Y23" s="1676">
        <f t="shared" si="14"/>
        <v>-2.8460894530144332E-2</v>
      </c>
      <c r="Z23" s="1824">
        <f>'Sales Forecast'!Q101</f>
        <v>0</v>
      </c>
    </row>
    <row r="24" spans="2:27" x14ac:dyDescent="0.35">
      <c r="B24" s="1700" t="s">
        <v>1710</v>
      </c>
      <c r="C24" s="1669">
        <v>0</v>
      </c>
      <c r="D24" s="1669">
        <f>35.8+10.64</f>
        <v>46.44</v>
      </c>
      <c r="E24" s="1669">
        <f>66.4+11.68</f>
        <v>78.080000000000013</v>
      </c>
      <c r="F24" s="1669">
        <f>73.99+12.45</f>
        <v>86.44</v>
      </c>
      <c r="G24" s="1669">
        <f>87.25+13.7</f>
        <v>100.95</v>
      </c>
      <c r="H24" s="1669">
        <f>54.7+8.38+20.67</f>
        <v>83.75</v>
      </c>
      <c r="I24" s="1669">
        <v>55.203111999999997</v>
      </c>
      <c r="J24" s="1669">
        <v>54.776781999999997</v>
      </c>
      <c r="K24" s="1669">
        <v>56.793369999999996</v>
      </c>
      <c r="L24" s="1673">
        <f>'F1'!P138</f>
        <v>59.247951000000008</v>
      </c>
      <c r="M24" s="1669">
        <f>'F1'!O181</f>
        <v>54.389055000000006</v>
      </c>
      <c r="N24" s="1669">
        <f>'Sales Forecast'!P32</f>
        <v>61.397282548059046</v>
      </c>
      <c r="O24" s="1703">
        <f>'Sales Forecast'!P67</f>
        <v>61.397282548059046</v>
      </c>
      <c r="P24" s="1703">
        <f>'Sales Forecast'!P102</f>
        <v>61.397282548059046</v>
      </c>
      <c r="Q24" s="1706">
        <f>'Sales Forecast'!Q67</f>
        <v>0</v>
      </c>
      <c r="S24" s="1674">
        <f t="shared" si="8"/>
        <v>-7.7229341708127119E-3</v>
      </c>
      <c r="T24" s="1675">
        <f t="shared" si="9"/>
        <v>-0.19126572450636858</v>
      </c>
      <c r="U24" s="1675">
        <f t="shared" si="10"/>
        <v>-0.18436335314619412</v>
      </c>
      <c r="V24" s="1675">
        <f t="shared" si="11"/>
        <v>-0.10778311237773175</v>
      </c>
      <c r="W24" s="1675">
        <f t="shared" si="12"/>
        <v>-6.8438906381425246E-2</v>
      </c>
      <c r="X24" s="1675">
        <f t="shared" si="13"/>
        <v>0</v>
      </c>
      <c r="Y24" s="1676">
        <f t="shared" si="14"/>
        <v>0</v>
      </c>
      <c r="Z24" s="1824">
        <f>'Sales Forecast'!Q102</f>
        <v>0</v>
      </c>
    </row>
    <row r="25" spans="2:27" x14ac:dyDescent="0.35">
      <c r="B25" s="1700" t="s">
        <v>1596</v>
      </c>
      <c r="C25" s="1669">
        <v>29.9</v>
      </c>
      <c r="D25" s="1669">
        <v>30.17</v>
      </c>
      <c r="E25" s="1669">
        <v>30.99</v>
      </c>
      <c r="F25" s="1669">
        <v>29.99</v>
      </c>
      <c r="G25" s="1669">
        <v>29.79</v>
      </c>
      <c r="H25" s="1669">
        <v>90.85</v>
      </c>
      <c r="I25" s="1669">
        <v>202.00718849</v>
      </c>
      <c r="J25" s="1669">
        <v>193.08029481999998</v>
      </c>
      <c r="K25" s="1669">
        <v>186.82920227</v>
      </c>
      <c r="L25" s="1673">
        <f>'F1'!P139</f>
        <v>162.4595415</v>
      </c>
      <c r="M25" s="1669">
        <f>'F1'!O182</f>
        <v>161.15069005999999</v>
      </c>
      <c r="N25" s="1669">
        <f>'Sales Forecast'!P33</f>
        <v>178.81986798061297</v>
      </c>
      <c r="O25" s="1703">
        <f>'Sales Forecast'!P68</f>
        <v>178.81986798061297</v>
      </c>
      <c r="P25" s="1703">
        <f>'Sales Forecast'!P103</f>
        <v>178.81986798061297</v>
      </c>
      <c r="Q25" s="1706">
        <f>'Sales Forecast'!Q68</f>
        <v>0</v>
      </c>
      <c r="S25" s="1674">
        <f t="shared" si="8"/>
        <v>-4.4190970315108102E-2</v>
      </c>
      <c r="T25" s="1675">
        <f t="shared" si="9"/>
        <v>0.4578287502489049</v>
      </c>
      <c r="U25" s="1675">
        <f t="shared" si="10"/>
        <v>0.86447178976133499</v>
      </c>
      <c r="V25" s="1675">
        <f t="shared" si="11"/>
        <v>0.59290682068824752</v>
      </c>
      <c r="W25" s="1675">
        <f t="shared" si="12"/>
        <v>0.44179420425870464</v>
      </c>
      <c r="X25" s="1675">
        <f t="shared" si="13"/>
        <v>0.30534053232716896</v>
      </c>
      <c r="Y25" s="1676">
        <f t="shared" si="14"/>
        <v>0.18346685184042455</v>
      </c>
      <c r="Z25" s="1824">
        <f>'Sales Forecast'!Q103</f>
        <v>0</v>
      </c>
    </row>
    <row r="26" spans="2:27" x14ac:dyDescent="0.35">
      <c r="B26" s="1700" t="s">
        <v>1598</v>
      </c>
      <c r="C26" s="1669">
        <v>0</v>
      </c>
      <c r="D26" s="1669">
        <v>0</v>
      </c>
      <c r="E26" s="1669">
        <v>0</v>
      </c>
      <c r="F26" s="1669">
        <v>0</v>
      </c>
      <c r="G26" s="1669">
        <v>0</v>
      </c>
      <c r="H26" s="1669">
        <v>0</v>
      </c>
      <c r="I26" s="1669">
        <v>0</v>
      </c>
      <c r="J26" s="1669">
        <v>0</v>
      </c>
      <c r="K26" s="1669">
        <v>0</v>
      </c>
      <c r="L26" s="1673">
        <f>'F1'!P141</f>
        <v>0</v>
      </c>
      <c r="M26" s="1669">
        <f>'F1'!O184</f>
        <v>2.2003999999999999E-2</v>
      </c>
      <c r="N26" s="1669">
        <f>'Sales Forecast'!P34</f>
        <v>5.1452999999999992E-2</v>
      </c>
      <c r="O26" s="1703">
        <f>'Sales Forecast'!P69</f>
        <v>5.1452999999999992E-2</v>
      </c>
      <c r="P26" s="1703">
        <f>'Sales Forecast'!P104</f>
        <v>5.1452999999999992E-2</v>
      </c>
      <c r="Q26" s="1706">
        <f>'Sales Forecast'!Q69</f>
        <v>0</v>
      </c>
      <c r="S26" s="1674">
        <f t="shared" si="8"/>
        <v>0</v>
      </c>
      <c r="T26" s="1675">
        <f t="shared" si="9"/>
        <v>0</v>
      </c>
      <c r="U26" s="1675">
        <f t="shared" si="10"/>
        <v>0</v>
      </c>
      <c r="V26" s="1675">
        <f t="shared" si="11"/>
        <v>0</v>
      </c>
      <c r="W26" s="1675">
        <f t="shared" si="12"/>
        <v>0</v>
      </c>
      <c r="X26" s="1675">
        <f t="shared" si="13"/>
        <v>0</v>
      </c>
      <c r="Y26" s="1676">
        <f>IFERROR((M27/C26)^(1/10)-1,0)</f>
        <v>0</v>
      </c>
      <c r="Z26" s="1824">
        <f>'Sales Forecast'!Q104</f>
        <v>0</v>
      </c>
    </row>
    <row r="27" spans="2:27" x14ac:dyDescent="0.35">
      <c r="B27" s="1700" t="s">
        <v>1599</v>
      </c>
      <c r="C27" s="1669">
        <v>0</v>
      </c>
      <c r="D27" s="1669">
        <v>0</v>
      </c>
      <c r="E27" s="1669">
        <v>0</v>
      </c>
      <c r="F27" s="1669">
        <v>0</v>
      </c>
      <c r="G27" s="1669">
        <v>0</v>
      </c>
      <c r="H27" s="1669">
        <v>0</v>
      </c>
      <c r="I27" s="1669">
        <v>0</v>
      </c>
      <c r="J27" s="1669">
        <v>3.3160000000000002E-2</v>
      </c>
      <c r="K27" s="1669">
        <v>0.62</v>
      </c>
      <c r="L27" s="1673">
        <f>'F1'!P142</f>
        <v>2.417109</v>
      </c>
      <c r="M27" s="1669">
        <f>'F1'!O185</f>
        <v>11.254760000000001</v>
      </c>
      <c r="N27" s="1669">
        <f>'Sales Forecast'!P35</f>
        <v>18.173658000000003</v>
      </c>
      <c r="O27" s="1703">
        <f>'Sales Forecast'!P70</f>
        <v>22.717072499999993</v>
      </c>
      <c r="P27" s="1703">
        <f>'Sales Forecast'!P105</f>
        <v>28.396340625000008</v>
      </c>
      <c r="Q27" s="1706">
        <f>'Sales Forecast'!Q70</f>
        <v>0.25</v>
      </c>
      <c r="S27" s="1674">
        <f t="shared" si="8"/>
        <v>0</v>
      </c>
      <c r="T27" s="1675">
        <f t="shared" si="9"/>
        <v>0</v>
      </c>
      <c r="U27" s="1675">
        <f t="shared" si="10"/>
        <v>0</v>
      </c>
      <c r="V27" s="1675">
        <f t="shared" si="11"/>
        <v>0</v>
      </c>
      <c r="W27" s="1675">
        <f t="shared" si="12"/>
        <v>0</v>
      </c>
      <c r="X27" s="1675">
        <f t="shared" si="13"/>
        <v>0</v>
      </c>
      <c r="Y27" s="1676">
        <f>IFERROR((M28/C27)^(1/10)-1,0)</f>
        <v>0</v>
      </c>
      <c r="Z27" s="1824">
        <f>'Sales Forecast'!Q105</f>
        <v>0.25</v>
      </c>
    </row>
    <row r="28" spans="2:27" x14ac:dyDescent="0.35">
      <c r="B28" s="1701" t="s">
        <v>1015</v>
      </c>
      <c r="C28" s="1678">
        <f t="shared" ref="C28:P28" si="15">SUM(C17:C27)</f>
        <v>3676.14</v>
      </c>
      <c r="D28" s="1678">
        <f t="shared" si="15"/>
        <v>3771.57</v>
      </c>
      <c r="E28" s="1678">
        <f t="shared" si="15"/>
        <v>3699.4099999999994</v>
      </c>
      <c r="F28" s="1678">
        <f t="shared" si="15"/>
        <v>3734.1599999999994</v>
      </c>
      <c r="G28" s="1678">
        <f t="shared" si="15"/>
        <v>3864.94</v>
      </c>
      <c r="H28" s="1678">
        <f t="shared" si="15"/>
        <v>3694.8099999999995</v>
      </c>
      <c r="I28" s="1678">
        <f t="shared" si="15"/>
        <v>3857.1218454899999</v>
      </c>
      <c r="J28" s="1678">
        <f t="shared" si="15"/>
        <v>3890.7565648200007</v>
      </c>
      <c r="K28" s="1678">
        <f t="shared" si="15"/>
        <v>3888.5427662699994</v>
      </c>
      <c r="L28" s="1678">
        <f t="shared" si="15"/>
        <v>3241.0496334999998</v>
      </c>
      <c r="M28" s="1678">
        <f t="shared" si="15"/>
        <v>3496.89014206</v>
      </c>
      <c r="N28" s="1678">
        <f t="shared" si="15"/>
        <v>3903.2682345592566</v>
      </c>
      <c r="O28" s="1708">
        <f t="shared" si="15"/>
        <v>3944.8884799436942</v>
      </c>
      <c r="P28" s="1708">
        <f t="shared" si="15"/>
        <v>3988.1034710629638</v>
      </c>
      <c r="Q28" s="1704"/>
      <c r="R28" s="1680"/>
      <c r="S28" s="1674">
        <f t="shared" si="8"/>
        <v>8.7201599216599757E-3</v>
      </c>
      <c r="T28" s="1675">
        <f t="shared" si="9"/>
        <v>2.6173923101383778E-2</v>
      </c>
      <c r="U28" s="1675">
        <f t="shared" si="10"/>
        <v>2.2216209523913122E-3</v>
      </c>
      <c r="V28" s="1675">
        <f t="shared" si="11"/>
        <v>1.0323103019487245E-2</v>
      </c>
      <c r="W28" s="1675">
        <f t="shared" si="12"/>
        <v>1.0137091886327276E-2</v>
      </c>
      <c r="X28" s="1675">
        <f t="shared" si="13"/>
        <v>8.1387034593822793E-3</v>
      </c>
      <c r="Y28" s="1676">
        <f>IFERROR((M28/C28)^(1/10)-1,0)</f>
        <v>-4.9864507668632152E-3</v>
      </c>
      <c r="Z28" s="1824"/>
    </row>
    <row r="29" spans="2:27" x14ac:dyDescent="0.35">
      <c r="B29" s="1702"/>
      <c r="C29" s="1669"/>
      <c r="D29" s="1669"/>
      <c r="E29" s="1669"/>
      <c r="F29" s="1669"/>
      <c r="G29" s="1669"/>
      <c r="H29" s="1669"/>
      <c r="I29" s="1669"/>
      <c r="J29" s="1669"/>
      <c r="K29" s="1669"/>
      <c r="L29" s="1669"/>
      <c r="M29" s="1669"/>
      <c r="N29" s="1669"/>
      <c r="O29" s="1703"/>
      <c r="P29" s="1703"/>
      <c r="Q29" s="1707"/>
      <c r="S29" s="1674"/>
      <c r="T29" s="1675"/>
      <c r="U29" s="1675"/>
      <c r="V29" s="1675"/>
      <c r="W29" s="1675"/>
      <c r="X29" s="1675"/>
      <c r="Y29" s="1676"/>
      <c r="Z29" s="1824"/>
    </row>
    <row r="30" spans="2:27" ht="15" thickBot="1" x14ac:dyDescent="0.4">
      <c r="B30" s="1701" t="s">
        <v>1016</v>
      </c>
      <c r="C30" s="1678">
        <f t="shared" ref="C30:P30" si="16">C28+C13</f>
        <v>4286.05</v>
      </c>
      <c r="D30" s="1678">
        <f t="shared" si="16"/>
        <v>4392.95</v>
      </c>
      <c r="E30" s="1678">
        <f t="shared" si="16"/>
        <v>4351.5199999999995</v>
      </c>
      <c r="F30" s="1678">
        <f t="shared" si="16"/>
        <v>4420.4499999999989</v>
      </c>
      <c r="G30" s="1678">
        <f t="shared" si="16"/>
        <v>4576.6099999999997</v>
      </c>
      <c r="H30" s="1678">
        <f t="shared" si="16"/>
        <v>4402.96</v>
      </c>
      <c r="I30" s="1678">
        <f t="shared" si="16"/>
        <v>4544.1818454900003</v>
      </c>
      <c r="J30" s="1678">
        <f t="shared" si="16"/>
        <v>4571.9965648200005</v>
      </c>
      <c r="K30" s="1678">
        <f t="shared" si="16"/>
        <v>4569.3425442699991</v>
      </c>
      <c r="L30" s="1678">
        <f t="shared" si="16"/>
        <v>3785.4441154999995</v>
      </c>
      <c r="M30" s="1678">
        <f t="shared" si="16"/>
        <v>4078.4318760599999</v>
      </c>
      <c r="N30" s="1678">
        <f t="shared" si="16"/>
        <v>4537.9765172112102</v>
      </c>
      <c r="O30" s="1708">
        <f t="shared" si="16"/>
        <v>4579.5967625956482</v>
      </c>
      <c r="P30" s="1708">
        <f t="shared" si="16"/>
        <v>4622.8117537149174</v>
      </c>
      <c r="Q30" s="1704"/>
      <c r="R30" s="1680"/>
      <c r="S30" s="1674">
        <f>IFERROR((J30/I30)-1,0)</f>
        <v>6.120952082409703E-3</v>
      </c>
      <c r="T30" s="1675">
        <f>IFERROR((J30/H30)^(1/2)-1,0)</f>
        <v>1.901500187021643E-2</v>
      </c>
      <c r="U30" s="1675">
        <f>IFERROR((J30/G30)^(1/3)-1,0)</f>
        <v>-3.3612843234642753E-4</v>
      </c>
      <c r="V30" s="1675">
        <f>IFERROR((J30/F30)^(1/4)-1,0)</f>
        <v>8.4627315887753074E-3</v>
      </c>
      <c r="W30" s="1675">
        <f>IFERROR((J30/E30)^(1/5)-1,0)</f>
        <v>9.933974612429175E-3</v>
      </c>
      <c r="X30" s="1675">
        <f>IFERROR((J30/C30)^(1/7)-1,0)</f>
        <v>9.2690413319915788E-3</v>
      </c>
      <c r="Y30" s="1681">
        <f>IFERROR((M30/C30)^(1/10)-1,0)</f>
        <v>-4.9529925228134486E-3</v>
      </c>
      <c r="Z30" s="1825"/>
    </row>
    <row r="31" spans="2:27" x14ac:dyDescent="0.35">
      <c r="N31" s="1690">
        <f>N30/J30-1</f>
        <v>-7.4409608857896048E-3</v>
      </c>
      <c r="O31" s="1695">
        <f>O30/N30-1</f>
        <v>9.171542696747137E-3</v>
      </c>
      <c r="P31" s="1695">
        <f>P30/O30-1</f>
        <v>9.4364183921675782E-3</v>
      </c>
      <c r="Q31" s="1695"/>
    </row>
    <row r="32" spans="2:27" x14ac:dyDescent="0.35">
      <c r="Q32" s="1677"/>
      <c r="AA32" s="1682"/>
    </row>
    <row r="33" spans="17:27" x14ac:dyDescent="0.35">
      <c r="Q33" s="1677"/>
      <c r="AA33" s="1682"/>
    </row>
    <row r="34" spans="17:27" x14ac:dyDescent="0.35">
      <c r="Q34" s="1677"/>
    </row>
    <row r="35" spans="17:27" x14ac:dyDescent="0.35">
      <c r="Q35" s="1677"/>
    </row>
    <row r="36" spans="17:27" x14ac:dyDescent="0.35">
      <c r="Q36" s="1677"/>
    </row>
    <row r="37" spans="17:27" x14ac:dyDescent="0.35">
      <c r="Q37" s="1677"/>
    </row>
    <row r="38" spans="17:27" x14ac:dyDescent="0.35">
      <c r="Q38" s="1677"/>
    </row>
    <row r="39" spans="17:27" x14ac:dyDescent="0.35">
      <c r="Q39" s="1677"/>
    </row>
    <row r="40" spans="17:27" x14ac:dyDescent="0.35">
      <c r="Q40" s="1677"/>
    </row>
    <row r="41" spans="17:27" x14ac:dyDescent="0.35">
      <c r="Q41" s="1677"/>
    </row>
    <row r="42" spans="17:27" x14ac:dyDescent="0.35">
      <c r="Q42" s="1677"/>
    </row>
    <row r="43" spans="17:27" x14ac:dyDescent="0.35">
      <c r="Q43" s="1677"/>
    </row>
    <row r="44" spans="17:27" x14ac:dyDescent="0.35">
      <c r="Q44" s="1677"/>
    </row>
    <row r="45" spans="17:27" x14ac:dyDescent="0.35">
      <c r="Q45" s="1677"/>
    </row>
    <row r="46" spans="17:27" x14ac:dyDescent="0.35">
      <c r="Q46" s="1677"/>
    </row>
    <row r="47" spans="17:27" x14ac:dyDescent="0.35">
      <c r="Q47" s="1677"/>
    </row>
    <row r="48" spans="17:27" x14ac:dyDescent="0.35">
      <c r="Q48" s="1677"/>
    </row>
    <row r="49" spans="17:17" x14ac:dyDescent="0.35">
      <c r="Q49" s="1677"/>
    </row>
    <row r="50" spans="17:17" x14ac:dyDescent="0.35">
      <c r="Q50" s="1677"/>
    </row>
    <row r="51" spans="17:17" x14ac:dyDescent="0.35">
      <c r="Q51" s="1677"/>
    </row>
    <row r="52" spans="17:17" x14ac:dyDescent="0.35">
      <c r="Q52" s="1677"/>
    </row>
    <row r="53" spans="17:17" x14ac:dyDescent="0.35">
      <c r="Q53" s="1677"/>
    </row>
    <row r="54" spans="17:17" x14ac:dyDescent="0.35">
      <c r="Q54" s="1677"/>
    </row>
    <row r="55" spans="17:17" x14ac:dyDescent="0.35">
      <c r="Q55" s="1677"/>
    </row>
    <row r="56" spans="17:17" x14ac:dyDescent="0.35">
      <c r="Q56" s="1677"/>
    </row>
    <row r="57" spans="17:17" x14ac:dyDescent="0.35">
      <c r="Q57" s="1677"/>
    </row>
    <row r="58" spans="17:17" x14ac:dyDescent="0.35">
      <c r="Q58" s="1677"/>
    </row>
    <row r="59" spans="17:17" x14ac:dyDescent="0.35">
      <c r="Q59" s="1677"/>
    </row>
    <row r="60" spans="17:17" x14ac:dyDescent="0.35">
      <c r="Q60" s="1677"/>
    </row>
    <row r="61" spans="17:17" x14ac:dyDescent="0.35">
      <c r="Q61" s="1677"/>
    </row>
    <row r="62" spans="17:17" x14ac:dyDescent="0.35">
      <c r="Q62" s="1677"/>
    </row>
    <row r="63" spans="17:17" x14ac:dyDescent="0.35">
      <c r="Q63" s="1677"/>
    </row>
    <row r="64" spans="17:17" x14ac:dyDescent="0.35">
      <c r="Q64" s="1677"/>
    </row>
    <row r="65" spans="17:17" x14ac:dyDescent="0.35">
      <c r="Q65" s="1677"/>
    </row>
    <row r="66" spans="17:17" x14ac:dyDescent="0.35">
      <c r="Q66" s="1677"/>
    </row>
    <row r="67" spans="17:17" x14ac:dyDescent="0.35">
      <c r="Q67" s="1677"/>
    </row>
  </sheetData>
  <mergeCells count="1">
    <mergeCell ref="S2:Y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92</vt:i4>
      </vt:variant>
    </vt:vector>
  </HeadingPairs>
  <TitlesOfParts>
    <vt:vector size="154" baseType="lpstr">
      <vt:lpstr>Index</vt:lpstr>
      <vt:lpstr>Tariff Comparison Ext.vsProp</vt:lpstr>
      <vt:lpstr>Gap Determination</vt:lpstr>
      <vt:lpstr>Carrying Cost</vt:lpstr>
      <vt:lpstr>Tariff recovery-Wire and Retail</vt:lpstr>
      <vt:lpstr>wheeling</vt:lpstr>
      <vt:lpstr>ARR-Summary</vt:lpstr>
      <vt:lpstr>Snapshot for True-up years</vt:lpstr>
      <vt:lpstr>Sales growth assum</vt:lpstr>
      <vt:lpstr>F1</vt:lpstr>
      <vt:lpstr>F1.1</vt:lpstr>
      <vt:lpstr>F1.2</vt:lpstr>
      <vt:lpstr>F1.3</vt:lpstr>
      <vt:lpstr>F1.4</vt:lpstr>
      <vt:lpstr>F1.5</vt:lpstr>
      <vt:lpstr>Manikaran rate</vt:lpstr>
      <vt:lpstr>F2</vt:lpstr>
      <vt:lpstr>F2.1</vt:lpstr>
      <vt:lpstr>F2.2</vt:lpstr>
      <vt:lpstr>OnM esc rate</vt:lpstr>
      <vt:lpstr>F3</vt:lpstr>
      <vt:lpstr>F3.1</vt:lpstr>
      <vt:lpstr>F3.2</vt:lpstr>
      <vt:lpstr>F3.3</vt:lpstr>
      <vt:lpstr>F3.4</vt:lpstr>
      <vt:lpstr>F4</vt:lpstr>
      <vt:lpstr>F4.1</vt:lpstr>
      <vt:lpstr>F4.2</vt:lpstr>
      <vt:lpstr>F4.3</vt:lpstr>
      <vt:lpstr>F5</vt:lpstr>
      <vt:lpstr>F5.1</vt:lpstr>
      <vt:lpstr>F5.2</vt:lpstr>
      <vt:lpstr>F 5.3</vt:lpstr>
      <vt:lpstr>Grant</vt:lpstr>
      <vt:lpstr>F6</vt:lpstr>
      <vt:lpstr>NoWcRates</vt:lpstr>
      <vt:lpstr>F7</vt:lpstr>
      <vt:lpstr>Add ROE</vt:lpstr>
      <vt:lpstr>Assumptions</vt:lpstr>
      <vt:lpstr>F8</vt:lpstr>
      <vt:lpstr>F9</vt:lpstr>
      <vt:lpstr>F10</vt:lpstr>
      <vt:lpstr>F11</vt:lpstr>
      <vt:lpstr>F12</vt:lpstr>
      <vt:lpstr>Sales Forecast</vt:lpstr>
      <vt:lpstr>F13</vt:lpstr>
      <vt:lpstr>F13.1</vt:lpstr>
      <vt:lpstr>F13.2</vt:lpstr>
      <vt:lpstr>F13.3</vt:lpstr>
      <vt:lpstr>F14.1</vt:lpstr>
      <vt:lpstr>F14.2</vt:lpstr>
      <vt:lpstr>F15</vt:lpstr>
      <vt:lpstr>F16</vt:lpstr>
      <vt:lpstr>F17</vt:lpstr>
      <vt:lpstr>F18</vt:lpstr>
      <vt:lpstr>F19</vt:lpstr>
      <vt:lpstr>F20</vt:lpstr>
      <vt:lpstr>F21</vt:lpstr>
      <vt:lpstr>F22</vt:lpstr>
      <vt:lpstr>F23</vt:lpstr>
      <vt:lpstr>F24</vt:lpstr>
      <vt:lpstr>Sheet1</vt:lpstr>
      <vt:lpstr>a</vt:lpstr>
      <vt:lpstr>GFA</vt:lpstr>
      <vt:lpstr>GFA_19_20</vt:lpstr>
      <vt:lpstr>'ARR-Summary'!Print_Area</vt:lpstr>
      <vt:lpstr>'F 5.3'!Print_Area</vt:lpstr>
      <vt:lpstr>'F1'!Print_Area</vt:lpstr>
      <vt:lpstr>F1.1!Print_Area</vt:lpstr>
      <vt:lpstr>F1.2!Print_Area</vt:lpstr>
      <vt:lpstr>F1.4!Print_Area</vt:lpstr>
      <vt:lpstr>F1.5!Print_Area</vt:lpstr>
      <vt:lpstr>'F11'!Print_Area</vt:lpstr>
      <vt:lpstr>'F12'!Print_Area</vt:lpstr>
      <vt:lpstr>'F13'!Print_Area</vt:lpstr>
      <vt:lpstr>F13.1!Print_Area</vt:lpstr>
      <vt:lpstr>F13.2!Print_Area</vt:lpstr>
      <vt:lpstr>F13.3!Print_Area</vt:lpstr>
      <vt:lpstr>'F15'!Print_Area</vt:lpstr>
      <vt:lpstr>'F16'!Print_Area</vt:lpstr>
      <vt:lpstr>'F17'!Print_Area</vt:lpstr>
      <vt:lpstr>'F18'!Print_Area</vt:lpstr>
      <vt:lpstr>'F19'!Print_Area</vt:lpstr>
      <vt:lpstr>'F2'!Print_Area</vt:lpstr>
      <vt:lpstr>F2.1!Print_Area</vt:lpstr>
      <vt:lpstr>F2.2!Print_Area</vt:lpstr>
      <vt:lpstr>'F20'!Print_Area</vt:lpstr>
      <vt:lpstr>'F22'!Print_Area</vt:lpstr>
      <vt:lpstr>'F23'!Print_Area</vt:lpstr>
      <vt:lpstr>'F24'!Print_Area</vt:lpstr>
      <vt:lpstr>'F3'!Print_Area</vt:lpstr>
      <vt:lpstr>F3.1!Print_Area</vt:lpstr>
      <vt:lpstr>F3.2!Print_Area</vt:lpstr>
      <vt:lpstr>F3.3!Print_Area</vt:lpstr>
      <vt:lpstr>F3.4!Print_Area</vt:lpstr>
      <vt:lpstr>'F4'!Print_Area</vt:lpstr>
      <vt:lpstr>F4.1!Print_Area</vt:lpstr>
      <vt:lpstr>F4.2!Print_Area</vt:lpstr>
      <vt:lpstr>F4.3!Print_Area</vt:lpstr>
      <vt:lpstr>'F5'!Print_Area</vt:lpstr>
      <vt:lpstr>F5.1!Print_Area</vt:lpstr>
      <vt:lpstr>F5.2!Print_Area</vt:lpstr>
      <vt:lpstr>'F6'!Print_Area</vt:lpstr>
      <vt:lpstr>'F7'!Print_Area</vt:lpstr>
      <vt:lpstr>'F8'!Print_Area</vt:lpstr>
      <vt:lpstr>'F9'!Print_Area</vt:lpstr>
      <vt:lpstr>Index!Print_Area</vt:lpstr>
      <vt:lpstr>wheeling!Print_Area</vt:lpstr>
      <vt:lpstr>'ARR-Summary'!Print_Titles</vt:lpstr>
      <vt:lpstr>'F 5.3'!Print_Titles</vt:lpstr>
      <vt:lpstr>'F1'!Print_Titles</vt:lpstr>
      <vt:lpstr>F1.1!Print_Titles</vt:lpstr>
      <vt:lpstr>F1.3!Print_Titles</vt:lpstr>
      <vt:lpstr>F1.4!Print_Titles</vt:lpstr>
      <vt:lpstr>F1.5!Print_Titles</vt:lpstr>
      <vt:lpstr>'F10'!Print_Titles</vt:lpstr>
      <vt:lpstr>'F11'!Print_Titles</vt:lpstr>
      <vt:lpstr>'F12'!Print_Titles</vt:lpstr>
      <vt:lpstr>'F13'!Print_Titles</vt:lpstr>
      <vt:lpstr>F13.1!Print_Titles</vt:lpstr>
      <vt:lpstr>F13.2!Print_Titles</vt:lpstr>
      <vt:lpstr>F13.3!Print_Titles</vt:lpstr>
      <vt:lpstr>F14.1!Print_Titles</vt:lpstr>
      <vt:lpstr>F14.2!Print_Titles</vt:lpstr>
      <vt:lpstr>'F15'!Print_Titles</vt:lpstr>
      <vt:lpstr>'F16'!Print_Titles</vt:lpstr>
      <vt:lpstr>'F17'!Print_Titles</vt:lpstr>
      <vt:lpstr>'F18'!Print_Titles</vt:lpstr>
      <vt:lpstr>'F19'!Print_Titles</vt:lpstr>
      <vt:lpstr>'F2'!Print_Titles</vt:lpstr>
      <vt:lpstr>F2.1!Print_Titles</vt:lpstr>
      <vt:lpstr>F2.2!Print_Titles</vt:lpstr>
      <vt:lpstr>'F20'!Print_Titles</vt:lpstr>
      <vt:lpstr>'F21'!Print_Titles</vt:lpstr>
      <vt:lpstr>'F22'!Print_Titles</vt:lpstr>
      <vt:lpstr>'F23'!Print_Titles</vt:lpstr>
      <vt:lpstr>'F24'!Print_Titles</vt:lpstr>
      <vt:lpstr>'F3'!Print_Titles</vt:lpstr>
      <vt:lpstr>F3.1!Print_Titles</vt:lpstr>
      <vt:lpstr>F3.2!Print_Titles</vt:lpstr>
      <vt:lpstr>F3.3!Print_Titles</vt:lpstr>
      <vt:lpstr>F3.4!Print_Titles</vt:lpstr>
      <vt:lpstr>'F4'!Print_Titles</vt:lpstr>
      <vt:lpstr>F4.1!Print_Titles</vt:lpstr>
      <vt:lpstr>F4.2!Print_Titles</vt:lpstr>
      <vt:lpstr>F4.3!Print_Titles</vt:lpstr>
      <vt:lpstr>'F5'!Print_Titles</vt:lpstr>
      <vt:lpstr>F5.1!Print_Titles</vt:lpstr>
      <vt:lpstr>F5.2!Print_Titles</vt:lpstr>
      <vt:lpstr>'F6'!Print_Titles</vt:lpstr>
      <vt:lpstr>'F7'!Print_Titles</vt:lpstr>
      <vt:lpstr>'F8'!Print_Titles</vt:lpstr>
      <vt:lpstr>'F9'!Print_Titles</vt:lpstr>
      <vt:lpstr>Index!Print_Titles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HP</cp:lastModifiedBy>
  <cp:lastPrinted>2023-01-16T18:08:22Z</cp:lastPrinted>
  <dcterms:created xsi:type="dcterms:W3CDTF">2004-07-28T05:30:50Z</dcterms:created>
  <dcterms:modified xsi:type="dcterms:W3CDTF">2023-01-16T18:58:13Z</dcterms:modified>
</cp:coreProperties>
</file>